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drawings/drawing2.xml" ContentType="application/vnd.openxmlformats-officedocument.drawing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BCC8C2DF-9DAA-4E03-B4B4-5240A6E4C051}" xr6:coauthVersionLast="47" xr6:coauthVersionMax="47" xr10:uidLastSave="{00000000-0000-0000-0000-000000000000}"/>
  <bookViews>
    <workbookView xWindow="-120" yWindow="-120" windowWidth="29040" windowHeight="15840" firstSheet="12" activeTab="16" xr2:uid="{FF2BB585-0ACC-46D3-85EE-E7446777D2F6}"/>
  </bookViews>
  <sheets>
    <sheet name="Expenses-Summary" sheetId="5" r:id="rId1"/>
    <sheet name="Revenues- Summary" sheetId="4" r:id="rId2"/>
    <sheet name="Revenues" sheetId="26" r:id="rId3"/>
    <sheet name="Expenses" sheetId="2" r:id="rId4"/>
    <sheet name="S-Disposed-TY" sheetId="25" r:id="rId5"/>
    <sheet name="S-Sales By Meter" sheetId="18" r:id="rId6"/>
    <sheet name="S-Exp Alloc-TY" sheetId="11" r:id="rId7"/>
    <sheet name="S-Alloc %-TY" sheetId="15" r:id="rId8"/>
    <sheet name="S-Alloc Met-TY" sheetId="14" r:id="rId9"/>
    <sheet name="S-Summary-TY" sheetId="16" r:id="rId10"/>
    <sheet name=" Flow Adjustments" sheetId="27" r:id="rId11"/>
    <sheet name="S-Disposed-TY Adj" sheetId="19" r:id="rId12"/>
    <sheet name="S-Sales By Meter Adj" sheetId="20" r:id="rId13"/>
    <sheet name="S-Alloc Met-TY Adj" sheetId="22" r:id="rId14"/>
    <sheet name="S-Exp Alloc-TY Adj" sheetId="21" r:id="rId15"/>
    <sheet name="S-Alloc %-TY Adj" sheetId="23" r:id="rId16"/>
    <sheet name="S-Summary-TY Adj" sheetId="24" r:id="rId17"/>
    <sheet name="SAO" sheetId="28" r:id="rId18"/>
  </sheets>
  <externalReferences>
    <externalReference r:id="rId19"/>
    <externalReference r:id="rId20"/>
  </externalReferences>
  <definedNames>
    <definedName name="_xlnm.Print_Area" localSheetId="3">Expenses!$A$1:$L$257</definedName>
    <definedName name="_xlnm.Print_Area" localSheetId="2">Revenues!$A$1:$K$47</definedName>
    <definedName name="_xlnm.Print_Area" localSheetId="7">'S-Alloc %-TY'!$A$1:$O$13</definedName>
    <definedName name="_xlnm.Print_Area" localSheetId="15">'S-Alloc %-TY Adj'!$A$1:$O$13</definedName>
    <definedName name="_xlnm.Print_Area" localSheetId="8">'S-Alloc Met-TY'!$A$1:$L$28</definedName>
    <definedName name="_xlnm.Print_Area" localSheetId="13">'S-Alloc Met-TY Adj'!$A$1:$M$28</definedName>
    <definedName name="_xlnm.Print_Area" localSheetId="17">SAO!$A$1:$F$66</definedName>
    <definedName name="_xlnm.Print_Area" localSheetId="6">'S-Exp Alloc-TY'!$A$1:$H$250</definedName>
    <definedName name="_xlnm.Print_Area" localSheetId="14">'S-Exp Alloc-TY Adj'!$A$1:$H$250</definedName>
    <definedName name="_xlnm.Print_Area" localSheetId="5">'S-Sales By Meter'!$A$1:$BB$29</definedName>
    <definedName name="_xlnm.Print_Area" localSheetId="12">'S-Sales By Meter Adj'!$A$1:$BC$28</definedName>
    <definedName name="_xlnm.Print_Area" localSheetId="9">'S-Summary-TY'!$A$1:$T$38</definedName>
    <definedName name="_xlnm.Print_Area" localSheetId="16">'S-Summary-TY Adj'!$A$1:$T$37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6" l="1"/>
  <c r="E36" i="26"/>
  <c r="E37" i="26"/>
  <c r="E38" i="26"/>
  <c r="E39" i="26"/>
  <c r="E40" i="26"/>
  <c r="E34" i="26"/>
  <c r="E33" i="26"/>
  <c r="D35" i="26"/>
  <c r="D36" i="26"/>
  <c r="D37" i="26"/>
  <c r="D38" i="26"/>
  <c r="D39" i="26"/>
  <c r="D40" i="26"/>
  <c r="D34" i="26"/>
  <c r="D33" i="26"/>
  <c r="E23" i="26"/>
  <c r="E24" i="26"/>
  <c r="E25" i="26"/>
  <c r="E26" i="26"/>
  <c r="E27" i="26"/>
  <c r="E28" i="26"/>
  <c r="E29" i="26"/>
  <c r="E22" i="26"/>
  <c r="E21" i="26"/>
  <c r="D23" i="26"/>
  <c r="D24" i="26"/>
  <c r="D25" i="26"/>
  <c r="D26" i="26"/>
  <c r="D27" i="26"/>
  <c r="D28" i="26"/>
  <c r="D29" i="26"/>
  <c r="D22" i="26"/>
  <c r="D21" i="26"/>
  <c r="E7" i="26"/>
  <c r="E8" i="26"/>
  <c r="E9" i="26"/>
  <c r="E10" i="26"/>
  <c r="E11" i="26"/>
  <c r="E12" i="26"/>
  <c r="E13" i="26"/>
  <c r="E14" i="26"/>
  <c r="E15" i="26"/>
  <c r="E16" i="26"/>
  <c r="E17" i="26"/>
  <c r="E6" i="26"/>
  <c r="E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5" i="26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25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176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41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19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97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76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39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5" i="2"/>
  <c r="K6" i="2"/>
  <c r="K7" i="2"/>
  <c r="K5" i="2"/>
  <c r="K231" i="2"/>
  <c r="K232" i="2"/>
  <c r="K233" i="2"/>
  <c r="K234" i="2"/>
  <c r="K235" i="2"/>
  <c r="K236" i="2"/>
  <c r="K237" i="2"/>
  <c r="K238" i="2"/>
  <c r="K239" i="2"/>
  <c r="K240" i="2"/>
  <c r="K241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25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26" i="2"/>
  <c r="E225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176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177" i="2"/>
  <c r="E176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41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19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20" i="2"/>
  <c r="E119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97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98" i="2"/>
  <c r="E9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77" i="2"/>
  <c r="E76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40" i="2"/>
  <c r="J39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40" i="2"/>
  <c r="E39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5" i="2"/>
  <c r="E3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5" i="2"/>
  <c r="F24" i="22"/>
  <c r="E24" i="22"/>
  <c r="D24" i="22"/>
  <c r="C24" i="22"/>
  <c r="F24" i="14"/>
  <c r="E24" i="14"/>
  <c r="D24" i="14"/>
  <c r="C24" i="14"/>
  <c r="I132" i="2" l="1"/>
  <c r="I230" i="2"/>
  <c r="I227" i="2"/>
  <c r="I226" i="2"/>
  <c r="I228" i="2"/>
  <c r="I229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25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176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41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3" i="2"/>
  <c r="I134" i="2"/>
  <c r="I135" i="2"/>
  <c r="I136" i="2"/>
  <c r="I137" i="2"/>
  <c r="I119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97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76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40" i="2"/>
  <c r="I39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25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176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41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19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97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76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39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5" i="2"/>
  <c r="E23" i="18"/>
  <c r="C23" i="18"/>
  <c r="B23" i="18"/>
  <c r="E23" i="20"/>
  <c r="D23" i="20"/>
  <c r="C23" i="20"/>
  <c r="B23" i="20"/>
  <c r="D36" i="2" l="1"/>
  <c r="B16" i="25"/>
  <c r="B15" i="25"/>
  <c r="D41" i="24" l="1"/>
  <c r="D42" i="24"/>
  <c r="D47" i="24"/>
  <c r="D48" i="24"/>
  <c r="D49" i="24"/>
  <c r="D58" i="24"/>
  <c r="C15" i="28"/>
  <c r="K132" i="2"/>
  <c r="E57" i="28"/>
  <c r="D43" i="24" l="1"/>
  <c r="C49" i="28" l="1"/>
  <c r="C18" i="28" l="1"/>
  <c r="C24" i="28" l="1"/>
  <c r="E24" i="28" s="1"/>
  <c r="C23" i="28"/>
  <c r="E23" i="28" s="1"/>
  <c r="C20" i="28"/>
  <c r="E20" i="28" s="1"/>
  <c r="C19" i="28"/>
  <c r="E19" i="28" s="1"/>
  <c r="C22" i="28"/>
  <c r="E22" i="28" s="1"/>
  <c r="C21" i="28"/>
  <c r="E21" i="28" s="1"/>
  <c r="E18" i="28"/>
  <c r="K40" i="2" l="1"/>
  <c r="K41" i="2"/>
  <c r="K42" i="2"/>
  <c r="K39" i="2"/>
  <c r="B16" i="28"/>
  <c r="E35" i="28" l="1"/>
  <c r="E39" i="28"/>
  <c r="E40" i="28"/>
  <c r="E26" i="28" l="1"/>
  <c r="E25" i="28"/>
  <c r="E36" i="28"/>
  <c r="AT15" i="18"/>
  <c r="E49" i="28" l="1"/>
  <c r="J4" i="20" l="1"/>
  <c r="K4" i="20" s="1"/>
  <c r="J5" i="20"/>
  <c r="K5" i="20" s="1"/>
  <c r="J6" i="20"/>
  <c r="K6" i="20" s="1"/>
  <c r="J7" i="20"/>
  <c r="K7" i="20" s="1"/>
  <c r="J8" i="20"/>
  <c r="K8" i="20" s="1"/>
  <c r="J9" i="20"/>
  <c r="K9" i="20" s="1"/>
  <c r="J10" i="20"/>
  <c r="J11" i="20"/>
  <c r="J12" i="20"/>
  <c r="J13" i="20"/>
  <c r="K13" i="20" s="1"/>
  <c r="J14" i="20"/>
  <c r="K14" i="20" s="1"/>
  <c r="J3" i="20"/>
  <c r="K3" i="20" s="1"/>
  <c r="K10" i="20"/>
  <c r="K11" i="20"/>
  <c r="K12" i="20"/>
  <c r="B22" i="27"/>
  <c r="C21" i="27"/>
  <c r="D21" i="27" s="1"/>
  <c r="D20" i="27"/>
  <c r="C20" i="27"/>
  <c r="C19" i="27"/>
  <c r="D19" i="27" s="1"/>
  <c r="D18" i="27"/>
  <c r="C18" i="27"/>
  <c r="C17" i="27"/>
  <c r="D17" i="27" s="1"/>
  <c r="C16" i="27"/>
  <c r="D16" i="27" s="1"/>
  <c r="C15" i="27"/>
  <c r="D15" i="27" s="1"/>
  <c r="C14" i="27"/>
  <c r="D14" i="27" s="1"/>
  <c r="C13" i="27"/>
  <c r="D13" i="27" s="1"/>
  <c r="C12" i="27"/>
  <c r="D12" i="27" s="1"/>
  <c r="C11" i="27"/>
  <c r="D11" i="27" s="1"/>
  <c r="C10" i="27"/>
  <c r="C22" i="27" s="1"/>
  <c r="B9" i="27"/>
  <c r="B4" i="27" s="1"/>
  <c r="D4" i="27" s="1"/>
  <c r="C4" i="27"/>
  <c r="J15" i="20" l="1"/>
  <c r="D10" i="27"/>
  <c r="D22" i="27" s="1"/>
  <c r="E4" i="27" s="1"/>
  <c r="F64" i="2" l="1"/>
  <c r="F65" i="2"/>
  <c r="F71" i="2"/>
  <c r="F67" i="2"/>
  <c r="F72" i="2"/>
  <c r="F70" i="2"/>
  <c r="F66" i="2"/>
  <c r="F63" i="2"/>
  <c r="F68" i="2"/>
  <c r="F69" i="2"/>
  <c r="G71" i="2"/>
  <c r="G63" i="2"/>
  <c r="G72" i="2"/>
  <c r="G70" i="2"/>
  <c r="G69" i="2"/>
  <c r="G68" i="2"/>
  <c r="G67" i="2"/>
  <c r="G66" i="2"/>
  <c r="G65" i="2"/>
  <c r="G64" i="2"/>
  <c r="H71" i="2"/>
  <c r="C69" i="11"/>
  <c r="B72" i="21"/>
  <c r="B72" i="11"/>
  <c r="B71" i="21"/>
  <c r="B71" i="11"/>
  <c r="H72" i="2"/>
  <c r="C72" i="11"/>
  <c r="C70" i="11"/>
  <c r="B70" i="21"/>
  <c r="B70" i="11"/>
  <c r="B69" i="21"/>
  <c r="B69" i="11"/>
  <c r="C71" i="11"/>
  <c r="H69" i="2"/>
  <c r="H70" i="2"/>
  <c r="N7" i="24"/>
  <c r="E8" i="24"/>
  <c r="D59" i="16"/>
  <c r="D50" i="16"/>
  <c r="D49" i="16"/>
  <c r="D48" i="16"/>
  <c r="D43" i="16"/>
  <c r="D42" i="16"/>
  <c r="N7" i="16"/>
  <c r="E8" i="16"/>
  <c r="G71" i="11" l="1"/>
  <c r="F71" i="11"/>
  <c r="G72" i="11"/>
  <c r="F72" i="11"/>
  <c r="F70" i="11"/>
  <c r="G70" i="11"/>
  <c r="F69" i="11"/>
  <c r="G69" i="11"/>
  <c r="D44" i="16"/>
  <c r="E16" i="16" l="1"/>
  <c r="E16" i="24"/>
  <c r="BA15" i="20" l="1"/>
  <c r="AZ15" i="20"/>
  <c r="AY15" i="20"/>
  <c r="BB14" i="20"/>
  <c r="BB13" i="20"/>
  <c r="BB12" i="20"/>
  <c r="BB11" i="20"/>
  <c r="BB10" i="20"/>
  <c r="BB9" i="20"/>
  <c r="BB8" i="20"/>
  <c r="BB7" i="20"/>
  <c r="BB6" i="20"/>
  <c r="BB5" i="20"/>
  <c r="BB4" i="20"/>
  <c r="BB3" i="20"/>
  <c r="BB17" i="20" s="1"/>
  <c r="BB18" i="20" s="1"/>
  <c r="BB15" i="20" l="1"/>
  <c r="F16" i="24" l="1"/>
  <c r="BA4" i="18" l="1"/>
  <c r="BA5" i="18"/>
  <c r="BA6" i="18"/>
  <c r="BA7" i="18"/>
  <c r="BA8" i="18"/>
  <c r="BA9" i="18"/>
  <c r="BA10" i="18"/>
  <c r="BA11" i="18"/>
  <c r="BA12" i="18"/>
  <c r="BA13" i="18"/>
  <c r="BA14" i="18"/>
  <c r="BA3" i="18"/>
  <c r="AZ15" i="18"/>
  <c r="AY15" i="18"/>
  <c r="AX15" i="18"/>
  <c r="BA15" i="18" l="1"/>
  <c r="F16" i="16"/>
  <c r="BA17" i="18"/>
  <c r="BA18" i="18" s="1"/>
  <c r="E15" i="24"/>
  <c r="E14" i="24"/>
  <c r="E13" i="24"/>
  <c r="G211" i="2" l="1"/>
  <c r="G142" i="2"/>
  <c r="G154" i="2"/>
  <c r="G166" i="2"/>
  <c r="B35" i="28"/>
  <c r="C35" i="28" s="1"/>
  <c r="G124" i="2"/>
  <c r="B39" i="28"/>
  <c r="C39" i="28" s="1"/>
  <c r="E61" i="28" s="1"/>
  <c r="B40" i="28"/>
  <c r="C40" i="28" s="1"/>
  <c r="G107" i="2"/>
  <c r="G79" i="2"/>
  <c r="G91" i="2"/>
  <c r="B38" i="28"/>
  <c r="B26" i="28"/>
  <c r="C26" i="28" s="1"/>
  <c r="B7" i="28"/>
  <c r="B5" i="28"/>
  <c r="G199" i="2" l="1"/>
  <c r="G89" i="2"/>
  <c r="G77" i="2"/>
  <c r="G105" i="2"/>
  <c r="G134" i="2"/>
  <c r="G122" i="2"/>
  <c r="G164" i="2"/>
  <c r="G152" i="2"/>
  <c r="G221" i="2"/>
  <c r="G209" i="2"/>
  <c r="G197" i="2"/>
  <c r="G185" i="2"/>
  <c r="G233" i="2"/>
  <c r="G242" i="2"/>
  <c r="G136" i="2"/>
  <c r="G187" i="2"/>
  <c r="G45" i="2"/>
  <c r="G88" i="2"/>
  <c r="F97" i="2"/>
  <c r="G104" i="2"/>
  <c r="G133" i="2"/>
  <c r="G121" i="2"/>
  <c r="G163" i="2"/>
  <c r="G151" i="2"/>
  <c r="G220" i="2"/>
  <c r="G208" i="2"/>
  <c r="G196" i="2"/>
  <c r="G184" i="2"/>
  <c r="G241" i="2"/>
  <c r="G230" i="2"/>
  <c r="B31" i="28"/>
  <c r="G24" i="2"/>
  <c r="G12" i="2"/>
  <c r="G58" i="2"/>
  <c r="G229" i="2"/>
  <c r="G43" i="2"/>
  <c r="B27" i="28"/>
  <c r="B29" i="28"/>
  <c r="G35" i="2"/>
  <c r="G23" i="2"/>
  <c r="G11" i="2"/>
  <c r="G57" i="2"/>
  <c r="B17" i="28"/>
  <c r="G228" i="2"/>
  <c r="B25" i="28"/>
  <c r="B37" i="28"/>
  <c r="B34" i="28"/>
  <c r="B33" i="28"/>
  <c r="B36" i="28"/>
  <c r="C36" i="28" s="1"/>
  <c r="B28" i="28"/>
  <c r="B30" i="28"/>
  <c r="B32" i="28"/>
  <c r="H44" i="2"/>
  <c r="G32" i="2"/>
  <c r="G20" i="2"/>
  <c r="G8" i="2"/>
  <c r="G54" i="2"/>
  <c r="B8" i="28"/>
  <c r="B3" i="28"/>
  <c r="F5" i="2"/>
  <c r="B12" i="28"/>
  <c r="G30" i="2"/>
  <c r="G18" i="2"/>
  <c r="G6" i="2"/>
  <c r="G92" i="2"/>
  <c r="G80" i="2"/>
  <c r="G108" i="2"/>
  <c r="G137" i="2"/>
  <c r="G125" i="2"/>
  <c r="G167" i="2"/>
  <c r="G155" i="2"/>
  <c r="G244" i="2"/>
  <c r="G44" i="2"/>
  <c r="G87" i="2"/>
  <c r="G115" i="2"/>
  <c r="G103" i="2"/>
  <c r="G132" i="2"/>
  <c r="G120" i="2"/>
  <c r="G162" i="2"/>
  <c r="G150" i="2"/>
  <c r="G219" i="2"/>
  <c r="G207" i="2"/>
  <c r="G195" i="2"/>
  <c r="G183" i="2"/>
  <c r="G240" i="2"/>
  <c r="F15" i="2"/>
  <c r="F49" i="2"/>
  <c r="G31" i="2"/>
  <c r="G19" i="2"/>
  <c r="G7" i="2"/>
  <c r="G53" i="2"/>
  <c r="G143" i="2"/>
  <c r="G212" i="2"/>
  <c r="G200" i="2"/>
  <c r="G188" i="2"/>
  <c r="F225" i="2"/>
  <c r="G177" i="2"/>
  <c r="F13" i="2"/>
  <c r="G52" i="2"/>
  <c r="G234" i="2"/>
  <c r="F25" i="2"/>
  <c r="F47" i="2"/>
  <c r="F59" i="2"/>
  <c r="G86" i="2"/>
  <c r="G114" i="2"/>
  <c r="G102" i="2"/>
  <c r="G131" i="2"/>
  <c r="F141" i="2"/>
  <c r="G161" i="2"/>
  <c r="G149" i="2"/>
  <c r="G218" i="2"/>
  <c r="G206" i="2"/>
  <c r="G194" i="2"/>
  <c r="G182" i="2"/>
  <c r="G239" i="2"/>
  <c r="G227" i="2"/>
  <c r="G90" i="2"/>
  <c r="G78" i="2"/>
  <c r="G106" i="2"/>
  <c r="G135" i="2"/>
  <c r="G123" i="2"/>
  <c r="G165" i="2"/>
  <c r="G153" i="2"/>
  <c r="F176" i="2"/>
  <c r="G210" i="2"/>
  <c r="G198" i="2"/>
  <c r="G186" i="2"/>
  <c r="G243" i="2"/>
  <c r="G231" i="2"/>
  <c r="G41" i="2"/>
  <c r="G84" i="2"/>
  <c r="G112" i="2"/>
  <c r="G100" i="2"/>
  <c r="G129" i="2"/>
  <c r="G171" i="2"/>
  <c r="G159" i="2"/>
  <c r="G147" i="2"/>
  <c r="G216" i="2"/>
  <c r="G204" i="2"/>
  <c r="G192" i="2"/>
  <c r="G180" i="2"/>
  <c r="G237" i="2"/>
  <c r="F40" i="2"/>
  <c r="F83" i="2"/>
  <c r="F111" i="2"/>
  <c r="F99" i="2"/>
  <c r="F128" i="2"/>
  <c r="F170" i="2"/>
  <c r="F158" i="2"/>
  <c r="F146" i="2"/>
  <c r="F215" i="2"/>
  <c r="F203" i="2"/>
  <c r="F191" i="2"/>
  <c r="F179" i="2"/>
  <c r="G28" i="2"/>
  <c r="G16" i="2"/>
  <c r="G62" i="2"/>
  <c r="G50" i="2"/>
  <c r="G232" i="2"/>
  <c r="G34" i="2"/>
  <c r="G22" i="2"/>
  <c r="G10" i="2"/>
  <c r="G56" i="2"/>
  <c r="G33" i="2"/>
  <c r="G21" i="2"/>
  <c r="G9" i="2"/>
  <c r="G55" i="2"/>
  <c r="G42" i="2"/>
  <c r="G85" i="2"/>
  <c r="G113" i="2"/>
  <c r="G101" i="2"/>
  <c r="G130" i="2"/>
  <c r="G172" i="2"/>
  <c r="G160" i="2"/>
  <c r="G148" i="2"/>
  <c r="G217" i="2"/>
  <c r="G205" i="2"/>
  <c r="G193" i="2"/>
  <c r="G181" i="2"/>
  <c r="G238" i="2"/>
  <c r="G226" i="2"/>
  <c r="F236" i="2"/>
  <c r="F76" i="2"/>
  <c r="G82" i="2"/>
  <c r="G110" i="2"/>
  <c r="G98" i="2"/>
  <c r="G127" i="2"/>
  <c r="G169" i="2"/>
  <c r="G157" i="2"/>
  <c r="G145" i="2"/>
  <c r="G214" i="2"/>
  <c r="G202" i="2"/>
  <c r="G190" i="2"/>
  <c r="G178" i="2"/>
  <c r="G235" i="2"/>
  <c r="F17" i="2"/>
  <c r="F81" i="2"/>
  <c r="G119" i="2"/>
  <c r="F126" i="2"/>
  <c r="F168" i="2"/>
  <c r="F156" i="2"/>
  <c r="F144" i="2"/>
  <c r="F213" i="2"/>
  <c r="F201" i="2"/>
  <c r="F189" i="2"/>
  <c r="F177" i="2"/>
  <c r="F234" i="2"/>
  <c r="F29" i="2"/>
  <c r="F109" i="2"/>
  <c r="G26" i="2"/>
  <c r="G14" i="2"/>
  <c r="G60" i="2"/>
  <c r="G48" i="2"/>
  <c r="F51" i="2"/>
  <c r="F93" i="2"/>
  <c r="G39" i="2"/>
  <c r="F89" i="2"/>
  <c r="F221" i="2"/>
  <c r="F242" i="2"/>
  <c r="F163" i="2"/>
  <c r="F208" i="2"/>
  <c r="F241" i="2"/>
  <c r="F35" i="2"/>
  <c r="F162" i="2"/>
  <c r="F195" i="2"/>
  <c r="F10" i="2"/>
  <c r="G141" i="2"/>
  <c r="F206" i="2"/>
  <c r="F239" i="2"/>
  <c r="F130" i="2"/>
  <c r="F205" i="2"/>
  <c r="F238" i="2"/>
  <c r="F32" i="2"/>
  <c r="F41" i="2"/>
  <c r="F84" i="2"/>
  <c r="F112" i="2"/>
  <c r="F100" i="2"/>
  <c r="F129" i="2"/>
  <c r="F171" i="2"/>
  <c r="F159" i="2"/>
  <c r="F147" i="2"/>
  <c r="F216" i="2"/>
  <c r="F204" i="2"/>
  <c r="F192" i="2"/>
  <c r="F180" i="2"/>
  <c r="F237" i="2"/>
  <c r="F31" i="2"/>
  <c r="F19" i="2"/>
  <c r="F7" i="2"/>
  <c r="F53" i="2"/>
  <c r="G40" i="2"/>
  <c r="G83" i="2"/>
  <c r="G111" i="2"/>
  <c r="G99" i="2"/>
  <c r="G128" i="2"/>
  <c r="G170" i="2"/>
  <c r="G158" i="2"/>
  <c r="G146" i="2"/>
  <c r="G215" i="2"/>
  <c r="G203" i="2"/>
  <c r="G191" i="2"/>
  <c r="G179" i="2"/>
  <c r="G236" i="2"/>
  <c r="F88" i="2"/>
  <c r="F115" i="2"/>
  <c r="F21" i="2"/>
  <c r="F85" i="2"/>
  <c r="F30" i="2"/>
  <c r="F18" i="2"/>
  <c r="F6" i="2"/>
  <c r="F52" i="2"/>
  <c r="F77" i="2"/>
  <c r="F104" i="2"/>
  <c r="F132" i="2"/>
  <c r="F149" i="2"/>
  <c r="F148" i="2"/>
  <c r="G29" i="2"/>
  <c r="G17" i="2"/>
  <c r="F39" i="2"/>
  <c r="G51" i="2"/>
  <c r="G76" i="2"/>
  <c r="F82" i="2"/>
  <c r="F110" i="2"/>
  <c r="F98" i="2"/>
  <c r="F127" i="2"/>
  <c r="F169" i="2"/>
  <c r="F157" i="2"/>
  <c r="F145" i="2"/>
  <c r="F214" i="2"/>
  <c r="F202" i="2"/>
  <c r="F190" i="2"/>
  <c r="F178" i="2"/>
  <c r="F235" i="2"/>
  <c r="F105" i="2"/>
  <c r="F12" i="2"/>
  <c r="F103" i="2"/>
  <c r="F9" i="2"/>
  <c r="G93" i="2"/>
  <c r="G81" i="2"/>
  <c r="G109" i="2"/>
  <c r="F119" i="2"/>
  <c r="G126" i="2"/>
  <c r="G168" i="2"/>
  <c r="G156" i="2"/>
  <c r="G144" i="2"/>
  <c r="G213" i="2"/>
  <c r="G201" i="2"/>
  <c r="G189" i="2"/>
  <c r="F24" i="2"/>
  <c r="F23" i="2"/>
  <c r="F161" i="2"/>
  <c r="F172" i="2"/>
  <c r="B27" i="27"/>
  <c r="E27" i="27" s="1"/>
  <c r="D27" i="27" s="1"/>
  <c r="F8" i="2"/>
  <c r="F134" i="2"/>
  <c r="F133" i="2"/>
  <c r="F150" i="2"/>
  <c r="F131" i="2"/>
  <c r="F42" i="2"/>
  <c r="F16" i="2"/>
  <c r="F50" i="2"/>
  <c r="F152" i="2"/>
  <c r="F86" i="2"/>
  <c r="F33" i="2"/>
  <c r="F20" i="2"/>
  <c r="G27" i="2"/>
  <c r="G15" i="2"/>
  <c r="G61" i="2"/>
  <c r="G49" i="2"/>
  <c r="F92" i="2"/>
  <c r="F80" i="2"/>
  <c r="F108" i="2"/>
  <c r="F137" i="2"/>
  <c r="F125" i="2"/>
  <c r="F167" i="2"/>
  <c r="F155" i="2"/>
  <c r="F143" i="2"/>
  <c r="F212" i="2"/>
  <c r="F200" i="2"/>
  <c r="F188" i="2"/>
  <c r="G225" i="2"/>
  <c r="F233" i="2"/>
  <c r="G46" i="2"/>
  <c r="F46" i="2"/>
  <c r="G97" i="2"/>
  <c r="F57" i="2"/>
  <c r="F183" i="2"/>
  <c r="F114" i="2"/>
  <c r="F113" i="2"/>
  <c r="F44" i="2"/>
  <c r="F22" i="2"/>
  <c r="F194" i="2"/>
  <c r="F28" i="2"/>
  <c r="F91" i="2"/>
  <c r="F107" i="2"/>
  <c r="F124" i="2"/>
  <c r="F166" i="2"/>
  <c r="F154" i="2"/>
  <c r="F142" i="2"/>
  <c r="F211" i="2"/>
  <c r="F199" i="2"/>
  <c r="F187" i="2"/>
  <c r="F244" i="2"/>
  <c r="F232" i="2"/>
  <c r="F122" i="2"/>
  <c r="F209" i="2"/>
  <c r="F197" i="2"/>
  <c r="F230" i="2"/>
  <c r="F58" i="2"/>
  <c r="F45" i="2"/>
  <c r="F121" i="2"/>
  <c r="F220" i="2"/>
  <c r="F196" i="2"/>
  <c r="F229" i="2"/>
  <c r="F11" i="2"/>
  <c r="F87" i="2"/>
  <c r="F219" i="2"/>
  <c r="F240" i="2"/>
  <c r="F56" i="2"/>
  <c r="F102" i="2"/>
  <c r="F160" i="2"/>
  <c r="F181" i="2"/>
  <c r="F54" i="2"/>
  <c r="F62" i="2"/>
  <c r="B32" i="27"/>
  <c r="E32" i="27" s="1"/>
  <c r="D32" i="27" s="1"/>
  <c r="F61" i="2"/>
  <c r="F79" i="2"/>
  <c r="F26" i="2"/>
  <c r="F14" i="2"/>
  <c r="F60" i="2"/>
  <c r="F48" i="2"/>
  <c r="F164" i="2"/>
  <c r="F185" i="2"/>
  <c r="G5" i="2"/>
  <c r="F151" i="2"/>
  <c r="F184" i="2"/>
  <c r="F120" i="2"/>
  <c r="F207" i="2"/>
  <c r="F228" i="2"/>
  <c r="F34" i="2"/>
  <c r="B31" i="27"/>
  <c r="E31" i="27" s="1"/>
  <c r="D31" i="27" s="1"/>
  <c r="F43" i="2"/>
  <c r="F218" i="2"/>
  <c r="F182" i="2"/>
  <c r="F227" i="2"/>
  <c r="F55" i="2"/>
  <c r="F101" i="2"/>
  <c r="F217" i="2"/>
  <c r="F193" i="2"/>
  <c r="F226" i="2"/>
  <c r="B26" i="27"/>
  <c r="E26" i="27" s="1"/>
  <c r="F27" i="2"/>
  <c r="F136" i="2"/>
  <c r="G25" i="2"/>
  <c r="G13" i="2"/>
  <c r="G59" i="2"/>
  <c r="G47" i="2"/>
  <c r="F90" i="2"/>
  <c r="F78" i="2"/>
  <c r="F106" i="2"/>
  <c r="F135" i="2"/>
  <c r="F123" i="2"/>
  <c r="F165" i="2"/>
  <c r="F153" i="2"/>
  <c r="G176" i="2"/>
  <c r="F210" i="2"/>
  <c r="F198" i="2"/>
  <c r="F186" i="2"/>
  <c r="F243" i="2"/>
  <c r="F231" i="2"/>
  <c r="D73" i="2"/>
  <c r="E73" i="2"/>
  <c r="E18" i="26"/>
  <c r="D18" i="26"/>
  <c r="B15" i="18"/>
  <c r="BA20" i="18" s="1"/>
  <c r="E15" i="16"/>
  <c r="C25" i="28" l="1"/>
  <c r="B41" i="28"/>
  <c r="C14" i="28"/>
  <c r="C13" i="28"/>
  <c r="E28" i="27"/>
  <c r="E33" i="27"/>
  <c r="E44" i="16"/>
  <c r="C59" i="16" s="1"/>
  <c r="D26" i="27"/>
  <c r="A161" i="21"/>
  <c r="E14" i="16"/>
  <c r="E13" i="16"/>
  <c r="E34" i="27" l="1"/>
  <c r="E43" i="16"/>
  <c r="E42" i="16"/>
  <c r="C56" i="16"/>
  <c r="D5" i="16" s="1"/>
  <c r="C57" i="16"/>
  <c r="D6" i="16" s="1"/>
  <c r="C58" i="16"/>
  <c r="D7" i="16" s="1"/>
  <c r="C55" i="16"/>
  <c r="D4" i="16" s="1"/>
  <c r="B14" i="19"/>
  <c r="B44" i="20"/>
  <c r="D8" i="16" l="1"/>
  <c r="I8" i="16" s="1"/>
  <c r="I7" i="16"/>
  <c r="C16" i="16"/>
  <c r="N4" i="24"/>
  <c r="N5" i="24"/>
  <c r="C8" i="26" l="1"/>
  <c r="C5" i="26"/>
  <c r="A226" i="21" l="1"/>
  <c r="A227" i="21"/>
  <c r="A228" i="21"/>
  <c r="A229" i="21"/>
  <c r="A230" i="21"/>
  <c r="A225" i="21"/>
  <c r="A177" i="21"/>
  <c r="A178" i="21"/>
  <c r="A179" i="21"/>
  <c r="A180" i="21"/>
  <c r="A181" i="21"/>
  <c r="A182" i="21"/>
  <c r="A183" i="21"/>
  <c r="A184" i="21"/>
  <c r="A185" i="21"/>
  <c r="A186" i="21"/>
  <c r="A187" i="21"/>
  <c r="A188" i="21"/>
  <c r="A189" i="21"/>
  <c r="A190" i="21"/>
  <c r="A191" i="21"/>
  <c r="A192" i="21"/>
  <c r="A176" i="21"/>
  <c r="A142" i="21"/>
  <c r="A143" i="21"/>
  <c r="A144" i="21"/>
  <c r="A145" i="21"/>
  <c r="A146" i="21"/>
  <c r="A147" i="21"/>
  <c r="A148" i="21"/>
  <c r="A149" i="21"/>
  <c r="A150" i="21"/>
  <c r="A151" i="21"/>
  <c r="A152" i="21"/>
  <c r="A153" i="21"/>
  <c r="A154" i="21"/>
  <c r="A155" i="21"/>
  <c r="A156" i="21"/>
  <c r="A157" i="21"/>
  <c r="A158" i="21"/>
  <c r="A159" i="21"/>
  <c r="A160" i="21"/>
  <c r="A141" i="21"/>
  <c r="A120" i="21"/>
  <c r="A121" i="21"/>
  <c r="A122" i="21"/>
  <c r="A123" i="21"/>
  <c r="A124" i="21"/>
  <c r="A125" i="21"/>
  <c r="A126" i="21"/>
  <c r="A127" i="21"/>
  <c r="A128" i="21"/>
  <c r="A129" i="21"/>
  <c r="A130" i="21"/>
  <c r="A131" i="21"/>
  <c r="A119" i="21"/>
  <c r="A98" i="21"/>
  <c r="A99" i="21"/>
  <c r="A100" i="21"/>
  <c r="A101" i="21"/>
  <c r="A102" i="21"/>
  <c r="A103" i="21"/>
  <c r="A104" i="21"/>
  <c r="A105" i="21"/>
  <c r="A106" i="21"/>
  <c r="A107" i="21"/>
  <c r="A108" i="21"/>
  <c r="A109" i="21"/>
  <c r="A97" i="21"/>
  <c r="A77" i="21"/>
  <c r="A78" i="21"/>
  <c r="A79" i="21"/>
  <c r="A80" i="21"/>
  <c r="A81" i="21"/>
  <c r="A82" i="21"/>
  <c r="A83" i="21"/>
  <c r="A84" i="21"/>
  <c r="A85" i="21"/>
  <c r="A86" i="21"/>
  <c r="A87" i="21"/>
  <c r="A76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39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5" i="21"/>
  <c r="N6" i="24"/>
  <c r="C226" i="11" l="1"/>
  <c r="C227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25" i="11"/>
  <c r="B242" i="11"/>
  <c r="B243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176" i="11"/>
  <c r="B216" i="11"/>
  <c r="B217" i="11"/>
  <c r="B218" i="11"/>
  <c r="B219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41" i="11"/>
  <c r="B162" i="21"/>
  <c r="B163" i="21"/>
  <c r="B164" i="21"/>
  <c r="B165" i="21"/>
  <c r="B166" i="2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19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97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76" i="11"/>
  <c r="C40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39" i="11"/>
  <c r="C6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5" i="11"/>
  <c r="C6" i="26"/>
  <c r="C7" i="26"/>
  <c r="C9" i="26"/>
  <c r="C10" i="26"/>
  <c r="C11" i="26"/>
  <c r="C12" i="26"/>
  <c r="C13" i="26"/>
  <c r="C14" i="26"/>
  <c r="C15" i="26"/>
  <c r="C16" i="26"/>
  <c r="C17" i="26"/>
  <c r="I34" i="26"/>
  <c r="E7" i="28" s="1"/>
  <c r="C7" i="28" s="1"/>
  <c r="J35" i="26"/>
  <c r="I36" i="26"/>
  <c r="J36" i="26"/>
  <c r="I37" i="26"/>
  <c r="J37" i="26"/>
  <c r="I38" i="26"/>
  <c r="J38" i="26"/>
  <c r="G39" i="26"/>
  <c r="I40" i="26"/>
  <c r="J40" i="26"/>
  <c r="J33" i="26"/>
  <c r="C34" i="26"/>
  <c r="C35" i="26"/>
  <c r="C36" i="26"/>
  <c r="C37" i="26"/>
  <c r="C38" i="26"/>
  <c r="C39" i="26"/>
  <c r="C40" i="26"/>
  <c r="C33" i="26"/>
  <c r="J22" i="26"/>
  <c r="J23" i="26"/>
  <c r="J25" i="26"/>
  <c r="J26" i="26"/>
  <c r="J27" i="26"/>
  <c r="J28" i="26"/>
  <c r="J29" i="26"/>
  <c r="I22" i="26"/>
  <c r="I24" i="26"/>
  <c r="H25" i="26"/>
  <c r="I26" i="26"/>
  <c r="I27" i="26"/>
  <c r="I28" i="26"/>
  <c r="I29" i="26"/>
  <c r="I21" i="26"/>
  <c r="C22" i="26"/>
  <c r="C23" i="26"/>
  <c r="C24" i="26"/>
  <c r="C25" i="26"/>
  <c r="C26" i="26"/>
  <c r="C27" i="26"/>
  <c r="C28" i="26"/>
  <c r="C29" i="26"/>
  <c r="C21" i="26"/>
  <c r="J6" i="26"/>
  <c r="J7" i="26"/>
  <c r="J8" i="26"/>
  <c r="J9" i="26"/>
  <c r="J10" i="26"/>
  <c r="J11" i="26"/>
  <c r="J12" i="26"/>
  <c r="J13" i="26"/>
  <c r="H14" i="26"/>
  <c r="J15" i="26"/>
  <c r="J16" i="26"/>
  <c r="J5" i="26"/>
  <c r="I7" i="26"/>
  <c r="I9" i="26"/>
  <c r="I10" i="26"/>
  <c r="I11" i="26"/>
  <c r="I13" i="26"/>
  <c r="I15" i="26"/>
  <c r="I16" i="26"/>
  <c r="I17" i="26"/>
  <c r="I14" i="26"/>
  <c r="E30" i="26" l="1"/>
  <c r="C42" i="11"/>
  <c r="C41" i="11"/>
  <c r="C229" i="11"/>
  <c r="C228" i="11"/>
  <c r="C7" i="11"/>
  <c r="I8" i="26"/>
  <c r="C173" i="11"/>
  <c r="I5" i="26"/>
  <c r="G34" i="26"/>
  <c r="F15" i="26"/>
  <c r="J14" i="26"/>
  <c r="H24" i="26"/>
  <c r="H34" i="26"/>
  <c r="G40" i="26"/>
  <c r="G29" i="26"/>
  <c r="F7" i="26"/>
  <c r="H11" i="26"/>
  <c r="G7" i="26"/>
  <c r="J34" i="26"/>
  <c r="D41" i="26"/>
  <c r="H7" i="26"/>
  <c r="G25" i="26"/>
  <c r="H40" i="26"/>
  <c r="J21" i="26"/>
  <c r="F25" i="26"/>
  <c r="I25" i="26"/>
  <c r="F34" i="26"/>
  <c r="H17" i="26"/>
  <c r="H12" i="26"/>
  <c r="H36" i="26"/>
  <c r="G8" i="26"/>
  <c r="H8" i="26"/>
  <c r="F37" i="26"/>
  <c r="F40" i="26"/>
  <c r="F39" i="26"/>
  <c r="H10" i="26"/>
  <c r="H9" i="26"/>
  <c r="F35" i="26"/>
  <c r="G35" i="26"/>
  <c r="H35" i="26"/>
  <c r="G24" i="26"/>
  <c r="I35" i="26"/>
  <c r="E8" i="28" s="1"/>
  <c r="C8" i="28" s="1"/>
  <c r="H15" i="26"/>
  <c r="F24" i="26"/>
  <c r="H37" i="26"/>
  <c r="F12" i="26"/>
  <c r="H39" i="26"/>
  <c r="G12" i="26"/>
  <c r="I12" i="26"/>
  <c r="I39" i="26"/>
  <c r="G37" i="26"/>
  <c r="F29" i="26"/>
  <c r="J39" i="26"/>
  <c r="J24" i="26"/>
  <c r="H29" i="26"/>
  <c r="H13" i="26"/>
  <c r="F8" i="26"/>
  <c r="J17" i="26"/>
  <c r="H38" i="26"/>
  <c r="E41" i="26"/>
  <c r="E43" i="26" s="1"/>
  <c r="F33" i="26"/>
  <c r="H33" i="26"/>
  <c r="I33" i="26"/>
  <c r="E5" i="28" s="1"/>
  <c r="G33" i="26"/>
  <c r="H26" i="26"/>
  <c r="H27" i="26"/>
  <c r="H23" i="26"/>
  <c r="H22" i="26"/>
  <c r="F21" i="26"/>
  <c r="I23" i="26"/>
  <c r="F22" i="26"/>
  <c r="H28" i="26"/>
  <c r="G22" i="26"/>
  <c r="D30" i="26"/>
  <c r="B6" i="28" s="1"/>
  <c r="G21" i="26"/>
  <c r="H21" i="26"/>
  <c r="F6" i="26"/>
  <c r="H5" i="26"/>
  <c r="G6" i="26"/>
  <c r="I6" i="26"/>
  <c r="G15" i="26"/>
  <c r="H6" i="26"/>
  <c r="H16" i="26"/>
  <c r="F17" i="26"/>
  <c r="G17" i="26"/>
  <c r="C73" i="11" l="1"/>
  <c r="E3" i="28"/>
  <c r="E63" i="28" s="1"/>
  <c r="E59" i="28"/>
  <c r="C5" i="28"/>
  <c r="B9" i="28"/>
  <c r="F4" i="16"/>
  <c r="F5" i="16"/>
  <c r="F6" i="16"/>
  <c r="F7" i="16"/>
  <c r="G7" i="16" s="1"/>
  <c r="K7" i="16" s="1"/>
  <c r="D43" i="26"/>
  <c r="C244" i="11"/>
  <c r="J41" i="26"/>
  <c r="J18" i="26"/>
  <c r="J30" i="26"/>
  <c r="I18" i="26"/>
  <c r="E43" i="24" s="1"/>
  <c r="I30" i="26"/>
  <c r="E6" i="28" s="1"/>
  <c r="I41" i="26"/>
  <c r="H41" i="26"/>
  <c r="H30" i="26"/>
  <c r="H18" i="26"/>
  <c r="E41" i="24" l="1"/>
  <c r="E42" i="24"/>
  <c r="C58" i="24"/>
  <c r="C3" i="28"/>
  <c r="C6" i="28"/>
  <c r="E60" i="28"/>
  <c r="E9" i="28"/>
  <c r="F8" i="16"/>
  <c r="G4" i="16"/>
  <c r="F7" i="24"/>
  <c r="J43" i="26"/>
  <c r="H43" i="26"/>
  <c r="I43" i="26"/>
  <c r="B44" i="18"/>
  <c r="C54" i="24" l="1"/>
  <c r="C57" i="24"/>
  <c r="D7" i="24" s="1"/>
  <c r="C56" i="24"/>
  <c r="D6" i="24" s="1"/>
  <c r="C55" i="24"/>
  <c r="D5" i="24" s="1"/>
  <c r="C9" i="28"/>
  <c r="D4" i="24"/>
  <c r="B14" i="25"/>
  <c r="I7" i="24" l="1"/>
  <c r="C16" i="24"/>
  <c r="D8" i="24"/>
  <c r="I8" i="24" s="1"/>
  <c r="G7" i="24"/>
  <c r="B242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3" i="21"/>
  <c r="B225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176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7" i="21"/>
  <c r="B168" i="21"/>
  <c r="B169" i="21"/>
  <c r="B170" i="21"/>
  <c r="B171" i="21"/>
  <c r="B172" i="21"/>
  <c r="B141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19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97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76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39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5" i="21"/>
  <c r="K7" i="24" l="1"/>
  <c r="L17" i="22"/>
  <c r="AV15" i="20"/>
  <c r="AU15" i="20"/>
  <c r="AS15" i="20"/>
  <c r="AR15" i="20"/>
  <c r="AQ15" i="20"/>
  <c r="AN15" i="20"/>
  <c r="AM15" i="20"/>
  <c r="AL15" i="20"/>
  <c r="AK15" i="20"/>
  <c r="AI15" i="20"/>
  <c r="AH15" i="20"/>
  <c r="AG15" i="20"/>
  <c r="AF15" i="20"/>
  <c r="AE15" i="20"/>
  <c r="AC15" i="20"/>
  <c r="AB15" i="20"/>
  <c r="AA15" i="20"/>
  <c r="Z15" i="20"/>
  <c r="Y15" i="20"/>
  <c r="X15" i="20"/>
  <c r="V15" i="20"/>
  <c r="U15" i="20"/>
  <c r="T15" i="20"/>
  <c r="S15" i="20"/>
  <c r="R15" i="20"/>
  <c r="Q15" i="20"/>
  <c r="O15" i="20"/>
  <c r="N15" i="20"/>
  <c r="M15" i="20"/>
  <c r="L15" i="20"/>
  <c r="I15" i="20"/>
  <c r="H23" i="20" s="1"/>
  <c r="H15" i="20"/>
  <c r="G15" i="20"/>
  <c r="F15" i="20"/>
  <c r="E15" i="20"/>
  <c r="D15" i="20"/>
  <c r="C15" i="20"/>
  <c r="B15" i="20"/>
  <c r="BB20" i="20" s="1"/>
  <c r="AW14" i="20"/>
  <c r="AT14" i="20"/>
  <c r="AO14" i="20"/>
  <c r="AJ14" i="20"/>
  <c r="AD14" i="20"/>
  <c r="W14" i="20"/>
  <c r="P14" i="20"/>
  <c r="AW13" i="20"/>
  <c r="AT13" i="20"/>
  <c r="AO13" i="20"/>
  <c r="AJ13" i="20"/>
  <c r="AD13" i="20"/>
  <c r="W13" i="20"/>
  <c r="P13" i="20"/>
  <c r="AW12" i="20"/>
  <c r="AT12" i="20"/>
  <c r="AO12" i="20"/>
  <c r="AJ12" i="20"/>
  <c r="AD12" i="20"/>
  <c r="W12" i="20"/>
  <c r="P12" i="20"/>
  <c r="AP12" i="20" s="1"/>
  <c r="AW11" i="20"/>
  <c r="AT11" i="20"/>
  <c r="AO11" i="20"/>
  <c r="AJ11" i="20"/>
  <c r="AD11" i="20"/>
  <c r="W11" i="20"/>
  <c r="P11" i="20"/>
  <c r="AW10" i="20"/>
  <c r="AT10" i="20"/>
  <c r="AO10" i="20"/>
  <c r="AJ10" i="20"/>
  <c r="AD10" i="20"/>
  <c r="W10" i="20"/>
  <c r="P10" i="20"/>
  <c r="AW9" i="20"/>
  <c r="AT9" i="20"/>
  <c r="AO9" i="20"/>
  <c r="AJ9" i="20"/>
  <c r="AD9" i="20"/>
  <c r="W9" i="20"/>
  <c r="P9" i="20"/>
  <c r="AP9" i="20" s="1"/>
  <c r="AW8" i="20"/>
  <c r="AT8" i="20"/>
  <c r="AO8" i="20"/>
  <c r="AJ8" i="20"/>
  <c r="AD8" i="20"/>
  <c r="W8" i="20"/>
  <c r="P8" i="20"/>
  <c r="AW7" i="20"/>
  <c r="AT7" i="20"/>
  <c r="AO7" i="20"/>
  <c r="AJ7" i="20"/>
  <c r="AD7" i="20"/>
  <c r="W7" i="20"/>
  <c r="P7" i="20"/>
  <c r="AW6" i="20"/>
  <c r="AT6" i="20"/>
  <c r="AO6" i="20"/>
  <c r="AJ6" i="20"/>
  <c r="AD6" i="20"/>
  <c r="W6" i="20"/>
  <c r="P6" i="20"/>
  <c r="AP6" i="20" s="1"/>
  <c r="AW5" i="20"/>
  <c r="AT5" i="20"/>
  <c r="AO5" i="20"/>
  <c r="AJ5" i="20"/>
  <c r="AD5" i="20"/>
  <c r="W5" i="20"/>
  <c r="P5" i="20"/>
  <c r="AW4" i="20"/>
  <c r="AT4" i="20"/>
  <c r="AO4" i="20"/>
  <c r="AJ4" i="20"/>
  <c r="AD4" i="20"/>
  <c r="W4" i="20"/>
  <c r="P4" i="20"/>
  <c r="AP4" i="20" s="1"/>
  <c r="AW3" i="20"/>
  <c r="AT3" i="20"/>
  <c r="AO3" i="20"/>
  <c r="AJ3" i="20"/>
  <c r="AD3" i="20"/>
  <c r="W3" i="20"/>
  <c r="P3" i="20"/>
  <c r="N6" i="16"/>
  <c r="N5" i="16"/>
  <c r="N4" i="16"/>
  <c r="K17" i="20" l="1"/>
  <c r="K18" i="20" s="1"/>
  <c r="AX12" i="20"/>
  <c r="BC12" i="20" s="1"/>
  <c r="AJ17" i="20"/>
  <c r="AP3" i="20"/>
  <c r="BC3" i="20" s="1"/>
  <c r="P17" i="20"/>
  <c r="P18" i="20" s="1"/>
  <c r="AW17" i="20"/>
  <c r="AD17" i="20"/>
  <c r="AD18" i="20" s="1"/>
  <c r="AT17" i="20"/>
  <c r="AT18" i="20" s="1"/>
  <c r="AX7" i="20"/>
  <c r="W17" i="20"/>
  <c r="W18" i="20" s="1"/>
  <c r="AO17" i="20"/>
  <c r="AP13" i="20"/>
  <c r="AX11" i="20"/>
  <c r="AJ15" i="20"/>
  <c r="AJ20" i="20" s="1"/>
  <c r="AX6" i="20"/>
  <c r="BC6" i="20" s="1"/>
  <c r="AX13" i="20"/>
  <c r="AP5" i="20"/>
  <c r="BC5" i="20" s="1"/>
  <c r="AD15" i="20"/>
  <c r="AD20" i="20" s="1"/>
  <c r="F23" i="20"/>
  <c r="AP14" i="20"/>
  <c r="AX9" i="20"/>
  <c r="BC9" i="20" s="1"/>
  <c r="AX4" i="20"/>
  <c r="BC4" i="20" s="1"/>
  <c r="AX3" i="20"/>
  <c r="AX10" i="20"/>
  <c r="W15" i="20"/>
  <c r="W20" i="20" s="1"/>
  <c r="AW15" i="20"/>
  <c r="AW20" i="20" s="1"/>
  <c r="AP10" i="20"/>
  <c r="BC10" i="20" s="1"/>
  <c r="AP7" i="20"/>
  <c r="AP8" i="20"/>
  <c r="AP11" i="20"/>
  <c r="AX5" i="20"/>
  <c r="G23" i="20"/>
  <c r="AX8" i="20"/>
  <c r="K15" i="20"/>
  <c r="AX14" i="20"/>
  <c r="P15" i="20"/>
  <c r="P20" i="20" s="1"/>
  <c r="AT15" i="20"/>
  <c r="AT20" i="20" s="1"/>
  <c r="AO15" i="20"/>
  <c r="BC7" i="20" l="1"/>
  <c r="BC13" i="20"/>
  <c r="BC11" i="20"/>
  <c r="BC14" i="20"/>
  <c r="AO20" i="20"/>
  <c r="BC8" i="20"/>
  <c r="AO18" i="20"/>
  <c r="AP17" i="20"/>
  <c r="C13" i="24"/>
  <c r="K20" i="20"/>
  <c r="AX17" i="20"/>
  <c r="BC17" i="20" s="1"/>
  <c r="AW18" i="20"/>
  <c r="AJ18" i="20"/>
  <c r="AX15" i="20"/>
  <c r="I23" i="20"/>
  <c r="E25" i="20" s="1"/>
  <c r="C4" i="22"/>
  <c r="D4" i="22" s="1"/>
  <c r="AP15" i="20"/>
  <c r="G25" i="20" l="1"/>
  <c r="C14" i="24"/>
  <c r="AP20" i="20"/>
  <c r="C15" i="24"/>
  <c r="AX20" i="20"/>
  <c r="BC20" i="20" s="1"/>
  <c r="BC15" i="20"/>
  <c r="AX18" i="20"/>
  <c r="AP18" i="20"/>
  <c r="D25" i="20"/>
  <c r="H25" i="20"/>
  <c r="F25" i="20"/>
  <c r="C25" i="20"/>
  <c r="B25" i="20"/>
  <c r="BC18" i="20" l="1"/>
  <c r="BB19" i="20" s="1"/>
  <c r="F23" i="22" s="1"/>
  <c r="K16" i="22"/>
  <c r="BB16" i="20"/>
  <c r="AO16" i="20"/>
  <c r="AO19" i="20"/>
  <c r="H16" i="22" s="1"/>
  <c r="AJ19" i="20"/>
  <c r="AP16" i="20"/>
  <c r="D22" i="22" s="1"/>
  <c r="P16" i="20"/>
  <c r="C15" i="22" s="1"/>
  <c r="AD16" i="20"/>
  <c r="E15" i="22" s="1"/>
  <c r="C3" i="22"/>
  <c r="D3" i="22" s="1"/>
  <c r="D8" i="22" s="1"/>
  <c r="AT16" i="20"/>
  <c r="J15" i="22" s="1"/>
  <c r="AX19" i="20"/>
  <c r="E23" i="22" s="1"/>
  <c r="AW16" i="20"/>
  <c r="I15" i="22" s="1"/>
  <c r="AJ16" i="20"/>
  <c r="G15" i="22" s="1"/>
  <c r="K16" i="20"/>
  <c r="F15" i="22" s="1"/>
  <c r="H15" i="22"/>
  <c r="W16" i="20"/>
  <c r="D15" i="22" s="1"/>
  <c r="D9" i="22"/>
  <c r="E9" i="22" s="1"/>
  <c r="I25" i="20"/>
  <c r="AX16" i="20" l="1"/>
  <c r="E22" i="22" s="1"/>
  <c r="C22" i="22"/>
  <c r="K15" i="22"/>
  <c r="F22" i="22"/>
  <c r="O7" i="24"/>
  <c r="BC16" i="20"/>
  <c r="L15" i="22"/>
  <c r="P19" i="20"/>
  <c r="C16" i="22" s="1"/>
  <c r="K19" i="20"/>
  <c r="AT19" i="20"/>
  <c r="J16" i="22" s="1"/>
  <c r="AD19" i="20"/>
  <c r="E16" i="22" s="1"/>
  <c r="W19" i="20"/>
  <c r="D16" i="22" s="1"/>
  <c r="G16" i="22"/>
  <c r="AW19" i="20"/>
  <c r="I16" i="22" s="1"/>
  <c r="AP19" i="20"/>
  <c r="D23" i="22" s="1"/>
  <c r="C6" i="21"/>
  <c r="H237" i="2"/>
  <c r="H238" i="2"/>
  <c r="H239" i="2"/>
  <c r="H240" i="2"/>
  <c r="H241" i="2"/>
  <c r="H242" i="2"/>
  <c r="H231" i="2"/>
  <c r="H232" i="2"/>
  <c r="H233" i="2"/>
  <c r="H234" i="2"/>
  <c r="H235" i="2"/>
  <c r="H236" i="2"/>
  <c r="H243" i="2"/>
  <c r="H244" i="2"/>
  <c r="C183" i="21"/>
  <c r="C184" i="21"/>
  <c r="C186" i="21"/>
  <c r="C187" i="21"/>
  <c r="C188" i="21"/>
  <c r="C192" i="21"/>
  <c r="H176" i="2"/>
  <c r="H177" i="2"/>
  <c r="G22" i="22" l="1"/>
  <c r="BC19" i="20"/>
  <c r="F16" i="22"/>
  <c r="L16" i="22"/>
  <c r="C23" i="22"/>
  <c r="G23" i="22" s="1"/>
  <c r="C119" i="21"/>
  <c r="G119" i="21" s="1"/>
  <c r="C231" i="21"/>
  <c r="F231" i="21" s="1"/>
  <c r="C235" i="21"/>
  <c r="G235" i="21" s="1"/>
  <c r="C232" i="21"/>
  <c r="E232" i="21" s="1"/>
  <c r="C234" i="21"/>
  <c r="F234" i="21" s="1"/>
  <c r="C233" i="21"/>
  <c r="E233" i="21" s="1"/>
  <c r="C5" i="21"/>
  <c r="F192" i="21"/>
  <c r="E192" i="21"/>
  <c r="G192" i="21"/>
  <c r="E188" i="21"/>
  <c r="F188" i="21"/>
  <c r="G188" i="21"/>
  <c r="E183" i="21"/>
  <c r="G183" i="21"/>
  <c r="F183" i="21"/>
  <c r="E187" i="21"/>
  <c r="F187" i="21"/>
  <c r="G187" i="21"/>
  <c r="G184" i="21"/>
  <c r="E184" i="21"/>
  <c r="F184" i="21"/>
  <c r="F186" i="21"/>
  <c r="G186" i="21"/>
  <c r="E186" i="21"/>
  <c r="E6" i="21"/>
  <c r="F6" i="21"/>
  <c r="G6" i="21"/>
  <c r="E119" i="21" l="1"/>
  <c r="F119" i="21"/>
  <c r="G24" i="22"/>
  <c r="E5" i="21"/>
  <c r="E235" i="21"/>
  <c r="F235" i="21"/>
  <c r="G231" i="21"/>
  <c r="G232" i="21"/>
  <c r="F232" i="21"/>
  <c r="E231" i="21"/>
  <c r="F242" i="11"/>
  <c r="G242" i="11"/>
  <c r="F239" i="11"/>
  <c r="G239" i="11"/>
  <c r="G233" i="21"/>
  <c r="E234" i="21"/>
  <c r="F230" i="11"/>
  <c r="G230" i="11"/>
  <c r="G234" i="21"/>
  <c r="G226" i="11"/>
  <c r="F226" i="11"/>
  <c r="G235" i="11"/>
  <c r="F235" i="11"/>
  <c r="F227" i="11"/>
  <c r="G227" i="11"/>
  <c r="F234" i="11"/>
  <c r="G234" i="11"/>
  <c r="F5" i="21"/>
  <c r="G240" i="11"/>
  <c r="F240" i="11"/>
  <c r="G231" i="11"/>
  <c r="F231" i="11"/>
  <c r="F233" i="11"/>
  <c r="G233" i="11"/>
  <c r="F233" i="21"/>
  <c r="F243" i="11"/>
  <c r="G243" i="11"/>
  <c r="G5" i="21"/>
  <c r="F228" i="11"/>
  <c r="G228" i="11"/>
  <c r="G237" i="11"/>
  <c r="F237" i="11"/>
  <c r="G238" i="11"/>
  <c r="F238" i="11"/>
  <c r="G232" i="11"/>
  <c r="F232" i="11"/>
  <c r="F229" i="11"/>
  <c r="G229" i="11"/>
  <c r="F241" i="11"/>
  <c r="G241" i="11"/>
  <c r="F236" i="11"/>
  <c r="G236" i="11"/>
  <c r="AU15" i="18"/>
  <c r="AR15" i="18"/>
  <c r="AQ15" i="18"/>
  <c r="AP15" i="18"/>
  <c r="AM15" i="18"/>
  <c r="AL15" i="18"/>
  <c r="AK15" i="18"/>
  <c r="AJ15" i="18"/>
  <c r="AH15" i="18"/>
  <c r="AG15" i="18"/>
  <c r="AF15" i="18"/>
  <c r="AE15" i="18"/>
  <c r="AD15" i="18"/>
  <c r="AB15" i="18"/>
  <c r="AA15" i="18"/>
  <c r="Z15" i="18"/>
  <c r="Y15" i="18"/>
  <c r="X15" i="18"/>
  <c r="W15" i="18"/>
  <c r="U15" i="18"/>
  <c r="T15" i="18"/>
  <c r="S15" i="18"/>
  <c r="R15" i="18"/>
  <c r="Q15" i="18"/>
  <c r="P15" i="18"/>
  <c r="N15" i="18"/>
  <c r="M15" i="18"/>
  <c r="L15" i="18"/>
  <c r="K15" i="18"/>
  <c r="I15" i="18"/>
  <c r="H15" i="18"/>
  <c r="G15" i="18"/>
  <c r="F15" i="18"/>
  <c r="E15" i="18"/>
  <c r="D15" i="18"/>
  <c r="C15" i="18"/>
  <c r="AV14" i="18"/>
  <c r="AS14" i="18"/>
  <c r="AN14" i="18"/>
  <c r="AI14" i="18"/>
  <c r="AC14" i="18"/>
  <c r="V14" i="18"/>
  <c r="O14" i="18"/>
  <c r="J14" i="18"/>
  <c r="AV13" i="18"/>
  <c r="AS13" i="18"/>
  <c r="AN13" i="18"/>
  <c r="AI13" i="18"/>
  <c r="AC13" i="18"/>
  <c r="V13" i="18"/>
  <c r="O13" i="18"/>
  <c r="J13" i="18"/>
  <c r="AV12" i="18"/>
  <c r="AS12" i="18"/>
  <c r="AN12" i="18"/>
  <c r="AI12" i="18"/>
  <c r="AC12" i="18"/>
  <c r="V12" i="18"/>
  <c r="O12" i="18"/>
  <c r="J12" i="18"/>
  <c r="AV11" i="18"/>
  <c r="AS11" i="18"/>
  <c r="AN11" i="18"/>
  <c r="AI11" i="18"/>
  <c r="AC11" i="18"/>
  <c r="V11" i="18"/>
  <c r="O11" i="18"/>
  <c r="J11" i="18"/>
  <c r="AV10" i="18"/>
  <c r="AS10" i="18"/>
  <c r="AN10" i="18"/>
  <c r="AI10" i="18"/>
  <c r="AC10" i="18"/>
  <c r="V10" i="18"/>
  <c r="O10" i="18"/>
  <c r="J10" i="18"/>
  <c r="AV9" i="18"/>
  <c r="AS9" i="18"/>
  <c r="AN9" i="18"/>
  <c r="AI9" i="18"/>
  <c r="AC9" i="18"/>
  <c r="V9" i="18"/>
  <c r="O9" i="18"/>
  <c r="J9" i="18"/>
  <c r="AV8" i="18"/>
  <c r="AS8" i="18"/>
  <c r="AN8" i="18"/>
  <c r="AI8" i="18"/>
  <c r="AC8" i="18"/>
  <c r="V8" i="18"/>
  <c r="O8" i="18"/>
  <c r="J8" i="18"/>
  <c r="AV7" i="18"/>
  <c r="AS7" i="18"/>
  <c r="AN7" i="18"/>
  <c r="AI7" i="18"/>
  <c r="AC7" i="18"/>
  <c r="V7" i="18"/>
  <c r="O7" i="18"/>
  <c r="J7" i="18"/>
  <c r="AV6" i="18"/>
  <c r="AS6" i="18"/>
  <c r="AN6" i="18"/>
  <c r="AI6" i="18"/>
  <c r="AC6" i="18"/>
  <c r="V6" i="18"/>
  <c r="O6" i="18"/>
  <c r="J6" i="18"/>
  <c r="AV5" i="18"/>
  <c r="AS5" i="18"/>
  <c r="AN5" i="18"/>
  <c r="AI5" i="18"/>
  <c r="AC5" i="18"/>
  <c r="V5" i="18"/>
  <c r="O5" i="18"/>
  <c r="J5" i="18"/>
  <c r="AV4" i="18"/>
  <c r="AS4" i="18"/>
  <c r="AN4" i="18"/>
  <c r="AI4" i="18"/>
  <c r="AC4" i="18"/>
  <c r="V4" i="18"/>
  <c r="O4" i="18"/>
  <c r="J4" i="18"/>
  <c r="AV3" i="18"/>
  <c r="AS3" i="18"/>
  <c r="AN3" i="18"/>
  <c r="AI3" i="18"/>
  <c r="AC3" i="18"/>
  <c r="V3" i="18"/>
  <c r="O3" i="18"/>
  <c r="J3" i="18"/>
  <c r="D23" i="18" l="1"/>
  <c r="AW12" i="18"/>
  <c r="AV17" i="18"/>
  <c r="AI17" i="18"/>
  <c r="AW4" i="18"/>
  <c r="AW7" i="18"/>
  <c r="AW10" i="18"/>
  <c r="AW13" i="18"/>
  <c r="V17" i="18"/>
  <c r="V18" i="18" s="1"/>
  <c r="J17" i="18"/>
  <c r="J18" i="18" s="1"/>
  <c r="O17" i="18"/>
  <c r="O18" i="18" s="1"/>
  <c r="AC17" i="18"/>
  <c r="AC18" i="18" s="1"/>
  <c r="AN17" i="18"/>
  <c r="AW3" i="18"/>
  <c r="AS17" i="18"/>
  <c r="AS18" i="18" s="1"/>
  <c r="G23" i="18"/>
  <c r="H23" i="18"/>
  <c r="AO3" i="18"/>
  <c r="BB3" i="18" s="1"/>
  <c r="AO6" i="18"/>
  <c r="BB6" i="18" s="1"/>
  <c r="AO12" i="18"/>
  <c r="BB12" i="18" s="1"/>
  <c r="AO11" i="18"/>
  <c r="BB11" i="18" s="1"/>
  <c r="AO14" i="18"/>
  <c r="F23" i="18"/>
  <c r="AW5" i="18"/>
  <c r="AW8" i="18"/>
  <c r="AW11" i="18"/>
  <c r="AW14" i="18"/>
  <c r="AO7" i="18"/>
  <c r="AW6" i="18"/>
  <c r="AW9" i="18"/>
  <c r="AN15" i="18"/>
  <c r="AN20" i="18" s="1"/>
  <c r="AO13" i="18"/>
  <c r="AO8" i="18"/>
  <c r="BB8" i="18" s="1"/>
  <c r="AC15" i="18"/>
  <c r="AC20" i="18" s="1"/>
  <c r="O15" i="18"/>
  <c r="O20" i="18" s="1"/>
  <c r="V15" i="18"/>
  <c r="V20" i="18" s="1"/>
  <c r="AO9" i="18"/>
  <c r="BB9" i="18" s="1"/>
  <c r="J15" i="18"/>
  <c r="J20" i="18" s="1"/>
  <c r="AO10" i="18"/>
  <c r="BB10" i="18" s="1"/>
  <c r="AI15" i="18"/>
  <c r="AI20" i="18" s="1"/>
  <c r="AV15" i="18"/>
  <c r="AV20" i="18" s="1"/>
  <c r="AO4" i="18"/>
  <c r="BB4" i="18" s="1"/>
  <c r="AO5" i="18"/>
  <c r="AS15" i="18"/>
  <c r="AS20" i="18" s="1"/>
  <c r="BB14" i="18" l="1"/>
  <c r="BB7" i="18"/>
  <c r="BB5" i="18"/>
  <c r="BB15" i="18" s="1"/>
  <c r="BB13" i="18"/>
  <c r="AW15" i="18"/>
  <c r="AO17" i="18"/>
  <c r="AN18" i="18"/>
  <c r="AV18" i="18"/>
  <c r="AW17" i="18"/>
  <c r="BB17" i="18" s="1"/>
  <c r="AI18" i="18"/>
  <c r="I23" i="18"/>
  <c r="B25" i="18" s="1"/>
  <c r="F13" i="24"/>
  <c r="F13" i="16"/>
  <c r="C4" i="14"/>
  <c r="D4" i="14" s="1"/>
  <c r="AW20" i="18"/>
  <c r="AO15" i="18"/>
  <c r="AO20" i="18" s="1"/>
  <c r="E25" i="18" l="1"/>
  <c r="BB20" i="18"/>
  <c r="AW18" i="18"/>
  <c r="AO18" i="18"/>
  <c r="F25" i="18"/>
  <c r="F15" i="24"/>
  <c r="F15" i="16"/>
  <c r="F14" i="24"/>
  <c r="F14" i="16"/>
  <c r="C25" i="18"/>
  <c r="H25" i="18"/>
  <c r="D25" i="18"/>
  <c r="G25" i="18"/>
  <c r="AC16" i="18"/>
  <c r="E15" i="14" s="1"/>
  <c r="V16" i="18"/>
  <c r="D15" i="14" s="1"/>
  <c r="O16" i="18"/>
  <c r="J16" i="18"/>
  <c r="AS16" i="18"/>
  <c r="AI16" i="18"/>
  <c r="G15" i="14" s="1"/>
  <c r="G220" i="11"/>
  <c r="D138" i="2"/>
  <c r="E138" i="2"/>
  <c r="E245" i="2"/>
  <c r="D245" i="2"/>
  <c r="D173" i="2"/>
  <c r="B42" i="28" s="1"/>
  <c r="B50" i="28" s="1"/>
  <c r="B51" i="28" s="1"/>
  <c r="E116" i="2"/>
  <c r="D116" i="2"/>
  <c r="E36" i="2"/>
  <c r="B225" i="11"/>
  <c r="B220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2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41" i="11"/>
  <c r="B169" i="11"/>
  <c r="B170" i="11"/>
  <c r="B171" i="11"/>
  <c r="B172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41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19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97" i="11"/>
  <c r="F109" i="11"/>
  <c r="B111" i="11"/>
  <c r="B112" i="11"/>
  <c r="B113" i="11"/>
  <c r="B114" i="11"/>
  <c r="B115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97" i="11"/>
  <c r="A77" i="11"/>
  <c r="A78" i="11"/>
  <c r="A79" i="11"/>
  <c r="A80" i="11"/>
  <c r="A81" i="11"/>
  <c r="A82" i="11"/>
  <c r="A83" i="11"/>
  <c r="A84" i="11"/>
  <c r="A85" i="11"/>
  <c r="A86" i="11"/>
  <c r="A87" i="11"/>
  <c r="A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76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40" i="11"/>
  <c r="A39" i="11"/>
  <c r="B64" i="11"/>
  <c r="B65" i="11"/>
  <c r="B66" i="11"/>
  <c r="B67" i="11"/>
  <c r="B68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39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5" i="11"/>
  <c r="B35" i="11"/>
  <c r="B30" i="11"/>
  <c r="B31" i="11"/>
  <c r="B32" i="11"/>
  <c r="B33" i="11"/>
  <c r="B34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5" i="11"/>
  <c r="H64" i="2"/>
  <c r="H65" i="2"/>
  <c r="H31" i="2"/>
  <c r="H32" i="2"/>
  <c r="H33" i="2"/>
  <c r="H110" i="2"/>
  <c r="H111" i="2"/>
  <c r="L17" i="14"/>
  <c r="BB18" i="18" l="1"/>
  <c r="F12" i="16"/>
  <c r="BA16" i="18"/>
  <c r="AV16" i="18"/>
  <c r="AO16" i="18"/>
  <c r="D22" i="14" s="1"/>
  <c r="AN16" i="18"/>
  <c r="H15" i="14" s="1"/>
  <c r="F12" i="24"/>
  <c r="I15" i="14"/>
  <c r="AW19" i="18"/>
  <c r="E23" i="14" s="1"/>
  <c r="C3" i="14"/>
  <c r="D3" i="14" s="1"/>
  <c r="F111" i="11"/>
  <c r="G110" i="11"/>
  <c r="F64" i="11"/>
  <c r="G65" i="11"/>
  <c r="F31" i="11"/>
  <c r="C31" i="21"/>
  <c r="F32" i="11"/>
  <c r="C32" i="21"/>
  <c r="G33" i="11"/>
  <c r="C33" i="21"/>
  <c r="J15" i="14"/>
  <c r="AW16" i="18"/>
  <c r="C22" i="14"/>
  <c r="F15" i="14"/>
  <c r="C15" i="14"/>
  <c r="F220" i="11"/>
  <c r="G39" i="11"/>
  <c r="G111" i="11"/>
  <c r="G109" i="11"/>
  <c r="F39" i="11"/>
  <c r="BB16" i="18" l="1"/>
  <c r="E22" i="14"/>
  <c r="O7" i="16"/>
  <c r="K15" i="14"/>
  <c r="L15" i="14" s="1"/>
  <c r="F22" i="14"/>
  <c r="BA19" i="18"/>
  <c r="AV19" i="18"/>
  <c r="I16" i="14" s="1"/>
  <c r="V19" i="18"/>
  <c r="D16" i="14" s="1"/>
  <c r="J19" i="18"/>
  <c r="O19" i="18"/>
  <c r="C16" i="14" s="1"/>
  <c r="AS19" i="18"/>
  <c r="J16" i="14" s="1"/>
  <c r="AC19" i="18"/>
  <c r="E16" i="14" s="1"/>
  <c r="AN19" i="18"/>
  <c r="H16" i="14" s="1"/>
  <c r="AI19" i="18"/>
  <c r="G16" i="14" s="1"/>
  <c r="AO19" i="18"/>
  <c r="D23" i="14" s="1"/>
  <c r="F65" i="11"/>
  <c r="G31" i="11"/>
  <c r="G64" i="11"/>
  <c r="G32" i="11"/>
  <c r="F33" i="11"/>
  <c r="F110" i="11"/>
  <c r="F33" i="21"/>
  <c r="E33" i="21"/>
  <c r="G33" i="21"/>
  <c r="E32" i="21"/>
  <c r="F32" i="21"/>
  <c r="G32" i="21"/>
  <c r="E31" i="21"/>
  <c r="F31" i="21"/>
  <c r="G31" i="21"/>
  <c r="H63" i="2"/>
  <c r="H66" i="2"/>
  <c r="H67" i="2"/>
  <c r="H68" i="2"/>
  <c r="H30" i="2"/>
  <c r="H34" i="2"/>
  <c r="H35" i="2"/>
  <c r="H220" i="2"/>
  <c r="H217" i="2"/>
  <c r="H218" i="2"/>
  <c r="H167" i="2"/>
  <c r="H168" i="2"/>
  <c r="H169" i="2"/>
  <c r="H170" i="2"/>
  <c r="H171" i="2"/>
  <c r="H172" i="2"/>
  <c r="H132" i="2"/>
  <c r="H133" i="2"/>
  <c r="H134" i="2"/>
  <c r="H135" i="2"/>
  <c r="H136" i="2"/>
  <c r="H137" i="2"/>
  <c r="H89" i="2"/>
  <c r="H90" i="2"/>
  <c r="H91" i="2"/>
  <c r="H92" i="2"/>
  <c r="H93" i="2"/>
  <c r="H112" i="2"/>
  <c r="H113" i="2"/>
  <c r="H114" i="2"/>
  <c r="H115" i="2"/>
  <c r="H88" i="2"/>
  <c r="K16" i="14" l="1"/>
  <c r="F23" i="14"/>
  <c r="G24" i="14"/>
  <c r="G22" i="14"/>
  <c r="BB19" i="18"/>
  <c r="F16" i="14"/>
  <c r="L16" i="14" s="1"/>
  <c r="C23" i="14"/>
  <c r="G23" i="14" s="1"/>
  <c r="C168" i="21"/>
  <c r="C172" i="21"/>
  <c r="C171" i="21"/>
  <c r="C167" i="21"/>
  <c r="C170" i="21"/>
  <c r="C169" i="21"/>
  <c r="F133" i="11"/>
  <c r="C133" i="21"/>
  <c r="F136" i="11"/>
  <c r="C136" i="21"/>
  <c r="F137" i="11"/>
  <c r="C137" i="21"/>
  <c r="F135" i="11"/>
  <c r="C135" i="21"/>
  <c r="G134" i="11"/>
  <c r="C134" i="21"/>
  <c r="F132" i="11"/>
  <c r="C132" i="21"/>
  <c r="E132" i="21" s="1"/>
  <c r="F115" i="11"/>
  <c r="G113" i="11"/>
  <c r="G112" i="11"/>
  <c r="F66" i="11"/>
  <c r="F68" i="11"/>
  <c r="G63" i="11"/>
  <c r="F67" i="11"/>
  <c r="C35" i="21"/>
  <c r="F34" i="11"/>
  <c r="C34" i="21"/>
  <c r="G30" i="11"/>
  <c r="C30" i="21"/>
  <c r="G115" i="11"/>
  <c r="F114" i="11"/>
  <c r="G114" i="11"/>
  <c r="G35" i="11"/>
  <c r="F35" i="11"/>
  <c r="D8" i="14"/>
  <c r="E72" i="11" l="1"/>
  <c r="E71" i="11"/>
  <c r="E70" i="11"/>
  <c r="E69" i="11"/>
  <c r="F112" i="11"/>
  <c r="E220" i="11"/>
  <c r="E229" i="11"/>
  <c r="E242" i="11"/>
  <c r="E230" i="11"/>
  <c r="E233" i="11"/>
  <c r="E243" i="11"/>
  <c r="E237" i="11"/>
  <c r="E226" i="11"/>
  <c r="E234" i="11"/>
  <c r="E228" i="11"/>
  <c r="E231" i="11"/>
  <c r="E238" i="11"/>
  <c r="E235" i="11"/>
  <c r="E232" i="11"/>
  <c r="E227" i="11"/>
  <c r="E241" i="11"/>
  <c r="E239" i="11"/>
  <c r="E236" i="11"/>
  <c r="E240" i="11"/>
  <c r="G136" i="11"/>
  <c r="F30" i="11"/>
  <c r="F134" i="11"/>
  <c r="G135" i="11"/>
  <c r="G34" i="11"/>
  <c r="G137" i="11"/>
  <c r="G66" i="11"/>
  <c r="G132" i="11"/>
  <c r="G68" i="11"/>
  <c r="G133" i="11"/>
  <c r="F113" i="11"/>
  <c r="F171" i="21"/>
  <c r="G171" i="21"/>
  <c r="E171" i="21"/>
  <c r="E170" i="21"/>
  <c r="F170" i="21"/>
  <c r="G170" i="21"/>
  <c r="E172" i="21"/>
  <c r="F172" i="21"/>
  <c r="G172" i="21"/>
  <c r="E167" i="21"/>
  <c r="F167" i="21"/>
  <c r="G167" i="21"/>
  <c r="E169" i="21"/>
  <c r="F169" i="21"/>
  <c r="G169" i="21"/>
  <c r="F168" i="21"/>
  <c r="E168" i="21"/>
  <c r="G168" i="21"/>
  <c r="E134" i="21"/>
  <c r="G134" i="21"/>
  <c r="F134" i="21"/>
  <c r="G135" i="21"/>
  <c r="F135" i="21"/>
  <c r="E135" i="21"/>
  <c r="E137" i="21"/>
  <c r="F137" i="21"/>
  <c r="G137" i="21"/>
  <c r="F136" i="21"/>
  <c r="G136" i="21"/>
  <c r="E136" i="21"/>
  <c r="G132" i="21"/>
  <c r="F132" i="21"/>
  <c r="F133" i="21"/>
  <c r="E133" i="21"/>
  <c r="G133" i="21"/>
  <c r="F63" i="11"/>
  <c r="G67" i="11"/>
  <c r="F34" i="21"/>
  <c r="G34" i="21"/>
  <c r="E34" i="21"/>
  <c r="E35" i="21"/>
  <c r="F35" i="21"/>
  <c r="G35" i="21"/>
  <c r="F30" i="21"/>
  <c r="E30" i="21"/>
  <c r="G30" i="21"/>
  <c r="D9" i="14"/>
  <c r="E9" i="14" s="1"/>
  <c r="E31" i="11"/>
  <c r="E65" i="11"/>
  <c r="E133" i="11"/>
  <c r="E137" i="11"/>
  <c r="E114" i="11"/>
  <c r="E111" i="11"/>
  <c r="E32" i="11"/>
  <c r="E115" i="11"/>
  <c r="E136" i="11"/>
  <c r="E113" i="11"/>
  <c r="E34" i="11"/>
  <c r="E63" i="11"/>
  <c r="E68" i="11"/>
  <c r="E66" i="11"/>
  <c r="E35" i="11"/>
  <c r="E112" i="11"/>
  <c r="E135" i="11"/>
  <c r="E33" i="11"/>
  <c r="E64" i="11"/>
  <c r="E134" i="11"/>
  <c r="E30" i="11"/>
  <c r="E132" i="11"/>
  <c r="E110" i="11"/>
  <c r="E67" i="11"/>
  <c r="E39" i="11"/>
  <c r="E109" i="11"/>
  <c r="F192" i="11" l="1"/>
  <c r="G192" i="11"/>
  <c r="E192" i="11"/>
  <c r="F225" i="11"/>
  <c r="F244" i="11" s="1"/>
  <c r="G225" i="11"/>
  <c r="G244" i="11" s="1"/>
  <c r="E225" i="11"/>
  <c r="E244" i="11" s="1"/>
  <c r="F119" i="11"/>
  <c r="G119" i="11"/>
  <c r="E119" i="11"/>
  <c r="F183" i="11"/>
  <c r="G183" i="11"/>
  <c r="E183" i="11"/>
  <c r="G189" i="11"/>
  <c r="F189" i="11"/>
  <c r="E189" i="11"/>
  <c r="F182" i="11"/>
  <c r="G182" i="11"/>
  <c r="E182" i="11"/>
  <c r="E41" i="11"/>
  <c r="F41" i="11"/>
  <c r="G41" i="11"/>
  <c r="F176" i="11"/>
  <c r="G176" i="11"/>
  <c r="E176" i="11"/>
  <c r="F40" i="11"/>
  <c r="G40" i="11"/>
  <c r="E40" i="11"/>
  <c r="G181" i="11"/>
  <c r="F181" i="11"/>
  <c r="E181" i="11"/>
  <c r="G190" i="11"/>
  <c r="F190" i="11"/>
  <c r="E190" i="11"/>
  <c r="G188" i="11"/>
  <c r="F188" i="11"/>
  <c r="E188" i="11"/>
  <c r="G185" i="11"/>
  <c r="F185" i="11"/>
  <c r="E185" i="11"/>
  <c r="G98" i="11"/>
  <c r="F98" i="11"/>
  <c r="E98" i="11"/>
  <c r="F180" i="11"/>
  <c r="G180" i="11"/>
  <c r="E180" i="11"/>
  <c r="E42" i="11"/>
  <c r="F42" i="11"/>
  <c r="G42" i="11"/>
  <c r="F179" i="11"/>
  <c r="G179" i="11"/>
  <c r="E179" i="11"/>
  <c r="G76" i="11"/>
  <c r="F76" i="11"/>
  <c r="E76" i="11"/>
  <c r="F191" i="11"/>
  <c r="G191" i="11"/>
  <c r="E191" i="11"/>
  <c r="F178" i="11"/>
  <c r="G178" i="11"/>
  <c r="E178" i="11"/>
  <c r="G187" i="11"/>
  <c r="F187" i="11"/>
  <c r="E187" i="11"/>
  <c r="F186" i="11"/>
  <c r="G186" i="11"/>
  <c r="E186" i="11"/>
  <c r="F77" i="11"/>
  <c r="G77" i="11"/>
  <c r="E77" i="11"/>
  <c r="G177" i="11"/>
  <c r="F177" i="11"/>
  <c r="E177" i="11"/>
  <c r="F184" i="11"/>
  <c r="G184" i="11"/>
  <c r="E184" i="11"/>
  <c r="F97" i="11"/>
  <c r="G97" i="11"/>
  <c r="E97" i="11"/>
  <c r="G217" i="11"/>
  <c r="F217" i="11"/>
  <c r="E217" i="11"/>
  <c r="G213" i="11"/>
  <c r="F213" i="11"/>
  <c r="E213" i="11"/>
  <c r="G219" i="11"/>
  <c r="F219" i="11"/>
  <c r="E219" i="11"/>
  <c r="G212" i="11"/>
  <c r="F212" i="11"/>
  <c r="E212" i="11"/>
  <c r="F210" i="11"/>
  <c r="G210" i="11"/>
  <c r="E210" i="11"/>
  <c r="G205" i="11"/>
  <c r="F205" i="11"/>
  <c r="E205" i="11"/>
  <c r="F204" i="11"/>
  <c r="G204" i="11"/>
  <c r="E204" i="11"/>
  <c r="F199" i="11"/>
  <c r="G199" i="11"/>
  <c r="E199" i="11"/>
  <c r="G197" i="11"/>
  <c r="F197" i="11"/>
  <c r="E197" i="11"/>
  <c r="G195" i="11"/>
  <c r="F195" i="11"/>
  <c r="E195" i="11"/>
  <c r="F215" i="11"/>
  <c r="G215" i="11"/>
  <c r="E215" i="11"/>
  <c r="F211" i="11"/>
  <c r="G211" i="11"/>
  <c r="E211" i="11"/>
  <c r="G209" i="11"/>
  <c r="F209" i="11"/>
  <c r="E209" i="11"/>
  <c r="G206" i="11"/>
  <c r="F206" i="11"/>
  <c r="E206" i="11"/>
  <c r="F203" i="11"/>
  <c r="G203" i="11"/>
  <c r="E203" i="11"/>
  <c r="F198" i="11"/>
  <c r="G198" i="11"/>
  <c r="E198" i="11"/>
  <c r="G196" i="11"/>
  <c r="F196" i="11"/>
  <c r="E196" i="11"/>
  <c r="G202" i="11"/>
  <c r="F202" i="11"/>
  <c r="E202" i="11"/>
  <c r="F194" i="11"/>
  <c r="G194" i="11"/>
  <c r="E194" i="11"/>
  <c r="G216" i="11"/>
  <c r="F216" i="11"/>
  <c r="E216" i="11"/>
  <c r="F208" i="11"/>
  <c r="G208" i="11"/>
  <c r="E208" i="11"/>
  <c r="G201" i="11"/>
  <c r="F201" i="11"/>
  <c r="E201" i="11"/>
  <c r="F218" i="11"/>
  <c r="G218" i="11"/>
  <c r="E218" i="11"/>
  <c r="F214" i="11"/>
  <c r="G214" i="11"/>
  <c r="E214" i="11"/>
  <c r="G207" i="11"/>
  <c r="F207" i="11"/>
  <c r="E207" i="11"/>
  <c r="G200" i="11"/>
  <c r="F200" i="11"/>
  <c r="E200" i="11"/>
  <c r="F221" i="11"/>
  <c r="G221" i="11"/>
  <c r="E221" i="11"/>
  <c r="F193" i="11"/>
  <c r="G193" i="11"/>
  <c r="E193" i="11"/>
  <c r="F171" i="11"/>
  <c r="G171" i="11"/>
  <c r="E171" i="11"/>
  <c r="F170" i="11"/>
  <c r="G170" i="11"/>
  <c r="E170" i="11"/>
  <c r="F172" i="11"/>
  <c r="G172" i="11"/>
  <c r="E172" i="11"/>
  <c r="G169" i="11"/>
  <c r="F169" i="11"/>
  <c r="E169" i="11"/>
  <c r="G168" i="11"/>
  <c r="F168" i="11"/>
  <c r="E168" i="11"/>
  <c r="F167" i="11"/>
  <c r="G167" i="11"/>
  <c r="E167" i="11"/>
  <c r="F92" i="11"/>
  <c r="G92" i="11"/>
  <c r="E92" i="11"/>
  <c r="F93" i="11"/>
  <c r="G93" i="11"/>
  <c r="E93" i="11"/>
  <c r="G90" i="11"/>
  <c r="F90" i="11"/>
  <c r="E90" i="11"/>
  <c r="F88" i="11"/>
  <c r="G88" i="11"/>
  <c r="E88" i="11"/>
  <c r="G91" i="11"/>
  <c r="F91" i="11"/>
  <c r="E91" i="11"/>
  <c r="F89" i="11"/>
  <c r="G89" i="11"/>
  <c r="E89" i="11"/>
  <c r="C222" i="11"/>
  <c r="F222" i="11" l="1"/>
  <c r="G222" i="11"/>
  <c r="E222" i="11"/>
  <c r="I5" i="15" l="1"/>
  <c r="I6" i="15"/>
  <c r="I4" i="15"/>
  <c r="H4" i="15"/>
  <c r="H6" i="15"/>
  <c r="H5" i="15"/>
  <c r="I7" i="15" l="1"/>
  <c r="H7" i="15"/>
  <c r="G35" i="5"/>
  <c r="H35" i="5"/>
  <c r="F35" i="5"/>
  <c r="H33" i="5"/>
  <c r="G33" i="5"/>
  <c r="F33" i="5"/>
  <c r="H24" i="5"/>
  <c r="G24" i="5"/>
  <c r="F24" i="5"/>
  <c r="F28" i="5"/>
  <c r="G28" i="5"/>
  <c r="H28" i="5"/>
  <c r="F29" i="5"/>
  <c r="G29" i="5"/>
  <c r="H29" i="5"/>
  <c r="F30" i="5"/>
  <c r="G30" i="5"/>
  <c r="H30" i="5"/>
  <c r="F31" i="5"/>
  <c r="G31" i="5"/>
  <c r="H31" i="5"/>
  <c r="F32" i="5"/>
  <c r="G32" i="5"/>
  <c r="H32" i="5"/>
  <c r="H27" i="5"/>
  <c r="G27" i="5"/>
  <c r="F27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H5" i="5"/>
  <c r="G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5" i="5"/>
  <c r="H226" i="2"/>
  <c r="H227" i="2"/>
  <c r="H228" i="2"/>
  <c r="H229" i="2"/>
  <c r="H230" i="2"/>
  <c r="H225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9" i="2"/>
  <c r="H22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41" i="2"/>
  <c r="H27" i="2"/>
  <c r="H109" i="2"/>
  <c r="H119" i="2"/>
  <c r="H28" i="2"/>
  <c r="H29" i="2"/>
  <c r="H120" i="2"/>
  <c r="H121" i="2"/>
  <c r="H61" i="2"/>
  <c r="H62" i="2"/>
  <c r="H122" i="2"/>
  <c r="H123" i="2"/>
  <c r="H124" i="2"/>
  <c r="H125" i="2"/>
  <c r="H126" i="2"/>
  <c r="H127" i="2"/>
  <c r="H128" i="2"/>
  <c r="H129" i="2"/>
  <c r="H130" i="2"/>
  <c r="H131" i="2"/>
  <c r="H108" i="2"/>
  <c r="H98" i="2"/>
  <c r="H99" i="2"/>
  <c r="H100" i="2"/>
  <c r="H101" i="2"/>
  <c r="H102" i="2"/>
  <c r="H103" i="2"/>
  <c r="H104" i="2"/>
  <c r="H105" i="2"/>
  <c r="H106" i="2"/>
  <c r="H107" i="2"/>
  <c r="H97" i="2"/>
  <c r="H77" i="2"/>
  <c r="H78" i="2"/>
  <c r="H79" i="2"/>
  <c r="H80" i="2"/>
  <c r="H81" i="2"/>
  <c r="H82" i="2"/>
  <c r="H83" i="2"/>
  <c r="H84" i="2"/>
  <c r="H85" i="2"/>
  <c r="H86" i="2"/>
  <c r="H87" i="2"/>
  <c r="H76" i="2"/>
  <c r="H41" i="2"/>
  <c r="H42" i="2"/>
  <c r="H43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40" i="2"/>
  <c r="H39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7" i="2"/>
  <c r="H6" i="2"/>
  <c r="F5" i="11"/>
  <c r="H5" i="2"/>
  <c r="F14" i="4"/>
  <c r="F6" i="4"/>
  <c r="F7" i="4"/>
  <c r="F8" i="4"/>
  <c r="F9" i="4"/>
  <c r="F10" i="4"/>
  <c r="F11" i="4"/>
  <c r="F12" i="4"/>
  <c r="F13" i="4"/>
  <c r="F5" i="4"/>
  <c r="H6" i="4"/>
  <c r="H7" i="4"/>
  <c r="H8" i="4"/>
  <c r="H9" i="4"/>
  <c r="H10" i="4"/>
  <c r="H11" i="4"/>
  <c r="H12" i="4"/>
  <c r="H13" i="4"/>
  <c r="H5" i="4"/>
  <c r="G6" i="4"/>
  <c r="G7" i="4"/>
  <c r="G8" i="4"/>
  <c r="G9" i="4"/>
  <c r="G10" i="4"/>
  <c r="G11" i="4"/>
  <c r="G12" i="4"/>
  <c r="G13" i="4"/>
  <c r="G5" i="4"/>
  <c r="E6" i="4"/>
  <c r="E7" i="4"/>
  <c r="E8" i="4"/>
  <c r="E9" i="4"/>
  <c r="E10" i="4"/>
  <c r="E12" i="4"/>
  <c r="E13" i="4"/>
  <c r="D6" i="4"/>
  <c r="D7" i="4"/>
  <c r="D8" i="4"/>
  <c r="D9" i="4"/>
  <c r="D10" i="4"/>
  <c r="D12" i="4"/>
  <c r="D13" i="4"/>
  <c r="D31" i="5"/>
  <c r="E31" i="5"/>
  <c r="D32" i="5"/>
  <c r="E32" i="5"/>
  <c r="E30" i="5"/>
  <c r="D30" i="5"/>
  <c r="E28" i="5"/>
  <c r="D28" i="5"/>
  <c r="E27" i="5"/>
  <c r="D27" i="5"/>
  <c r="D7" i="5"/>
  <c r="E7" i="5"/>
  <c r="D8" i="5"/>
  <c r="E8" i="5"/>
  <c r="D9" i="5"/>
  <c r="E9" i="5"/>
  <c r="D10" i="5"/>
  <c r="E10" i="5"/>
  <c r="D11" i="5"/>
  <c r="E11" i="5"/>
  <c r="D12" i="5"/>
  <c r="E12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E6" i="5"/>
  <c r="D6" i="5"/>
  <c r="E5" i="5"/>
  <c r="D5" i="5"/>
  <c r="C33" i="5"/>
  <c r="C24" i="5"/>
  <c r="C35" i="5" s="1"/>
  <c r="B33" i="5"/>
  <c r="B24" i="5"/>
  <c r="B35" i="5" s="1"/>
  <c r="H73" i="2" l="1"/>
  <c r="H138" i="2"/>
  <c r="J138" i="2"/>
  <c r="I138" i="2"/>
  <c r="H245" i="2"/>
  <c r="J36" i="2"/>
  <c r="I36" i="2"/>
  <c r="F159" i="11"/>
  <c r="F145" i="11"/>
  <c r="F160" i="11"/>
  <c r="G152" i="11"/>
  <c r="F148" i="11"/>
  <c r="F143" i="11"/>
  <c r="E158" i="11"/>
  <c r="G156" i="11"/>
  <c r="F163" i="11"/>
  <c r="E155" i="11"/>
  <c r="F147" i="11"/>
  <c r="E153" i="11"/>
  <c r="F150" i="11"/>
  <c r="G149" i="11"/>
  <c r="F161" i="11"/>
  <c r="F144" i="11"/>
  <c r="E142" i="11"/>
  <c r="G165" i="11"/>
  <c r="F164" i="11"/>
  <c r="G151" i="11"/>
  <c r="F166" i="11"/>
  <c r="F162" i="11"/>
  <c r="F154" i="11"/>
  <c r="F146" i="11"/>
  <c r="E141" i="11"/>
  <c r="G126" i="11"/>
  <c r="C126" i="21"/>
  <c r="E120" i="11"/>
  <c r="C120" i="21"/>
  <c r="E122" i="11"/>
  <c r="C122" i="21"/>
  <c r="G128" i="11"/>
  <c r="C128" i="21"/>
  <c r="E127" i="11"/>
  <c r="C127" i="21"/>
  <c r="F123" i="11"/>
  <c r="C123" i="21"/>
  <c r="F129" i="11"/>
  <c r="C129" i="21"/>
  <c r="E124" i="11"/>
  <c r="C124" i="21"/>
  <c r="G131" i="11"/>
  <c r="C131" i="21"/>
  <c r="G130" i="11"/>
  <c r="C130" i="21"/>
  <c r="E125" i="11"/>
  <c r="C125" i="21"/>
  <c r="E121" i="11"/>
  <c r="C121" i="21"/>
  <c r="F108" i="11"/>
  <c r="F107" i="11"/>
  <c r="G105" i="11"/>
  <c r="G103" i="11"/>
  <c r="E101" i="11"/>
  <c r="F99" i="11"/>
  <c r="F106" i="11"/>
  <c r="G104" i="11"/>
  <c r="F102" i="11"/>
  <c r="G85" i="11"/>
  <c r="G83" i="11"/>
  <c r="E79" i="11"/>
  <c r="F81" i="11"/>
  <c r="G86" i="11"/>
  <c r="G82" i="11"/>
  <c r="E80" i="11"/>
  <c r="G84" i="11"/>
  <c r="G87" i="11"/>
  <c r="E57" i="11"/>
  <c r="E60" i="11"/>
  <c r="G46" i="11"/>
  <c r="E44" i="11"/>
  <c r="E47" i="11"/>
  <c r="F61" i="11"/>
  <c r="E51" i="11"/>
  <c r="G54" i="11"/>
  <c r="G53" i="11"/>
  <c r="E45" i="11"/>
  <c r="G56" i="11"/>
  <c r="F50" i="11"/>
  <c r="E48" i="11"/>
  <c r="E59" i="11"/>
  <c r="E58" i="11"/>
  <c r="E55" i="11"/>
  <c r="F49" i="11"/>
  <c r="F62" i="11"/>
  <c r="E52" i="11"/>
  <c r="F13" i="11"/>
  <c r="C13" i="21"/>
  <c r="C7" i="21"/>
  <c r="F15" i="11"/>
  <c r="C15" i="21"/>
  <c r="G26" i="11"/>
  <c r="C26" i="21"/>
  <c r="F12" i="11"/>
  <c r="C12" i="21"/>
  <c r="G23" i="11"/>
  <c r="C23" i="21"/>
  <c r="G11" i="11"/>
  <c r="C11" i="21"/>
  <c r="F8" i="11"/>
  <c r="C8" i="21"/>
  <c r="F17" i="11"/>
  <c r="C17" i="21"/>
  <c r="G25" i="11"/>
  <c r="C25" i="21"/>
  <c r="G20" i="11"/>
  <c r="C20" i="21"/>
  <c r="E27" i="11"/>
  <c r="C27" i="21"/>
  <c r="F14" i="11"/>
  <c r="C14" i="21"/>
  <c r="C10" i="21"/>
  <c r="G29" i="11"/>
  <c r="C29" i="21"/>
  <c r="E28" i="11"/>
  <c r="C28" i="21"/>
  <c r="E18" i="11"/>
  <c r="C18" i="21"/>
  <c r="G16" i="11"/>
  <c r="C16" i="21"/>
  <c r="E24" i="11"/>
  <c r="C24" i="21"/>
  <c r="E22" i="11"/>
  <c r="C22" i="21"/>
  <c r="G21" i="11"/>
  <c r="C21" i="21"/>
  <c r="F9" i="11"/>
  <c r="C9" i="21"/>
  <c r="E19" i="11"/>
  <c r="C19" i="21"/>
  <c r="E43" i="11"/>
  <c r="F43" i="11"/>
  <c r="G43" i="11"/>
  <c r="H116" i="2"/>
  <c r="G5" i="11"/>
  <c r="E5" i="11"/>
  <c r="E100" i="11"/>
  <c r="G100" i="11"/>
  <c r="F100" i="11"/>
  <c r="G10" i="11"/>
  <c r="F10" i="11"/>
  <c r="E10" i="11"/>
  <c r="H173" i="2"/>
  <c r="F157" i="11"/>
  <c r="E157" i="11"/>
  <c r="G157" i="11"/>
  <c r="G124" i="11"/>
  <c r="F124" i="11"/>
  <c r="G6" i="11"/>
  <c r="F6" i="11"/>
  <c r="E6" i="11"/>
  <c r="F7" i="11"/>
  <c r="G7" i="11"/>
  <c r="E7" i="11"/>
  <c r="G123" i="11"/>
  <c r="E123" i="11"/>
  <c r="H36" i="2"/>
  <c r="H94" i="2"/>
  <c r="H222" i="2"/>
  <c r="C138" i="21" l="1"/>
  <c r="C36" i="21"/>
  <c r="G60" i="11"/>
  <c r="F84" i="11"/>
  <c r="E15" i="11"/>
  <c r="E106" i="11"/>
  <c r="E84" i="11"/>
  <c r="G15" i="11"/>
  <c r="F57" i="11"/>
  <c r="G57" i="11"/>
  <c r="F104" i="11"/>
  <c r="E104" i="11"/>
  <c r="E129" i="11"/>
  <c r="E107" i="11"/>
  <c r="F60" i="11"/>
  <c r="G50" i="11"/>
  <c r="E46" i="11"/>
  <c r="G58" i="11"/>
  <c r="F58" i="11"/>
  <c r="F46" i="11"/>
  <c r="E12" i="11"/>
  <c r="G12" i="11"/>
  <c r="E102" i="11"/>
  <c r="G129" i="11"/>
  <c r="G120" i="11"/>
  <c r="E108" i="11"/>
  <c r="E105" i="11"/>
  <c r="F44" i="11"/>
  <c r="F120" i="11"/>
  <c r="F105" i="11"/>
  <c r="G153" i="11"/>
  <c r="G108" i="11"/>
  <c r="G161" i="11"/>
  <c r="E161" i="11"/>
  <c r="G48" i="11"/>
  <c r="F48" i="11"/>
  <c r="F85" i="11"/>
  <c r="F79" i="11"/>
  <c r="G101" i="11"/>
  <c r="F101" i="11"/>
  <c r="G79" i="11"/>
  <c r="E159" i="11"/>
  <c r="G107" i="11"/>
  <c r="E29" i="11"/>
  <c r="G159" i="11"/>
  <c r="F47" i="11"/>
  <c r="F55" i="11"/>
  <c r="G59" i="11"/>
  <c r="F59" i="11"/>
  <c r="F29" i="11"/>
  <c r="F153" i="11"/>
  <c r="E150" i="11"/>
  <c r="G51" i="11"/>
  <c r="F51" i="11"/>
  <c r="F127" i="11"/>
  <c r="G127" i="11"/>
  <c r="F142" i="11"/>
  <c r="G102" i="11"/>
  <c r="F54" i="11"/>
  <c r="G13" i="11"/>
  <c r="G80" i="11"/>
  <c r="E160" i="11"/>
  <c r="E13" i="11"/>
  <c r="G160" i="11"/>
  <c r="E146" i="11"/>
  <c r="G24" i="11"/>
  <c r="E50" i="11"/>
  <c r="G141" i="11"/>
  <c r="E62" i="11"/>
  <c r="G144" i="11"/>
  <c r="E103" i="11"/>
  <c r="E152" i="11"/>
  <c r="G146" i="11"/>
  <c r="F122" i="11"/>
  <c r="E83" i="11"/>
  <c r="E149" i="11"/>
  <c r="E126" i="11"/>
  <c r="F83" i="11"/>
  <c r="E128" i="11"/>
  <c r="F149" i="11"/>
  <c r="E23" i="11"/>
  <c r="F126" i="11"/>
  <c r="G62" i="11"/>
  <c r="G55" i="11"/>
  <c r="E165" i="11"/>
  <c r="E148" i="11"/>
  <c r="F165" i="11"/>
  <c r="F152" i="11"/>
  <c r="G8" i="11"/>
  <c r="G122" i="11"/>
  <c r="F86" i="11"/>
  <c r="F141" i="11"/>
  <c r="F24" i="11"/>
  <c r="E145" i="11"/>
  <c r="F128" i="11"/>
  <c r="F23" i="11"/>
  <c r="G150" i="11"/>
  <c r="G148" i="11"/>
  <c r="G47" i="11"/>
  <c r="E144" i="11"/>
  <c r="E8" i="11"/>
  <c r="F80" i="11"/>
  <c r="E16" i="11"/>
  <c r="E81" i="11"/>
  <c r="E9" i="11"/>
  <c r="E14" i="11"/>
  <c r="G145" i="11"/>
  <c r="G81" i="11"/>
  <c r="E21" i="11"/>
  <c r="G14" i="11"/>
  <c r="C94" i="11"/>
  <c r="F16" i="11"/>
  <c r="E85" i="11"/>
  <c r="F82" i="11"/>
  <c r="F151" i="11"/>
  <c r="G163" i="11"/>
  <c r="G154" i="11"/>
  <c r="G147" i="11"/>
  <c r="E162" i="11"/>
  <c r="F158" i="11"/>
  <c r="E147" i="11"/>
  <c r="E151" i="11"/>
  <c r="F155" i="11"/>
  <c r="E163" i="11"/>
  <c r="E164" i="11"/>
  <c r="E154" i="11"/>
  <c r="G162" i="11"/>
  <c r="E143" i="11"/>
  <c r="G158" i="11"/>
  <c r="G155" i="11"/>
  <c r="E156" i="11"/>
  <c r="F156" i="11"/>
  <c r="G164" i="11"/>
  <c r="G143" i="11"/>
  <c r="G166" i="11"/>
  <c r="G142" i="11"/>
  <c r="E166" i="11"/>
  <c r="E121" i="21"/>
  <c r="F121" i="21"/>
  <c r="G121" i="21"/>
  <c r="F125" i="11"/>
  <c r="E130" i="11"/>
  <c r="F130" i="11"/>
  <c r="G122" i="21"/>
  <c r="E122" i="21"/>
  <c r="F122" i="21"/>
  <c r="G130" i="21"/>
  <c r="E130" i="21"/>
  <c r="F130" i="21"/>
  <c r="F131" i="21"/>
  <c r="E131" i="21"/>
  <c r="G131" i="21"/>
  <c r="E124" i="21"/>
  <c r="G124" i="21"/>
  <c r="F124" i="21"/>
  <c r="G125" i="11"/>
  <c r="F120" i="21"/>
  <c r="G120" i="21"/>
  <c r="E120" i="21"/>
  <c r="E129" i="21"/>
  <c r="F129" i="21"/>
  <c r="G129" i="21"/>
  <c r="C138" i="11"/>
  <c r="G121" i="11"/>
  <c r="E125" i="21"/>
  <c r="G125" i="21"/>
  <c r="F125" i="21"/>
  <c r="G127" i="21"/>
  <c r="E127" i="21"/>
  <c r="F127" i="21"/>
  <c r="F128" i="21"/>
  <c r="G128" i="21"/>
  <c r="E128" i="21"/>
  <c r="F121" i="11"/>
  <c r="F126" i="21"/>
  <c r="E126" i="21"/>
  <c r="G126" i="21"/>
  <c r="F123" i="21"/>
  <c r="G123" i="21"/>
  <c r="E123" i="21"/>
  <c r="E131" i="11"/>
  <c r="F131" i="11"/>
  <c r="E99" i="11"/>
  <c r="F103" i="11"/>
  <c r="C116" i="11"/>
  <c r="G106" i="11"/>
  <c r="G99" i="11"/>
  <c r="F78" i="11"/>
  <c r="G78" i="11"/>
  <c r="F87" i="11"/>
  <c r="E87" i="11"/>
  <c r="E78" i="11"/>
  <c r="E86" i="11"/>
  <c r="E82" i="11"/>
  <c r="E56" i="11"/>
  <c r="G52" i="11"/>
  <c r="G44" i="11"/>
  <c r="F53" i="11"/>
  <c r="F56" i="11"/>
  <c r="E54" i="11"/>
  <c r="F52" i="11"/>
  <c r="E53" i="11"/>
  <c r="E49" i="11"/>
  <c r="G45" i="11"/>
  <c r="E61" i="11"/>
  <c r="G49" i="11"/>
  <c r="G61" i="11"/>
  <c r="F45" i="11"/>
  <c r="E27" i="21"/>
  <c r="F27" i="21"/>
  <c r="G27" i="21"/>
  <c r="C36" i="11"/>
  <c r="G9" i="11"/>
  <c r="E23" i="21"/>
  <c r="F23" i="21"/>
  <c r="G23" i="21"/>
  <c r="F25" i="11"/>
  <c r="F8" i="21"/>
  <c r="G8" i="21"/>
  <c r="E8" i="21"/>
  <c r="G11" i="21"/>
  <c r="E11" i="21"/>
  <c r="F11" i="21"/>
  <c r="G16" i="21"/>
  <c r="E16" i="21"/>
  <c r="F16" i="21"/>
  <c r="G26" i="21"/>
  <c r="E26" i="21"/>
  <c r="F26" i="21"/>
  <c r="G27" i="11"/>
  <c r="F19" i="11"/>
  <c r="G18" i="11"/>
  <c r="F29" i="21"/>
  <c r="G29" i="21"/>
  <c r="E29" i="21"/>
  <c r="E15" i="21"/>
  <c r="F15" i="21"/>
  <c r="G15" i="21"/>
  <c r="E22" i="21"/>
  <c r="F22" i="21"/>
  <c r="G22" i="21"/>
  <c r="F20" i="11"/>
  <c r="G17" i="11"/>
  <c r="E25" i="11"/>
  <c r="F22" i="11"/>
  <c r="F27" i="11"/>
  <c r="G19" i="11"/>
  <c r="F18" i="11"/>
  <c r="E11" i="11"/>
  <c r="E19" i="21"/>
  <c r="F19" i="21"/>
  <c r="G19" i="21"/>
  <c r="F9" i="21"/>
  <c r="E9" i="21"/>
  <c r="G9" i="21"/>
  <c r="F17" i="21"/>
  <c r="G17" i="21"/>
  <c r="E17" i="21"/>
  <c r="F21" i="11"/>
  <c r="E17" i="11"/>
  <c r="G22" i="11"/>
  <c r="F18" i="21"/>
  <c r="E18" i="21"/>
  <c r="G18" i="21"/>
  <c r="G28" i="21"/>
  <c r="F28" i="21"/>
  <c r="E28" i="21"/>
  <c r="F11" i="11"/>
  <c r="G10" i="21"/>
  <c r="E10" i="21"/>
  <c r="F10" i="21"/>
  <c r="F7" i="21"/>
  <c r="G7" i="21"/>
  <c r="E7" i="21"/>
  <c r="E20" i="11"/>
  <c r="F28" i="11"/>
  <c r="E26" i="11"/>
  <c r="G25" i="21"/>
  <c r="E25" i="21"/>
  <c r="F25" i="21"/>
  <c r="G21" i="21"/>
  <c r="F21" i="21"/>
  <c r="E21" i="21"/>
  <c r="G28" i="11"/>
  <c r="F26" i="11"/>
  <c r="F14" i="21"/>
  <c r="E14" i="21"/>
  <c r="G14" i="21"/>
  <c r="E13" i="21"/>
  <c r="F13" i="21"/>
  <c r="G13" i="21"/>
  <c r="G20" i="21"/>
  <c r="F20" i="21"/>
  <c r="E20" i="21"/>
  <c r="F24" i="21"/>
  <c r="G24" i="21"/>
  <c r="E24" i="21"/>
  <c r="G12" i="21"/>
  <c r="E12" i="21"/>
  <c r="F12" i="21"/>
  <c r="H247" i="2"/>
  <c r="E5" i="4"/>
  <c r="D5" i="4"/>
  <c r="B14" i="4"/>
  <c r="C14" i="4"/>
  <c r="F73" i="11" l="1"/>
  <c r="C5" i="15" s="1"/>
  <c r="E73" i="11"/>
  <c r="C4" i="15" s="1"/>
  <c r="G73" i="11"/>
  <c r="C6" i="15" s="1"/>
  <c r="E138" i="21"/>
  <c r="F4" i="23" s="1"/>
  <c r="E36" i="21"/>
  <c r="B4" i="23" s="1"/>
  <c r="G116" i="11"/>
  <c r="G36" i="11"/>
  <c r="G36" i="21"/>
  <c r="B6" i="23" s="1"/>
  <c r="F36" i="21"/>
  <c r="B5" i="23" s="1"/>
  <c r="F116" i="11"/>
  <c r="E116" i="11"/>
  <c r="E4" i="15" s="1"/>
  <c r="F36" i="11"/>
  <c r="B5" i="15" s="1"/>
  <c r="E94" i="11"/>
  <c r="D4" i="15" s="1"/>
  <c r="G94" i="11"/>
  <c r="D6" i="15" s="1"/>
  <c r="F94" i="11"/>
  <c r="D5" i="15" s="1"/>
  <c r="G138" i="11"/>
  <c r="F6" i="15" s="1"/>
  <c r="E138" i="11"/>
  <c r="F4" i="15" s="1"/>
  <c r="F138" i="11"/>
  <c r="F5" i="15" s="1"/>
  <c r="G173" i="11"/>
  <c r="E173" i="11"/>
  <c r="G4" i="15" s="1"/>
  <c r="E36" i="11"/>
  <c r="F138" i="21"/>
  <c r="F5" i="23" s="1"/>
  <c r="F173" i="11"/>
  <c r="G5" i="15" s="1"/>
  <c r="G138" i="21"/>
  <c r="F6" i="23" s="1"/>
  <c r="E222" i="2"/>
  <c r="D222" i="2"/>
  <c r="E173" i="2"/>
  <c r="E94" i="2"/>
  <c r="D94" i="2"/>
  <c r="C7" i="15" l="1"/>
  <c r="B7" i="23"/>
  <c r="F7" i="23"/>
  <c r="E5" i="15"/>
  <c r="L5" i="15" s="1"/>
  <c r="F246" i="11"/>
  <c r="G246" i="11"/>
  <c r="J6" i="15" s="1"/>
  <c r="E6" i="15"/>
  <c r="B4" i="15"/>
  <c r="N4" i="15" s="1"/>
  <c r="E246" i="11"/>
  <c r="J4" i="15" s="1"/>
  <c r="G6" i="15"/>
  <c r="G7" i="15" s="1"/>
  <c r="D7" i="15"/>
  <c r="B6" i="15"/>
  <c r="F7" i="15"/>
  <c r="E247" i="2"/>
  <c r="D247" i="2"/>
  <c r="N6" i="15" l="1"/>
  <c r="N5" i="15"/>
  <c r="K5" i="15"/>
  <c r="L6" i="15"/>
  <c r="K6" i="15"/>
  <c r="M5" i="15"/>
  <c r="M6" i="15"/>
  <c r="E7" i="15"/>
  <c r="B7" i="15"/>
  <c r="J5" i="15"/>
  <c r="J7" i="15" s="1"/>
  <c r="L4" i="15"/>
  <c r="K4" i="15"/>
  <c r="M4" i="15"/>
  <c r="B176" i="11"/>
  <c r="L7" i="15" l="1"/>
  <c r="B5" i="16" s="1"/>
  <c r="N7" i="15"/>
  <c r="N8" i="15" s="1"/>
  <c r="C7" i="16" s="1"/>
  <c r="K7" i="15"/>
  <c r="K8" i="15" s="1"/>
  <c r="M7" i="15"/>
  <c r="M8" i="15" s="1"/>
  <c r="B7" i="16" l="1"/>
  <c r="G16" i="16" s="1"/>
  <c r="L8" i="15"/>
  <c r="J8" i="15" s="1"/>
  <c r="B6" i="16"/>
  <c r="B4" i="16"/>
  <c r="C6" i="16"/>
  <c r="C4" i="16"/>
  <c r="C15" i="16"/>
  <c r="C14" i="16"/>
  <c r="C13" i="16"/>
  <c r="H7" i="16" l="1"/>
  <c r="B16" i="16"/>
  <c r="D16" i="16" s="1"/>
  <c r="L7" i="16"/>
  <c r="P7" i="16"/>
  <c r="B8" i="16"/>
  <c r="G13" i="16"/>
  <c r="G14" i="16"/>
  <c r="B14" i="16"/>
  <c r="D14" i="16" s="1"/>
  <c r="G15" i="16"/>
  <c r="B15" i="16"/>
  <c r="D15" i="16" s="1"/>
  <c r="C5" i="16"/>
  <c r="C8" i="16" s="1"/>
  <c r="B13" i="16"/>
  <c r="D13" i="16" s="1"/>
  <c r="I4" i="16"/>
  <c r="I5" i="16"/>
  <c r="I6" i="16"/>
  <c r="G12" i="16" l="1"/>
  <c r="B12" i="16"/>
  <c r="C12" i="16"/>
  <c r="O6" i="16"/>
  <c r="D12" i="16" l="1"/>
  <c r="P6" i="16"/>
  <c r="G6" i="16"/>
  <c r="O5" i="16"/>
  <c r="P5" i="16" s="1"/>
  <c r="G5" i="16"/>
  <c r="O4" i="16" l="1"/>
  <c r="O8" i="16" s="1"/>
  <c r="K5" i="16"/>
  <c r="L5" i="16" s="1"/>
  <c r="H5" i="16"/>
  <c r="H6" i="16"/>
  <c r="K6" i="16"/>
  <c r="L6" i="16" s="1"/>
  <c r="I5" i="24"/>
  <c r="I4" i="24"/>
  <c r="G8" i="16" l="1"/>
  <c r="K8" i="16" s="1"/>
  <c r="L8" i="16" s="1"/>
  <c r="C12" i="24"/>
  <c r="K4" i="16"/>
  <c r="L4" i="16" s="1"/>
  <c r="H4" i="16"/>
  <c r="H8" i="16" s="1"/>
  <c r="P4" i="16"/>
  <c r="P8" i="16" s="1"/>
  <c r="F4" i="24"/>
  <c r="F5" i="24"/>
  <c r="O5" i="24" s="1"/>
  <c r="F6" i="24"/>
  <c r="O6" i="24" s="1"/>
  <c r="I6" i="24"/>
  <c r="O4" i="24" l="1"/>
  <c r="O8" i="24" s="1"/>
  <c r="F8" i="24"/>
  <c r="G5" i="24"/>
  <c r="K5" i="24" s="1"/>
  <c r="G4" i="24"/>
  <c r="G6" i="24"/>
  <c r="I25" i="18"/>
  <c r="G8" i="24" l="1"/>
  <c r="K8" i="24" s="1"/>
  <c r="K6" i="24"/>
  <c r="K4" i="24"/>
  <c r="C246" i="11"/>
  <c r="C39" i="21" l="1"/>
  <c r="G39" i="21" l="1"/>
  <c r="E39" i="21"/>
  <c r="F39" i="21"/>
  <c r="C229" i="21" l="1"/>
  <c r="G229" i="21" l="1"/>
  <c r="F229" i="21"/>
  <c r="E229" i="21"/>
  <c r="J88" i="2"/>
  <c r="C63" i="21" l="1"/>
  <c r="E63" i="21" l="1"/>
  <c r="F63" i="21"/>
  <c r="G63" i="21"/>
  <c r="C228" i="21"/>
  <c r="G228" i="21" l="1"/>
  <c r="F228" i="21"/>
  <c r="E228" i="21"/>
  <c r="C153" i="21" l="1"/>
  <c r="C147" i="21"/>
  <c r="J92" i="2"/>
  <c r="J91" i="2"/>
  <c r="J90" i="2"/>
  <c r="J89" i="2"/>
  <c r="C92" i="21"/>
  <c r="C91" i="21"/>
  <c r="C90" i="21"/>
  <c r="C89" i="21"/>
  <c r="C88" i="21"/>
  <c r="C114" i="21"/>
  <c r="C113" i="21"/>
  <c r="C112" i="21"/>
  <c r="C111" i="21"/>
  <c r="C110" i="21"/>
  <c r="C67" i="21"/>
  <c r="C66" i="21"/>
  <c r="C65" i="21"/>
  <c r="C148" i="21"/>
  <c r="C146" i="21"/>
  <c r="C142" i="21"/>
  <c r="E65" i="21" l="1"/>
  <c r="G65" i="21"/>
  <c r="F65" i="21"/>
  <c r="F67" i="21"/>
  <c r="E67" i="21"/>
  <c r="G67" i="21"/>
  <c r="E113" i="21"/>
  <c r="F113" i="21"/>
  <c r="G113" i="21"/>
  <c r="E110" i="21"/>
  <c r="F110" i="21"/>
  <c r="G110" i="21"/>
  <c r="E114" i="21"/>
  <c r="F114" i="21"/>
  <c r="G114" i="21"/>
  <c r="F88" i="21"/>
  <c r="G88" i="21"/>
  <c r="E88" i="21"/>
  <c r="E91" i="21"/>
  <c r="F91" i="21"/>
  <c r="G91" i="21"/>
  <c r="G112" i="21"/>
  <c r="E112" i="21"/>
  <c r="F112" i="21"/>
  <c r="G147" i="21"/>
  <c r="E147" i="21"/>
  <c r="F147" i="21"/>
  <c r="C64" i="21"/>
  <c r="F90" i="21"/>
  <c r="E90" i="21"/>
  <c r="G90" i="21"/>
  <c r="F92" i="21"/>
  <c r="E92" i="21"/>
  <c r="G92" i="21"/>
  <c r="G111" i="21"/>
  <c r="F111" i="21"/>
  <c r="E111" i="21"/>
  <c r="F142" i="21"/>
  <c r="E142" i="21"/>
  <c r="G142" i="21"/>
  <c r="G153" i="21"/>
  <c r="F153" i="21"/>
  <c r="E153" i="21"/>
  <c r="F148" i="21"/>
  <c r="E148" i="21"/>
  <c r="G148" i="21"/>
  <c r="E89" i="21"/>
  <c r="G89" i="21"/>
  <c r="F89" i="21"/>
  <c r="F66" i="21"/>
  <c r="E66" i="21"/>
  <c r="G66" i="21"/>
  <c r="G146" i="21"/>
  <c r="F146" i="21"/>
  <c r="E146" i="21"/>
  <c r="C243" i="21"/>
  <c r="C242" i="21"/>
  <c r="C241" i="21"/>
  <c r="C240" i="21"/>
  <c r="C239" i="21"/>
  <c r="C238" i="21"/>
  <c r="C237" i="21"/>
  <c r="C236" i="21"/>
  <c r="C230" i="21"/>
  <c r="C227" i="21"/>
  <c r="C221" i="21"/>
  <c r="C220" i="21"/>
  <c r="C219" i="21"/>
  <c r="C218" i="21"/>
  <c r="C217" i="21"/>
  <c r="C216" i="21"/>
  <c r="C215" i="21"/>
  <c r="C214" i="21"/>
  <c r="C213" i="21"/>
  <c r="C212" i="21"/>
  <c r="C211" i="21"/>
  <c r="C210" i="21"/>
  <c r="C209" i="21"/>
  <c r="C208" i="21"/>
  <c r="C207" i="21"/>
  <c r="C206" i="21"/>
  <c r="C205" i="21"/>
  <c r="C204" i="21"/>
  <c r="C203" i="21"/>
  <c r="C202" i="21"/>
  <c r="C201" i="21"/>
  <c r="C200" i="21"/>
  <c r="C199" i="21"/>
  <c r="C198" i="21"/>
  <c r="C197" i="21"/>
  <c r="C196" i="21"/>
  <c r="C195" i="21"/>
  <c r="C194" i="21"/>
  <c r="C193" i="21"/>
  <c r="C191" i="21"/>
  <c r="C190" i="21"/>
  <c r="C189" i="21"/>
  <c r="C185" i="21"/>
  <c r="C182" i="21"/>
  <c r="C181" i="21"/>
  <c r="C180" i="21"/>
  <c r="C179" i="21"/>
  <c r="C178" i="21"/>
  <c r="C177" i="21"/>
  <c r="C166" i="21"/>
  <c r="C165" i="21"/>
  <c r="C164" i="21"/>
  <c r="C163" i="21"/>
  <c r="C162" i="21"/>
  <c r="C161" i="21"/>
  <c r="C160" i="21"/>
  <c r="C159" i="21"/>
  <c r="C158" i="21"/>
  <c r="C157" i="21"/>
  <c r="C156" i="21"/>
  <c r="C155" i="21"/>
  <c r="C154" i="21"/>
  <c r="C152" i="21"/>
  <c r="C151" i="21"/>
  <c r="C150" i="21"/>
  <c r="C149" i="21"/>
  <c r="C145" i="21"/>
  <c r="C144" i="21"/>
  <c r="C115" i="21"/>
  <c r="C109" i="21"/>
  <c r="C108" i="21"/>
  <c r="C107" i="21"/>
  <c r="C106" i="21"/>
  <c r="C105" i="21"/>
  <c r="C104" i="21"/>
  <c r="C103" i="21"/>
  <c r="C102" i="21"/>
  <c r="C101" i="21"/>
  <c r="C100" i="21"/>
  <c r="C99" i="21"/>
  <c r="J93" i="2"/>
  <c r="C93" i="21"/>
  <c r="J87" i="2"/>
  <c r="C87" i="21"/>
  <c r="J86" i="2"/>
  <c r="C86" i="21"/>
  <c r="C85" i="21"/>
  <c r="C84" i="21"/>
  <c r="J83" i="2"/>
  <c r="C83" i="21"/>
  <c r="J82" i="2"/>
  <c r="C82" i="21"/>
  <c r="J81" i="2"/>
  <c r="C81" i="21"/>
  <c r="C80" i="21"/>
  <c r="C79" i="21"/>
  <c r="C78" i="21"/>
  <c r="J76" i="2"/>
  <c r="C72" i="21"/>
  <c r="C71" i="21"/>
  <c r="C70" i="21"/>
  <c r="C69" i="21"/>
  <c r="C68" i="21"/>
  <c r="C62" i="21"/>
  <c r="C60" i="21"/>
  <c r="C56" i="21"/>
  <c r="C54" i="21"/>
  <c r="C52" i="21"/>
  <c r="C50" i="21"/>
  <c r="C48" i="21"/>
  <c r="C46" i="21"/>
  <c r="C44" i="21"/>
  <c r="C43" i="21"/>
  <c r="E17" i="28" l="1"/>
  <c r="G158" i="21"/>
  <c r="E158" i="21"/>
  <c r="F158" i="21"/>
  <c r="G196" i="21"/>
  <c r="F196" i="21"/>
  <c r="E196" i="21"/>
  <c r="E236" i="21"/>
  <c r="F236" i="21"/>
  <c r="G236" i="21"/>
  <c r="E155" i="21"/>
  <c r="F155" i="21"/>
  <c r="G155" i="21"/>
  <c r="G68" i="21"/>
  <c r="F68" i="21"/>
  <c r="E68" i="21"/>
  <c r="E203" i="21"/>
  <c r="F203" i="21"/>
  <c r="G203" i="21"/>
  <c r="G178" i="21"/>
  <c r="E178" i="21"/>
  <c r="F178" i="21"/>
  <c r="G103" i="21"/>
  <c r="E103" i="21"/>
  <c r="F103" i="21"/>
  <c r="G238" i="21"/>
  <c r="E238" i="21"/>
  <c r="F238" i="21"/>
  <c r="E43" i="21"/>
  <c r="G43" i="21"/>
  <c r="F43" i="21"/>
  <c r="J78" i="2"/>
  <c r="G83" i="21"/>
  <c r="E83" i="21"/>
  <c r="F83" i="21"/>
  <c r="F108" i="21"/>
  <c r="G108" i="21"/>
  <c r="E108" i="21"/>
  <c r="E145" i="21"/>
  <c r="F145" i="21"/>
  <c r="G145" i="21"/>
  <c r="E151" i="21"/>
  <c r="G151" i="21"/>
  <c r="F151" i="21"/>
  <c r="G189" i="21"/>
  <c r="E189" i="21"/>
  <c r="F189" i="21"/>
  <c r="E194" i="21"/>
  <c r="F194" i="21"/>
  <c r="G194" i="21"/>
  <c r="E199" i="21"/>
  <c r="G199" i="21"/>
  <c r="F199" i="21"/>
  <c r="E209" i="21"/>
  <c r="F209" i="21"/>
  <c r="G209" i="21"/>
  <c r="C226" i="21"/>
  <c r="F50" i="21"/>
  <c r="G50" i="21"/>
  <c r="E50" i="21"/>
  <c r="E154" i="21"/>
  <c r="F154" i="21"/>
  <c r="G154" i="21"/>
  <c r="F159" i="21"/>
  <c r="G159" i="21"/>
  <c r="E159" i="21"/>
  <c r="E149" i="21"/>
  <c r="F149" i="21"/>
  <c r="G149" i="21"/>
  <c r="G230" i="21"/>
  <c r="E230" i="21"/>
  <c r="F230" i="21"/>
  <c r="E144" i="21"/>
  <c r="F144" i="21"/>
  <c r="G144" i="21"/>
  <c r="F69" i="21"/>
  <c r="G69" i="21"/>
  <c r="E69" i="21"/>
  <c r="G48" i="21"/>
  <c r="F48" i="21"/>
  <c r="E48" i="21"/>
  <c r="E16" i="28"/>
  <c r="C16" i="28" s="1"/>
  <c r="E115" i="21"/>
  <c r="G115" i="21"/>
  <c r="F115" i="21"/>
  <c r="F204" i="21"/>
  <c r="E204" i="21"/>
  <c r="G204" i="21"/>
  <c r="F214" i="21"/>
  <c r="G214" i="21"/>
  <c r="E214" i="21"/>
  <c r="F201" i="21"/>
  <c r="G201" i="21"/>
  <c r="E201" i="21"/>
  <c r="G221" i="21"/>
  <c r="F221" i="21"/>
  <c r="E221" i="21"/>
  <c r="G60" i="21"/>
  <c r="E60" i="21"/>
  <c r="F60" i="21"/>
  <c r="G243" i="21"/>
  <c r="F243" i="21"/>
  <c r="E243" i="21"/>
  <c r="E93" i="21"/>
  <c r="G93" i="21"/>
  <c r="F93" i="21"/>
  <c r="F177" i="21"/>
  <c r="G177" i="21"/>
  <c r="E177" i="21"/>
  <c r="E237" i="21"/>
  <c r="G237" i="21"/>
  <c r="F237" i="21"/>
  <c r="G193" i="21"/>
  <c r="E193" i="21"/>
  <c r="F193" i="21"/>
  <c r="G87" i="21"/>
  <c r="E87" i="21"/>
  <c r="F87" i="21"/>
  <c r="E31" i="28"/>
  <c r="C31" i="28" s="1"/>
  <c r="C53" i="21"/>
  <c r="E219" i="21"/>
  <c r="F219" i="21"/>
  <c r="G219" i="21"/>
  <c r="F239" i="21"/>
  <c r="G239" i="21"/>
  <c r="E239" i="21"/>
  <c r="F72" i="21"/>
  <c r="G72" i="21"/>
  <c r="E72" i="21"/>
  <c r="J85" i="2"/>
  <c r="C143" i="21"/>
  <c r="F86" i="21"/>
  <c r="E86" i="21"/>
  <c r="G86" i="21"/>
  <c r="E217" i="21"/>
  <c r="F217" i="21"/>
  <c r="G217" i="21"/>
  <c r="E56" i="21"/>
  <c r="F56" i="21"/>
  <c r="G56" i="21"/>
  <c r="E102" i="21"/>
  <c r="G102" i="21"/>
  <c r="F102" i="21"/>
  <c r="G150" i="21"/>
  <c r="E150" i="21"/>
  <c r="F150" i="21"/>
  <c r="G52" i="21"/>
  <c r="F52" i="21"/>
  <c r="E52" i="21"/>
  <c r="E179" i="21"/>
  <c r="G179" i="21"/>
  <c r="F179" i="21"/>
  <c r="C17" i="28"/>
  <c r="G180" i="21"/>
  <c r="E180" i="21"/>
  <c r="F180" i="21"/>
  <c r="E27" i="28"/>
  <c r="C45" i="21"/>
  <c r="J80" i="2"/>
  <c r="F206" i="21"/>
  <c r="G206" i="21"/>
  <c r="E206" i="21"/>
  <c r="E164" i="21"/>
  <c r="F164" i="21"/>
  <c r="G164" i="21"/>
  <c r="G81" i="21"/>
  <c r="E81" i="21"/>
  <c r="F81" i="21"/>
  <c r="G212" i="21"/>
  <c r="E212" i="21"/>
  <c r="F212" i="21"/>
  <c r="E30" i="28"/>
  <c r="C30" i="28" s="1"/>
  <c r="C51" i="21"/>
  <c r="E165" i="21"/>
  <c r="F165" i="21"/>
  <c r="G165" i="21"/>
  <c r="E208" i="21"/>
  <c r="G208" i="21"/>
  <c r="F208" i="21"/>
  <c r="E28" i="28"/>
  <c r="C28" i="28" s="1"/>
  <c r="C47" i="21"/>
  <c r="E218" i="21"/>
  <c r="F218" i="21"/>
  <c r="G218" i="21"/>
  <c r="E156" i="21"/>
  <c r="G156" i="21"/>
  <c r="F156" i="21"/>
  <c r="E78" i="21"/>
  <c r="G78" i="21"/>
  <c r="F78" i="21"/>
  <c r="E34" i="28"/>
  <c r="C34" i="28" s="1"/>
  <c r="C58" i="21"/>
  <c r="G70" i="21"/>
  <c r="F70" i="21"/>
  <c r="E70" i="21"/>
  <c r="G99" i="21"/>
  <c r="E99" i="21"/>
  <c r="F99" i="21"/>
  <c r="E157" i="21"/>
  <c r="F157" i="21"/>
  <c r="G157" i="21"/>
  <c r="G162" i="21"/>
  <c r="E162" i="21"/>
  <c r="F162" i="21"/>
  <c r="G79" i="21"/>
  <c r="E79" i="21"/>
  <c r="F79" i="21"/>
  <c r="G104" i="21"/>
  <c r="E104" i="21"/>
  <c r="F104" i="21"/>
  <c r="G152" i="21"/>
  <c r="F152" i="21"/>
  <c r="E152" i="21"/>
  <c r="G240" i="21"/>
  <c r="F240" i="21"/>
  <c r="E240" i="21"/>
  <c r="E64" i="21"/>
  <c r="F64" i="21"/>
  <c r="G64" i="21"/>
  <c r="G105" i="21"/>
  <c r="E105" i="21"/>
  <c r="F105" i="21"/>
  <c r="C40" i="21"/>
  <c r="E12" i="28"/>
  <c r="C12" i="28" s="1"/>
  <c r="I222" i="2"/>
  <c r="C176" i="21"/>
  <c r="E101" i="21"/>
  <c r="G101" i="21"/>
  <c r="F101" i="21"/>
  <c r="E207" i="21"/>
  <c r="G207" i="21"/>
  <c r="F207" i="21"/>
  <c r="F182" i="21"/>
  <c r="E182" i="21"/>
  <c r="G182" i="21"/>
  <c r="E82" i="21"/>
  <c r="F82" i="21"/>
  <c r="G82" i="21"/>
  <c r="C225" i="21"/>
  <c r="C97" i="21"/>
  <c r="F190" i="21"/>
  <c r="E190" i="21"/>
  <c r="G190" i="21"/>
  <c r="F195" i="21"/>
  <c r="G195" i="21"/>
  <c r="E195" i="21"/>
  <c r="F210" i="21"/>
  <c r="E210" i="21"/>
  <c r="G210" i="21"/>
  <c r="G227" i="21"/>
  <c r="F227" i="21"/>
  <c r="E227" i="21"/>
  <c r="G100" i="21"/>
  <c r="E100" i="21"/>
  <c r="F100" i="21"/>
  <c r="G85" i="21"/>
  <c r="E85" i="21"/>
  <c r="F85" i="21"/>
  <c r="F211" i="21"/>
  <c r="G211" i="21"/>
  <c r="E211" i="21"/>
  <c r="G216" i="21"/>
  <c r="F216" i="21"/>
  <c r="E216" i="21"/>
  <c r="E106" i="21"/>
  <c r="G106" i="21"/>
  <c r="F106" i="21"/>
  <c r="G202" i="21"/>
  <c r="E202" i="21"/>
  <c r="F202" i="21"/>
  <c r="C76" i="21"/>
  <c r="G160" i="21"/>
  <c r="E160" i="21"/>
  <c r="F160" i="21"/>
  <c r="G107" i="21"/>
  <c r="F107" i="21"/>
  <c r="E107" i="21"/>
  <c r="F213" i="21"/>
  <c r="E213" i="21"/>
  <c r="G213" i="21"/>
  <c r="F166" i="21"/>
  <c r="E166" i="21"/>
  <c r="G166" i="21"/>
  <c r="G84" i="21"/>
  <c r="E84" i="21"/>
  <c r="F84" i="21"/>
  <c r="E109" i="21"/>
  <c r="G109" i="21"/>
  <c r="F109" i="21"/>
  <c r="F200" i="21"/>
  <c r="E200" i="21"/>
  <c r="G200" i="21"/>
  <c r="E29" i="28"/>
  <c r="C29" i="28" s="1"/>
  <c r="C49" i="21"/>
  <c r="J84" i="2"/>
  <c r="C141" i="21"/>
  <c r="E205" i="21"/>
  <c r="F205" i="21"/>
  <c r="G205" i="21"/>
  <c r="F215" i="21"/>
  <c r="E215" i="21"/>
  <c r="G215" i="21"/>
  <c r="E241" i="21"/>
  <c r="F241" i="21"/>
  <c r="G241" i="21"/>
  <c r="E37" i="28"/>
  <c r="C37" i="28" s="1"/>
  <c r="C59" i="21"/>
  <c r="G163" i="21"/>
  <c r="F163" i="21"/>
  <c r="E163" i="21"/>
  <c r="E80" i="21"/>
  <c r="G80" i="21"/>
  <c r="F80" i="21"/>
  <c r="E191" i="21"/>
  <c r="F191" i="21"/>
  <c r="G191" i="21"/>
  <c r="E242" i="21"/>
  <c r="G242" i="21"/>
  <c r="F242" i="21"/>
  <c r="E32" i="28"/>
  <c r="C32" i="28" s="1"/>
  <c r="C55" i="21"/>
  <c r="E181" i="21"/>
  <c r="F181" i="21"/>
  <c r="G181" i="21"/>
  <c r="G197" i="21"/>
  <c r="F197" i="21"/>
  <c r="E197" i="21"/>
  <c r="G46" i="21"/>
  <c r="E46" i="21"/>
  <c r="F46" i="21"/>
  <c r="E38" i="28"/>
  <c r="C38" i="28" s="1"/>
  <c r="C61" i="21"/>
  <c r="E198" i="21"/>
  <c r="G198" i="21"/>
  <c r="F198" i="21"/>
  <c r="E33" i="28"/>
  <c r="C33" i="28" s="1"/>
  <c r="C57" i="21"/>
  <c r="E62" i="21"/>
  <c r="F62" i="21"/>
  <c r="G62" i="21"/>
  <c r="G161" i="21"/>
  <c r="F161" i="21"/>
  <c r="E161" i="21"/>
  <c r="F44" i="21"/>
  <c r="E44" i="21"/>
  <c r="G44" i="21"/>
  <c r="J79" i="2"/>
  <c r="F54" i="21"/>
  <c r="G54" i="21"/>
  <c r="E54" i="21"/>
  <c r="G71" i="21"/>
  <c r="F71" i="21"/>
  <c r="E71" i="21"/>
  <c r="G185" i="21"/>
  <c r="E185" i="21"/>
  <c r="F185" i="21"/>
  <c r="G220" i="21"/>
  <c r="E220" i="21"/>
  <c r="F220" i="21"/>
  <c r="C77" i="21"/>
  <c r="I245" i="2" l="1"/>
  <c r="E41" i="28"/>
  <c r="C41" i="28" s="1"/>
  <c r="J222" i="2"/>
  <c r="I94" i="2"/>
  <c r="J173" i="2"/>
  <c r="J245" i="2"/>
  <c r="J116" i="2"/>
  <c r="I173" i="2"/>
  <c r="E42" i="28" s="1"/>
  <c r="C42" i="28" s="1"/>
  <c r="F61" i="21"/>
  <c r="G61" i="21"/>
  <c r="E61" i="21"/>
  <c r="G76" i="21"/>
  <c r="F76" i="21"/>
  <c r="E76" i="21"/>
  <c r="C94" i="21"/>
  <c r="F225" i="21"/>
  <c r="G225" i="21"/>
  <c r="E225" i="21"/>
  <c r="C244" i="21"/>
  <c r="G40" i="21"/>
  <c r="F40" i="21"/>
  <c r="E40" i="21"/>
  <c r="C27" i="28"/>
  <c r="E47" i="21"/>
  <c r="G47" i="21"/>
  <c r="F47" i="21"/>
  <c r="G57" i="21"/>
  <c r="F57" i="21"/>
  <c r="E57" i="21"/>
  <c r="F55" i="21"/>
  <c r="G55" i="21"/>
  <c r="E55" i="21"/>
  <c r="G59" i="21"/>
  <c r="F59" i="21"/>
  <c r="E59" i="21"/>
  <c r="G77" i="21"/>
  <c r="F77" i="21"/>
  <c r="E77" i="21"/>
  <c r="E45" i="21"/>
  <c r="F45" i="21"/>
  <c r="G45" i="21"/>
  <c r="C41" i="21"/>
  <c r="E53" i="21"/>
  <c r="G53" i="21"/>
  <c r="F53" i="21"/>
  <c r="J77" i="2"/>
  <c r="J94" i="2" s="1"/>
  <c r="F143" i="21"/>
  <c r="E143" i="21"/>
  <c r="G143" i="21"/>
  <c r="E58" i="21"/>
  <c r="G58" i="21"/>
  <c r="F58" i="21"/>
  <c r="E13" i="28"/>
  <c r="G141" i="21"/>
  <c r="F141" i="21"/>
  <c r="E141" i="21"/>
  <c r="C173" i="21"/>
  <c r="F49" i="21"/>
  <c r="E49" i="21"/>
  <c r="G49" i="21"/>
  <c r="E51" i="21"/>
  <c r="G51" i="21"/>
  <c r="F51" i="21"/>
  <c r="C222" i="21"/>
  <c r="G176" i="21"/>
  <c r="G222" i="21" s="1"/>
  <c r="H6" i="23" s="1"/>
  <c r="E176" i="21"/>
  <c r="E222" i="21" s="1"/>
  <c r="H4" i="23" s="1"/>
  <c r="F176" i="21"/>
  <c r="F222" i="21" s="1"/>
  <c r="H5" i="23" s="1"/>
  <c r="G97" i="21"/>
  <c r="E97" i="21"/>
  <c r="F97" i="21"/>
  <c r="J73" i="2"/>
  <c r="G226" i="21"/>
  <c r="F226" i="21"/>
  <c r="E226" i="21"/>
  <c r="E55" i="28" l="1"/>
  <c r="G173" i="21"/>
  <c r="G6" i="23" s="1"/>
  <c r="E173" i="21"/>
  <c r="G4" i="23" s="1"/>
  <c r="F173" i="21"/>
  <c r="G5" i="23" s="1"/>
  <c r="G244" i="21"/>
  <c r="I6" i="23" s="1"/>
  <c r="F244" i="21"/>
  <c r="I5" i="23" s="1"/>
  <c r="J247" i="2"/>
  <c r="E94" i="21"/>
  <c r="D4" i="23" s="1"/>
  <c r="F94" i="21"/>
  <c r="D5" i="23" s="1"/>
  <c r="E244" i="21"/>
  <c r="I4" i="23" s="1"/>
  <c r="H7" i="23"/>
  <c r="F41" i="21"/>
  <c r="E41" i="21"/>
  <c r="G41" i="21"/>
  <c r="G94" i="21"/>
  <c r="D6" i="23" s="1"/>
  <c r="C98" i="21"/>
  <c r="I116" i="2"/>
  <c r="E15" i="28"/>
  <c r="C42" i="21"/>
  <c r="I73" i="2"/>
  <c r="E14" i="28"/>
  <c r="C50" i="28"/>
  <c r="C51" i="28" s="1"/>
  <c r="E50" i="28"/>
  <c r="G7" i="23" l="1"/>
  <c r="I7" i="23"/>
  <c r="I247" i="2"/>
  <c r="D7" i="23"/>
  <c r="G98" i="21"/>
  <c r="G116" i="21" s="1"/>
  <c r="E6" i="23" s="1"/>
  <c r="E98" i="21"/>
  <c r="E116" i="21" s="1"/>
  <c r="E4" i="23" s="1"/>
  <c r="F98" i="21"/>
  <c r="F116" i="21" s="1"/>
  <c r="E5" i="23" s="1"/>
  <c r="C116" i="21"/>
  <c r="E51" i="28"/>
  <c r="E54" i="28"/>
  <c r="E58" i="28" s="1"/>
  <c r="E42" i="21"/>
  <c r="E73" i="21" s="1"/>
  <c r="G42" i="21"/>
  <c r="G73" i="21" s="1"/>
  <c r="F42" i="21"/>
  <c r="F73" i="21" s="1"/>
  <c r="C73" i="21"/>
  <c r="C246" i="21" l="1"/>
  <c r="E62" i="28"/>
  <c r="E64" i="28" s="1"/>
  <c r="C5" i="23"/>
  <c r="F246" i="21"/>
  <c r="J5" i="23" s="1"/>
  <c r="C4" i="23"/>
  <c r="E246" i="21"/>
  <c r="J4" i="23" s="1"/>
  <c r="C6" i="23"/>
  <c r="G246" i="21"/>
  <c r="J6" i="23" s="1"/>
  <c r="E7" i="23"/>
  <c r="E65" i="28" l="1"/>
  <c r="L68" i="28"/>
  <c r="J7" i="23"/>
  <c r="N5" i="23"/>
  <c r="L5" i="23"/>
  <c r="K5" i="23"/>
  <c r="M5" i="23"/>
  <c r="M6" i="23"/>
  <c r="K6" i="23"/>
  <c r="N6" i="23"/>
  <c r="L6" i="23"/>
  <c r="N4" i="23"/>
  <c r="M4" i="23"/>
  <c r="C7" i="23"/>
  <c r="L4" i="23"/>
  <c r="K4" i="23"/>
  <c r="K7" i="23" l="1"/>
  <c r="K8" i="23" s="1"/>
  <c r="M7" i="23"/>
  <c r="M8" i="23" s="1"/>
  <c r="C6" i="24" s="1"/>
  <c r="N7" i="23"/>
  <c r="N8" i="23" s="1"/>
  <c r="C7" i="24" s="1"/>
  <c r="L7" i="23"/>
  <c r="L8" i="23" s="1"/>
  <c r="C5" i="24" s="1"/>
  <c r="B5" i="24" l="1"/>
  <c r="B6" i="24"/>
  <c r="B15" i="24" s="1"/>
  <c r="D15" i="24" s="1"/>
  <c r="B7" i="24"/>
  <c r="L7" i="24" s="1"/>
  <c r="B4" i="24"/>
  <c r="B13" i="24" s="1"/>
  <c r="D13" i="24" s="1"/>
  <c r="B14" i="24"/>
  <c r="D14" i="24" s="1"/>
  <c r="G14" i="24"/>
  <c r="P5" i="24"/>
  <c r="L5" i="24"/>
  <c r="H5" i="24"/>
  <c r="G13" i="24"/>
  <c r="L4" i="24"/>
  <c r="J8" i="23"/>
  <c r="C4" i="24"/>
  <c r="C8" i="24" s="1"/>
  <c r="P4" i="24" l="1"/>
  <c r="H4" i="24"/>
  <c r="H6" i="24"/>
  <c r="G15" i="24"/>
  <c r="L6" i="24"/>
  <c r="P6" i="24"/>
  <c r="B8" i="24"/>
  <c r="B12" i="24" s="1"/>
  <c r="D12" i="24" s="1"/>
  <c r="H7" i="24"/>
  <c r="B16" i="24"/>
  <c r="D16" i="24" s="1"/>
  <c r="P7" i="24"/>
  <c r="G16" i="24"/>
  <c r="P8" i="24" l="1"/>
  <c r="H8" i="24"/>
  <c r="L8" i="24"/>
  <c r="G12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tc={26D793A7-28BE-48F0-9287-D4B34778C09B}</author>
  </authors>
  <commentList>
    <comment ref="H30" authorId="0" shapeId="0" xr:uid="{26D793A7-28BE-48F0-9287-D4B34778C09B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176,559 in '22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tc={CDE5C4DA-087D-4014-AE5D-9052F23DA3AA}</author>
  </authors>
  <commentList>
    <comment ref="A1" authorId="0" shapeId="0" xr:uid="{CDE5C4DA-087D-4014-AE5D-9052F23DA3AA}">
      <text>
        <t>[Threaded comment]
Your version of Excel allows you to read this threaded comment; however, any edits to it will get removed if the file is opened in a newer version of Excel. Learn more: https://go.microsoft.com/fwlink/?linkid=870924
Comment:
    To BGMU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tc={D0F9C101-C157-435E-B8E9-F4327E64DB78}</author>
  </authors>
  <commentList>
    <comment ref="B197" authorId="0" shapeId="0" xr:uid="{D0F9C101-C157-435E-B8E9-F4327E64DB78}">
      <text>
        <t>[Threaded comment]
Your version of Excel allows you to read this threaded comment; however, any edits to it will get removed if the file is opened in a newer version of Excel. Learn more: https://go.microsoft.com/fwlink/?linkid=870924
Comment:
    No line item name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tc={11D9544F-37A4-44A3-A72E-D9736AAAB426}</author>
  </authors>
  <commentList>
    <comment ref="C8" authorId="0" shapeId="0" xr:uid="{11D9544F-37A4-44A3-A72E-D9736AAAB426}">
      <text>
        <t>[Threaded comment]
Your version of Excel allows you to read this threaded comment; however, any edits to it will get removed if the file is opened in a newer version of Excel. Learn more: https://go.microsoft.com/fwlink/?linkid=870924
Comment:
    When would the plant open &amp; begin using water?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tc={1F1871AD-BA67-4763-90D5-C1D3D6CE3DDE}</author>
  </authors>
  <commentList>
    <comment ref="A1" authorId="0" shapeId="0" xr:uid="{1F1871AD-BA67-4763-90D5-C1D3D6CE3DDE}">
      <text>
        <t>[Threaded comment]
Your version of Excel allows you to read this threaded comment; however, any edits to it will get removed if the file is opened in a newer version of Excel. Learn more: https://go.microsoft.com/fwlink/?linkid=870924
Comment:
    To BGMU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tc={CA3634DA-29CA-4EE3-9637-94512A3ADCFF}</author>
    <author>tc={725AC4CE-2990-46B8-90C6-C92989A6F93B}</author>
    <author>tc={276C662B-31B9-4779-A6BD-79CFDF042912}</author>
    <author>tc={4B60DEEB-D6DF-4C02-B66F-09FC66970FD2}</author>
    <author>tc={08CE5651-D63E-439E-96B3-CB9C509FCED3}</author>
    <author>tc={DAB2E2BF-6991-4EBA-A212-7FB82AE2E787}</author>
    <author>tc={77462A5B-E5DE-427B-A95B-07EFCCDB097E}</author>
    <author>tc={3932DCEE-52E7-4EEB-8F9C-DC0B3BBA23FB}</author>
    <author>tc={F681C7D7-2653-41FD-A99B-69E72A5603B7}</author>
    <author>tc={09F294AA-6EB7-4C64-9816-3D006C399D62}</author>
    <author>tc={90AAD82D-7E5C-4AA5-BC26-BE8583E68FF6}</author>
    <author>tc={5CBAB928-3EF9-43F5-90BD-3C63E4F76ECA}</author>
    <author>tc={352AF3C0-F04C-4ED3-8ECE-BD693C38230A}</author>
    <author>tc={A1E2B3BE-26EC-461D-BD23-881AC4EAF3EC}</author>
    <author>tc={B4E7D3B8-4DC1-4B33-8B58-83140F097FB2}</author>
    <author>tc={00D20EDF-AD7A-4B63-965D-D8C4D3FA9870}</author>
  </authors>
  <commentList>
    <comment ref="C13" authorId="0" shapeId="0" xr:uid="{CA3634DA-29CA-4EE3-9637-94512A3ADCF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3.241% COLA
</t>
      </text>
    </comment>
    <comment ref="C14" authorId="1" shapeId="0" xr:uid="{725AC4CE-2990-46B8-90C6-C92989A6F93B}">
      <text>
        <t>[Threaded comment]
Your version of Excel allows you to read this threaded comment; however, any edits to it will get removed if the file is opened in a newer version of Excel. Learn more: https://go.microsoft.com/fwlink/?linkid=870924
Comment:
    2% Merit Increase</t>
      </text>
    </comment>
    <comment ref="C15" authorId="2" shapeId="0" xr:uid="{276C662B-31B9-4779-A6BD-79CFDF04291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New Employees &amp; CSR Wages tabs
</t>
      </text>
    </comment>
    <comment ref="C19" authorId="3" shapeId="0" xr:uid="{4B60DEEB-D6DF-4C02-B66F-09FC66970FD2}">
      <text>
        <t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New Employees &amp; CSR Wages tabs</t>
      </text>
    </comment>
    <comment ref="C20" authorId="4" shapeId="0" xr:uid="{08CE5651-D63E-439E-96B3-CB9C509FCED3}">
      <text>
        <t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New Employees &amp; CSR Wages tabs</t>
      </text>
    </comment>
    <comment ref="C21" authorId="5" shapeId="0" xr:uid="{DAB2E2BF-6991-4EBA-A212-7FB82AE2E78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New Employees &amp; CSR Wages tabs
</t>
      </text>
    </comment>
    <comment ref="C22" authorId="6" shapeId="0" xr:uid="{77462A5B-E5DE-427B-A95B-07EFCCDB097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New Employees &amp; CSR Wages tabs
</t>
      </text>
    </comment>
    <comment ref="C23" authorId="7" shapeId="0" xr:uid="{3932DCEE-52E7-4EEB-8F9C-DC0B3BBA23FB}">
      <text>
        <t>[Threaded comment]
Your version of Excel allows you to read this threaded comment; however, any edits to it will get removed if the file is opened in a newer version of Excel. Learn more: https://go.microsoft.com/fwlink/?linkid=870924
Comment:
    3.241% COLA</t>
      </text>
    </comment>
    <comment ref="C24" authorId="8" shapeId="0" xr:uid="{F681C7D7-2653-41FD-A99B-69E72A5603B7}">
      <text>
        <t>[Threaded comment]
Your version of Excel allows you to read this threaded comment; however, any edits to it will get removed if the file is opened in a newer version of Excel. Learn more: https://go.microsoft.com/fwlink/?linkid=870924
Comment:
    2% Merit Increase</t>
      </text>
    </comment>
    <comment ref="C43" authorId="9" shapeId="0" xr:uid="{09F294AA-6EB7-4C64-9816-3D006C399D62}">
      <text>
        <t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Developments-S</t>
      </text>
    </comment>
    <comment ref="C44" authorId="10" shapeId="0" xr:uid="{90AAD82D-7E5C-4AA5-BC26-BE8583E68FF6}">
      <text>
        <t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Developments-S</t>
      </text>
    </comment>
    <comment ref="C45" authorId="11" shapeId="0" xr:uid="{5CBAB928-3EF9-43F5-90BD-3C63E4F76EC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Developments-S
</t>
      </text>
    </comment>
    <comment ref="C46" authorId="12" shapeId="0" xr:uid="{352AF3C0-F04C-4ED3-8ECE-BD693C38230A}">
      <text>
        <t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SCADA Upgrade</t>
      </text>
    </comment>
    <comment ref="C47" authorId="13" shapeId="0" xr:uid="{A1E2B3BE-26EC-461D-BD23-881AC4EAF3EC}">
      <text>
        <t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CIS Infinity Upgrade</t>
      </text>
    </comment>
    <comment ref="C49" authorId="14" shapeId="0" xr:uid="{B4E7D3B8-4DC1-4B33-8B58-83140F097FB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-Payroll Taxes- WC Known and Measurables.xlsx  
New Employees
CSR Wages
</t>
      </text>
    </comment>
    <comment ref="E55" authorId="15" shapeId="0" xr:uid="{00D20EDF-AD7A-4B63-965D-D8C4D3FA9870}">
      <text>
        <t>[Threaded comment]
Your version of Excel allows you to read this threaded comment; however, any edits to it will get removed if the file is opened in a newer version of Excel. Learn more: https://go.microsoft.com/fwlink/?linkid=870924
Comment:
    Principal- $295,809 (DSC included)
Principal DSC- $50,712
Interest- $446,456  (DSC included)
Interest DSC- $74,887
Total DSC- $125,599</t>
      </text>
    </comment>
  </commentList>
</comments>
</file>

<file path=xl/sharedStrings.xml><?xml version="1.0" encoding="utf-8"?>
<sst xmlns="http://schemas.openxmlformats.org/spreadsheetml/2006/main" count="1779" uniqueCount="642">
  <si>
    <t>Water &amp; Sewer System Expesne Allocation Summary</t>
  </si>
  <si>
    <t xml:space="preserve"> Allocated Test Year</t>
  </si>
  <si>
    <t>Allocation Percent</t>
  </si>
  <si>
    <t xml:space="preserve"> Test Year</t>
  </si>
  <si>
    <t>Test Year w/ Defined Adjustments</t>
  </si>
  <si>
    <t>Comments</t>
  </si>
  <si>
    <t>Item</t>
  </si>
  <si>
    <t>Sewer</t>
  </si>
  <si>
    <t>Water</t>
  </si>
  <si>
    <t>Combined</t>
  </si>
  <si>
    <t>Operating Expenses</t>
  </si>
  <si>
    <t>Salaries and Wages</t>
  </si>
  <si>
    <t>Commissioner Fees</t>
  </si>
  <si>
    <t>Employee Overhead</t>
  </si>
  <si>
    <t>Purchased Water</t>
  </si>
  <si>
    <t>Sewage Disposal</t>
  </si>
  <si>
    <t>Purchased Power</t>
  </si>
  <si>
    <t xml:space="preserve">Chemicals </t>
  </si>
  <si>
    <t>Materials &amp; Supplies</t>
  </si>
  <si>
    <t>Contractual Servs- Engineering</t>
  </si>
  <si>
    <t xml:space="preserve">Contractual Servs- Accounting </t>
  </si>
  <si>
    <t>Contractual Servs- Legal</t>
  </si>
  <si>
    <t>Contractual Servs- Other</t>
  </si>
  <si>
    <t xml:space="preserve">Rental of Building &amp; Utilities </t>
  </si>
  <si>
    <t>Equipment Expense</t>
  </si>
  <si>
    <t>Insurance- General Liability</t>
  </si>
  <si>
    <t>Insurance- Other</t>
  </si>
  <si>
    <t>Regulatory Expense</t>
  </si>
  <si>
    <t>Bad Debt Expense</t>
  </si>
  <si>
    <t>Miscellaneous Expense</t>
  </si>
  <si>
    <t>Sub-Total</t>
  </si>
  <si>
    <t>Other Expenses</t>
  </si>
  <si>
    <t>Depreciation</t>
  </si>
  <si>
    <t>Misc Non-Operating Income</t>
  </si>
  <si>
    <t>Unrealized (Gain) \ Loss</t>
  </si>
  <si>
    <t>Interest Expense</t>
  </si>
  <si>
    <t>Debt Expense</t>
  </si>
  <si>
    <t>OPEB Expense</t>
  </si>
  <si>
    <t>Total</t>
  </si>
  <si>
    <t>Water &amp; Sewer System Revenue Allocation Summary</t>
  </si>
  <si>
    <t>Allocated Test Year</t>
  </si>
  <si>
    <t>Metered Revenue</t>
  </si>
  <si>
    <t>Fortefied Discounts</t>
  </si>
  <si>
    <t>Misc Service Revenue</t>
  </si>
  <si>
    <t>Other Water Revenue</t>
  </si>
  <si>
    <t>Interest Income</t>
  </si>
  <si>
    <t>Rental Income</t>
  </si>
  <si>
    <t>Non-Utility Income - Recycling</t>
  </si>
  <si>
    <t>Non-Utility Income - Storm Water</t>
  </si>
  <si>
    <t>Disposition Gain \ (Losses)</t>
  </si>
  <si>
    <t>Water &amp; Sewer System Revenue Allocation</t>
  </si>
  <si>
    <t>Code</t>
  </si>
  <si>
    <t xml:space="preserve"> Metered Revenue</t>
  </si>
  <si>
    <t>460-0000-3</t>
  </si>
  <si>
    <t>460-0000-2</t>
  </si>
  <si>
    <t>461-0001-3</t>
  </si>
  <si>
    <t>461-0001-2</t>
  </si>
  <si>
    <t>461-0002-3</t>
  </si>
  <si>
    <t>461-0002-2</t>
  </si>
  <si>
    <t>461-0003-3</t>
  </si>
  <si>
    <t>461-0003-2</t>
  </si>
  <si>
    <t>461-0004-3</t>
  </si>
  <si>
    <t>461-0004-2</t>
  </si>
  <si>
    <t>461-0005-3</t>
  </si>
  <si>
    <t>461-0005-2</t>
  </si>
  <si>
    <t>461-0006-3</t>
  </si>
  <si>
    <t>461-0006-2</t>
  </si>
  <si>
    <t>461-0033-3</t>
  </si>
  <si>
    <t>461-0033-2</t>
  </si>
  <si>
    <t>461-0101-3</t>
  </si>
  <si>
    <t>461-0101-2</t>
  </si>
  <si>
    <t>461-0102-3</t>
  </si>
  <si>
    <t>461-0102-2</t>
  </si>
  <si>
    <t>461-0000-3</t>
  </si>
  <si>
    <t>461-0000-2</t>
  </si>
  <si>
    <t>419-0000-3</t>
  </si>
  <si>
    <t>419-0000-2</t>
  </si>
  <si>
    <t>419-0002-3</t>
  </si>
  <si>
    <t>419-0003-2</t>
  </si>
  <si>
    <t>-</t>
  </si>
  <si>
    <t>419-0004-2</t>
  </si>
  <si>
    <t>419-0008-2</t>
  </si>
  <si>
    <t>419-0001-3</t>
  </si>
  <si>
    <t>419-0009-2</t>
  </si>
  <si>
    <t>419-0001-2</t>
  </si>
  <si>
    <t>Unclassified</t>
  </si>
  <si>
    <t>470-000-3</t>
  </si>
  <si>
    <t>470-0000-2</t>
  </si>
  <si>
    <t>471-0000-3</t>
  </si>
  <si>
    <t>471-0000-2</t>
  </si>
  <si>
    <t>474-0000-3</t>
  </si>
  <si>
    <t>474-0000-2</t>
  </si>
  <si>
    <t>474-0001-3</t>
  </si>
  <si>
    <t>474-0001-2</t>
  </si>
  <si>
    <t>472-0000-3</t>
  </si>
  <si>
    <t>472-0000-2</t>
  </si>
  <si>
    <t>421-0000-2</t>
  </si>
  <si>
    <t>421-0002-2</t>
  </si>
  <si>
    <t>414-0000-3</t>
  </si>
  <si>
    <t>414-0000-2</t>
  </si>
  <si>
    <t>Notes</t>
  </si>
  <si>
    <t>Data from 2023 Financials - Water Division Revenue &amp; Expenses FINAL.pdf</t>
  </si>
  <si>
    <t>Data from 2023 Financials - Sewer Division Revenue &amp; Expenses FINAL.pdf</t>
  </si>
  <si>
    <t>Water &amp; Sewer System Expense Allocation</t>
  </si>
  <si>
    <t>Test Year</t>
  </si>
  <si>
    <t>#</t>
  </si>
  <si>
    <t>Source</t>
  </si>
  <si>
    <t>601-1001-3</t>
  </si>
  <si>
    <t>601-1001-2</t>
  </si>
  <si>
    <t>601-2002-3</t>
  </si>
  <si>
    <t>601-2002-2</t>
  </si>
  <si>
    <t>604-1001-3</t>
  </si>
  <si>
    <t>604-1001-2</t>
  </si>
  <si>
    <t>615-5001-3</t>
  </si>
  <si>
    <t>615-5001-2</t>
  </si>
  <si>
    <t>615-1021-2</t>
  </si>
  <si>
    <t>620-1001-3</t>
  </si>
  <si>
    <t>620-1001-2</t>
  </si>
  <si>
    <t>620-2002-3</t>
  </si>
  <si>
    <t>620-2002-2</t>
  </si>
  <si>
    <t>631-1001-3</t>
  </si>
  <si>
    <t>631-1001-2</t>
  </si>
  <si>
    <t>632-1001-3</t>
  </si>
  <si>
    <t>632-1001-2</t>
  </si>
  <si>
    <t>632-2002-3</t>
  </si>
  <si>
    <t>632-2002-2</t>
  </si>
  <si>
    <t>633-1001-3</t>
  </si>
  <si>
    <t>633-1001-2</t>
  </si>
  <si>
    <t>633-2002-3</t>
  </si>
  <si>
    <t>633-2002-2</t>
  </si>
  <si>
    <t>635-1001-3</t>
  </si>
  <si>
    <t>635-1001-2</t>
  </si>
  <si>
    <t>635-1021-3</t>
  </si>
  <si>
    <t>635-1021-2</t>
  </si>
  <si>
    <t>635-2002-3</t>
  </si>
  <si>
    <t>635-2002-2</t>
  </si>
  <si>
    <t>641-1001-3</t>
  </si>
  <si>
    <t>641-1001-2</t>
  </si>
  <si>
    <t>650-1001-3</t>
  </si>
  <si>
    <t>650-1001-2</t>
  </si>
  <si>
    <t>650-2002-3</t>
  </si>
  <si>
    <t>650-2002-2</t>
  </si>
  <si>
    <t>657-1001-3</t>
  </si>
  <si>
    <t>657-1001-2</t>
  </si>
  <si>
    <t>659-1001-3</t>
  </si>
  <si>
    <t>659-1001-2</t>
  </si>
  <si>
    <t>675-1001-3</t>
  </si>
  <si>
    <t>675-1001-2</t>
  </si>
  <si>
    <t>675-2002-3</t>
  </si>
  <si>
    <t>675-2002-2</t>
  </si>
  <si>
    <t>610-1001-3</t>
  </si>
  <si>
    <t>610-1001-2</t>
  </si>
  <si>
    <t>610-1100-3</t>
  </si>
  <si>
    <t>610-1100-2</t>
  </si>
  <si>
    <t>615-3001-2</t>
  </si>
  <si>
    <t>Transmission &amp; Distribution</t>
  </si>
  <si>
    <t>601-5001-3</t>
  </si>
  <si>
    <t>601-5001-2</t>
  </si>
  <si>
    <t>601-6002-3</t>
  </si>
  <si>
    <t>601-6002-2</t>
  </si>
  <si>
    <t>604-5001-3</t>
  </si>
  <si>
    <t>604-5001-2</t>
  </si>
  <si>
    <t>604-6001-3</t>
  </si>
  <si>
    <t>604-6001-2</t>
  </si>
  <si>
    <t>615-5002-2</t>
  </si>
  <si>
    <t>620-5001-3</t>
  </si>
  <si>
    <t>620-5001-2</t>
  </si>
  <si>
    <t>620-6002-3</t>
  </si>
  <si>
    <t>620-6002-2</t>
  </si>
  <si>
    <t>632-5001-3</t>
  </si>
  <si>
    <t>632-5001-2</t>
  </si>
  <si>
    <t>632-6002-3</t>
  </si>
  <si>
    <t>632-6002-2</t>
  </si>
  <si>
    <t>633-5001-3</t>
  </si>
  <si>
    <t>633-5001-2</t>
  </si>
  <si>
    <t>633-6002-3</t>
  </si>
  <si>
    <t>633-6002-2</t>
  </si>
  <si>
    <t>635-5001-3</t>
  </si>
  <si>
    <t>635-5001-2</t>
  </si>
  <si>
    <t>635-6002-3</t>
  </si>
  <si>
    <t>635-6002-2</t>
  </si>
  <si>
    <t>641-5001-3</t>
  </si>
  <si>
    <t>641-5001-2</t>
  </si>
  <si>
    <t>641-5031-3</t>
  </si>
  <si>
    <t>641-5031-2</t>
  </si>
  <si>
    <t>650-5001-3</t>
  </si>
  <si>
    <t>650-5001-2</t>
  </si>
  <si>
    <t>650-6002-3</t>
  </si>
  <si>
    <t>650-6002-2</t>
  </si>
  <si>
    <t>657-5001-3</t>
  </si>
  <si>
    <t>657-5001-2</t>
  </si>
  <si>
    <t>659-5001-3</t>
  </si>
  <si>
    <t>659-5001-2</t>
  </si>
  <si>
    <t>675-5001-3</t>
  </si>
  <si>
    <t>675-5001-2</t>
  </si>
  <si>
    <t>675-6002-3</t>
  </si>
  <si>
    <t>675-6002-2</t>
  </si>
  <si>
    <t>618-6002-3</t>
  </si>
  <si>
    <t>635-4002-3</t>
  </si>
  <si>
    <t>635-4002-2</t>
  </si>
  <si>
    <t>COLA 3.241% + 2% Merit increase, Depreciation- Developments</t>
  </si>
  <si>
    <t>Depreciation- Developments</t>
  </si>
  <si>
    <t>Customer Accounts</t>
  </si>
  <si>
    <t>601-7001-3</t>
  </si>
  <si>
    <t>601-7001-2</t>
  </si>
  <si>
    <t>COLA 3.241% + 2% Merit increase, New Employee Salaries</t>
  </si>
  <si>
    <t>604-7001-3</t>
  </si>
  <si>
    <t>604-7001-2</t>
  </si>
  <si>
    <t>620-7001-3</t>
  </si>
  <si>
    <t>620-7001-2</t>
  </si>
  <si>
    <t>631-7001-3</t>
  </si>
  <si>
    <t>631-7001-2</t>
  </si>
  <si>
    <t>632-7001-3</t>
  </si>
  <si>
    <t>632-7001-2</t>
  </si>
  <si>
    <t>633-7001-3</t>
  </si>
  <si>
    <t>633-7001-2</t>
  </si>
  <si>
    <t>635-7001-3</t>
  </si>
  <si>
    <t>635-7001-2</t>
  </si>
  <si>
    <t>641-7001-3</t>
  </si>
  <si>
    <t>641-7001-2</t>
  </si>
  <si>
    <t>641-7011-3</t>
  </si>
  <si>
    <t>641-7011-2</t>
  </si>
  <si>
    <t>650-7001-3</t>
  </si>
  <si>
    <t>650-7001-2</t>
  </si>
  <si>
    <t>657-7001-3</t>
  </si>
  <si>
    <t>657-7001-2</t>
  </si>
  <si>
    <t>675-7001-3</t>
  </si>
  <si>
    <t>675-7001-2</t>
  </si>
  <si>
    <t>COLA 3.241% + 2% Merit increase, CSR Wages</t>
  </si>
  <si>
    <t xml:space="preserve"> CSR Wages</t>
  </si>
  <si>
    <t xml:space="preserve">Admin &amp; General </t>
  </si>
  <si>
    <t>601-8001-3</t>
  </si>
  <si>
    <t>601-8001-2</t>
  </si>
  <si>
    <t xml:space="preserve">COLA 3.241% + 2% Merit increase, New Employees </t>
  </si>
  <si>
    <t>604-8001-3</t>
  </si>
  <si>
    <t>604-8001-2</t>
  </si>
  <si>
    <t>COLA 3.241% + 2% Merit increase</t>
  </si>
  <si>
    <t>620-8001-3</t>
  </si>
  <si>
    <t>620-8001-2</t>
  </si>
  <si>
    <t>632-8001-3</t>
  </si>
  <si>
    <t>632-8001-2</t>
  </si>
  <si>
    <t>633-8001-3</t>
  </si>
  <si>
    <t>633-8001-2</t>
  </si>
  <si>
    <t>635-8001-3</t>
  </si>
  <si>
    <t>635-8001-2</t>
  </si>
  <si>
    <t>641-8001-3</t>
  </si>
  <si>
    <t>641-8001-2</t>
  </si>
  <si>
    <t>650-8001-3</t>
  </si>
  <si>
    <t>650-8001-2</t>
  </si>
  <si>
    <t>657-8001-3</t>
  </si>
  <si>
    <t>657-8001-2</t>
  </si>
  <si>
    <t>659-8001-3</t>
  </si>
  <si>
    <t>659-8001-2</t>
  </si>
  <si>
    <t>675-8001-3</t>
  </si>
  <si>
    <t>675-8001-2</t>
  </si>
  <si>
    <t>675-8011-3</t>
  </si>
  <si>
    <t>675-8011-2</t>
  </si>
  <si>
    <t>604-8011-3</t>
  </si>
  <si>
    <t>604-8011-2</t>
  </si>
  <si>
    <t>New Employees</t>
  </si>
  <si>
    <t>604-8200-3</t>
  </si>
  <si>
    <t>604-8200-2</t>
  </si>
  <si>
    <t>615-5011-3</t>
  </si>
  <si>
    <t>615-5011-2</t>
  </si>
  <si>
    <t>615-7001-2</t>
  </si>
  <si>
    <t>415-0000-2</t>
  </si>
  <si>
    <t>416-0000-3</t>
  </si>
  <si>
    <t>408-0000-3</t>
  </si>
  <si>
    <t>408-0000-2</t>
  </si>
  <si>
    <t>670-7001-3</t>
  </si>
  <si>
    <t>670-7001-2</t>
  </si>
  <si>
    <t>670-7010-3</t>
  </si>
  <si>
    <t>675-7021-3</t>
  </si>
  <si>
    <t>675-7021-2</t>
  </si>
  <si>
    <t>675-7025-3</t>
  </si>
  <si>
    <t>675-7025-2</t>
  </si>
  <si>
    <t>421-0000-3</t>
  </si>
  <si>
    <t>421-0001-3</t>
  </si>
  <si>
    <t>421-0001-2</t>
  </si>
  <si>
    <t>426-0000-3</t>
  </si>
  <si>
    <t>426-0000-2</t>
  </si>
  <si>
    <t>Depreciation Expense</t>
  </si>
  <si>
    <t>403-3041-3</t>
  </si>
  <si>
    <t>403-3043-3</t>
  </si>
  <si>
    <t>403-3043-2</t>
  </si>
  <si>
    <t xml:space="preserve">Depreciation-Developments </t>
  </si>
  <si>
    <t>403-3044-3</t>
  </si>
  <si>
    <t>403-3112-3</t>
  </si>
  <si>
    <t>403-3112-2</t>
  </si>
  <si>
    <t>403-3304-3</t>
  </si>
  <si>
    <t>403-3304-2</t>
  </si>
  <si>
    <t>403-3314-3</t>
  </si>
  <si>
    <t>403-3314-2</t>
  </si>
  <si>
    <t>Depreciation-Developments, Transpark 2 Upgrade</t>
  </si>
  <si>
    <t>403-3324-3</t>
  </si>
  <si>
    <t>403-3324-2</t>
  </si>
  <si>
    <t>Depreciation- SCADA Upgrade</t>
  </si>
  <si>
    <t>403-3334-3</t>
  </si>
  <si>
    <t>403-3334-2</t>
  </si>
  <si>
    <t>403-3344-3</t>
  </si>
  <si>
    <t>403-3344-2</t>
  </si>
  <si>
    <t>403-3345-3</t>
  </si>
  <si>
    <t>403-3345-2</t>
  </si>
  <si>
    <t>MCO</t>
  </si>
  <si>
    <t>403-3354-3</t>
  </si>
  <si>
    <t>403-3354-2</t>
  </si>
  <si>
    <t>403-3392-3</t>
  </si>
  <si>
    <t>403-3392-2</t>
  </si>
  <si>
    <t>403-3400-3</t>
  </si>
  <si>
    <t>403-3400-2</t>
  </si>
  <si>
    <t>Billing Software</t>
  </si>
  <si>
    <t>403-3401-3</t>
  </si>
  <si>
    <t>403-3401-2</t>
  </si>
  <si>
    <t>403-3402-3</t>
  </si>
  <si>
    <t>403-3402-2</t>
  </si>
  <si>
    <t>403-3405-3</t>
  </si>
  <si>
    <t>403-3405-2</t>
  </si>
  <si>
    <t>403-3415-3</t>
  </si>
  <si>
    <t>403-3435-2</t>
  </si>
  <si>
    <t>403-3435-3</t>
  </si>
  <si>
    <t>403-3465-3</t>
  </si>
  <si>
    <t>403-3465-2</t>
  </si>
  <si>
    <t>403-9000-3</t>
  </si>
  <si>
    <t>403-9000-2</t>
  </si>
  <si>
    <t>403-3044-2</t>
  </si>
  <si>
    <t>Depreciation- Transpark 2 Tank</t>
  </si>
  <si>
    <t>403-3047-2</t>
  </si>
  <si>
    <t>403-3048-2</t>
  </si>
  <si>
    <t>403-3203-2</t>
  </si>
  <si>
    <t>403-3320-2</t>
  </si>
  <si>
    <t>403-3394-2</t>
  </si>
  <si>
    <t>427-3000-3</t>
  </si>
  <si>
    <t>427-3000-2</t>
  </si>
  <si>
    <t>427-3001-3</t>
  </si>
  <si>
    <t>427-3001-2</t>
  </si>
  <si>
    <t>427-3002-3</t>
  </si>
  <si>
    <t>427-3002-2</t>
  </si>
  <si>
    <t>427-3003-3</t>
  </si>
  <si>
    <t>427-3004-3</t>
  </si>
  <si>
    <t>427-3005-3</t>
  </si>
  <si>
    <t>427-3007-3</t>
  </si>
  <si>
    <t>427-3008-3</t>
  </si>
  <si>
    <t>427-3009-3</t>
  </si>
  <si>
    <t>427-3010-3</t>
  </si>
  <si>
    <t>427-3023-3</t>
  </si>
  <si>
    <t>427-3025-3</t>
  </si>
  <si>
    <t>427-3040-3</t>
  </si>
  <si>
    <t>427-4005-3</t>
  </si>
  <si>
    <t>427-5010-3</t>
  </si>
  <si>
    <t>429-1007-3</t>
  </si>
  <si>
    <t>429-1025-3</t>
  </si>
  <si>
    <t>427-3003-2</t>
  </si>
  <si>
    <t>427-3004-2</t>
  </si>
  <si>
    <t>427-3005-2</t>
  </si>
  <si>
    <t>427-3006-2</t>
  </si>
  <si>
    <t>427-3007-2</t>
  </si>
  <si>
    <t>427-3008-2</t>
  </si>
  <si>
    <t>427-3009-2</t>
  </si>
  <si>
    <t>427-3010-2</t>
  </si>
  <si>
    <t>427-3011-2</t>
  </si>
  <si>
    <t>427-3012-2</t>
  </si>
  <si>
    <t>427-3013-2</t>
  </si>
  <si>
    <t>427-3014-2</t>
  </si>
  <si>
    <t>427-3020-2</t>
  </si>
  <si>
    <t>427-3036-2</t>
  </si>
  <si>
    <t>427-4005-2</t>
  </si>
  <si>
    <t>427-5010-2</t>
  </si>
  <si>
    <t>429-1004-2</t>
  </si>
  <si>
    <t>429-1005-2</t>
  </si>
  <si>
    <t>429-1006-2</t>
  </si>
  <si>
    <t>429-1007-2</t>
  </si>
  <si>
    <t>429-1008-2</t>
  </si>
  <si>
    <t>429-1036-2</t>
  </si>
  <si>
    <t>428-0000-3</t>
  </si>
  <si>
    <t>428-0000-2</t>
  </si>
  <si>
    <t>428-1000-2</t>
  </si>
  <si>
    <t>428-1025-3</t>
  </si>
  <si>
    <t>428-1036-2</t>
  </si>
  <si>
    <t>428-2000-3</t>
  </si>
  <si>
    <t>428-2000-2</t>
  </si>
  <si>
    <t>604-8300-3</t>
  </si>
  <si>
    <t>604-8300-2</t>
  </si>
  <si>
    <t>Debt principal &amp; interest- WATER LT Debt Schedule.xlsx</t>
  </si>
  <si>
    <t>Debt principal &amp; interest- SEWER LT Debt Schedule.xlsx</t>
  </si>
  <si>
    <t>Employee Overhead Allocation- Employee Overhead Rate- Adjusted.xlsx</t>
  </si>
  <si>
    <t>Sewer Depreciation Adjustments- WC Known Measurables.xlsx- Developments-S, SCADA Upgrade, CIS Infinity Upgrade</t>
  </si>
  <si>
    <t>Water Depreciation Adjustments- WC Known Measurables.xlsx- Developments-W, Transpark 2 Upgrade, Transpark 2 Tank, SCADA Upgrade, CIS Infinity Upgrade, MCO Program</t>
  </si>
  <si>
    <t>Cost of Living Adjustment- See Cost of Living History.xlsx</t>
  </si>
  <si>
    <t>Monthly Gallons Disposed</t>
  </si>
  <si>
    <t>Total Disposed</t>
  </si>
  <si>
    <t>January '23</t>
  </si>
  <si>
    <t>February '23</t>
  </si>
  <si>
    <t>March '23</t>
  </si>
  <si>
    <t>April '23</t>
  </si>
  <si>
    <t>May '23</t>
  </si>
  <si>
    <t>June '23</t>
  </si>
  <si>
    <t>July '23</t>
  </si>
  <si>
    <t>August '23</t>
  </si>
  <si>
    <t>September '23</t>
  </si>
  <si>
    <t>October '23</t>
  </si>
  <si>
    <t>November '23</t>
  </si>
  <si>
    <t>December '23</t>
  </si>
  <si>
    <t xml:space="preserve">Average </t>
  </si>
  <si>
    <t>Peak Day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</si>
  <si>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Measured in gallons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</si>
  <si>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Data from 2023 Monthly Sales &amp; Disposal - Sewer.pdf</t>
    </r>
  </si>
  <si>
    <t>Industrial</t>
  </si>
  <si>
    <t>Commercial</t>
  </si>
  <si>
    <t>Residential</t>
  </si>
  <si>
    <t>Smiths Grove</t>
  </si>
  <si>
    <t>Monthly Sales for Test Year</t>
  </si>
  <si>
    <t>Days per Month</t>
  </si>
  <si>
    <t>IN 5/8</t>
  </si>
  <si>
    <t>IN 1</t>
  </si>
  <si>
    <t>IN 1.5</t>
  </si>
  <si>
    <t>IN 2</t>
  </si>
  <si>
    <t>IN 3</t>
  </si>
  <si>
    <t>IN 4</t>
  </si>
  <si>
    <t>IN 6</t>
  </si>
  <si>
    <t>Industrial Sub-Total</t>
  </si>
  <si>
    <t>CH- 5/8</t>
  </si>
  <si>
    <t>CH- 1</t>
  </si>
  <si>
    <t>CH- 1.5</t>
  </si>
  <si>
    <t>CH- 2</t>
  </si>
  <si>
    <t>CO- 5/8</t>
  </si>
  <si>
    <t>CO- 1</t>
  </si>
  <si>
    <t>CO 1.5</t>
  </si>
  <si>
    <t>CO 2</t>
  </si>
  <si>
    <t>CO 3</t>
  </si>
  <si>
    <t>CO 4</t>
  </si>
  <si>
    <t>GO- 5/8</t>
  </si>
  <si>
    <t>GO 1</t>
  </si>
  <si>
    <t>GO- 1.5</t>
  </si>
  <si>
    <t>GO- 2</t>
  </si>
  <si>
    <t>GO 3</t>
  </si>
  <si>
    <t>GO- 4</t>
  </si>
  <si>
    <t>MF- 5/8</t>
  </si>
  <si>
    <t>MF- 1</t>
  </si>
  <si>
    <t>MF- 1.5</t>
  </si>
  <si>
    <t>MF 2</t>
  </si>
  <si>
    <t>MF- 3</t>
  </si>
  <si>
    <t>MD- 5/8</t>
  </si>
  <si>
    <t>MD- 1</t>
  </si>
  <si>
    <t>MD- 2</t>
  </si>
  <si>
    <t>MD- 3</t>
  </si>
  <si>
    <t>Commercial Sub-Total</t>
  </si>
  <si>
    <t>RE- 5/8</t>
  </si>
  <si>
    <t xml:space="preserve">RE- 1 </t>
  </si>
  <si>
    <t>RE- 2</t>
  </si>
  <si>
    <t>RN- 5/8</t>
  </si>
  <si>
    <t>RN- 1</t>
  </si>
  <si>
    <t>Residential Sub-Total</t>
  </si>
  <si>
    <t>SG- 5/8</t>
  </si>
  <si>
    <t>SG- 1</t>
  </si>
  <si>
    <t>SG- 2</t>
  </si>
  <si>
    <t>Smiths Grove Sub-Total</t>
  </si>
  <si>
    <t>% of Total</t>
  </si>
  <si>
    <t>Largest Monthly Value</t>
  </si>
  <si>
    <t>Maximum Day</t>
  </si>
  <si>
    <t>Maximum Day %</t>
  </si>
  <si>
    <t>Average Day</t>
  </si>
  <si>
    <t xml:space="preserve">Meter </t>
  </si>
  <si>
    <t>Gallons</t>
  </si>
  <si>
    <t>Average Gallons/ Month</t>
  </si>
  <si>
    <t>Data from Billing Analysis 2023 - Sewer.xlsx</t>
  </si>
  <si>
    <t>Total Gallons Collected</t>
  </si>
  <si>
    <t>Notes: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</si>
  <si>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Data from 2023 Monthly Sales &amp; Disposal</t>
    </r>
  </si>
  <si>
    <t>Water System Cost of Service by Function for Test Year</t>
  </si>
  <si>
    <t>Test Year Adjusted</t>
  </si>
  <si>
    <t>Service Function</t>
  </si>
  <si>
    <t>Base</t>
  </si>
  <si>
    <t>Customer Costs</t>
  </si>
  <si>
    <t>AD</t>
  </si>
  <si>
    <t>ADM</t>
  </si>
  <si>
    <t>Data adjusted from WCWD Revenue &amp; Expenses Detail- Sewer</t>
  </si>
  <si>
    <t>Admin &amp; General</t>
  </si>
  <si>
    <r>
      <t>Test Year Amount</t>
    </r>
    <r>
      <rPr>
        <b/>
        <vertAlign val="superscript"/>
        <sz val="10"/>
        <rFont val="Arial"/>
        <family val="2"/>
      </rPr>
      <t>1</t>
    </r>
  </si>
  <si>
    <t>Commerical</t>
  </si>
  <si>
    <t>Percent</t>
  </si>
  <si>
    <t>Allocated from 2023 Financials - Sewer Division Revenue &amp; Expenses Final.pdf</t>
  </si>
  <si>
    <t>Allocation Methods</t>
  </si>
  <si>
    <t>GPD</t>
  </si>
  <si>
    <t>GPM</t>
  </si>
  <si>
    <t>Allocation Factors Based on Expense Type for Service Functions</t>
  </si>
  <si>
    <t>Max Day / Extra Capacity</t>
  </si>
  <si>
    <t>Avg Day Only</t>
  </si>
  <si>
    <t>Avg Day + Max Day</t>
  </si>
  <si>
    <t>CC</t>
  </si>
  <si>
    <t>Test Year - User Allocations for Service Functions (Distribution)</t>
  </si>
  <si>
    <t>Churches &amp; Community Center</t>
  </si>
  <si>
    <t>Government</t>
  </si>
  <si>
    <t>Multi-Family Non Domicile (MF)</t>
  </si>
  <si>
    <t>Multi-Family Domicile (MD)</t>
  </si>
  <si>
    <t>Residential Non-Domicile (RN)</t>
  </si>
  <si>
    <t>Residential Domicile (RE)</t>
  </si>
  <si>
    <t>Customer Class</t>
  </si>
  <si>
    <t>Caculated from Billing Analysis 2023 - Sewer.xlsx</t>
  </si>
  <si>
    <t>Test Year Financial Summary</t>
  </si>
  <si>
    <t>Cost of Service</t>
  </si>
  <si>
    <t>Sewer Sales Revenue</t>
  </si>
  <si>
    <t>Other Revenues</t>
  </si>
  <si>
    <t>Total Revenue</t>
  </si>
  <si>
    <t>Surplus / (Deficit)</t>
  </si>
  <si>
    <t>Potential Rate Increase</t>
  </si>
  <si>
    <t>Total revenues w/ Rate Increase</t>
  </si>
  <si>
    <t>Revenue Per Proposed Rate</t>
  </si>
  <si>
    <t>Amount</t>
  </si>
  <si>
    <t>%</t>
  </si>
  <si>
    <t>Approx. Current Rate</t>
  </si>
  <si>
    <t>Proposed Rate</t>
  </si>
  <si>
    <t>Surplus (Deficit)</t>
  </si>
  <si>
    <t>WCWD</t>
  </si>
  <si>
    <t>Test Year Financial Summary (Values Per 1,000 Gallons Sold)</t>
  </si>
  <si>
    <t>Cost of Service per 1,000 gallons sold</t>
  </si>
  <si>
    <t>Water Sales Revenue per 1,000 gallons sold</t>
  </si>
  <si>
    <t>Surplus / (Deficit) per 1,000 gallons sold</t>
  </si>
  <si>
    <t>Approx. Current Bill per 1000 gal</t>
  </si>
  <si>
    <t>Revenue Based on Sales</t>
  </si>
  <si>
    <t>Revenue Based on Sales minus Cost of Service</t>
  </si>
  <si>
    <t>From Billing Analysis 2023- Sewer Summary</t>
  </si>
  <si>
    <t xml:space="preserve">From billing </t>
  </si>
  <si>
    <t>From Line Items</t>
  </si>
  <si>
    <t>WC</t>
  </si>
  <si>
    <t>SG</t>
  </si>
  <si>
    <t>Line Items</t>
  </si>
  <si>
    <t>Ratio</t>
  </si>
  <si>
    <t>Revenue</t>
  </si>
  <si>
    <t>Warren County Water District Approximate Revenue Changes</t>
  </si>
  <si>
    <t>Monthly (Test Year)</t>
  </si>
  <si>
    <t>Monthly (Test Year w/ Defined Adjustments)</t>
  </si>
  <si>
    <t>Total Annual Revenue (Test Year w/ Defined Adjustments)</t>
  </si>
  <si>
    <t>Annual Defined Adjusted Revenue</t>
  </si>
  <si>
    <t>Rate per 1,000 gals</t>
  </si>
  <si>
    <t>Average Sewer Bill</t>
  </si>
  <si>
    <t>Industrial Approximate Sales Changes</t>
  </si>
  <si>
    <r>
      <t>Test Year</t>
    </r>
    <r>
      <rPr>
        <b/>
        <vertAlign val="superscript"/>
        <sz val="10"/>
        <rFont val="Arial"/>
        <family val="2"/>
      </rPr>
      <t xml:space="preserve"> 2</t>
    </r>
  </si>
  <si>
    <t>Test Year with Defined Adjustments (gal)</t>
  </si>
  <si>
    <r>
      <t>Defined Adjustment (gal)</t>
    </r>
    <r>
      <rPr>
        <b/>
        <vertAlign val="superscript"/>
        <sz val="10"/>
        <rFont val="Arial"/>
        <family val="2"/>
      </rPr>
      <t xml:space="preserve"> 4</t>
    </r>
  </si>
  <si>
    <t>Average Monthly Usage (gal)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</si>
  <si>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</si>
  <si>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</si>
  <si>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</si>
  <si>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</si>
  <si>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</si>
  <si>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</si>
  <si>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</si>
  <si>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</si>
  <si>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</si>
  <si>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</si>
  <si>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</si>
  <si>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</si>
  <si>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Average Annual Usage</t>
  </si>
  <si>
    <r>
      <t xml:space="preserve">$ / 1000 gallons (rounded) </t>
    </r>
    <r>
      <rPr>
        <b/>
        <vertAlign val="superscript"/>
        <sz val="10"/>
        <rFont val="Arial"/>
        <family val="2"/>
      </rPr>
      <t>3</t>
    </r>
  </si>
  <si>
    <t>Monthly Reduction</t>
  </si>
  <si>
    <r>
      <t xml:space="preserve">Annual Expense Adjustment </t>
    </r>
    <r>
      <rPr>
        <b/>
        <vertAlign val="superscript"/>
        <sz val="10"/>
        <rFont val="Arial"/>
        <family val="2"/>
      </rPr>
      <t>5</t>
    </r>
  </si>
  <si>
    <t>Chemical Supplies</t>
  </si>
  <si>
    <t>Total Expenses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</si>
  <si>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Test Year with Defined Adjustments data from Warren County for 2023.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</si>
  <si>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Data from Warren County for FY 23. 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</si>
  <si>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Calculated as utility expense divided by Monthly Modified Sewer Sales from Appendix 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</si>
  <si>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Calculated as difference in Test Year w/ Defined Adjustments and Test Year.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</si>
  <si>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Calculated as Average Annual Usage multiplied by expense cost per 1000 gallons. </t>
    </r>
  </si>
  <si>
    <t>Monthly Sales for Test Year Adjusted</t>
  </si>
  <si>
    <t>Flow Adjustment</t>
  </si>
  <si>
    <t xml:space="preserve">RE 1 </t>
  </si>
  <si>
    <t>Maximum Month</t>
  </si>
  <si>
    <t>Test Year Adjusted - User Allocations for Service Functions (Distribution)</t>
  </si>
  <si>
    <t>Multi-Family Non Domicile</t>
  </si>
  <si>
    <t>Multi-Family Domicile</t>
  </si>
  <si>
    <t>Residential Non-Domicile</t>
  </si>
  <si>
    <t>Residential Domicile</t>
  </si>
  <si>
    <t>Caculated from 2023 Monthly Sales &amp; Disposal - Sewer</t>
  </si>
  <si>
    <t>Water System Cost of Service by Function for Test Year Adjusted</t>
  </si>
  <si>
    <t>Legal fee, HDR fees, Publication Costs (Distributed over 3 years)</t>
  </si>
  <si>
    <t>20% Debt Service Coverage</t>
  </si>
  <si>
    <t>Allocated from  2023 Financials - Sewer Division Revenue &amp; Expenses Final.pdf</t>
  </si>
  <si>
    <t>Test Year Adjusted Financial Summary</t>
  </si>
  <si>
    <t>Total Revenues w/ Rate Increase</t>
  </si>
  <si>
    <t>Operating Revenues</t>
  </si>
  <si>
    <t>Adjustments</t>
  </si>
  <si>
    <t>Ref.</t>
  </si>
  <si>
    <t>Pro Forma</t>
  </si>
  <si>
    <t>Other Sewer Revenues</t>
  </si>
  <si>
    <t>Forfeited Discounts</t>
  </si>
  <si>
    <t>Misc. Service Revenues</t>
  </si>
  <si>
    <t>Total Operating Revenues</t>
  </si>
  <si>
    <t>Salaries and Wages- Employees</t>
  </si>
  <si>
    <t>A</t>
  </si>
  <si>
    <t>COLA</t>
  </si>
  <si>
    <t>Merit</t>
  </si>
  <si>
    <t>New employees</t>
  </si>
  <si>
    <t>Comissioner Fees</t>
  </si>
  <si>
    <t>B</t>
  </si>
  <si>
    <t>Payroll Taxes</t>
  </si>
  <si>
    <t>Wages</t>
  </si>
  <si>
    <t>Worker's Comp</t>
  </si>
  <si>
    <t xml:space="preserve">Fringe Benefits- Insurance </t>
  </si>
  <si>
    <t>Retirement</t>
  </si>
  <si>
    <t>C</t>
  </si>
  <si>
    <t>Materials and Supplies</t>
  </si>
  <si>
    <t>Contractual Services- Accounting</t>
  </si>
  <si>
    <t>Contractual Services- Legal</t>
  </si>
  <si>
    <t>Contractual Services- Other</t>
  </si>
  <si>
    <t>Rental of Building/Real Prop.</t>
  </si>
  <si>
    <t>Equipment Expenses</t>
  </si>
  <si>
    <t>Insurance- Gen. Liability</t>
  </si>
  <si>
    <t>Bad Debt</t>
  </si>
  <si>
    <t>Miscellaneous Expenses</t>
  </si>
  <si>
    <t>Chemicals</t>
  </si>
  <si>
    <t>Misc Non-Utility Income</t>
  </si>
  <si>
    <t>Unrealized (Gain)/Loss on Investment</t>
  </si>
  <si>
    <t>Total Operation and Maint. Expenses</t>
  </si>
  <si>
    <t>Depreciation Expenses</t>
  </si>
  <si>
    <t>D</t>
  </si>
  <si>
    <t>Developments- Structures</t>
  </si>
  <si>
    <t>E</t>
  </si>
  <si>
    <t>Developments- Mains</t>
  </si>
  <si>
    <t>Developments- Meters</t>
  </si>
  <si>
    <t>SCADA Upgrade</t>
  </si>
  <si>
    <t>F</t>
  </si>
  <si>
    <t>CIS Infinity Upgrade</t>
  </si>
  <si>
    <t>G</t>
  </si>
  <si>
    <t xml:space="preserve">Taxes other than Income </t>
  </si>
  <si>
    <t>H</t>
  </si>
  <si>
    <t>Total Operating Expenses</t>
  </si>
  <si>
    <t xml:space="preserve">Net Utility Operating Income </t>
  </si>
  <si>
    <t>Revenue Requirements</t>
  </si>
  <si>
    <t xml:space="preserve">Pro Forma Operating Expenses </t>
  </si>
  <si>
    <t xml:space="preserve">Principal and Interest Payments </t>
  </si>
  <si>
    <t>I</t>
  </si>
  <si>
    <t>Additional working capital (DSC)</t>
  </si>
  <si>
    <t>J</t>
  </si>
  <si>
    <t>Rate Case Expense</t>
  </si>
  <si>
    <t>L</t>
  </si>
  <si>
    <t>Total Revenue Requirement</t>
  </si>
  <si>
    <t>Other Operating Revenue</t>
  </si>
  <si>
    <t xml:space="preserve">Interest Income </t>
  </si>
  <si>
    <t>Nonutility Income</t>
  </si>
  <si>
    <t>Revenue Required Fom Water Sales</t>
  </si>
  <si>
    <t>Revenue from Sales at Present Rates</t>
  </si>
  <si>
    <t>Surplus Revenue With Required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</si>
</sst>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"/>
    <numFmt numFmtId="167" formatCode="_(* #,##0_);_(* \(#,##0\);_(* &quot;-&quot;??_);_(@_)"/>
    <numFmt numFmtId="168" formatCode="&quot;$&quot;#,##0.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8"/>
      <name val="Arial"/>
      <family val="2"/>
    </font>
    <font>
      <sz val="10"/>
      <color rgb="FF7030A0"/>
      <name val="Arial"/>
      <family val="2"/>
    </font>
    <font>
      <i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i/>
      <sz val="10"/>
      <color theme="9"/>
      <name val="Arial"/>
      <family val="2"/>
    </font>
    <font>
      <sz val="11"/>
      <color theme="9"/>
      <name val="Calibri"/>
      <family val="2"/>
      <scheme val="minor"/>
    </font>
    <font>
      <sz val="10"/>
      <color theme="7"/>
      <name val="Arial"/>
      <family val="2"/>
    </font>
    <font>
      <sz val="11"/>
      <color theme="7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4"/>
      <name val="Arial"/>
      <family val="2"/>
    </font>
    <font>
      <b/>
      <vertAlign val="superscript"/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sz val="10"/>
      <color rgb="FF4298B5"/>
      <name val="Arial"/>
      <family val="2"/>
    </font>
    <font>
      <sz val="11"/>
      <color rgb="FF4298B5"/>
      <name val="Calibri"/>
      <family val="2"/>
      <scheme val="minor"/>
    </font>
    <font>
      <sz val="10"/>
      <color rgb="FFFFC600"/>
      <name val="Arial"/>
      <family val="2"/>
    </font>
    <font>
      <sz val="10"/>
      <color rgb="FF5D3754"/>
      <name val="Arial"/>
      <family val="2"/>
    </font>
    <font>
      <i/>
      <sz val="10"/>
      <color rgb="FF5D3754"/>
      <name val="Arial"/>
      <family val="2"/>
    </font>
    <font>
      <i/>
      <sz val="10"/>
      <color rgb="FF4A7729"/>
      <name val="Arial"/>
      <family val="2"/>
    </font>
    <font>
      <sz val="10"/>
      <color rgb="FF4A7729"/>
      <name val="Arial"/>
      <family val="2"/>
    </font>
    <font>
      <b/>
      <sz val="10"/>
      <color rgb="FFFFFFFF"/>
      <name val="Arial"/>
      <family val="2"/>
    </font>
    <font>
      <b/>
      <sz val="11"/>
      <color theme="1"/>
      <name val="Arial"/>
      <family val="2"/>
    </font>
    <font>
      <sz val="11"/>
      <color rgb="FF5D3754"/>
      <name val="Calibri"/>
      <family val="2"/>
      <scheme val="minor"/>
    </font>
    <font>
      <b/>
      <sz val="10"/>
      <color rgb="FF5D3754"/>
      <name val="Arial"/>
      <family val="2"/>
    </font>
    <font>
      <sz val="11"/>
      <color rgb="FF9C0006"/>
      <name val="Calibri"/>
      <family val="2"/>
      <scheme val="minor"/>
    </font>
    <font>
      <sz val="10"/>
      <color rgb="FFC00000"/>
      <name val="Arial"/>
      <family val="2"/>
    </font>
    <font>
      <sz val="11"/>
      <color rgb="FFC00000"/>
      <name val="Calibri"/>
      <family val="2"/>
      <scheme val="minor"/>
    </font>
    <font>
      <i/>
      <sz val="10"/>
      <color rgb="FFC00000"/>
      <name val="Arial"/>
      <family val="2"/>
    </font>
    <font>
      <b/>
      <sz val="10"/>
      <color rgb="FFC0000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1"/>
      <name val="Ariall"/>
    </font>
    <font>
      <sz val="10"/>
      <color theme="0"/>
      <name val="Calibri"/>
      <family val="2"/>
      <scheme val="minor"/>
    </font>
    <font>
      <vertAlign val="superscript"/>
      <sz val="10"/>
      <name val="Arial"/>
      <family val="2"/>
    </font>
    <font>
      <sz val="11"/>
      <color theme="1"/>
      <name val="Arial"/>
      <family val="2"/>
    </font>
    <font>
      <sz val="11"/>
      <color theme="6"/>
      <name val="Arial"/>
      <family val="2"/>
    </font>
    <font>
      <sz val="11"/>
      <color theme="0"/>
      <name val="Arial"/>
      <family val="2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87722"/>
        <bgColor indexed="64"/>
      </patternFill>
    </fill>
    <fill>
      <patternFill patternType="solid">
        <fgColor rgb="FFFFC600"/>
        <bgColor indexed="64"/>
      </patternFill>
    </fill>
    <fill>
      <patternFill patternType="solid">
        <fgColor rgb="FFFFEB9C"/>
      </patternFill>
    </fill>
    <fill>
      <patternFill patternType="solid">
        <fgColor rgb="FF5D3754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rgb="FFA72B2A"/>
        <bgColor indexed="64"/>
      </patternFill>
    </fill>
    <fill>
      <patternFill patternType="solid">
        <fgColor rgb="FFC00000"/>
        <bgColor indexed="64"/>
      </patternFill>
    </fill>
    <fill>
      <patternFill patternType="lightTrellis"/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6" fontId="2" fillId="0" borderId="8" applyFont="0" applyBorder="0">
      <alignment horizontal="center"/>
    </xf>
    <xf numFmtId="43" fontId="1" fillId="0" borderId="0" applyFont="0" applyFill="0" applyBorder="0" applyAlignment="0" applyProtection="0"/>
    <xf numFmtId="0" fontId="28" fillId="0" borderId="0" applyNumberFormat="0" applyBorder="0" applyAlignment="0"/>
    <xf numFmtId="0" fontId="29" fillId="0" borderId="0" applyNumberFormat="0" applyBorder="0" applyAlignment="0"/>
    <xf numFmtId="0" fontId="30" fillId="6" borderId="0" applyNumberFormat="0" applyBorder="0" applyAlignment="0" applyProtection="0"/>
    <xf numFmtId="0" fontId="42" fillId="8" borderId="0" applyNumberFormat="0" applyBorder="0" applyAlignment="0" applyProtection="0"/>
  </cellStyleXfs>
  <cellXfs count="945">
    <xf numFmtId="0" fontId="0" fillId="0" borderId="0" xfId="0"/>
    <xf numFmtId="0" fontId="3" fillId="0" borderId="1" xfId="2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165" fontId="6" fillId="0" borderId="0" xfId="2" applyNumberFormat="1" applyFont="1" applyAlignment="1">
      <alignment horizontal="center"/>
    </xf>
    <xf numFmtId="165" fontId="6" fillId="0" borderId="11" xfId="2" applyNumberFormat="1" applyFont="1" applyBorder="1" applyAlignment="1">
      <alignment horizontal="center"/>
    </xf>
    <xf numFmtId="0" fontId="0" fillId="0" borderId="4" xfId="0" applyBorder="1"/>
    <xf numFmtId="0" fontId="3" fillId="0" borderId="15" xfId="2" applyFont="1" applyBorder="1" applyAlignment="1">
      <alignment horizontal="center" vertical="center"/>
    </xf>
    <xf numFmtId="0" fontId="0" fillId="0" borderId="5" xfId="0" applyBorder="1"/>
    <xf numFmtId="0" fontId="2" fillId="0" borderId="6" xfId="2" applyBorder="1" applyAlignment="1">
      <alignment horizontal="center" wrapText="1"/>
    </xf>
    <xf numFmtId="0" fontId="2" fillId="0" borderId="12" xfId="2" applyBorder="1" applyAlignment="1">
      <alignment horizontal="center" wrapText="1"/>
    </xf>
    <xf numFmtId="164" fontId="7" fillId="0" borderId="6" xfId="2" applyNumberFormat="1" applyFont="1" applyBorder="1" applyAlignment="1">
      <alignment horizontal="center"/>
    </xf>
    <xf numFmtId="164" fontId="8" fillId="0" borderId="6" xfId="2" applyNumberFormat="1" applyFont="1" applyBorder="1" applyAlignment="1">
      <alignment horizontal="center"/>
    </xf>
    <xf numFmtId="164" fontId="8" fillId="0" borderId="12" xfId="2" applyNumberFormat="1" applyFont="1" applyBorder="1" applyAlignment="1">
      <alignment horizontal="center"/>
    </xf>
    <xf numFmtId="164" fontId="10" fillId="0" borderId="5" xfId="2" applyNumberFormat="1" applyFont="1" applyBorder="1" applyAlignment="1">
      <alignment horizontal="center"/>
    </xf>
    <xf numFmtId="0" fontId="3" fillId="2" borderId="18" xfId="2" applyFont="1" applyFill="1" applyBorder="1" applyAlignment="1">
      <alignment horizontal="center"/>
    </xf>
    <xf numFmtId="0" fontId="0" fillId="0" borderId="6" xfId="0" applyBorder="1"/>
    <xf numFmtId="44" fontId="0" fillId="0" borderId="0" xfId="1" applyFont="1" applyBorder="1"/>
    <xf numFmtId="0" fontId="2" fillId="0" borderId="4" xfId="2" applyBorder="1" applyAlignment="1">
      <alignment horizontal="center" wrapText="1"/>
    </xf>
    <xf numFmtId="164" fontId="10" fillId="0" borderId="10" xfId="2" applyNumberFormat="1" applyFont="1" applyBorder="1" applyAlignment="1">
      <alignment horizontal="center"/>
    </xf>
    <xf numFmtId="0" fontId="2" fillId="0" borderId="20" xfId="2" applyBorder="1"/>
    <xf numFmtId="0" fontId="2" fillId="0" borderId="2" xfId="2" applyBorder="1"/>
    <xf numFmtId="0" fontId="2" fillId="0" borderId="16" xfId="2" applyBorder="1"/>
    <xf numFmtId="0" fontId="0" fillId="0" borderId="0" xfId="0" applyAlignment="1">
      <alignment horizontal="center"/>
    </xf>
    <xf numFmtId="164" fontId="12" fillId="0" borderId="5" xfId="2" applyNumberFormat="1" applyFont="1" applyBorder="1" applyAlignment="1">
      <alignment horizontal="center"/>
    </xf>
    <xf numFmtId="164" fontId="12" fillId="0" borderId="10" xfId="2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0" xfId="1" applyNumberFormat="1" applyFont="1" applyFill="1" applyBorder="1" applyAlignment="1">
      <alignment horizontal="center"/>
    </xf>
    <xf numFmtId="164" fontId="2" fillId="0" borderId="7" xfId="1" applyNumberFormat="1" applyFont="1" applyBorder="1"/>
    <xf numFmtId="164" fontId="2" fillId="0" borderId="5" xfId="1" applyNumberFormat="1" applyFont="1" applyBorder="1"/>
    <xf numFmtId="164" fontId="2" fillId="0" borderId="0" xfId="1" applyNumberFormat="1" applyFont="1" applyFill="1" applyBorder="1"/>
    <xf numFmtId="164" fontId="2" fillId="0" borderId="0" xfId="1" applyNumberFormat="1" applyFont="1" applyBorder="1"/>
    <xf numFmtId="164" fontId="0" fillId="0" borderId="0" xfId="1" applyNumberFormat="1" applyFont="1"/>
    <xf numFmtId="164" fontId="2" fillId="0" borderId="6" xfId="1" applyNumberFormat="1" applyFont="1" applyBorder="1" applyAlignment="1">
      <alignment horizontal="center"/>
    </xf>
    <xf numFmtId="164" fontId="15" fillId="0" borderId="0" xfId="1" applyNumberFormat="1" applyFont="1"/>
    <xf numFmtId="0" fontId="2" fillId="0" borderId="6" xfId="2" applyBorder="1"/>
    <xf numFmtId="164" fontId="2" fillId="0" borderId="10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1" fillId="0" borderId="0" xfId="1" applyNumberFormat="1" applyFont="1"/>
    <xf numFmtId="164" fontId="2" fillId="0" borderId="2" xfId="1" applyNumberFormat="1" applyFont="1" applyBorder="1"/>
    <xf numFmtId="164" fontId="2" fillId="0" borderId="9" xfId="1" applyNumberFormat="1" applyFont="1" applyBorder="1"/>
    <xf numFmtId="164" fontId="1" fillId="0" borderId="12" xfId="1" applyNumberFormat="1" applyFont="1" applyBorder="1"/>
    <xf numFmtId="164" fontId="1" fillId="0" borderId="6" xfId="1" applyNumberFormat="1" applyFont="1" applyBorder="1"/>
    <xf numFmtId="164" fontId="4" fillId="0" borderId="0" xfId="1" applyNumberFormat="1" applyFont="1" applyFill="1" applyBorder="1" applyAlignment="1">
      <alignment horizontal="center"/>
    </xf>
    <xf numFmtId="0" fontId="13" fillId="0" borderId="5" xfId="0" applyFont="1" applyBorder="1"/>
    <xf numFmtId="0" fontId="11" fillId="0" borderId="5" xfId="0" applyFont="1" applyBorder="1"/>
    <xf numFmtId="0" fontId="9" fillId="0" borderId="6" xfId="0" applyFont="1" applyBorder="1"/>
    <xf numFmtId="0" fontId="0" fillId="0" borderId="6" xfId="0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15" fillId="0" borderId="12" xfId="1" applyNumberFormat="1" applyFont="1" applyBorder="1" applyAlignment="1">
      <alignment horizontal="center"/>
    </xf>
    <xf numFmtId="164" fontId="15" fillId="0" borderId="6" xfId="1" applyNumberFormat="1" applyFont="1" applyBorder="1" applyAlignment="1">
      <alignment horizontal="center"/>
    </xf>
    <xf numFmtId="164" fontId="15" fillId="0" borderId="0" xfId="1" applyNumberFormat="1" applyFont="1" applyAlignment="1">
      <alignment horizontal="center"/>
    </xf>
    <xf numFmtId="164" fontId="4" fillId="0" borderId="6" xfId="1" applyNumberFormat="1" applyFont="1" applyFill="1" applyBorder="1" applyAlignment="1">
      <alignment horizontal="center"/>
    </xf>
    <xf numFmtId="0" fontId="2" fillId="0" borderId="26" xfId="2" applyBorder="1"/>
    <xf numFmtId="0" fontId="0" fillId="0" borderId="23" xfId="0" applyBorder="1" applyAlignment="1">
      <alignment horizontal="center"/>
    </xf>
    <xf numFmtId="0" fontId="2" fillId="0" borderId="28" xfId="2" applyBorder="1"/>
    <xf numFmtId="0" fontId="2" fillId="0" borderId="24" xfId="2" applyBorder="1"/>
    <xf numFmtId="0" fontId="3" fillId="0" borderId="30" xfId="2" applyFont="1" applyBorder="1" applyAlignment="1">
      <alignment horizontal="center" vertical="center"/>
    </xf>
    <xf numFmtId="0" fontId="3" fillId="2" borderId="26" xfId="2" applyFont="1" applyFill="1" applyBorder="1" applyAlignment="1">
      <alignment horizontal="center"/>
    </xf>
    <xf numFmtId="0" fontId="3" fillId="2" borderId="24" xfId="2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26" xfId="2" applyBorder="1" applyAlignment="1">
      <alignment horizontal="left"/>
    </xf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31" xfId="2" applyBorder="1"/>
    <xf numFmtId="0" fontId="2" fillId="0" borderId="4" xfId="2" applyBorder="1"/>
    <xf numFmtId="164" fontId="2" fillId="0" borderId="6" xfId="1" applyNumberFormat="1" applyFont="1" applyBorder="1"/>
    <xf numFmtId="164" fontId="2" fillId="0" borderId="6" xfId="1" applyNumberFormat="1" applyFont="1" applyFill="1" applyBorder="1"/>
    <xf numFmtId="0" fontId="2" fillId="0" borderId="18" xfId="2" applyBorder="1" applyAlignment="1">
      <alignment horizontal="left"/>
    </xf>
    <xf numFmtId="164" fontId="15" fillId="0" borderId="6" xfId="1" applyNumberFormat="1" applyFont="1" applyBorder="1"/>
    <xf numFmtId="0" fontId="0" fillId="0" borderId="9" xfId="0" applyBorder="1"/>
    <xf numFmtId="0" fontId="2" fillId="0" borderId="33" xfId="2" applyBorder="1"/>
    <xf numFmtId="0" fontId="2" fillId="0" borderId="32" xfId="2" applyBorder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7" xfId="0" applyFont="1" applyBorder="1"/>
    <xf numFmtId="0" fontId="15" fillId="0" borderId="5" xfId="0" applyFont="1" applyBorder="1" applyAlignment="1">
      <alignment horizontal="left"/>
    </xf>
    <xf numFmtId="0" fontId="15" fillId="0" borderId="5" xfId="0" applyFont="1" applyBorder="1"/>
    <xf numFmtId="0" fontId="15" fillId="0" borderId="32" xfId="0" applyFont="1" applyBorder="1" applyAlignment="1">
      <alignment horizontal="left"/>
    </xf>
    <xf numFmtId="164" fontId="15" fillId="0" borderId="7" xfId="1" applyNumberFormat="1" applyFont="1" applyBorder="1"/>
    <xf numFmtId="164" fontId="15" fillId="0" borderId="8" xfId="1" applyNumberFormat="1" applyFont="1" applyBorder="1"/>
    <xf numFmtId="164" fontId="15" fillId="0" borderId="5" xfId="1" applyNumberFormat="1" applyFont="1" applyBorder="1"/>
    <xf numFmtId="164" fontId="15" fillId="0" borderId="0" xfId="1" applyNumberFormat="1" applyFont="1" applyBorder="1"/>
    <xf numFmtId="164" fontId="2" fillId="0" borderId="11" xfId="1" applyNumberFormat="1" applyFont="1" applyBorder="1"/>
    <xf numFmtId="164" fontId="0" fillId="0" borderId="5" xfId="1" applyNumberFormat="1" applyFont="1" applyBorder="1"/>
    <xf numFmtId="0" fontId="0" fillId="0" borderId="12" xfId="0" applyBorder="1"/>
    <xf numFmtId="164" fontId="0" fillId="0" borderId="6" xfId="1" applyNumberFormat="1" applyFont="1" applyBorder="1"/>
    <xf numFmtId="164" fontId="2" fillId="0" borderId="12" xfId="1" applyNumberFormat="1" applyFont="1" applyBorder="1"/>
    <xf numFmtId="0" fontId="0" fillId="0" borderId="34" xfId="0" applyBorder="1"/>
    <xf numFmtId="0" fontId="17" fillId="0" borderId="1" xfId="3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15" xfId="2" applyFont="1" applyFill="1" applyBorder="1" applyAlignment="1">
      <alignment horizontal="center"/>
    </xf>
    <xf numFmtId="0" fontId="3" fillId="2" borderId="32" xfId="2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3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0" fillId="0" borderId="33" xfId="0" applyBorder="1"/>
    <xf numFmtId="164" fontId="0" fillId="0" borderId="0" xfId="0" applyNumberFormat="1"/>
    <xf numFmtId="9" fontId="0" fillId="0" borderId="0" xfId="4" applyFont="1"/>
    <xf numFmtId="164" fontId="0" fillId="0" borderId="0" xfId="4" applyNumberFormat="1" applyFont="1"/>
    <xf numFmtId="0" fontId="3" fillId="0" borderId="27" xfId="5" applyFont="1" applyBorder="1" applyAlignment="1">
      <alignment horizontal="center" vertical="center" wrapText="1"/>
    </xf>
    <xf numFmtId="0" fontId="3" fillId="0" borderId="21" xfId="5" applyFont="1" applyBorder="1" applyAlignment="1">
      <alignment horizontal="center" vertical="center" wrapText="1"/>
    </xf>
    <xf numFmtId="0" fontId="3" fillId="0" borderId="3" xfId="5" applyFont="1" applyBorder="1" applyAlignment="1">
      <alignment horizontal="center"/>
    </xf>
    <xf numFmtId="0" fontId="3" fillId="0" borderId="35" xfId="5" applyFont="1" applyBorder="1" applyAlignment="1">
      <alignment horizontal="center"/>
    </xf>
    <xf numFmtId="0" fontId="3" fillId="0" borderId="0" xfId="5" applyFont="1" applyAlignment="1">
      <alignment horizontal="center" wrapText="1"/>
    </xf>
    <xf numFmtId="0" fontId="2" fillId="0" borderId="18" xfId="2" applyBorder="1"/>
    <xf numFmtId="0" fontId="15" fillId="0" borderId="0" xfId="0" applyFont="1"/>
    <xf numFmtId="164" fontId="4" fillId="3" borderId="5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164" fontId="4" fillId="3" borderId="4" xfId="0" applyNumberFormat="1" applyFont="1" applyFill="1" applyBorder="1"/>
    <xf numFmtId="0" fontId="4" fillId="3" borderId="28" xfId="2" applyFont="1" applyFill="1" applyBorder="1" applyAlignment="1">
      <alignment horizontal="center"/>
    </xf>
    <xf numFmtId="164" fontId="0" fillId="3" borderId="5" xfId="1" applyNumberFormat="1" applyFont="1" applyFill="1" applyBorder="1"/>
    <xf numFmtId="164" fontId="0" fillId="3" borderId="6" xfId="1" applyNumberFormat="1" applyFont="1" applyFill="1" applyBorder="1"/>
    <xf numFmtId="164" fontId="4" fillId="3" borderId="0" xfId="0" applyNumberFormat="1" applyFont="1" applyFill="1"/>
    <xf numFmtId="0" fontId="0" fillId="3" borderId="4" xfId="0" applyFill="1" applyBorder="1"/>
    <xf numFmtId="17" fontId="2" fillId="0" borderId="48" xfId="3" applyNumberFormat="1" applyBorder="1" applyAlignment="1">
      <alignment horizontal="left" wrapText="1"/>
    </xf>
    <xf numFmtId="0" fontId="2" fillId="0" borderId="25" xfId="3" applyBorder="1" applyAlignment="1">
      <alignment horizontal="left" wrapText="1"/>
    </xf>
    <xf numFmtId="17" fontId="2" fillId="0" borderId="25" xfId="3" applyNumberFormat="1" applyBorder="1" applyAlignment="1">
      <alignment horizontal="left" wrapText="1"/>
    </xf>
    <xf numFmtId="0" fontId="2" fillId="0" borderId="49" xfId="3" applyBorder="1" applyAlignment="1">
      <alignment horizontal="left" wrapText="1"/>
    </xf>
    <xf numFmtId="167" fontId="15" fillId="0" borderId="30" xfId="8" applyNumberFormat="1" applyFont="1" applyBorder="1" applyAlignment="1"/>
    <xf numFmtId="167" fontId="15" fillId="0" borderId="37" xfId="8" applyNumberFormat="1" applyFont="1" applyBorder="1" applyAlignment="1"/>
    <xf numFmtId="167" fontId="15" fillId="0" borderId="26" xfId="8" applyNumberFormat="1" applyFont="1" applyBorder="1" applyAlignment="1"/>
    <xf numFmtId="167" fontId="15" fillId="0" borderId="23" xfId="8" applyNumberFormat="1" applyFont="1" applyBorder="1" applyAlignment="1"/>
    <xf numFmtId="167" fontId="15" fillId="0" borderId="25" xfId="8" applyNumberFormat="1" applyFont="1" applyBorder="1" applyAlignment="1"/>
    <xf numFmtId="167" fontId="15" fillId="0" borderId="50" xfId="8" applyNumberFormat="1" applyFont="1" applyBorder="1" applyAlignment="1"/>
    <xf numFmtId="167" fontId="15" fillId="0" borderId="51" xfId="8" applyNumberFormat="1" applyFont="1" applyBorder="1" applyAlignment="1"/>
    <xf numFmtId="167" fontId="15" fillId="0" borderId="49" xfId="8" applyNumberFormat="1" applyFont="1" applyBorder="1" applyAlignment="1"/>
    <xf numFmtId="167" fontId="15" fillId="0" borderId="53" xfId="8" applyNumberFormat="1" applyFont="1" applyBorder="1" applyAlignment="1"/>
    <xf numFmtId="17" fontId="2" fillId="0" borderId="48" xfId="3" applyNumberFormat="1" applyBorder="1" applyAlignment="1">
      <alignment horizontal="center" wrapText="1"/>
    </xf>
    <xf numFmtId="0" fontId="2" fillId="0" borderId="25" xfId="3" applyBorder="1" applyAlignment="1">
      <alignment horizontal="center" wrapText="1"/>
    </xf>
    <xf numFmtId="17" fontId="2" fillId="0" borderId="25" xfId="3" applyNumberFormat="1" applyBorder="1" applyAlignment="1">
      <alignment horizontal="center" wrapText="1"/>
    </xf>
    <xf numFmtId="0" fontId="2" fillId="0" borderId="49" xfId="3" applyBorder="1" applyAlignment="1">
      <alignment horizontal="center" wrapText="1"/>
    </xf>
    <xf numFmtId="167" fontId="15" fillId="0" borderId="17" xfId="8" applyNumberFormat="1" applyFont="1" applyBorder="1" applyAlignment="1"/>
    <xf numFmtId="167" fontId="15" fillId="0" borderId="24" xfId="8" applyNumberFormat="1" applyFont="1" applyBorder="1" applyAlignment="1"/>
    <xf numFmtId="167" fontId="15" fillId="0" borderId="12" xfId="8" applyNumberFormat="1" applyFont="1" applyBorder="1" applyAlignment="1"/>
    <xf numFmtId="167" fontId="15" fillId="0" borderId="14" xfId="8" applyNumberFormat="1" applyFont="1" applyBorder="1" applyAlignment="1"/>
    <xf numFmtId="167" fontId="15" fillId="0" borderId="54" xfId="8" applyNumberFormat="1" applyFont="1" applyBorder="1" applyAlignment="1"/>
    <xf numFmtId="167" fontId="15" fillId="0" borderId="57" xfId="8" applyNumberFormat="1" applyFont="1" applyBorder="1" applyAlignment="1"/>
    <xf numFmtId="167" fontId="15" fillId="0" borderId="6" xfId="8" applyNumberFormat="1" applyFont="1" applyBorder="1" applyAlignment="1"/>
    <xf numFmtId="0" fontId="2" fillId="0" borderId="1" xfId="2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10" xfId="0" applyFont="1" applyBorder="1"/>
    <xf numFmtId="0" fontId="24" fillId="0" borderId="32" xfId="0" applyFont="1" applyBorder="1"/>
    <xf numFmtId="0" fontId="24" fillId="0" borderId="7" xfId="0" applyFont="1" applyBorder="1"/>
    <xf numFmtId="0" fontId="26" fillId="0" borderId="3" xfId="0" applyFont="1" applyBorder="1" applyAlignment="1">
      <alignment horizontal="center"/>
    </xf>
    <xf numFmtId="0" fontId="0" fillId="0" borderId="11" xfId="0" applyBorder="1"/>
    <xf numFmtId="0" fontId="0" fillId="0" borderId="3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4" borderId="0" xfId="0" applyFill="1"/>
    <xf numFmtId="0" fontId="0" fillId="4" borderId="6" xfId="0" applyFill="1" applyBorder="1" applyAlignment="1">
      <alignment horizontal="center"/>
    </xf>
    <xf numFmtId="164" fontId="4" fillId="4" borderId="0" xfId="1" applyNumberFormat="1" applyFont="1" applyFill="1" applyBorder="1" applyAlignment="1">
      <alignment horizontal="center"/>
    </xf>
    <xf numFmtId="164" fontId="4" fillId="4" borderId="6" xfId="1" applyNumberFormat="1" applyFont="1" applyFill="1" applyBorder="1" applyAlignment="1">
      <alignment horizontal="center"/>
    </xf>
    <xf numFmtId="164" fontId="4" fillId="4" borderId="4" xfId="0" applyNumberFormat="1" applyFont="1" applyFill="1" applyBorder="1"/>
    <xf numFmtId="0" fontId="4" fillId="4" borderId="31" xfId="2" applyFont="1" applyFill="1" applyBorder="1" applyAlignment="1">
      <alignment horizontal="center"/>
    </xf>
    <xf numFmtId="0" fontId="0" fillId="4" borderId="5" xfId="0" applyFill="1" applyBorder="1"/>
    <xf numFmtId="164" fontId="4" fillId="4" borderId="5" xfId="0" applyNumberFormat="1" applyFont="1" applyFill="1" applyBorder="1"/>
    <xf numFmtId="164" fontId="4" fillId="4" borderId="5" xfId="1" applyNumberFormat="1" applyFont="1" applyFill="1" applyBorder="1" applyAlignment="1">
      <alignment horizontal="center"/>
    </xf>
    <xf numFmtId="0" fontId="0" fillId="4" borderId="6" xfId="0" applyFill="1" applyBorder="1"/>
    <xf numFmtId="0" fontId="4" fillId="4" borderId="9" xfId="2" applyFont="1" applyFill="1" applyBorder="1" applyAlignment="1">
      <alignment horizontal="center"/>
    </xf>
    <xf numFmtId="164" fontId="4" fillId="4" borderId="6" xfId="0" applyNumberFormat="1" applyFont="1" applyFill="1" applyBorder="1"/>
    <xf numFmtId="0" fontId="4" fillId="4" borderId="19" xfId="2" applyFont="1" applyFill="1" applyBorder="1" applyAlignment="1">
      <alignment horizontal="center"/>
    </xf>
    <xf numFmtId="164" fontId="4" fillId="4" borderId="13" xfId="1" applyNumberFormat="1" applyFont="1" applyFill="1" applyBorder="1" applyAlignment="1">
      <alignment horizontal="center"/>
    </xf>
    <xf numFmtId="164" fontId="4" fillId="4" borderId="14" xfId="1" applyNumberFormat="1" applyFont="1" applyFill="1" applyBorder="1" applyAlignment="1">
      <alignment horizontal="center"/>
    </xf>
    <xf numFmtId="0" fontId="0" fillId="4" borderId="13" xfId="0" applyFill="1" applyBorder="1"/>
    <xf numFmtId="164" fontId="4" fillId="4" borderId="3" xfId="0" applyNumberFormat="1" applyFont="1" applyFill="1" applyBorder="1"/>
    <xf numFmtId="0" fontId="11" fillId="4" borderId="3" xfId="0" applyFont="1" applyFill="1" applyBorder="1"/>
    <xf numFmtId="0" fontId="9" fillId="4" borderId="14" xfId="0" applyFont="1" applyFill="1" applyBorder="1"/>
    <xf numFmtId="0" fontId="0" fillId="4" borderId="35" xfId="0" applyFill="1" applyBorder="1"/>
    <xf numFmtId="0" fontId="0" fillId="4" borderId="9" xfId="0" applyFill="1" applyBorder="1" applyAlignment="1">
      <alignment horizontal="center"/>
    </xf>
    <xf numFmtId="164" fontId="4" fillId="4" borderId="4" xfId="1" applyNumberFormat="1" applyFont="1" applyFill="1" applyBorder="1" applyAlignment="1">
      <alignment horizontal="center"/>
    </xf>
    <xf numFmtId="0" fontId="4" fillId="4" borderId="7" xfId="2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164" fontId="4" fillId="5" borderId="13" xfId="0" applyNumberFormat="1" applyFont="1" applyFill="1" applyBorder="1"/>
    <xf numFmtId="164" fontId="4" fillId="5" borderId="14" xfId="0" applyNumberFormat="1" applyFont="1" applyFill="1" applyBorder="1"/>
    <xf numFmtId="0" fontId="0" fillId="5" borderId="13" xfId="0" applyFill="1" applyBorder="1"/>
    <xf numFmtId="0" fontId="0" fillId="5" borderId="14" xfId="0" applyFill="1" applyBorder="1"/>
    <xf numFmtId="164" fontId="4" fillId="5" borderId="35" xfId="0" applyNumberFormat="1" applyFont="1" applyFill="1" applyBorder="1"/>
    <xf numFmtId="0" fontId="0" fillId="5" borderId="35" xfId="0" applyFill="1" applyBorder="1"/>
    <xf numFmtId="0" fontId="0" fillId="5" borderId="14" xfId="0" applyFill="1" applyBorder="1" applyAlignment="1">
      <alignment horizontal="center"/>
    </xf>
    <xf numFmtId="0" fontId="4" fillId="5" borderId="35" xfId="2" applyFont="1" applyFill="1" applyBorder="1" applyAlignment="1">
      <alignment horizontal="center"/>
    </xf>
    <xf numFmtId="164" fontId="4" fillId="5" borderId="3" xfId="1" applyNumberFormat="1" applyFont="1" applyFill="1" applyBorder="1" applyAlignment="1">
      <alignment horizontal="center"/>
    </xf>
    <xf numFmtId="164" fontId="4" fillId="5" borderId="14" xfId="1" applyNumberFormat="1" applyFont="1" applyFill="1" applyBorder="1" applyAlignment="1">
      <alignment horizontal="center"/>
    </xf>
    <xf numFmtId="44" fontId="0" fillId="5" borderId="13" xfId="1" applyFont="1" applyFill="1" applyBorder="1"/>
    <xf numFmtId="164" fontId="4" fillId="5" borderId="3" xfId="0" applyNumberFormat="1" applyFont="1" applyFill="1" applyBorder="1"/>
    <xf numFmtId="164" fontId="4" fillId="5" borderId="3" xfId="1" applyNumberFormat="1" applyFont="1" applyFill="1" applyBorder="1"/>
    <xf numFmtId="0" fontId="3" fillId="0" borderId="0" xfId="3" applyFont="1"/>
    <xf numFmtId="0" fontId="2" fillId="0" borderId="0" xfId="3"/>
    <xf numFmtId="0" fontId="21" fillId="0" borderId="0" xfId="0" applyFont="1"/>
    <xf numFmtId="0" fontId="3" fillId="0" borderId="1" xfId="3" applyFont="1" applyBorder="1" applyAlignment="1">
      <alignment horizontal="center"/>
    </xf>
    <xf numFmtId="0" fontId="2" fillId="0" borderId="17" xfId="3" applyBorder="1" applyAlignment="1">
      <alignment horizontal="center"/>
    </xf>
    <xf numFmtId="3" fontId="2" fillId="0" borderId="0" xfId="3" applyNumberFormat="1" applyAlignment="1">
      <alignment horizontal="center"/>
    </xf>
    <xf numFmtId="0" fontId="2" fillId="0" borderId="0" xfId="3" applyAlignment="1">
      <alignment horizontal="center"/>
    </xf>
    <xf numFmtId="0" fontId="3" fillId="0" borderId="27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9" fontId="2" fillId="0" borderId="20" xfId="4" applyFont="1" applyFill="1" applyBorder="1" applyAlignment="1">
      <alignment horizontal="center"/>
    </xf>
    <xf numFmtId="9" fontId="2" fillId="0" borderId="17" xfId="4" applyFont="1" applyFill="1" applyBorder="1" applyAlignment="1">
      <alignment horizontal="center"/>
    </xf>
    <xf numFmtId="0" fontId="2" fillId="0" borderId="24" xfId="3" applyBorder="1" applyAlignment="1">
      <alignment horizontal="center"/>
    </xf>
    <xf numFmtId="9" fontId="2" fillId="0" borderId="24" xfId="4" applyFont="1" applyFill="1" applyBorder="1" applyAlignment="1">
      <alignment horizontal="center"/>
    </xf>
    <xf numFmtId="9" fontId="2" fillId="0" borderId="19" xfId="4" applyFont="1" applyFill="1" applyBorder="1" applyAlignment="1">
      <alignment horizontal="center"/>
    </xf>
    <xf numFmtId="165" fontId="2" fillId="0" borderId="54" xfId="3" applyNumberFormat="1" applyBorder="1" applyAlignment="1">
      <alignment horizontal="center"/>
    </xf>
    <xf numFmtId="9" fontId="2" fillId="0" borderId="0" xfId="4" applyFont="1" applyFill="1" applyBorder="1" applyAlignment="1">
      <alignment horizontal="center"/>
    </xf>
    <xf numFmtId="165" fontId="2" fillId="0" borderId="0" xfId="3" applyNumberFormat="1" applyAlignment="1">
      <alignment horizontal="center"/>
    </xf>
    <xf numFmtId="0" fontId="2" fillId="0" borderId="31" xfId="3" applyBorder="1" applyAlignment="1">
      <alignment horizontal="center"/>
    </xf>
    <xf numFmtId="0" fontId="2" fillId="0" borderId="18" xfId="3" applyBorder="1" applyAlignment="1">
      <alignment horizontal="center"/>
    </xf>
    <xf numFmtId="0" fontId="2" fillId="0" borderId="4" xfId="3" applyBorder="1" applyAlignment="1">
      <alignment horizontal="center"/>
    </xf>
    <xf numFmtId="0" fontId="2" fillId="0" borderId="19" xfId="3" applyBorder="1" applyAlignment="1">
      <alignment horizontal="center"/>
    </xf>
    <xf numFmtId="0" fontId="2" fillId="0" borderId="2" xfId="2" applyBorder="1" applyAlignment="1">
      <alignment horizontal="center"/>
    </xf>
    <xf numFmtId="164" fontId="2" fillId="0" borderId="2" xfId="2" applyNumberFormat="1" applyBorder="1" applyAlignment="1">
      <alignment horizontal="center"/>
    </xf>
    <xf numFmtId="10" fontId="3" fillId="0" borderId="12" xfId="0" applyNumberFormat="1" applyFont="1" applyBorder="1" applyAlignment="1">
      <alignment vertical="center" wrapText="1"/>
    </xf>
    <xf numFmtId="10" fontId="3" fillId="0" borderId="33" xfId="0" applyNumberFormat="1" applyFont="1" applyBorder="1" applyAlignment="1">
      <alignment vertical="center" wrapText="1"/>
    </xf>
    <xf numFmtId="10" fontId="3" fillId="0" borderId="20" xfId="0" applyNumberFormat="1" applyFont="1" applyBorder="1" applyAlignment="1">
      <alignment vertical="center" wrapText="1"/>
    </xf>
    <xf numFmtId="164" fontId="2" fillId="0" borderId="34" xfId="1" applyNumberFormat="1" applyFont="1" applyBorder="1" applyAlignment="1">
      <alignment horizontal="center"/>
    </xf>
    <xf numFmtId="0" fontId="3" fillId="2" borderId="48" xfId="2" applyFont="1" applyFill="1" applyBorder="1" applyAlignment="1">
      <alignment horizontal="center"/>
    </xf>
    <xf numFmtId="0" fontId="2" fillId="0" borderId="25" xfId="2" applyBorder="1"/>
    <xf numFmtId="0" fontId="3" fillId="2" borderId="25" xfId="2" applyFont="1" applyFill="1" applyBorder="1" applyAlignment="1">
      <alignment horizontal="center"/>
    </xf>
    <xf numFmtId="0" fontId="2" fillId="0" borderId="57" xfId="2" applyBorder="1"/>
    <xf numFmtId="0" fontId="0" fillId="0" borderId="57" xfId="0" applyBorder="1"/>
    <xf numFmtId="0" fontId="4" fillId="0" borderId="57" xfId="2" applyFont="1" applyBorder="1" applyAlignment="1">
      <alignment horizontal="center"/>
    </xf>
    <xf numFmtId="0" fontId="15" fillId="0" borderId="58" xfId="0" applyFont="1" applyBorder="1"/>
    <xf numFmtId="0" fontId="4" fillId="0" borderId="61" xfId="2" applyFont="1" applyBorder="1" applyAlignment="1">
      <alignment horizontal="center"/>
    </xf>
    <xf numFmtId="0" fontId="3" fillId="0" borderId="62" xfId="2" applyFont="1" applyBorder="1" applyAlignment="1">
      <alignment horizontal="center" vertical="center"/>
    </xf>
    <xf numFmtId="0" fontId="3" fillId="2" borderId="20" xfId="2" applyFont="1" applyFill="1" applyBorder="1" applyAlignment="1">
      <alignment horizontal="center"/>
    </xf>
    <xf numFmtId="165" fontId="31" fillId="0" borderId="0" xfId="2" applyNumberFormat="1" applyFont="1" applyAlignment="1">
      <alignment horizontal="center"/>
    </xf>
    <xf numFmtId="165" fontId="31" fillId="0" borderId="5" xfId="2" applyNumberFormat="1" applyFont="1" applyBorder="1" applyAlignment="1">
      <alignment horizontal="center"/>
    </xf>
    <xf numFmtId="164" fontId="33" fillId="0" borderId="5" xfId="2" applyNumberFormat="1" applyFont="1" applyBorder="1" applyAlignment="1">
      <alignment horizontal="center"/>
    </xf>
    <xf numFmtId="165" fontId="31" fillId="0" borderId="7" xfId="2" applyNumberFormat="1" applyFont="1" applyBorder="1" applyAlignment="1">
      <alignment horizontal="center"/>
    </xf>
    <xf numFmtId="165" fontId="31" fillId="0" borderId="9" xfId="2" applyNumberFormat="1" applyFont="1" applyBorder="1" applyAlignment="1">
      <alignment horizontal="center"/>
    </xf>
    <xf numFmtId="165" fontId="31" fillId="0" borderId="6" xfId="2" applyNumberFormat="1" applyFont="1" applyBorder="1" applyAlignment="1">
      <alignment horizontal="center"/>
    </xf>
    <xf numFmtId="164" fontId="33" fillId="0" borderId="4" xfId="2" applyNumberFormat="1" applyFont="1" applyBorder="1" applyAlignment="1">
      <alignment horizontal="center"/>
    </xf>
    <xf numFmtId="164" fontId="35" fillId="0" borderId="5" xfId="2" applyNumberFormat="1" applyFont="1" applyBorder="1" applyAlignment="1">
      <alignment horizontal="center"/>
    </xf>
    <xf numFmtId="164" fontId="36" fillId="0" borderId="6" xfId="2" applyNumberFormat="1" applyFont="1" applyBorder="1" applyAlignment="1">
      <alignment horizontal="center"/>
    </xf>
    <xf numFmtId="164" fontId="37" fillId="0" borderId="6" xfId="2" applyNumberFormat="1" applyFont="1" applyBorder="1" applyAlignment="1">
      <alignment horizontal="center"/>
    </xf>
    <xf numFmtId="164" fontId="37" fillId="0" borderId="5" xfId="2" applyNumberFormat="1" applyFont="1" applyBorder="1" applyAlignment="1">
      <alignment horizontal="center"/>
    </xf>
    <xf numFmtId="164" fontId="34" fillId="0" borderId="6" xfId="2" applyNumberFormat="1" applyFont="1" applyBorder="1" applyAlignment="1">
      <alignment horizontal="center"/>
    </xf>
    <xf numFmtId="164" fontId="34" fillId="0" borderId="9" xfId="2" applyNumberFormat="1" applyFont="1" applyBorder="1" applyAlignment="1">
      <alignment horizontal="center"/>
    </xf>
    <xf numFmtId="164" fontId="37" fillId="0" borderId="7" xfId="2" applyNumberFormat="1" applyFont="1" applyBorder="1" applyAlignment="1">
      <alignment horizontal="center"/>
    </xf>
    <xf numFmtId="164" fontId="37" fillId="0" borderId="0" xfId="2" applyNumberFormat="1" applyFont="1" applyAlignment="1">
      <alignment horizontal="center"/>
    </xf>
    <xf numFmtId="164" fontId="34" fillId="0" borderId="0" xfId="2" applyNumberFormat="1" applyFont="1" applyAlignment="1">
      <alignment horizontal="center"/>
    </xf>
    <xf numFmtId="166" fontId="15" fillId="0" borderId="11" xfId="0" applyNumberFormat="1" applyFont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0" fontId="27" fillId="0" borderId="64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48" xfId="0" applyFon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4" xfId="0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0" fontId="2" fillId="0" borderId="21" xfId="2" applyBorder="1"/>
    <xf numFmtId="0" fontId="2" fillId="0" borderId="22" xfId="2" applyBorder="1"/>
    <xf numFmtId="0" fontId="2" fillId="0" borderId="27" xfId="2" applyBorder="1"/>
    <xf numFmtId="164" fontId="2" fillId="0" borderId="16" xfId="1" applyNumberFormat="1" applyFont="1" applyBorder="1" applyAlignment="1">
      <alignment horizontal="center"/>
    </xf>
    <xf numFmtId="164" fontId="15" fillId="0" borderId="10" xfId="1" applyNumberFormat="1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0" fontId="21" fillId="0" borderId="27" xfId="0" applyFont="1" applyBorder="1" applyAlignment="1">
      <alignment horizontal="center" wrapText="1"/>
    </xf>
    <xf numFmtId="0" fontId="0" fillId="0" borderId="35" xfId="0" applyBorder="1"/>
    <xf numFmtId="164" fontId="2" fillId="0" borderId="10" xfId="1" applyNumberFormat="1" applyFont="1" applyBorder="1"/>
    <xf numFmtId="165" fontId="31" fillId="0" borderId="11" xfId="2" applyNumberFormat="1" applyFont="1" applyBorder="1" applyAlignment="1">
      <alignment horizontal="center"/>
    </xf>
    <xf numFmtId="165" fontId="31" fillId="0" borderId="12" xfId="2" applyNumberFormat="1" applyFont="1" applyBorder="1" applyAlignment="1">
      <alignment horizontal="center"/>
    </xf>
    <xf numFmtId="164" fontId="33" fillId="0" borderId="33" xfId="2" applyNumberFormat="1" applyFont="1" applyBorder="1" applyAlignment="1">
      <alignment horizontal="center"/>
    </xf>
    <xf numFmtId="164" fontId="34" fillId="0" borderId="11" xfId="2" applyNumberFormat="1" applyFont="1" applyBorder="1" applyAlignment="1">
      <alignment horizontal="center"/>
    </xf>
    <xf numFmtId="164" fontId="33" fillId="0" borderId="10" xfId="2" applyNumberFormat="1" applyFont="1" applyBorder="1" applyAlignment="1">
      <alignment horizontal="center"/>
    </xf>
    <xf numFmtId="165" fontId="31" fillId="0" borderId="10" xfId="2" applyNumberFormat="1" applyFont="1" applyBorder="1" applyAlignment="1">
      <alignment horizontal="center"/>
    </xf>
    <xf numFmtId="164" fontId="37" fillId="0" borderId="10" xfId="2" applyNumberFormat="1" applyFont="1" applyBorder="1" applyAlignment="1">
      <alignment horizontal="center"/>
    </xf>
    <xf numFmtId="0" fontId="2" fillId="0" borderId="33" xfId="2" applyBorder="1" applyAlignment="1">
      <alignment horizontal="center" wrapText="1"/>
    </xf>
    <xf numFmtId="164" fontId="34" fillId="0" borderId="12" xfId="2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4" borderId="7" xfId="0" applyFill="1" applyBorder="1" applyAlignment="1">
      <alignment horizontal="center"/>
    </xf>
    <xf numFmtId="164" fontId="4" fillId="4" borderId="6" xfId="1" applyNumberFormat="1" applyFont="1" applyFill="1" applyBorder="1"/>
    <xf numFmtId="167" fontId="15" fillId="0" borderId="66" xfId="8" applyNumberFormat="1" applyFont="1" applyBorder="1" applyAlignment="1"/>
    <xf numFmtId="167" fontId="15" fillId="0" borderId="67" xfId="8" applyNumberFormat="1" applyFont="1" applyBorder="1" applyAlignment="1"/>
    <xf numFmtId="167" fontId="15" fillId="0" borderId="68" xfId="8" applyNumberFormat="1" applyFont="1" applyBorder="1" applyAlignment="1"/>
    <xf numFmtId="167" fontId="15" fillId="0" borderId="64" xfId="8" applyNumberFormat="1" applyFont="1" applyBorder="1" applyAlignment="1"/>
    <xf numFmtId="167" fontId="15" fillId="0" borderId="63" xfId="8" applyNumberFormat="1" applyFont="1" applyBorder="1" applyAlignment="1"/>
    <xf numFmtId="164" fontId="15" fillId="0" borderId="9" xfId="1" applyNumberFormat="1" applyFont="1" applyBorder="1"/>
    <xf numFmtId="0" fontId="20" fillId="0" borderId="70" xfId="0" applyFont="1" applyBorder="1"/>
    <xf numFmtId="0" fontId="20" fillId="0" borderId="43" xfId="0" applyFont="1" applyBorder="1"/>
    <xf numFmtId="0" fontId="0" fillId="0" borderId="36" xfId="0" applyBorder="1"/>
    <xf numFmtId="0" fontId="0" fillId="0" borderId="29" xfId="0" applyBorder="1"/>
    <xf numFmtId="0" fontId="15" fillId="0" borderId="0" xfId="0" applyFont="1" applyAlignment="1">
      <alignment horizontal="center"/>
    </xf>
    <xf numFmtId="165" fontId="22" fillId="0" borderId="0" xfId="4" applyNumberFormat="1" applyFont="1" applyBorder="1" applyAlignment="1">
      <alignment horizontal="center"/>
    </xf>
    <xf numFmtId="165" fontId="2" fillId="0" borderId="0" xfId="4" applyNumberFormat="1" applyFont="1" applyBorder="1" applyAlignment="1">
      <alignment horizontal="center"/>
    </xf>
    <xf numFmtId="0" fontId="4" fillId="7" borderId="58" xfId="2" applyFont="1" applyFill="1" applyBorder="1" applyAlignment="1">
      <alignment horizontal="center"/>
    </xf>
    <xf numFmtId="164" fontId="4" fillId="7" borderId="0" xfId="1" applyNumberFormat="1" applyFont="1" applyFill="1" applyBorder="1" applyAlignment="1">
      <alignment horizontal="center"/>
    </xf>
    <xf numFmtId="0" fontId="4" fillId="7" borderId="44" xfId="2" applyFont="1" applyFill="1" applyBorder="1" applyAlignment="1">
      <alignment horizontal="center"/>
    </xf>
    <xf numFmtId="164" fontId="4" fillId="7" borderId="13" xfId="1" applyNumberFormat="1" applyFont="1" applyFill="1" applyBorder="1" applyAlignment="1">
      <alignment horizontal="center"/>
    </xf>
    <xf numFmtId="0" fontId="4" fillId="7" borderId="20" xfId="3" applyFont="1" applyFill="1" applyBorder="1" applyAlignment="1">
      <alignment horizontal="left"/>
    </xf>
    <xf numFmtId="0" fontId="4" fillId="7" borderId="19" xfId="3" applyFont="1" applyFill="1" applyBorder="1" applyAlignment="1">
      <alignment horizontal="left"/>
    </xf>
    <xf numFmtId="165" fontId="4" fillId="7" borderId="24" xfId="4" applyNumberFormat="1" applyFont="1" applyFill="1" applyBorder="1" applyAlignment="1">
      <alignment horizontal="center"/>
    </xf>
    <xf numFmtId="165" fontId="4" fillId="7" borderId="54" xfId="4" applyNumberFormat="1" applyFont="1" applyFill="1" applyBorder="1" applyAlignment="1">
      <alignment horizontal="center"/>
    </xf>
    <xf numFmtId="0" fontId="4" fillId="7" borderId="36" xfId="0" applyFont="1" applyFill="1" applyBorder="1" applyAlignment="1">
      <alignment horizontal="center"/>
    </xf>
    <xf numFmtId="164" fontId="4" fillId="7" borderId="36" xfId="0" applyNumberFormat="1" applyFont="1" applyFill="1" applyBorder="1" applyAlignment="1">
      <alignment horizontal="center"/>
    </xf>
    <xf numFmtId="164" fontId="4" fillId="7" borderId="1" xfId="0" applyNumberFormat="1" applyFont="1" applyFill="1" applyBorder="1" applyAlignment="1">
      <alignment horizontal="center"/>
    </xf>
    <xf numFmtId="164" fontId="35" fillId="0" borderId="10" xfId="0" applyNumberFormat="1" applyFont="1" applyBorder="1"/>
    <xf numFmtId="164" fontId="34" fillId="0" borderId="33" xfId="0" applyNumberFormat="1" applyFont="1" applyBorder="1" applyAlignment="1">
      <alignment horizontal="center"/>
    </xf>
    <xf numFmtId="164" fontId="35" fillId="0" borderId="32" xfId="0" applyNumberFormat="1" applyFont="1" applyBorder="1"/>
    <xf numFmtId="164" fontId="35" fillId="0" borderId="18" xfId="0" applyNumberFormat="1" applyFont="1" applyBorder="1" applyAlignment="1">
      <alignment horizontal="center"/>
    </xf>
    <xf numFmtId="164" fontId="35" fillId="0" borderId="7" xfId="0" applyNumberFormat="1" applyFont="1" applyBorder="1"/>
    <xf numFmtId="164" fontId="35" fillId="0" borderId="31" xfId="0" applyNumberFormat="1" applyFont="1" applyBorder="1" applyAlignment="1">
      <alignment horizontal="center"/>
    </xf>
    <xf numFmtId="164" fontId="34" fillId="0" borderId="0" xfId="0" applyNumberFormat="1" applyFont="1" applyAlignment="1">
      <alignment horizontal="center"/>
    </xf>
    <xf numFmtId="164" fontId="34" fillId="0" borderId="11" xfId="0" applyNumberFormat="1" applyFont="1" applyBorder="1" applyAlignment="1">
      <alignment horizontal="center"/>
    </xf>
    <xf numFmtId="165" fontId="41" fillId="0" borderId="35" xfId="4" applyNumberFormat="1" applyFont="1" applyFill="1" applyBorder="1" applyAlignment="1">
      <alignment horizontal="center"/>
    </xf>
    <xf numFmtId="0" fontId="4" fillId="7" borderId="40" xfId="5" applyFont="1" applyFill="1" applyBorder="1" applyAlignment="1">
      <alignment horizontal="center" wrapText="1"/>
    </xf>
    <xf numFmtId="44" fontId="4" fillId="7" borderId="41" xfId="6" applyFont="1" applyFill="1" applyBorder="1" applyAlignment="1">
      <alignment horizontal="center"/>
    </xf>
    <xf numFmtId="44" fontId="4" fillId="7" borderId="42" xfId="6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3" fillId="0" borderId="5" xfId="5" applyFont="1" applyBorder="1" applyAlignment="1">
      <alignment horizontal="center"/>
    </xf>
    <xf numFmtId="0" fontId="3" fillId="0" borderId="4" xfId="5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4" fontId="34" fillId="0" borderId="0" xfId="5" applyNumberFormat="1" applyFont="1" applyAlignment="1">
      <alignment horizontal="center"/>
    </xf>
    <xf numFmtId="164" fontId="34" fillId="0" borderId="68" xfId="0" applyNumberFormat="1" applyFont="1" applyBorder="1" applyAlignment="1">
      <alignment horizontal="center" wrapText="1"/>
    </xf>
    <xf numFmtId="164" fontId="34" fillId="0" borderId="6" xfId="0" applyNumberFormat="1" applyFont="1" applyBorder="1" applyAlignment="1">
      <alignment horizontal="center" wrapText="1"/>
    </xf>
    <xf numFmtId="0" fontId="40" fillId="7" borderId="45" xfId="0" applyFont="1" applyFill="1" applyBorder="1"/>
    <xf numFmtId="0" fontId="20" fillId="7" borderId="1" xfId="0" applyFont="1" applyFill="1" applyBorder="1" applyAlignment="1">
      <alignment horizontal="center"/>
    </xf>
    <xf numFmtId="0" fontId="2" fillId="0" borderId="34" xfId="2" applyBorder="1"/>
    <xf numFmtId="167" fontId="15" fillId="0" borderId="11" xfId="8" applyNumberFormat="1" applyFont="1" applyBorder="1" applyAlignment="1"/>
    <xf numFmtId="167" fontId="15" fillId="0" borderId="28" xfId="8" applyNumberFormat="1" applyFont="1" applyBorder="1" applyAlignment="1"/>
    <xf numFmtId="167" fontId="15" fillId="0" borderId="60" xfId="8" applyNumberFormat="1" applyFont="1" applyBorder="1" applyAlignment="1"/>
    <xf numFmtId="0" fontId="20" fillId="0" borderId="13" xfId="0" applyFont="1" applyBorder="1"/>
    <xf numFmtId="167" fontId="15" fillId="0" borderId="38" xfId="8" applyNumberFormat="1" applyFont="1" applyBorder="1" applyAlignment="1"/>
    <xf numFmtId="167" fontId="15" fillId="0" borderId="73" xfId="8" applyNumberFormat="1" applyFont="1" applyBorder="1" applyAlignment="1"/>
    <xf numFmtId="167" fontId="15" fillId="0" borderId="70" xfId="8" applyNumberFormat="1" applyFont="1" applyBorder="1" applyAlignment="1"/>
    <xf numFmtId="0" fontId="20" fillId="0" borderId="29" xfId="0" applyFont="1" applyBorder="1"/>
    <xf numFmtId="167" fontId="15" fillId="0" borderId="56" xfId="8" applyNumberFormat="1" applyFont="1" applyBorder="1" applyAlignment="1"/>
    <xf numFmtId="167" fontId="15" fillId="0" borderId="61" xfId="8" applyNumberFormat="1" applyFont="1" applyFill="1" applyBorder="1" applyAlignment="1"/>
    <xf numFmtId="0" fontId="20" fillId="0" borderId="72" xfId="0" applyFont="1" applyBorder="1"/>
    <xf numFmtId="0" fontId="20" fillId="0" borderId="47" xfId="0" applyFont="1" applyBorder="1"/>
    <xf numFmtId="0" fontId="20" fillId="0" borderId="46" xfId="0" applyFont="1" applyBorder="1"/>
    <xf numFmtId="0" fontId="20" fillId="0" borderId="75" xfId="0" applyFont="1" applyBorder="1"/>
    <xf numFmtId="0" fontId="20" fillId="0" borderId="14" xfId="0" applyFont="1" applyBorder="1"/>
    <xf numFmtId="0" fontId="20" fillId="0" borderId="71" xfId="0" applyFont="1" applyBorder="1"/>
    <xf numFmtId="0" fontId="20" fillId="0" borderId="76" xfId="0" applyFont="1" applyBorder="1"/>
    <xf numFmtId="167" fontId="4" fillId="7" borderId="55" xfId="8" applyNumberFormat="1" applyFont="1" applyFill="1" applyBorder="1" applyAlignment="1">
      <alignment horizontal="center"/>
    </xf>
    <xf numFmtId="167" fontId="4" fillId="7" borderId="52" xfId="8" applyNumberFormat="1" applyFont="1" applyFill="1" applyBorder="1" applyAlignment="1">
      <alignment horizontal="center"/>
    </xf>
    <xf numFmtId="167" fontId="4" fillId="7" borderId="56" xfId="8" applyNumberFormat="1" applyFont="1" applyFill="1" applyBorder="1" applyAlignment="1">
      <alignment horizontal="center"/>
    </xf>
    <xf numFmtId="167" fontId="4" fillId="7" borderId="22" xfId="8" applyNumberFormat="1" applyFont="1" applyFill="1" applyBorder="1" applyAlignment="1">
      <alignment horizontal="center"/>
    </xf>
    <xf numFmtId="167" fontId="4" fillId="7" borderId="74" xfId="8" applyNumberFormat="1" applyFont="1" applyFill="1" applyBorder="1" applyAlignment="1">
      <alignment horizontal="center"/>
    </xf>
    <xf numFmtId="167" fontId="4" fillId="7" borderId="20" xfId="8" applyNumberFormat="1" applyFont="1" applyFill="1" applyBorder="1" applyAlignment="1">
      <alignment horizontal="center"/>
    </xf>
    <xf numFmtId="167" fontId="4" fillId="7" borderId="67" xfId="8" applyNumberFormat="1" applyFont="1" applyFill="1" applyBorder="1" applyAlignment="1">
      <alignment horizontal="center"/>
    </xf>
    <xf numFmtId="167" fontId="4" fillId="7" borderId="77" xfId="8" applyNumberFormat="1" applyFont="1" applyFill="1" applyBorder="1" applyAlignment="1">
      <alignment horizontal="center"/>
    </xf>
    <xf numFmtId="167" fontId="4" fillId="7" borderId="64" xfId="8" applyNumberFormat="1" applyFont="1" applyFill="1" applyBorder="1" applyAlignment="1">
      <alignment horizontal="center"/>
    </xf>
    <xf numFmtId="167" fontId="4" fillId="7" borderId="17" xfId="8" applyNumberFormat="1" applyFont="1" applyFill="1" applyBorder="1" applyAlignment="1">
      <alignment horizontal="center"/>
    </xf>
    <xf numFmtId="167" fontId="4" fillId="7" borderId="15" xfId="8" applyNumberFormat="1" applyFont="1" applyFill="1" applyBorder="1" applyAlignment="1">
      <alignment horizontal="center"/>
    </xf>
    <xf numFmtId="167" fontId="4" fillId="7" borderId="68" xfId="8" applyNumberFormat="1" applyFont="1" applyFill="1" applyBorder="1" applyAlignment="1">
      <alignment horizontal="center"/>
    </xf>
    <xf numFmtId="167" fontId="4" fillId="7" borderId="6" xfId="8" applyNumberFormat="1" applyFont="1" applyFill="1" applyBorder="1" applyAlignment="1">
      <alignment horizontal="center"/>
    </xf>
    <xf numFmtId="167" fontId="4" fillId="7" borderId="20" xfId="0" applyNumberFormat="1" applyFont="1" applyFill="1" applyBorder="1"/>
    <xf numFmtId="10" fontId="4" fillId="7" borderId="53" xfId="4" applyNumberFormat="1" applyFont="1" applyFill="1" applyBorder="1" applyAlignment="1">
      <alignment horizontal="center"/>
    </xf>
    <xf numFmtId="10" fontId="4" fillId="7" borderId="51" xfId="4" applyNumberFormat="1" applyFont="1" applyFill="1" applyBorder="1" applyAlignment="1">
      <alignment horizontal="center"/>
    </xf>
    <xf numFmtId="10" fontId="4" fillId="7" borderId="49" xfId="4" applyNumberFormat="1" applyFont="1" applyFill="1" applyBorder="1" applyAlignment="1">
      <alignment horizontal="center"/>
    </xf>
    <xf numFmtId="10" fontId="4" fillId="7" borderId="54" xfId="4" applyNumberFormat="1" applyFont="1" applyFill="1" applyBorder="1" applyAlignment="1">
      <alignment horizontal="center"/>
    </xf>
    <xf numFmtId="10" fontId="4" fillId="7" borderId="73" xfId="4" applyNumberFormat="1" applyFont="1" applyFill="1" applyBorder="1" applyAlignment="1">
      <alignment horizontal="center"/>
    </xf>
    <xf numFmtId="10" fontId="4" fillId="7" borderId="60" xfId="4" applyNumberFormat="1" applyFont="1" applyFill="1" applyBorder="1" applyAlignment="1">
      <alignment horizontal="center"/>
    </xf>
    <xf numFmtId="10" fontId="4" fillId="7" borderId="50" xfId="4" applyNumberFormat="1" applyFont="1" applyFill="1" applyBorder="1" applyAlignment="1">
      <alignment horizontal="center"/>
    </xf>
    <xf numFmtId="10" fontId="4" fillId="7" borderId="19" xfId="4" applyNumberFormat="1" applyFont="1" applyFill="1" applyBorder="1" applyAlignment="1">
      <alignment horizontal="center"/>
    </xf>
    <xf numFmtId="9" fontId="4" fillId="7" borderId="54" xfId="4" applyFont="1" applyFill="1" applyBorder="1"/>
    <xf numFmtId="0" fontId="4" fillId="7" borderId="14" xfId="0" applyFont="1" applyFill="1" applyBorder="1" applyAlignment="1">
      <alignment wrapText="1"/>
    </xf>
    <xf numFmtId="167" fontId="4" fillId="7" borderId="12" xfId="8" applyNumberFormat="1" applyFont="1" applyFill="1" applyBorder="1" applyAlignment="1"/>
    <xf numFmtId="0" fontId="4" fillId="7" borderId="36" xfId="0" applyFont="1" applyFill="1" applyBorder="1"/>
    <xf numFmtId="167" fontId="4" fillId="7" borderId="17" xfId="8" applyNumberFormat="1" applyFont="1" applyFill="1" applyBorder="1" applyAlignment="1"/>
    <xf numFmtId="0" fontId="4" fillId="7" borderId="14" xfId="0" applyFont="1" applyFill="1" applyBorder="1"/>
    <xf numFmtId="0" fontId="4" fillId="7" borderId="35" xfId="0" applyFont="1" applyFill="1" applyBorder="1"/>
    <xf numFmtId="0" fontId="4" fillId="7" borderId="36" xfId="0" applyFont="1" applyFill="1" applyBorder="1" applyAlignment="1">
      <alignment wrapText="1"/>
    </xf>
    <xf numFmtId="167" fontId="4" fillId="7" borderId="20" xfId="8" applyNumberFormat="1" applyFont="1" applyFill="1" applyBorder="1" applyAlignment="1"/>
    <xf numFmtId="167" fontId="4" fillId="7" borderId="18" xfId="8" applyNumberFormat="1" applyFont="1" applyFill="1" applyBorder="1" applyAlignment="1"/>
    <xf numFmtId="167" fontId="4" fillId="7" borderId="18" xfId="0" applyNumberFormat="1" applyFont="1" applyFill="1" applyBorder="1"/>
    <xf numFmtId="167" fontId="4" fillId="7" borderId="33" xfId="8" applyNumberFormat="1" applyFont="1" applyFill="1" applyBorder="1" applyAlignment="1"/>
    <xf numFmtId="167" fontId="4" fillId="7" borderId="33" xfId="0" applyNumberFormat="1" applyFont="1" applyFill="1" applyBorder="1"/>
    <xf numFmtId="0" fontId="4" fillId="7" borderId="1" xfId="0" applyFont="1" applyFill="1" applyBorder="1"/>
    <xf numFmtId="167" fontId="4" fillId="7" borderId="27" xfId="8" applyNumberFormat="1" applyFont="1" applyFill="1" applyBorder="1" applyAlignment="1"/>
    <xf numFmtId="167" fontId="4" fillId="7" borderId="31" xfId="8" applyNumberFormat="1" applyFont="1" applyFill="1" applyBorder="1" applyAlignment="1"/>
    <xf numFmtId="167" fontId="4" fillId="7" borderId="4" xfId="8" applyNumberFormat="1" applyFont="1" applyFill="1" applyBorder="1" applyAlignment="1"/>
    <xf numFmtId="167" fontId="4" fillId="7" borderId="19" xfId="8" applyNumberFormat="1" applyFont="1" applyFill="1" applyBorder="1" applyAlignment="1"/>
    <xf numFmtId="0" fontId="4" fillId="7" borderId="35" xfId="0" applyFont="1" applyFill="1" applyBorder="1" applyAlignment="1">
      <alignment wrapText="1"/>
    </xf>
    <xf numFmtId="0" fontId="4" fillId="7" borderId="35" xfId="0" applyFont="1" applyFill="1" applyBorder="1" applyAlignment="1">
      <alignment horizontal="center"/>
    </xf>
    <xf numFmtId="167" fontId="4" fillId="7" borderId="27" xfId="0" applyNumberFormat="1" applyFont="1" applyFill="1" applyBorder="1"/>
    <xf numFmtId="167" fontId="4" fillId="7" borderId="4" xfId="0" applyNumberFormat="1" applyFont="1" applyFill="1" applyBorder="1"/>
    <xf numFmtId="167" fontId="4" fillId="7" borderId="19" xfId="0" applyNumberFormat="1" applyFont="1" applyFill="1" applyBorder="1"/>
    <xf numFmtId="164" fontId="34" fillId="0" borderId="12" xfId="0" applyNumberFormat="1" applyFont="1" applyBorder="1" applyAlignment="1">
      <alignment horizontal="center"/>
    </xf>
    <xf numFmtId="164" fontId="35" fillId="0" borderId="20" xfId="0" applyNumberFormat="1" applyFont="1" applyBorder="1" applyAlignment="1">
      <alignment horizontal="center"/>
    </xf>
    <xf numFmtId="165" fontId="31" fillId="0" borderId="8" xfId="2" applyNumberFormat="1" applyFont="1" applyBorder="1" applyAlignment="1">
      <alignment horizontal="center"/>
    </xf>
    <xf numFmtId="164" fontId="33" fillId="0" borderId="31" xfId="2" applyNumberFormat="1" applyFont="1" applyBorder="1" applyAlignment="1">
      <alignment horizontal="center"/>
    </xf>
    <xf numFmtId="164" fontId="36" fillId="0" borderId="9" xfId="2" applyNumberFormat="1" applyFont="1" applyBorder="1" applyAlignment="1">
      <alignment horizontal="center"/>
    </xf>
    <xf numFmtId="164" fontId="35" fillId="0" borderId="7" xfId="2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66" fontId="34" fillId="9" borderId="21" xfId="5" applyNumberFormat="1" applyFont="1" applyFill="1" applyBorder="1" applyAlignment="1">
      <alignment horizontal="center"/>
    </xf>
    <xf numFmtId="0" fontId="34" fillId="9" borderId="22" xfId="0" applyFont="1" applyFill="1" applyBorder="1"/>
    <xf numFmtId="164" fontId="34" fillId="9" borderId="21" xfId="5" applyNumberFormat="1" applyFont="1" applyFill="1" applyBorder="1" applyAlignment="1">
      <alignment horizontal="center"/>
    </xf>
    <xf numFmtId="0" fontId="40" fillId="9" borderId="22" xfId="0" applyFont="1" applyFill="1" applyBorder="1"/>
    <xf numFmtId="164" fontId="34" fillId="9" borderId="27" xfId="5" applyNumberFormat="1" applyFont="1" applyFill="1" applyBorder="1" applyAlignment="1">
      <alignment horizontal="center"/>
    </xf>
    <xf numFmtId="164" fontId="34" fillId="0" borderId="4" xfId="5" applyNumberFormat="1" applyFont="1" applyBorder="1" applyAlignment="1">
      <alignment horizontal="center"/>
    </xf>
    <xf numFmtId="166" fontId="34" fillId="0" borderId="5" xfId="0" applyNumberFormat="1" applyFont="1" applyBorder="1" applyAlignment="1">
      <alignment horizontal="center"/>
    </xf>
    <xf numFmtId="164" fontId="4" fillId="7" borderId="41" xfId="6" applyNumberFormat="1" applyFont="1" applyFill="1" applyBorder="1" applyAlignment="1">
      <alignment horizontal="center"/>
    </xf>
    <xf numFmtId="0" fontId="4" fillId="10" borderId="20" xfId="3" applyFont="1" applyFill="1" applyBorder="1" applyAlignment="1">
      <alignment horizontal="left"/>
    </xf>
    <xf numFmtId="0" fontId="4" fillId="10" borderId="19" xfId="3" applyFont="1" applyFill="1" applyBorder="1" applyAlignment="1">
      <alignment horizontal="left"/>
    </xf>
    <xf numFmtId="0" fontId="4" fillId="11" borderId="14" xfId="0" applyFont="1" applyFill="1" applyBorder="1" applyAlignment="1">
      <alignment wrapText="1"/>
    </xf>
    <xf numFmtId="0" fontId="4" fillId="11" borderId="36" xfId="0" applyFont="1" applyFill="1" applyBorder="1"/>
    <xf numFmtId="0" fontId="4" fillId="11" borderId="14" xfId="0" applyFont="1" applyFill="1" applyBorder="1"/>
    <xf numFmtId="0" fontId="4" fillId="11" borderId="35" xfId="0" applyFont="1" applyFill="1" applyBorder="1"/>
    <xf numFmtId="0" fontId="4" fillId="11" borderId="36" xfId="0" applyFont="1" applyFill="1" applyBorder="1" applyAlignment="1">
      <alignment wrapText="1"/>
    </xf>
    <xf numFmtId="0" fontId="4" fillId="11" borderId="1" xfId="0" applyFont="1" applyFill="1" applyBorder="1"/>
    <xf numFmtId="0" fontId="4" fillId="11" borderId="35" xfId="0" applyFont="1" applyFill="1" applyBorder="1" applyAlignment="1">
      <alignment wrapText="1"/>
    </xf>
    <xf numFmtId="0" fontId="4" fillId="11" borderId="35" xfId="0" applyFont="1" applyFill="1" applyBorder="1" applyAlignment="1">
      <alignment horizontal="center"/>
    </xf>
    <xf numFmtId="167" fontId="4" fillId="11" borderId="12" xfId="8" applyNumberFormat="1" applyFont="1" applyFill="1" applyBorder="1" applyAlignment="1"/>
    <xf numFmtId="167" fontId="4" fillId="11" borderId="17" xfId="8" applyNumberFormat="1" applyFont="1" applyFill="1" applyBorder="1" applyAlignment="1"/>
    <xf numFmtId="167" fontId="4" fillId="11" borderId="20" xfId="8" applyNumberFormat="1" applyFont="1" applyFill="1" applyBorder="1" applyAlignment="1"/>
    <xf numFmtId="167" fontId="4" fillId="11" borderId="20" xfId="0" applyNumberFormat="1" applyFont="1" applyFill="1" applyBorder="1"/>
    <xf numFmtId="167" fontId="4" fillId="11" borderId="27" xfId="8" applyNumberFormat="1" applyFont="1" applyFill="1" applyBorder="1" applyAlignment="1"/>
    <xf numFmtId="167" fontId="4" fillId="11" borderId="27" xfId="0" applyNumberFormat="1" applyFont="1" applyFill="1" applyBorder="1"/>
    <xf numFmtId="167" fontId="4" fillId="11" borderId="18" xfId="8" applyNumberFormat="1" applyFont="1" applyFill="1" applyBorder="1" applyAlignment="1"/>
    <xf numFmtId="167" fontId="4" fillId="11" borderId="18" xfId="0" applyNumberFormat="1" applyFont="1" applyFill="1" applyBorder="1"/>
    <xf numFmtId="167" fontId="4" fillId="11" borderId="31" xfId="8" applyNumberFormat="1" applyFont="1" applyFill="1" applyBorder="1" applyAlignment="1"/>
    <xf numFmtId="167" fontId="4" fillId="11" borderId="4" xfId="0" applyNumberFormat="1" applyFont="1" applyFill="1" applyBorder="1"/>
    <xf numFmtId="167" fontId="4" fillId="11" borderId="31" xfId="0" applyNumberFormat="1" applyFont="1" applyFill="1" applyBorder="1"/>
    <xf numFmtId="167" fontId="4" fillId="11" borderId="4" xfId="8" applyNumberFormat="1" applyFont="1" applyFill="1" applyBorder="1" applyAlignment="1"/>
    <xf numFmtId="167" fontId="4" fillId="11" borderId="33" xfId="8" applyNumberFormat="1" applyFont="1" applyFill="1" applyBorder="1" applyAlignment="1"/>
    <xf numFmtId="167" fontId="4" fillId="11" borderId="33" xfId="0" applyNumberFormat="1" applyFont="1" applyFill="1" applyBorder="1"/>
    <xf numFmtId="167" fontId="4" fillId="11" borderId="19" xfId="8" applyNumberFormat="1" applyFont="1" applyFill="1" applyBorder="1" applyAlignment="1"/>
    <xf numFmtId="167" fontId="4" fillId="11" borderId="19" xfId="0" applyNumberFormat="1" applyFont="1" applyFill="1" applyBorder="1"/>
    <xf numFmtId="0" fontId="4" fillId="11" borderId="20" xfId="3" applyFont="1" applyFill="1" applyBorder="1" applyAlignment="1">
      <alignment horizontal="left"/>
    </xf>
    <xf numFmtId="167" fontId="4" fillId="11" borderId="27" xfId="8" applyNumberFormat="1" applyFont="1" applyFill="1" applyBorder="1" applyAlignment="1">
      <alignment horizontal="center"/>
    </xf>
    <xf numFmtId="167" fontId="4" fillId="11" borderId="55" xfId="8" applyNumberFormat="1" applyFont="1" applyFill="1" applyBorder="1" applyAlignment="1">
      <alignment horizontal="center"/>
    </xf>
    <xf numFmtId="167" fontId="4" fillId="11" borderId="52" xfId="8" applyNumberFormat="1" applyFont="1" applyFill="1" applyBorder="1" applyAlignment="1">
      <alignment horizontal="center"/>
    </xf>
    <xf numFmtId="167" fontId="4" fillId="11" borderId="56" xfId="8" applyNumberFormat="1" applyFont="1" applyFill="1" applyBorder="1" applyAlignment="1">
      <alignment horizontal="center"/>
    </xf>
    <xf numFmtId="167" fontId="4" fillId="11" borderId="22" xfId="8" applyNumberFormat="1" applyFont="1" applyFill="1" applyBorder="1" applyAlignment="1">
      <alignment horizontal="center"/>
    </xf>
    <xf numFmtId="167" fontId="4" fillId="11" borderId="74" xfId="8" applyNumberFormat="1" applyFont="1" applyFill="1" applyBorder="1" applyAlignment="1">
      <alignment horizontal="center"/>
    </xf>
    <xf numFmtId="167" fontId="4" fillId="11" borderId="20" xfId="8" applyNumberFormat="1" applyFont="1" applyFill="1" applyBorder="1" applyAlignment="1">
      <alignment horizontal="center"/>
    </xf>
    <xf numFmtId="167" fontId="4" fillId="11" borderId="67" xfId="8" applyNumberFormat="1" applyFont="1" applyFill="1" applyBorder="1" applyAlignment="1">
      <alignment horizontal="center"/>
    </xf>
    <xf numFmtId="167" fontId="4" fillId="11" borderId="77" xfId="8" applyNumberFormat="1" applyFont="1" applyFill="1" applyBorder="1" applyAlignment="1">
      <alignment horizontal="center"/>
    </xf>
    <xf numFmtId="167" fontId="4" fillId="11" borderId="64" xfId="8" applyNumberFormat="1" applyFont="1" applyFill="1" applyBorder="1" applyAlignment="1">
      <alignment horizontal="center"/>
    </xf>
    <xf numFmtId="167" fontId="4" fillId="11" borderId="17" xfId="8" applyNumberFormat="1" applyFont="1" applyFill="1" applyBorder="1" applyAlignment="1">
      <alignment horizontal="center"/>
    </xf>
    <xf numFmtId="167" fontId="4" fillId="11" borderId="15" xfId="8" applyNumberFormat="1" applyFont="1" applyFill="1" applyBorder="1" applyAlignment="1">
      <alignment horizontal="center"/>
    </xf>
    <xf numFmtId="167" fontId="4" fillId="11" borderId="68" xfId="8" applyNumberFormat="1" applyFont="1" applyFill="1" applyBorder="1" applyAlignment="1">
      <alignment horizontal="center"/>
    </xf>
    <xf numFmtId="167" fontId="4" fillId="11" borderId="6" xfId="8" applyNumberFormat="1" applyFont="1" applyFill="1" applyBorder="1" applyAlignment="1">
      <alignment horizontal="center"/>
    </xf>
    <xf numFmtId="0" fontId="4" fillId="11" borderId="19" xfId="3" applyFont="1" applyFill="1" applyBorder="1" applyAlignment="1">
      <alignment horizontal="left"/>
    </xf>
    <xf numFmtId="10" fontId="4" fillId="11" borderId="53" xfId="4" applyNumberFormat="1" applyFont="1" applyFill="1" applyBorder="1" applyAlignment="1">
      <alignment horizontal="center"/>
    </xf>
    <xf numFmtId="10" fontId="4" fillId="11" borderId="51" xfId="4" applyNumberFormat="1" applyFont="1" applyFill="1" applyBorder="1" applyAlignment="1">
      <alignment horizontal="center"/>
    </xf>
    <xf numFmtId="10" fontId="4" fillId="11" borderId="49" xfId="4" applyNumberFormat="1" applyFont="1" applyFill="1" applyBorder="1" applyAlignment="1">
      <alignment horizontal="center"/>
    </xf>
    <xf numFmtId="10" fontId="4" fillId="11" borderId="54" xfId="4" applyNumberFormat="1" applyFont="1" applyFill="1" applyBorder="1" applyAlignment="1">
      <alignment horizontal="center"/>
    </xf>
    <xf numFmtId="10" fontId="4" fillId="11" borderId="73" xfId="4" applyNumberFormat="1" applyFont="1" applyFill="1" applyBorder="1" applyAlignment="1">
      <alignment horizontal="center"/>
    </xf>
    <xf numFmtId="10" fontId="4" fillId="11" borderId="60" xfId="4" applyNumberFormat="1" applyFont="1" applyFill="1" applyBorder="1" applyAlignment="1">
      <alignment horizontal="center"/>
    </xf>
    <xf numFmtId="10" fontId="4" fillId="11" borderId="50" xfId="4" applyNumberFormat="1" applyFont="1" applyFill="1" applyBorder="1" applyAlignment="1">
      <alignment horizontal="center"/>
    </xf>
    <xf numFmtId="10" fontId="4" fillId="11" borderId="19" xfId="4" applyNumberFormat="1" applyFont="1" applyFill="1" applyBorder="1" applyAlignment="1">
      <alignment horizontal="center"/>
    </xf>
    <xf numFmtId="164" fontId="43" fillId="0" borderId="0" xfId="0" applyNumberFormat="1" applyFont="1" applyAlignment="1">
      <alignment horizontal="center"/>
    </xf>
    <xf numFmtId="0" fontId="4" fillId="11" borderId="58" xfId="2" applyFont="1" applyFill="1" applyBorder="1" applyAlignment="1">
      <alignment horizontal="center"/>
    </xf>
    <xf numFmtId="164" fontId="4" fillId="11" borderId="0" xfId="1" applyNumberFormat="1" applyFont="1" applyFill="1" applyBorder="1" applyAlignment="1">
      <alignment horizontal="center"/>
    </xf>
    <xf numFmtId="0" fontId="4" fillId="11" borderId="44" xfId="2" applyFont="1" applyFill="1" applyBorder="1" applyAlignment="1">
      <alignment horizontal="center"/>
    </xf>
    <xf numFmtId="164" fontId="4" fillId="11" borderId="13" xfId="1" applyNumberFormat="1" applyFont="1" applyFill="1" applyBorder="1" applyAlignment="1">
      <alignment horizontal="center"/>
    </xf>
    <xf numFmtId="165" fontId="43" fillId="0" borderId="20" xfId="3" applyNumberFormat="1" applyFont="1" applyBorder="1" applyAlignment="1">
      <alignment horizontal="center"/>
    </xf>
    <xf numFmtId="165" fontId="43" fillId="0" borderId="18" xfId="3" applyNumberFormat="1" applyFont="1" applyBorder="1" applyAlignment="1">
      <alignment horizontal="center"/>
    </xf>
    <xf numFmtId="165" fontId="4" fillId="11" borderId="24" xfId="4" applyNumberFormat="1" applyFont="1" applyFill="1" applyBorder="1" applyAlignment="1">
      <alignment horizontal="center"/>
    </xf>
    <xf numFmtId="165" fontId="4" fillId="11" borderId="54" xfId="4" applyNumberFormat="1" applyFont="1" applyFill="1" applyBorder="1" applyAlignment="1">
      <alignment horizontal="center"/>
    </xf>
    <xf numFmtId="164" fontId="45" fillId="0" borderId="10" xfId="0" applyNumberFormat="1" applyFont="1" applyBorder="1"/>
    <xf numFmtId="0" fontId="4" fillId="11" borderId="36" xfId="0" applyFont="1" applyFill="1" applyBorder="1" applyAlignment="1">
      <alignment horizontal="center"/>
    </xf>
    <xf numFmtId="164" fontId="4" fillId="11" borderId="36" xfId="0" applyNumberFormat="1" applyFont="1" applyFill="1" applyBorder="1" applyAlignment="1">
      <alignment horizontal="center"/>
    </xf>
    <xf numFmtId="164" fontId="4" fillId="11" borderId="1" xfId="0" applyNumberFormat="1" applyFont="1" applyFill="1" applyBorder="1" applyAlignment="1">
      <alignment horizontal="center"/>
    </xf>
    <xf numFmtId="165" fontId="46" fillId="0" borderId="35" xfId="4" applyNumberFormat="1" applyFont="1" applyFill="1" applyBorder="1" applyAlignment="1">
      <alignment horizontal="center"/>
    </xf>
    <xf numFmtId="166" fontId="43" fillId="0" borderId="5" xfId="0" applyNumberFormat="1" applyFont="1" applyBorder="1" applyAlignment="1">
      <alignment horizontal="center"/>
    </xf>
    <xf numFmtId="164" fontId="43" fillId="0" borderId="4" xfId="5" applyNumberFormat="1" applyFont="1" applyBorder="1" applyAlignment="1">
      <alignment horizontal="center"/>
    </xf>
    <xf numFmtId="164" fontId="43" fillId="0" borderId="0" xfId="5" applyNumberFormat="1" applyFont="1" applyAlignment="1">
      <alignment horizontal="center"/>
    </xf>
    <xf numFmtId="164" fontId="43" fillId="0" borderId="68" xfId="0" applyNumberFormat="1" applyFont="1" applyBorder="1" applyAlignment="1">
      <alignment horizontal="center" wrapText="1"/>
    </xf>
    <xf numFmtId="164" fontId="43" fillId="0" borderId="6" xfId="0" applyNumberFormat="1" applyFont="1" applyBorder="1" applyAlignment="1">
      <alignment horizontal="center" wrapText="1"/>
    </xf>
    <xf numFmtId="44" fontId="4" fillId="11" borderId="41" xfId="6" applyFont="1" applyFill="1" applyBorder="1" applyAlignment="1">
      <alignment horizontal="center"/>
    </xf>
    <xf numFmtId="44" fontId="4" fillId="11" borderId="42" xfId="6" applyFont="1" applyFill="1" applyBorder="1" applyAlignment="1">
      <alignment horizontal="center"/>
    </xf>
    <xf numFmtId="164" fontId="4" fillId="11" borderId="41" xfId="6" applyNumberFormat="1" applyFont="1" applyFill="1" applyBorder="1" applyAlignment="1">
      <alignment horizontal="center"/>
    </xf>
    <xf numFmtId="167" fontId="0" fillId="0" borderId="4" xfId="8" applyNumberFormat="1" applyFont="1" applyBorder="1"/>
    <xf numFmtId="167" fontId="0" fillId="0" borderId="35" xfId="8" applyNumberFormat="1" applyFont="1" applyBorder="1"/>
    <xf numFmtId="3" fontId="0" fillId="0" borderId="4" xfId="0" applyNumberFormat="1" applyBorder="1"/>
    <xf numFmtId="0" fontId="0" fillId="7" borderId="35" xfId="0" applyFill="1" applyBorder="1"/>
    <xf numFmtId="3" fontId="0" fillId="0" borderId="35" xfId="0" applyNumberFormat="1" applyBorder="1"/>
    <xf numFmtId="0" fontId="3" fillId="0" borderId="14" xfId="5" applyFont="1" applyBorder="1" applyAlignment="1">
      <alignment horizontal="center"/>
    </xf>
    <xf numFmtId="164" fontId="4" fillId="4" borderId="9" xfId="1" applyNumberFormat="1" applyFont="1" applyFill="1" applyBorder="1"/>
    <xf numFmtId="164" fontId="4" fillId="4" borderId="7" xfId="1" applyNumberFormat="1" applyFont="1" applyFill="1" applyBorder="1" applyAlignment="1">
      <alignment horizontal="center"/>
    </xf>
    <xf numFmtId="164" fontId="4" fillId="4" borderId="9" xfId="1" applyNumberFormat="1" applyFont="1" applyFill="1" applyBorder="1" applyAlignment="1">
      <alignment horizontal="center"/>
    </xf>
    <xf numFmtId="0" fontId="0" fillId="0" borderId="13" xfId="0" applyBorder="1"/>
    <xf numFmtId="0" fontId="3" fillId="9" borderId="21" xfId="5" applyFont="1" applyFill="1" applyBorder="1" applyAlignment="1">
      <alignment horizontal="center" vertical="center" wrapText="1"/>
    </xf>
    <xf numFmtId="164" fontId="4" fillId="4" borderId="6" xfId="2" applyNumberFormat="1" applyFont="1" applyFill="1" applyBorder="1" applyAlignment="1">
      <alignment horizontal="center"/>
    </xf>
    <xf numFmtId="43" fontId="0" fillId="0" borderId="0" xfId="0" applyNumberFormat="1"/>
    <xf numFmtId="0" fontId="15" fillId="0" borderId="1" xfId="0" applyFont="1" applyBorder="1"/>
    <xf numFmtId="12" fontId="15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167" fontId="4" fillId="7" borderId="1" xfId="0" applyNumberFormat="1" applyFont="1" applyFill="1" applyBorder="1"/>
    <xf numFmtId="167" fontId="4" fillId="7" borderId="1" xfId="0" applyNumberFormat="1" applyFont="1" applyFill="1" applyBorder="1" applyAlignment="1">
      <alignment horizontal="center"/>
    </xf>
    <xf numFmtId="10" fontId="4" fillId="7" borderId="1" xfId="4" applyNumberFormat="1" applyFont="1" applyFill="1" applyBorder="1"/>
    <xf numFmtId="10" fontId="4" fillId="7" borderId="1" xfId="4" applyNumberFormat="1" applyFont="1" applyFill="1" applyBorder="1" applyAlignment="1">
      <alignment horizontal="right"/>
    </xf>
    <xf numFmtId="167" fontId="4" fillId="11" borderId="1" xfId="0" applyNumberFormat="1" applyFont="1" applyFill="1" applyBorder="1"/>
    <xf numFmtId="167" fontId="4" fillId="11" borderId="1" xfId="0" applyNumberFormat="1" applyFont="1" applyFill="1" applyBorder="1" applyAlignment="1">
      <alignment horizontal="center"/>
    </xf>
    <xf numFmtId="10" fontId="4" fillId="11" borderId="1" xfId="4" applyNumberFormat="1" applyFont="1" applyFill="1" applyBorder="1"/>
    <xf numFmtId="10" fontId="4" fillId="11" borderId="1" xfId="4" applyNumberFormat="1" applyFont="1" applyFill="1" applyBorder="1" applyAlignment="1">
      <alignment horizontal="right"/>
    </xf>
    <xf numFmtId="0" fontId="19" fillId="0" borderId="43" xfId="0" applyFont="1" applyBorder="1" applyAlignment="1">
      <alignment horizontal="center" wrapText="1"/>
    </xf>
    <xf numFmtId="0" fontId="19" fillId="0" borderId="44" xfId="0" applyFont="1" applyBorder="1" applyAlignment="1">
      <alignment horizontal="center" wrapText="1"/>
    </xf>
    <xf numFmtId="164" fontId="43" fillId="9" borderId="68" xfId="0" applyNumberFormat="1" applyFont="1" applyFill="1" applyBorder="1" applyAlignment="1">
      <alignment horizontal="center" wrapText="1"/>
    </xf>
    <xf numFmtId="164" fontId="43" fillId="9" borderId="6" xfId="0" applyNumberFormat="1" applyFont="1" applyFill="1" applyBorder="1" applyAlignment="1">
      <alignment horizontal="center" wrapText="1"/>
    </xf>
    <xf numFmtId="165" fontId="40" fillId="9" borderId="0" xfId="12" applyNumberFormat="1" applyFont="1" applyFill="1" applyBorder="1" applyAlignment="1">
      <alignment horizontal="center"/>
    </xf>
    <xf numFmtId="164" fontId="34" fillId="9" borderId="4" xfId="5" applyNumberFormat="1" applyFont="1" applyFill="1" applyBorder="1" applyAlignment="1">
      <alignment horizontal="center"/>
    </xf>
    <xf numFmtId="2" fontId="34" fillId="9" borderId="68" xfId="5" applyNumberFormat="1" applyFont="1" applyFill="1" applyBorder="1" applyAlignment="1">
      <alignment horizontal="center" wrapText="1"/>
    </xf>
    <xf numFmtId="164" fontId="34" fillId="9" borderId="68" xfId="0" applyNumberFormat="1" applyFont="1" applyFill="1" applyBorder="1" applyAlignment="1">
      <alignment horizontal="center" wrapText="1"/>
    </xf>
    <xf numFmtId="164" fontId="34" fillId="9" borderId="6" xfId="0" applyNumberFormat="1" applyFont="1" applyFill="1" applyBorder="1" applyAlignment="1">
      <alignment horizontal="center" wrapText="1"/>
    </xf>
    <xf numFmtId="0" fontId="3" fillId="0" borderId="13" xfId="5" applyFont="1" applyBorder="1" applyAlignment="1">
      <alignment horizontal="center" wrapText="1"/>
    </xf>
    <xf numFmtId="2" fontId="43" fillId="9" borderId="68" xfId="5" applyNumberFormat="1" applyFont="1" applyFill="1" applyBorder="1" applyAlignment="1">
      <alignment horizontal="center" wrapText="1"/>
    </xf>
    <xf numFmtId="2" fontId="43" fillId="0" borderId="68" xfId="5" applyNumberFormat="1" applyFont="1" applyBorder="1" applyAlignment="1">
      <alignment horizontal="center" wrapText="1"/>
    </xf>
    <xf numFmtId="3" fontId="16" fillId="11" borderId="4" xfId="0" applyNumberFormat="1" applyFont="1" applyFill="1" applyBorder="1"/>
    <xf numFmtId="0" fontId="47" fillId="11" borderId="35" xfId="0" applyFont="1" applyFill="1" applyBorder="1"/>
    <xf numFmtId="0" fontId="19" fillId="0" borderId="1" xfId="0" applyFont="1" applyBorder="1" applyAlignment="1">
      <alignment horizontal="center" wrapText="1"/>
    </xf>
    <xf numFmtId="164" fontId="34" fillId="0" borderId="6" xfId="0" applyNumberFormat="1" applyFont="1" applyBorder="1" applyAlignment="1">
      <alignment horizontal="center"/>
    </xf>
    <xf numFmtId="44" fontId="43" fillId="0" borderId="18" xfId="1" applyFont="1" applyFill="1" applyBorder="1" applyAlignment="1">
      <alignment horizontal="center"/>
    </xf>
    <xf numFmtId="44" fontId="43" fillId="0" borderId="4" xfId="1" applyFont="1" applyFill="1" applyBorder="1" applyAlignment="1">
      <alignment horizontal="center"/>
    </xf>
    <xf numFmtId="164" fontId="34" fillId="0" borderId="31" xfId="1" applyNumberFormat="1" applyFont="1" applyFill="1" applyBorder="1" applyAlignment="1">
      <alignment horizontal="center"/>
    </xf>
    <xf numFmtId="44" fontId="34" fillId="0" borderId="18" xfId="1" applyFont="1" applyFill="1" applyBorder="1" applyAlignment="1">
      <alignment horizontal="center"/>
    </xf>
    <xf numFmtId="44" fontId="34" fillId="0" borderId="4" xfId="1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" fillId="0" borderId="4" xfId="2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167" fontId="0" fillId="0" borderId="0" xfId="0" applyNumberFormat="1"/>
    <xf numFmtId="44" fontId="43" fillId="0" borderId="31" xfId="1" applyFont="1" applyFill="1" applyBorder="1" applyAlignment="1">
      <alignment horizontal="center"/>
    </xf>
    <xf numFmtId="166" fontId="4" fillId="7" borderId="45" xfId="0" applyNumberFormat="1" applyFont="1" applyFill="1" applyBorder="1"/>
    <xf numFmtId="164" fontId="4" fillId="7" borderId="45" xfId="0" applyNumberFormat="1" applyFont="1" applyFill="1" applyBorder="1"/>
    <xf numFmtId="164" fontId="34" fillId="0" borderId="4" xfId="1" applyNumberFormat="1" applyFont="1" applyBorder="1"/>
    <xf numFmtId="165" fontId="4" fillId="7" borderId="45" xfId="0" applyNumberFormat="1" applyFont="1" applyFill="1" applyBorder="1"/>
    <xf numFmtId="44" fontId="34" fillId="0" borderId="31" xfId="1" applyFont="1" applyFill="1" applyBorder="1" applyAlignment="1">
      <alignment horizontal="center"/>
    </xf>
    <xf numFmtId="164" fontId="4" fillId="7" borderId="29" xfId="0" applyNumberFormat="1" applyFont="1" applyFill="1" applyBorder="1"/>
    <xf numFmtId="164" fontId="43" fillId="0" borderId="31" xfId="1" applyNumberFormat="1" applyFont="1" applyFill="1" applyBorder="1" applyAlignment="1">
      <alignment horizontal="center"/>
    </xf>
    <xf numFmtId="164" fontId="45" fillId="0" borderId="33" xfId="0" applyNumberFormat="1" applyFont="1" applyBorder="1" applyAlignment="1">
      <alignment horizontal="center"/>
    </xf>
    <xf numFmtId="164" fontId="43" fillId="0" borderId="33" xfId="0" applyNumberFormat="1" applyFont="1" applyBorder="1" applyAlignment="1">
      <alignment horizontal="center"/>
    </xf>
    <xf numFmtId="164" fontId="45" fillId="0" borderId="32" xfId="0" applyNumberFormat="1" applyFont="1" applyBorder="1"/>
    <xf numFmtId="164" fontId="45" fillId="0" borderId="18" xfId="0" applyNumberFormat="1" applyFont="1" applyBorder="1" applyAlignment="1">
      <alignment horizontal="center"/>
    </xf>
    <xf numFmtId="164" fontId="45" fillId="0" borderId="7" xfId="0" applyNumberFormat="1" applyFont="1" applyBorder="1"/>
    <xf numFmtId="164" fontId="45" fillId="0" borderId="31" xfId="0" applyNumberFormat="1" applyFont="1" applyBorder="1" applyAlignment="1">
      <alignment horizontal="center"/>
    </xf>
    <xf numFmtId="164" fontId="43" fillId="0" borderId="4" xfId="1" applyNumberFormat="1" applyFont="1" applyBorder="1"/>
    <xf numFmtId="0" fontId="4" fillId="7" borderId="20" xfId="0" applyFont="1" applyFill="1" applyBorder="1" applyAlignment="1">
      <alignment horizontal="center"/>
    </xf>
    <xf numFmtId="10" fontId="4" fillId="7" borderId="80" xfId="4" applyNumberFormat="1" applyFont="1" applyFill="1" applyBorder="1" applyAlignment="1">
      <alignment horizontal="center"/>
    </xf>
    <xf numFmtId="10" fontId="4" fillId="7" borderId="81" xfId="4" applyNumberFormat="1" applyFont="1" applyFill="1" applyBorder="1" applyAlignment="1">
      <alignment horizontal="center"/>
    </xf>
    <xf numFmtId="164" fontId="15" fillId="0" borderId="12" xfId="1" applyNumberFormat="1" applyFont="1" applyBorder="1"/>
    <xf numFmtId="0" fontId="4" fillId="11" borderId="5" xfId="5" applyFont="1" applyFill="1" applyBorder="1" applyAlignment="1">
      <alignment horizontal="center" wrapText="1"/>
    </xf>
    <xf numFmtId="44" fontId="4" fillId="11" borderId="27" xfId="1" applyFont="1" applyFill="1" applyBorder="1" applyAlignment="1">
      <alignment horizontal="center"/>
    </xf>
    <xf numFmtId="44" fontId="4" fillId="11" borderId="20" xfId="1" applyFont="1" applyFill="1" applyBorder="1" applyAlignment="1">
      <alignment horizontal="center"/>
    </xf>
    <xf numFmtId="164" fontId="4" fillId="11" borderId="27" xfId="1" applyNumberFormat="1" applyFont="1" applyFill="1" applyBorder="1" applyAlignment="1">
      <alignment horizontal="center"/>
    </xf>
    <xf numFmtId="10" fontId="0" fillId="0" borderId="0" xfId="4" applyNumberFormat="1" applyFont="1"/>
    <xf numFmtId="167" fontId="4" fillId="7" borderId="6" xfId="0" applyNumberFormat="1" applyFont="1" applyFill="1" applyBorder="1"/>
    <xf numFmtId="167" fontId="4" fillId="7" borderId="14" xfId="0" applyNumberFormat="1" applyFont="1" applyFill="1" applyBorder="1"/>
    <xf numFmtId="3" fontId="2" fillId="12" borderId="23" xfId="3" applyNumberFormat="1" applyFill="1" applyBorder="1" applyAlignment="1">
      <alignment horizontal="center"/>
    </xf>
    <xf numFmtId="3" fontId="2" fillId="12" borderId="51" xfId="3" applyNumberFormat="1" applyFill="1" applyBorder="1" applyAlignment="1">
      <alignment horizontal="center"/>
    </xf>
    <xf numFmtId="3" fontId="2" fillId="12" borderId="48" xfId="3" applyNumberFormat="1" applyFill="1" applyBorder="1" applyAlignment="1">
      <alignment horizontal="center"/>
    </xf>
    <xf numFmtId="3" fontId="2" fillId="12" borderId="25" xfId="3" applyNumberFormat="1" applyFill="1" applyBorder="1" applyAlignment="1">
      <alignment horizontal="center"/>
    </xf>
    <xf numFmtId="3" fontId="2" fillId="12" borderId="49" xfId="3" applyNumberFormat="1" applyFill="1" applyBorder="1" applyAlignment="1">
      <alignment horizontal="center"/>
    </xf>
    <xf numFmtId="3" fontId="2" fillId="12" borderId="26" xfId="3" applyNumberFormat="1" applyFill="1" applyBorder="1" applyAlignment="1">
      <alignment horizontal="center"/>
    </xf>
    <xf numFmtId="3" fontId="2" fillId="12" borderId="53" xfId="3" applyNumberFormat="1" applyFill="1" applyBorder="1" applyAlignment="1">
      <alignment horizontal="center"/>
    </xf>
    <xf numFmtId="167" fontId="4" fillId="7" borderId="35" xfId="0" applyNumberFormat="1" applyFont="1" applyFill="1" applyBorder="1"/>
    <xf numFmtId="167" fontId="4" fillId="11" borderId="35" xfId="0" applyNumberFormat="1" applyFont="1" applyFill="1" applyBorder="1"/>
    <xf numFmtId="167" fontId="4" fillId="11" borderId="6" xfId="0" applyNumberFormat="1" applyFont="1" applyFill="1" applyBorder="1"/>
    <xf numFmtId="167" fontId="4" fillId="11" borderId="14" xfId="0" applyNumberFormat="1" applyFont="1" applyFill="1" applyBorder="1"/>
    <xf numFmtId="0" fontId="0" fillId="0" borderId="45" xfId="0" applyBorder="1"/>
    <xf numFmtId="10" fontId="3" fillId="0" borderId="24" xfId="0" applyNumberFormat="1" applyFont="1" applyBorder="1" applyAlignment="1">
      <alignment horizontal="right"/>
    </xf>
    <xf numFmtId="10" fontId="3" fillId="0" borderId="24" xfId="4" applyNumberFormat="1" applyFont="1" applyBorder="1" applyAlignment="1">
      <alignment horizontal="right"/>
    </xf>
    <xf numFmtId="9" fontId="4" fillId="11" borderId="18" xfId="4" applyFont="1" applyFill="1" applyBorder="1"/>
    <xf numFmtId="9" fontId="4" fillId="7" borderId="18" xfId="4" applyFont="1" applyFill="1" applyBorder="1"/>
    <xf numFmtId="10" fontId="4" fillId="7" borderId="31" xfId="4" applyNumberFormat="1" applyFont="1" applyFill="1" applyBorder="1"/>
    <xf numFmtId="10" fontId="4" fillId="7" borderId="18" xfId="4" applyNumberFormat="1" applyFont="1" applyFill="1" applyBorder="1"/>
    <xf numFmtId="10" fontId="4" fillId="11" borderId="31" xfId="4" applyNumberFormat="1" applyFont="1" applyFill="1" applyBorder="1"/>
    <xf numFmtId="10" fontId="4" fillId="11" borderId="18" xfId="4" applyNumberFormat="1" applyFont="1" applyFill="1" applyBorder="1"/>
    <xf numFmtId="10" fontId="3" fillId="0" borderId="19" xfId="4" applyNumberFormat="1" applyFont="1" applyBorder="1" applyAlignment="1">
      <alignment horizontal="right"/>
    </xf>
    <xf numFmtId="165" fontId="41" fillId="0" borderId="20" xfId="3" applyNumberFormat="1" applyFont="1" applyBorder="1" applyAlignment="1">
      <alignment horizontal="center"/>
    </xf>
    <xf numFmtId="9" fontId="3" fillId="0" borderId="20" xfId="4" applyFont="1" applyFill="1" applyBorder="1" applyAlignment="1">
      <alignment horizontal="center"/>
    </xf>
    <xf numFmtId="9" fontId="3" fillId="0" borderId="17" xfId="4" applyFont="1" applyFill="1" applyBorder="1" applyAlignment="1">
      <alignment horizontal="center"/>
    </xf>
    <xf numFmtId="165" fontId="41" fillId="0" borderId="18" xfId="3" applyNumberFormat="1" applyFont="1" applyBorder="1" applyAlignment="1">
      <alignment horizontal="center"/>
    </xf>
    <xf numFmtId="9" fontId="3" fillId="0" borderId="24" xfId="4" applyFont="1" applyFill="1" applyBorder="1" applyAlignment="1">
      <alignment horizontal="center"/>
    </xf>
    <xf numFmtId="9" fontId="3" fillId="0" borderId="19" xfId="4" applyFont="1" applyFill="1" applyBorder="1" applyAlignment="1">
      <alignment horizontal="center"/>
    </xf>
    <xf numFmtId="165" fontId="3" fillId="0" borderId="54" xfId="3" applyNumberFormat="1" applyFont="1" applyBorder="1" applyAlignment="1">
      <alignment horizontal="center"/>
    </xf>
    <xf numFmtId="0" fontId="4" fillId="7" borderId="5" xfId="5" applyFont="1" applyFill="1" applyBorder="1" applyAlignment="1">
      <alignment horizontal="center" wrapText="1"/>
    </xf>
    <xf numFmtId="44" fontId="4" fillId="7" borderId="27" xfId="1" applyFont="1" applyFill="1" applyBorder="1" applyAlignment="1">
      <alignment horizontal="center"/>
    </xf>
    <xf numFmtId="44" fontId="4" fillId="7" borderId="20" xfId="1" applyFont="1" applyFill="1" applyBorder="1" applyAlignment="1">
      <alignment horizontal="center"/>
    </xf>
    <xf numFmtId="164" fontId="4" fillId="7" borderId="27" xfId="1" applyNumberFormat="1" applyFont="1" applyFill="1" applyBorder="1" applyAlignment="1">
      <alignment horizontal="center"/>
    </xf>
    <xf numFmtId="165" fontId="34" fillId="0" borderId="0" xfId="4" applyNumberFormat="1" applyFont="1" applyAlignment="1">
      <alignment horizontal="center"/>
    </xf>
    <xf numFmtId="2" fontId="34" fillId="0" borderId="68" xfId="5" applyNumberFormat="1" applyFont="1" applyBorder="1" applyAlignment="1">
      <alignment horizontal="center" wrapText="1"/>
    </xf>
    <xf numFmtId="0" fontId="20" fillId="0" borderId="35" xfId="0" applyFont="1" applyBorder="1" applyAlignment="1">
      <alignment wrapText="1"/>
    </xf>
    <xf numFmtId="16" fontId="20" fillId="0" borderId="35" xfId="0" applyNumberFormat="1" applyFont="1" applyBorder="1" applyAlignment="1">
      <alignment wrapText="1"/>
    </xf>
    <xf numFmtId="167" fontId="15" fillId="0" borderId="20" xfId="8" applyNumberFormat="1" applyFont="1" applyBorder="1" applyAlignment="1"/>
    <xf numFmtId="167" fontId="15" fillId="0" borderId="18" xfId="8" applyNumberFormat="1" applyFont="1" applyBorder="1" applyAlignment="1"/>
    <xf numFmtId="167" fontId="15" fillId="0" borderId="27" xfId="8" applyNumberFormat="1" applyFont="1" applyFill="1" applyBorder="1" applyAlignment="1"/>
    <xf numFmtId="167" fontId="15" fillId="0" borderId="31" xfId="8" applyNumberFormat="1" applyFont="1" applyFill="1" applyBorder="1" applyAlignment="1"/>
    <xf numFmtId="167" fontId="15" fillId="0" borderId="18" xfId="8" applyNumberFormat="1" applyFont="1" applyFill="1" applyBorder="1" applyAlignment="1"/>
    <xf numFmtId="167" fontId="15" fillId="0" borderId="4" xfId="8" applyNumberFormat="1" applyFont="1" applyFill="1" applyBorder="1" applyAlignment="1"/>
    <xf numFmtId="167" fontId="15" fillId="0" borderId="19" xfId="8" applyNumberFormat="1" applyFont="1" applyFill="1" applyBorder="1" applyAlignment="1"/>
    <xf numFmtId="10" fontId="20" fillId="0" borderId="20" xfId="0" applyNumberFormat="1" applyFont="1" applyBorder="1"/>
    <xf numFmtId="165" fontId="3" fillId="0" borderId="24" xfId="4" applyNumberFormat="1" applyFont="1" applyBorder="1" applyAlignment="1">
      <alignment horizontal="right"/>
    </xf>
    <xf numFmtId="10" fontId="20" fillId="0" borderId="24" xfId="0" applyNumberFormat="1" applyFont="1" applyBorder="1" applyAlignment="1">
      <alignment horizontal="right"/>
    </xf>
    <xf numFmtId="10" fontId="20" fillId="0" borderId="18" xfId="0" applyNumberFormat="1" applyFont="1" applyBorder="1" applyAlignment="1">
      <alignment horizontal="right"/>
    </xf>
    <xf numFmtId="3" fontId="2" fillId="12" borderId="73" xfId="3" applyNumberFormat="1" applyFill="1" applyBorder="1" applyAlignment="1">
      <alignment horizontal="center"/>
    </xf>
    <xf numFmtId="10" fontId="20" fillId="0" borderId="18" xfId="0" applyNumberFormat="1" applyFont="1" applyBorder="1"/>
    <xf numFmtId="166" fontId="34" fillId="0" borderId="3" xfId="0" applyNumberFormat="1" applyFont="1" applyBorder="1" applyAlignment="1">
      <alignment horizontal="center"/>
    </xf>
    <xf numFmtId="164" fontId="34" fillId="0" borderId="18" xfId="1" applyNumberFormat="1" applyFont="1" applyFill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0" fillId="0" borderId="69" xfId="0" applyFont="1" applyBorder="1" applyAlignment="1">
      <alignment horizontal="center"/>
    </xf>
    <xf numFmtId="10" fontId="20" fillId="0" borderId="4" xfId="0" applyNumberFormat="1" applyFont="1" applyBorder="1" applyAlignment="1">
      <alignment horizontal="right"/>
    </xf>
    <xf numFmtId="0" fontId="20" fillId="0" borderId="0" xfId="0" applyFont="1"/>
    <xf numFmtId="0" fontId="20" fillId="0" borderId="4" xfId="0" applyFont="1" applyBorder="1" applyAlignment="1">
      <alignment horizontal="center"/>
    </xf>
    <xf numFmtId="164" fontId="43" fillId="0" borderId="18" xfId="1" applyNumberFormat="1" applyFont="1" applyFill="1" applyBorder="1" applyAlignment="1">
      <alignment horizontal="center"/>
    </xf>
    <xf numFmtId="44" fontId="4" fillId="11" borderId="1" xfId="6" applyFont="1" applyFill="1" applyBorder="1" applyAlignment="1">
      <alignment horizontal="center"/>
    </xf>
    <xf numFmtId="166" fontId="4" fillId="11" borderId="36" xfId="0" applyNumberFormat="1" applyFont="1" applyFill="1" applyBorder="1" applyAlignment="1">
      <alignment horizontal="center"/>
    </xf>
    <xf numFmtId="10" fontId="4" fillId="11" borderId="45" xfId="4" applyNumberFormat="1" applyFont="1" applyFill="1" applyBorder="1"/>
    <xf numFmtId="166" fontId="4" fillId="11" borderId="45" xfId="0" applyNumberFormat="1" applyFont="1" applyFill="1" applyBorder="1" applyAlignment="1">
      <alignment horizontal="center"/>
    </xf>
    <xf numFmtId="164" fontId="4" fillId="11" borderId="45" xfId="0" applyNumberFormat="1" applyFont="1" applyFill="1" applyBorder="1"/>
    <xf numFmtId="164" fontId="4" fillId="11" borderId="45" xfId="5" applyNumberFormat="1" applyFont="1" applyFill="1" applyBorder="1" applyAlignment="1">
      <alignment horizontal="center"/>
    </xf>
    <xf numFmtId="2" fontId="48" fillId="11" borderId="45" xfId="5" applyNumberFormat="1" applyFont="1" applyFill="1" applyBorder="1" applyAlignment="1">
      <alignment horizontal="center" wrapText="1"/>
    </xf>
    <xf numFmtId="164" fontId="4" fillId="11" borderId="45" xfId="0" applyNumberFormat="1" applyFont="1" applyFill="1" applyBorder="1" applyAlignment="1">
      <alignment horizontal="center" wrapText="1"/>
    </xf>
    <xf numFmtId="164" fontId="4" fillId="11" borderId="29" xfId="0" applyNumberFormat="1" applyFont="1" applyFill="1" applyBorder="1" applyAlignment="1">
      <alignment horizontal="center" wrapText="1"/>
    </xf>
    <xf numFmtId="10" fontId="15" fillId="0" borderId="0" xfId="0" applyNumberFormat="1" applyFont="1"/>
    <xf numFmtId="0" fontId="20" fillId="0" borderId="23" xfId="0" applyFont="1" applyBorder="1"/>
    <xf numFmtId="10" fontId="15" fillId="0" borderId="23" xfId="4" applyNumberFormat="1" applyFont="1" applyBorder="1"/>
    <xf numFmtId="0" fontId="15" fillId="0" borderId="0" xfId="0" applyFont="1" applyAlignment="1">
      <alignment wrapText="1"/>
    </xf>
    <xf numFmtId="10" fontId="34" fillId="0" borderId="23" xfId="4" applyNumberFormat="1" applyFont="1" applyBorder="1"/>
    <xf numFmtId="164" fontId="15" fillId="0" borderId="23" xfId="1" applyNumberFormat="1" applyFont="1" applyBorder="1"/>
    <xf numFmtId="10" fontId="15" fillId="0" borderId="23" xfId="0" applyNumberFormat="1" applyFont="1" applyBorder="1"/>
    <xf numFmtId="44" fontId="15" fillId="0" borderId="23" xfId="1" applyFont="1" applyBorder="1"/>
    <xf numFmtId="10" fontId="15" fillId="0" borderId="23" xfId="4" applyNumberFormat="1" applyFont="1" applyBorder="1" applyAlignment="1">
      <alignment horizontal="center"/>
    </xf>
    <xf numFmtId="9" fontId="15" fillId="0" borderId="23" xfId="0" applyNumberFormat="1" applyFont="1" applyBorder="1" applyAlignment="1">
      <alignment horizontal="center"/>
    </xf>
    <xf numFmtId="44" fontId="34" fillId="0" borderId="23" xfId="1" applyFont="1" applyBorder="1"/>
    <xf numFmtId="10" fontId="43" fillId="0" borderId="0" xfId="4" applyNumberFormat="1" applyFont="1" applyFill="1" applyAlignment="1">
      <alignment horizontal="center"/>
    </xf>
    <xf numFmtId="165" fontId="43" fillId="0" borderId="0" xfId="4" applyNumberFormat="1" applyFont="1" applyAlignment="1">
      <alignment horizontal="center"/>
    </xf>
    <xf numFmtId="165" fontId="4" fillId="11" borderId="45" xfId="4" applyNumberFormat="1" applyFont="1" applyFill="1" applyBorder="1"/>
    <xf numFmtId="0" fontId="4" fillId="11" borderId="1" xfId="0" applyFont="1" applyFill="1" applyBorder="1" applyAlignment="1">
      <alignment horizontal="center"/>
    </xf>
    <xf numFmtId="0" fontId="39" fillId="0" borderId="1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center" wrapText="1"/>
    </xf>
    <xf numFmtId="10" fontId="20" fillId="0" borderId="27" xfId="0" applyNumberFormat="1" applyFont="1" applyBorder="1"/>
    <xf numFmtId="164" fontId="4" fillId="7" borderId="45" xfId="1" applyNumberFormat="1" applyFont="1" applyFill="1" applyBorder="1"/>
    <xf numFmtId="10" fontId="4" fillId="7" borderId="45" xfId="4" applyNumberFormat="1" applyFont="1" applyFill="1" applyBorder="1"/>
    <xf numFmtId="165" fontId="3" fillId="0" borderId="19" xfId="4" applyNumberFormat="1" applyFont="1" applyBorder="1" applyAlignment="1">
      <alignment horizontal="right"/>
    </xf>
    <xf numFmtId="0" fontId="3" fillId="0" borderId="36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168" fontId="15" fillId="0" borderId="29" xfId="1" applyNumberFormat="1" applyFont="1" applyBorder="1"/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15" fillId="0" borderId="4" xfId="8" applyNumberFormat="1" applyFont="1" applyBorder="1" applyAlignment="1">
      <alignment horizontal="center"/>
    </xf>
    <xf numFmtId="38" fontId="15" fillId="0" borderId="4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38" fontId="15" fillId="0" borderId="3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42" fontId="3" fillId="0" borderId="0" xfId="0" applyNumberFormat="1" applyFont="1" applyAlignment="1">
      <alignment horizontal="center"/>
    </xf>
    <xf numFmtId="166" fontId="2" fillId="0" borderId="10" xfId="0" applyNumberFormat="1" applyFont="1" applyBorder="1" applyAlignment="1">
      <alignment horizontal="left"/>
    </xf>
    <xf numFmtId="0" fontId="4" fillId="11" borderId="5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50" fillId="11" borderId="0" xfId="0" applyFont="1" applyFill="1"/>
    <xf numFmtId="0" fontId="48" fillId="11" borderId="0" xfId="0" applyFont="1" applyFill="1"/>
    <xf numFmtId="166" fontId="4" fillId="11" borderId="6" xfId="0" applyNumberFormat="1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50" fillId="11" borderId="13" xfId="0" applyFont="1" applyFill="1" applyBorder="1"/>
    <xf numFmtId="0" fontId="48" fillId="11" borderId="13" xfId="0" applyFont="1" applyFill="1" applyBorder="1"/>
    <xf numFmtId="166" fontId="4" fillId="11" borderId="14" xfId="0" applyNumberFormat="1" applyFont="1" applyFill="1" applyBorder="1" applyAlignment="1">
      <alignment horizontal="center"/>
    </xf>
    <xf numFmtId="42" fontId="4" fillId="11" borderId="0" xfId="0" applyNumberFormat="1" applyFont="1" applyFill="1" applyAlignment="1">
      <alignment horizontal="center"/>
    </xf>
    <xf numFmtId="0" fontId="48" fillId="11" borderId="0" xfId="0" applyFont="1" applyFill="1" applyAlignment="1">
      <alignment horizontal="center"/>
    </xf>
    <xf numFmtId="166" fontId="48" fillId="11" borderId="0" xfId="0" applyNumberFormat="1" applyFont="1" applyFill="1" applyAlignment="1">
      <alignment horizontal="center"/>
    </xf>
    <xf numFmtId="3" fontId="4" fillId="11" borderId="35" xfId="0" applyNumberFormat="1" applyFont="1" applyFill="1" applyBorder="1" applyAlignment="1">
      <alignment horizontal="center"/>
    </xf>
    <xf numFmtId="3" fontId="4" fillId="11" borderId="35" xfId="8" applyNumberFormat="1" applyFont="1" applyFill="1" applyBorder="1" applyAlignment="1">
      <alignment horizontal="center"/>
    </xf>
    <xf numFmtId="166" fontId="43" fillId="0" borderId="70" xfId="0" applyNumberFormat="1" applyFont="1" applyBorder="1" applyAlignment="1">
      <alignment horizontal="center"/>
    </xf>
    <xf numFmtId="166" fontId="43" fillId="0" borderId="44" xfId="0" applyNumberFormat="1" applyFont="1" applyBorder="1" applyAlignment="1">
      <alignment horizontal="center"/>
    </xf>
    <xf numFmtId="3" fontId="45" fillId="0" borderId="4" xfId="0" applyNumberFormat="1" applyFont="1" applyBorder="1" applyAlignment="1">
      <alignment horizontal="center" wrapText="1"/>
    </xf>
    <xf numFmtId="42" fontId="45" fillId="0" borderId="0" xfId="0" applyNumberFormat="1" applyFont="1" applyAlignment="1">
      <alignment horizontal="left"/>
    </xf>
    <xf numFmtId="168" fontId="43" fillId="0" borderId="0" xfId="0" applyNumberFormat="1" applyFont="1" applyAlignment="1">
      <alignment horizontal="center"/>
    </xf>
    <xf numFmtId="166" fontId="43" fillId="0" borderId="0" xfId="0" applyNumberFormat="1" applyFont="1" applyAlignment="1">
      <alignment horizontal="center"/>
    </xf>
    <xf numFmtId="168" fontId="43" fillId="0" borderId="6" xfId="0" applyNumberFormat="1" applyFont="1" applyBorder="1" applyAlignment="1">
      <alignment horizontal="center"/>
    </xf>
    <xf numFmtId="42" fontId="45" fillId="0" borderId="11" xfId="0" applyNumberFormat="1" applyFont="1" applyBorder="1" applyAlignment="1">
      <alignment horizontal="left"/>
    </xf>
    <xf numFmtId="168" fontId="43" fillId="0" borderId="11" xfId="0" applyNumberFormat="1" applyFont="1" applyBorder="1" applyAlignment="1">
      <alignment horizontal="center"/>
    </xf>
    <xf numFmtId="166" fontId="43" fillId="0" borderId="11" xfId="0" applyNumberFormat="1" applyFont="1" applyBorder="1" applyAlignment="1">
      <alignment horizontal="center"/>
    </xf>
    <xf numFmtId="168" fontId="43" fillId="0" borderId="12" xfId="0" applyNumberFormat="1" applyFont="1" applyBorder="1" applyAlignment="1">
      <alignment horizontal="center"/>
    </xf>
    <xf numFmtId="166" fontId="43" fillId="0" borderId="12" xfId="0" applyNumberFormat="1" applyFont="1" applyBorder="1" applyAlignment="1">
      <alignment horizontal="center"/>
    </xf>
    <xf numFmtId="3" fontId="2" fillId="12" borderId="17" xfId="3" applyNumberFormat="1" applyFill="1" applyBorder="1" applyAlignment="1">
      <alignment horizontal="center"/>
    </xf>
    <xf numFmtId="3" fontId="2" fillId="12" borderId="6" xfId="3" applyNumberFormat="1" applyFill="1" applyBorder="1" applyAlignment="1">
      <alignment horizontal="center"/>
    </xf>
    <xf numFmtId="3" fontId="2" fillId="12" borderId="9" xfId="3" applyNumberFormat="1" applyFill="1" applyBorder="1" applyAlignment="1">
      <alignment horizontal="center"/>
    </xf>
    <xf numFmtId="3" fontId="2" fillId="12" borderId="54" xfId="3" applyNumberFormat="1" applyFill="1" applyBorder="1" applyAlignment="1">
      <alignment horizontal="center"/>
    </xf>
    <xf numFmtId="167" fontId="4" fillId="11" borderId="0" xfId="0" applyNumberFormat="1" applyFont="1" applyFill="1" applyAlignment="1">
      <alignment horizontal="center"/>
    </xf>
    <xf numFmtId="10" fontId="4" fillId="11" borderId="0" xfId="4" applyNumberFormat="1" applyFont="1" applyFill="1" applyBorder="1" applyAlignment="1">
      <alignment horizontal="right"/>
    </xf>
    <xf numFmtId="0" fontId="20" fillId="4" borderId="14" xfId="0" applyFont="1" applyFill="1" applyBorder="1" applyAlignment="1">
      <alignment horizontal="center" wrapText="1"/>
    </xf>
    <xf numFmtId="0" fontId="32" fillId="0" borderId="11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6" xfId="0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35" xfId="0" applyNumberFormat="1" applyFont="1" applyBorder="1" applyAlignment="1">
      <alignment horizontal="center"/>
    </xf>
    <xf numFmtId="3" fontId="4" fillId="7" borderId="4" xfId="0" applyNumberFormat="1" applyFont="1" applyFill="1" applyBorder="1"/>
    <xf numFmtId="3" fontId="40" fillId="0" borderId="20" xfId="11" applyNumberFormat="1" applyFont="1" applyFill="1" applyBorder="1" applyAlignment="1">
      <alignment horizontal="center"/>
    </xf>
    <xf numFmtId="3" fontId="40" fillId="0" borderId="19" xfId="11" applyNumberFormat="1" applyFont="1" applyFill="1" applyBorder="1" applyAlignment="1">
      <alignment horizontal="center"/>
    </xf>
    <xf numFmtId="3" fontId="40" fillId="0" borderId="35" xfId="11" applyNumberFormat="1" applyFont="1" applyFill="1" applyBorder="1" applyAlignment="1">
      <alignment horizontal="center"/>
    </xf>
    <xf numFmtId="10" fontId="34" fillId="0" borderId="0" xfId="4" applyNumberFormat="1" applyFont="1" applyAlignment="1">
      <alignment horizontal="center"/>
    </xf>
    <xf numFmtId="3" fontId="44" fillId="0" borderId="20" xfId="11" applyNumberFormat="1" applyFont="1" applyFill="1" applyBorder="1" applyAlignment="1">
      <alignment horizontal="center"/>
    </xf>
    <xf numFmtId="3" fontId="44" fillId="0" borderId="19" xfId="11" applyNumberFormat="1" applyFont="1" applyFill="1" applyBorder="1" applyAlignment="1">
      <alignment horizontal="center"/>
    </xf>
    <xf numFmtId="3" fontId="44" fillId="0" borderId="35" xfId="11" applyNumberFormat="1" applyFont="1" applyFill="1" applyBorder="1" applyAlignment="1">
      <alignment horizontal="center"/>
    </xf>
    <xf numFmtId="10" fontId="43" fillId="8" borderId="0" xfId="12" applyNumberFormat="1" applyFont="1" applyBorder="1" applyAlignment="1">
      <alignment horizontal="center"/>
    </xf>
    <xf numFmtId="10" fontId="4" fillId="11" borderId="45" xfId="12" applyNumberFormat="1" applyFont="1" applyFill="1" applyBorder="1" applyAlignment="1">
      <alignment horizontal="center"/>
    </xf>
    <xf numFmtId="2" fontId="0" fillId="0" borderId="0" xfId="0" applyNumberFormat="1"/>
    <xf numFmtId="167" fontId="0" fillId="0" borderId="0" xfId="8" applyNumberFormat="1" applyFont="1"/>
    <xf numFmtId="0" fontId="15" fillId="0" borderId="6" xfId="0" applyFont="1" applyBorder="1" applyAlignment="1">
      <alignment horizontal="center" wrapText="1"/>
    </xf>
    <xf numFmtId="164" fontId="2" fillId="0" borderId="5" xfId="1" applyNumberFormat="1" applyFont="1" applyFill="1" applyBorder="1"/>
    <xf numFmtId="0" fontId="52" fillId="0" borderId="0" xfId="0" applyFont="1"/>
    <xf numFmtId="164" fontId="52" fillId="0" borderId="0" xfId="1" applyNumberFormat="1" applyFont="1"/>
    <xf numFmtId="0" fontId="52" fillId="0" borderId="0" xfId="0" applyFont="1" applyAlignment="1">
      <alignment horizontal="center"/>
    </xf>
    <xf numFmtId="0" fontId="52" fillId="0" borderId="11" xfId="0" applyFont="1" applyBorder="1" applyAlignment="1">
      <alignment horizontal="center"/>
    </xf>
    <xf numFmtId="0" fontId="52" fillId="0" borderId="0" xfId="0" applyFont="1" applyAlignment="1">
      <alignment horizontal="left"/>
    </xf>
    <xf numFmtId="164" fontId="52" fillId="0" borderId="0" xfId="0" applyNumberFormat="1" applyFont="1"/>
    <xf numFmtId="167" fontId="52" fillId="0" borderId="0" xfId="8" applyNumberFormat="1" applyFont="1"/>
    <xf numFmtId="167" fontId="52" fillId="0" borderId="0" xfId="8" applyNumberFormat="1" applyFont="1" applyAlignment="1">
      <alignment horizontal="center"/>
    </xf>
    <xf numFmtId="0" fontId="52" fillId="0" borderId="0" xfId="0" applyFont="1" applyAlignment="1">
      <alignment horizontal="right"/>
    </xf>
    <xf numFmtId="0" fontId="39" fillId="0" borderId="0" xfId="0" applyFont="1" applyAlignment="1">
      <alignment horizontal="left"/>
    </xf>
    <xf numFmtId="167" fontId="39" fillId="0" borderId="0" xfId="8" applyNumberFormat="1" applyFont="1"/>
    <xf numFmtId="167" fontId="39" fillId="0" borderId="0" xfId="8" applyNumberFormat="1" applyFont="1" applyAlignment="1">
      <alignment horizontal="center"/>
    </xf>
    <xf numFmtId="167" fontId="52" fillId="0" borderId="11" xfId="8" applyNumberFormat="1" applyFont="1" applyBorder="1"/>
    <xf numFmtId="167" fontId="52" fillId="0" borderId="11" xfId="8" applyNumberFormat="1" applyFont="1" applyBorder="1" applyAlignment="1">
      <alignment horizontal="center"/>
    </xf>
    <xf numFmtId="0" fontId="53" fillId="0" borderId="0" xfId="0" applyFont="1" applyAlignment="1">
      <alignment horizontal="right"/>
    </xf>
    <xf numFmtId="0" fontId="39" fillId="0" borderId="0" xfId="0" applyFont="1"/>
    <xf numFmtId="167" fontId="52" fillId="0" borderId="11" xfId="8" applyNumberFormat="1" applyFont="1" applyFill="1" applyBorder="1"/>
    <xf numFmtId="167" fontId="39" fillId="0" borderId="28" xfId="8" applyNumberFormat="1" applyFont="1" applyBorder="1"/>
    <xf numFmtId="167" fontId="52" fillId="0" borderId="28" xfId="8" applyNumberFormat="1" applyFont="1" applyBorder="1"/>
    <xf numFmtId="164" fontId="52" fillId="0" borderId="11" xfId="1" applyNumberFormat="1" applyFont="1" applyBorder="1"/>
    <xf numFmtId="0" fontId="52" fillId="0" borderId="11" xfId="0" applyFont="1" applyBorder="1"/>
    <xf numFmtId="164" fontId="52" fillId="0" borderId="0" xfId="1" applyNumberFormat="1" applyFont="1" applyBorder="1"/>
    <xf numFmtId="164" fontId="52" fillId="0" borderId="28" xfId="1" applyNumberFormat="1" applyFont="1" applyBorder="1"/>
    <xf numFmtId="0" fontId="39" fillId="0" borderId="11" xfId="0" applyFont="1" applyBorder="1"/>
    <xf numFmtId="10" fontId="39" fillId="0" borderId="0" xfId="4" applyNumberFormat="1" applyFont="1"/>
    <xf numFmtId="164" fontId="39" fillId="0" borderId="11" xfId="1" applyNumberFormat="1" applyFont="1" applyBorder="1" applyAlignment="1">
      <alignment horizontal="center"/>
    </xf>
    <xf numFmtId="0" fontId="39" fillId="0" borderId="11" xfId="0" applyFont="1" applyBorder="1" applyAlignment="1">
      <alignment horizontal="center"/>
    </xf>
    <xf numFmtId="167" fontId="54" fillId="0" borderId="0" xfId="8" applyNumberFormat="1" applyFont="1"/>
    <xf numFmtId="10" fontId="49" fillId="0" borderId="54" xfId="0" applyNumberFormat="1" applyFont="1" applyBorder="1"/>
    <xf numFmtId="10" fontId="20" fillId="0" borderId="35" xfId="0" applyNumberFormat="1" applyFont="1" applyBorder="1"/>
    <xf numFmtId="0" fontId="4" fillId="11" borderId="23" xfId="0" applyFont="1" applyFill="1" applyBorder="1"/>
    <xf numFmtId="0" fontId="4" fillId="11" borderId="23" xfId="0" applyFont="1" applyFill="1" applyBorder="1" applyAlignment="1">
      <alignment wrapText="1"/>
    </xf>
    <xf numFmtId="0" fontId="16" fillId="11" borderId="23" xfId="0" applyFont="1" applyFill="1" applyBorder="1"/>
    <xf numFmtId="164" fontId="4" fillId="11" borderId="23" xfId="1" applyNumberFormat="1" applyFont="1" applyFill="1" applyBorder="1"/>
    <xf numFmtId="10" fontId="4" fillId="11" borderId="23" xfId="4" applyNumberFormat="1" applyFont="1" applyFill="1" applyBorder="1"/>
    <xf numFmtId="0" fontId="4" fillId="7" borderId="1" xfId="0" applyFont="1" applyFill="1" applyBorder="1" applyAlignment="1">
      <alignment wrapText="1"/>
    </xf>
    <xf numFmtId="167" fontId="4" fillId="7" borderId="1" xfId="8" applyNumberFormat="1" applyFont="1" applyFill="1" applyBorder="1"/>
    <xf numFmtId="166" fontId="0" fillId="0" borderId="0" xfId="0" applyNumberFormat="1"/>
    <xf numFmtId="2" fontId="15" fillId="9" borderId="55" xfId="5" applyNumberFormat="1" applyFont="1" applyFill="1" applyBorder="1" applyAlignment="1">
      <alignment horizontal="center" wrapText="1"/>
    </xf>
    <xf numFmtId="2" fontId="15" fillId="0" borderId="62" xfId="5" applyNumberFormat="1" applyFont="1" applyBorder="1" applyAlignment="1">
      <alignment horizontal="center" wrapText="1"/>
    </xf>
    <xf numFmtId="2" fontId="15" fillId="0" borderId="72" xfId="5" applyNumberFormat="1" applyFont="1" applyBorder="1" applyAlignment="1">
      <alignment horizontal="center" wrapText="1"/>
    </xf>
    <xf numFmtId="164" fontId="43" fillId="0" borderId="6" xfId="4" applyNumberFormat="1" applyFont="1" applyFill="1" applyBorder="1" applyAlignment="1">
      <alignment horizontal="center"/>
    </xf>
    <xf numFmtId="164" fontId="4" fillId="11" borderId="29" xfId="4" applyNumberFormat="1" applyFont="1" applyFill="1" applyBorder="1" applyAlignment="1">
      <alignment horizontal="center"/>
    </xf>
    <xf numFmtId="0" fontId="4" fillId="7" borderId="4" xfId="3" applyFont="1" applyFill="1" applyBorder="1" applyAlignment="1">
      <alignment horizontal="left"/>
    </xf>
    <xf numFmtId="167" fontId="4" fillId="7" borderId="19" xfId="8" applyNumberFormat="1" applyFont="1" applyFill="1" applyBorder="1"/>
    <xf numFmtId="0" fontId="20" fillId="0" borderId="1" xfId="0" applyFont="1" applyBorder="1"/>
    <xf numFmtId="12" fontId="20" fillId="0" borderId="1" xfId="0" applyNumberFormat="1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167" fontId="16" fillId="7" borderId="27" xfId="8" applyNumberFormat="1" applyFont="1" applyFill="1" applyBorder="1"/>
    <xf numFmtId="0" fontId="4" fillId="7" borderId="27" xfId="3" applyFont="1" applyFill="1" applyBorder="1" applyAlignment="1">
      <alignment horizontal="left"/>
    </xf>
    <xf numFmtId="0" fontId="4" fillId="7" borderId="35" xfId="3" applyFont="1" applyFill="1" applyBorder="1" applyAlignment="1">
      <alignment horizontal="left"/>
    </xf>
    <xf numFmtId="0" fontId="4" fillId="7" borderId="23" xfId="0" applyFont="1" applyFill="1" applyBorder="1"/>
    <xf numFmtId="0" fontId="4" fillId="7" borderId="23" xfId="0" applyFont="1" applyFill="1" applyBorder="1" applyAlignment="1">
      <alignment wrapText="1"/>
    </xf>
    <xf numFmtId="0" fontId="16" fillId="7" borderId="23" xfId="0" applyFont="1" applyFill="1" applyBorder="1"/>
    <xf numFmtId="164" fontId="4" fillId="7" borderId="23" xfId="1" applyNumberFormat="1" applyFont="1" applyFill="1" applyBorder="1"/>
    <xf numFmtId="10" fontId="4" fillId="7" borderId="23" xfId="4" applyNumberFormat="1" applyFont="1" applyFill="1" applyBorder="1"/>
    <xf numFmtId="2" fontId="2" fillId="9" borderId="62" xfId="5" applyNumberFormat="1" applyFont="1" applyFill="1" applyBorder="1" applyAlignment="1">
      <alignment horizontal="center" wrapText="1"/>
    </xf>
    <xf numFmtId="2" fontId="2" fillId="0" borderId="62" xfId="5" applyNumberFormat="1" applyFont="1" applyBorder="1" applyAlignment="1">
      <alignment horizontal="center" wrapText="1"/>
    </xf>
    <xf numFmtId="2" fontId="2" fillId="0" borderId="72" xfId="5" applyNumberFormat="1" applyFont="1" applyBorder="1" applyAlignment="1">
      <alignment horizontal="center" wrapText="1"/>
    </xf>
    <xf numFmtId="164" fontId="34" fillId="9" borderId="22" xfId="4" applyNumberFormat="1" applyFont="1" applyFill="1" applyBorder="1" applyAlignment="1">
      <alignment horizontal="center"/>
    </xf>
    <xf numFmtId="164" fontId="34" fillId="0" borderId="6" xfId="4" applyNumberFormat="1" applyFont="1" applyFill="1" applyBorder="1" applyAlignment="1">
      <alignment horizontal="center"/>
    </xf>
    <xf numFmtId="0" fontId="4" fillId="11" borderId="35" xfId="3" applyFont="1" applyFill="1" applyBorder="1" applyAlignment="1">
      <alignment horizontal="left"/>
    </xf>
    <xf numFmtId="0" fontId="4" fillId="11" borderId="27" xfId="3" applyFont="1" applyFill="1" applyBorder="1" applyAlignment="1">
      <alignment horizontal="left"/>
    </xf>
    <xf numFmtId="17" fontId="2" fillId="0" borderId="20" xfId="3" applyNumberFormat="1" applyBorder="1" applyAlignment="1">
      <alignment horizontal="center" wrapText="1"/>
    </xf>
    <xf numFmtId="0" fontId="2" fillId="0" borderId="18" xfId="3" applyBorder="1" applyAlignment="1">
      <alignment horizontal="center" wrapText="1"/>
    </xf>
    <xf numFmtId="17" fontId="2" fillId="0" borderId="18" xfId="3" applyNumberFormat="1" applyBorder="1" applyAlignment="1">
      <alignment horizontal="center" wrapText="1"/>
    </xf>
    <xf numFmtId="0" fontId="2" fillId="0" borderId="19" xfId="3" applyBorder="1" applyAlignment="1">
      <alignment horizontal="center" wrapText="1"/>
    </xf>
    <xf numFmtId="0" fontId="39" fillId="0" borderId="29" xfId="0" applyFont="1" applyBorder="1" applyAlignment="1">
      <alignment horizontal="center"/>
    </xf>
    <xf numFmtId="0" fontId="4" fillId="11" borderId="1" xfId="0" applyFont="1" applyFill="1" applyBorder="1" applyAlignment="1">
      <alignment wrapText="1"/>
    </xf>
    <xf numFmtId="167" fontId="4" fillId="11" borderId="1" xfId="8" applyNumberFormat="1" applyFont="1" applyFill="1" applyBorder="1"/>
    <xf numFmtId="0" fontId="19" fillId="0" borderId="29" xfId="0" applyFont="1" applyBorder="1"/>
    <xf numFmtId="0" fontId="0" fillId="0" borderId="27" xfId="0" applyBorder="1"/>
    <xf numFmtId="0" fontId="0" fillId="7" borderId="23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10" fontId="34" fillId="0" borderId="6" xfId="12" applyNumberFormat="1" applyFont="1" applyFill="1" applyBorder="1" applyAlignment="1">
      <alignment horizontal="center"/>
    </xf>
    <xf numFmtId="0" fontId="4" fillId="11" borderId="42" xfId="5" applyFont="1" applyFill="1" applyBorder="1" applyAlignment="1">
      <alignment horizontal="center" wrapText="1"/>
    </xf>
    <xf numFmtId="166" fontId="43" fillId="0" borderId="83" xfId="0" applyNumberFormat="1" applyFont="1" applyBorder="1" applyAlignment="1">
      <alignment horizontal="center"/>
    </xf>
    <xf numFmtId="10" fontId="43" fillId="0" borderId="84" xfId="4" applyNumberFormat="1" applyFont="1" applyFill="1" applyBorder="1" applyAlignment="1">
      <alignment horizontal="center"/>
    </xf>
    <xf numFmtId="166" fontId="43" fillId="9" borderId="85" xfId="5" applyNumberFormat="1" applyFont="1" applyFill="1" applyBorder="1" applyAlignment="1">
      <alignment horizontal="center"/>
    </xf>
    <xf numFmtId="165" fontId="43" fillId="0" borderId="84" xfId="4" applyNumberFormat="1" applyFont="1" applyBorder="1" applyAlignment="1">
      <alignment horizontal="center"/>
    </xf>
    <xf numFmtId="0" fontId="44" fillId="9" borderId="22" xfId="0" applyFont="1" applyFill="1" applyBorder="1"/>
    <xf numFmtId="164" fontId="43" fillId="9" borderId="85" xfId="5" applyNumberFormat="1" applyFont="1" applyFill="1" applyBorder="1" applyAlignment="1">
      <alignment horizontal="center"/>
    </xf>
    <xf numFmtId="164" fontId="43" fillId="9" borderId="86" xfId="5" applyNumberFormat="1" applyFont="1" applyFill="1" applyBorder="1" applyAlignment="1">
      <alignment horizontal="center"/>
    </xf>
    <xf numFmtId="164" fontId="43" fillId="9" borderId="27" xfId="5" applyNumberFormat="1" applyFont="1" applyFill="1" applyBorder="1" applyAlignment="1">
      <alignment horizontal="center"/>
    </xf>
    <xf numFmtId="164" fontId="43" fillId="0" borderId="87" xfId="5" applyNumberFormat="1" applyFont="1" applyBorder="1" applyAlignment="1">
      <alignment horizontal="center"/>
    </xf>
    <xf numFmtId="164" fontId="43" fillId="9" borderId="88" xfId="5" applyNumberFormat="1" applyFont="1" applyFill="1" applyBorder="1" applyAlignment="1">
      <alignment horizontal="center"/>
    </xf>
    <xf numFmtId="165" fontId="44" fillId="9" borderId="89" xfId="12" applyNumberFormat="1" applyFont="1" applyFill="1" applyBorder="1" applyAlignment="1">
      <alignment horizontal="center"/>
    </xf>
    <xf numFmtId="164" fontId="43" fillId="9" borderId="86" xfId="4" applyNumberFormat="1" applyFont="1" applyFill="1" applyBorder="1" applyAlignment="1">
      <alignment horizontal="center"/>
    </xf>
    <xf numFmtId="9" fontId="3" fillId="0" borderId="19" xfId="4" applyFont="1" applyBorder="1" applyAlignment="1">
      <alignment horizontal="right"/>
    </xf>
    <xf numFmtId="9" fontId="19" fillId="0" borderId="54" xfId="4" applyFont="1" applyBorder="1" applyAlignment="1">
      <alignment horizontal="right"/>
    </xf>
    <xf numFmtId="9" fontId="55" fillId="0" borderId="54" xfId="4" applyFont="1" applyBorder="1" applyAlignment="1">
      <alignment horizontal="right"/>
    </xf>
    <xf numFmtId="9" fontId="19" fillId="0" borderId="19" xfId="4" applyFont="1" applyBorder="1" applyAlignment="1">
      <alignment horizontal="right"/>
    </xf>
    <xf numFmtId="9" fontId="20" fillId="0" borderId="35" xfId="4" applyFont="1" applyBorder="1" applyAlignment="1">
      <alignment horizontal="right"/>
    </xf>
    <xf numFmtId="0" fontId="2" fillId="0" borderId="27" xfId="3" applyBorder="1" applyAlignment="1">
      <alignment horizontal="center"/>
    </xf>
    <xf numFmtId="3" fontId="2" fillId="12" borderId="64" xfId="3" applyNumberFormat="1" applyFill="1" applyBorder="1" applyAlignment="1">
      <alignment horizontal="center"/>
    </xf>
    <xf numFmtId="3" fontId="2" fillId="12" borderId="63" xfId="3" applyNumberFormat="1" applyFill="1" applyBorder="1" applyAlignment="1">
      <alignment horizontal="center"/>
    </xf>
    <xf numFmtId="3" fontId="2" fillId="12" borderId="50" xfId="3" applyNumberFormat="1" applyFill="1" applyBorder="1" applyAlignment="1">
      <alignment horizontal="center"/>
    </xf>
    <xf numFmtId="9" fontId="4" fillId="11" borderId="19" xfId="4" applyFont="1" applyFill="1" applyBorder="1"/>
    <xf numFmtId="0" fontId="3" fillId="0" borderId="1" xfId="2" applyFont="1" applyBorder="1" applyAlignment="1">
      <alignment horizontal="center" vertical="center" wrapText="1"/>
    </xf>
    <xf numFmtId="0" fontId="2" fillId="0" borderId="11" xfId="2" applyBorder="1" applyAlignment="1">
      <alignment horizontal="center"/>
    </xf>
    <xf numFmtId="0" fontId="2" fillId="0" borderId="12" xfId="2" applyBorder="1" applyAlignment="1">
      <alignment horizontal="center"/>
    </xf>
    <xf numFmtId="44" fontId="5" fillId="0" borderId="29" xfId="2" applyNumberFormat="1" applyFont="1" applyBorder="1" applyAlignment="1">
      <alignment horizontal="center" vertical="center" wrapText="1"/>
    </xf>
    <xf numFmtId="164" fontId="3" fillId="0" borderId="21" xfId="2" applyNumberFormat="1" applyFont="1" applyBorder="1" applyAlignment="1">
      <alignment horizontal="center" vertical="center" wrapText="1"/>
    </xf>
    <xf numFmtId="164" fontId="3" fillId="0" borderId="22" xfId="2" applyNumberFormat="1" applyFont="1" applyBorder="1" applyAlignment="1">
      <alignment horizontal="center" vertical="center" wrapText="1"/>
    </xf>
    <xf numFmtId="164" fontId="3" fillId="0" borderId="5" xfId="2" applyNumberFormat="1" applyFont="1" applyBorder="1" applyAlignment="1">
      <alignment horizontal="center" vertical="center" wrapText="1"/>
    </xf>
    <xf numFmtId="164" fontId="3" fillId="0" borderId="6" xfId="2" applyNumberFormat="1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0" fontId="2" fillId="0" borderId="16" xfId="2" applyBorder="1" applyAlignment="1">
      <alignment horizontal="center"/>
    </xf>
    <xf numFmtId="0" fontId="2" fillId="0" borderId="17" xfId="2" applyBorder="1" applyAlignment="1">
      <alignment horizontal="center"/>
    </xf>
    <xf numFmtId="44" fontId="5" fillId="0" borderId="1" xfId="2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39" fillId="0" borderId="36" xfId="0" applyFont="1" applyBorder="1" applyAlignment="1">
      <alignment horizontal="center"/>
    </xf>
    <xf numFmtId="0" fontId="39" fillId="0" borderId="45" xfId="0" applyFont="1" applyBorder="1" applyAlignment="1">
      <alignment horizontal="center"/>
    </xf>
    <xf numFmtId="0" fontId="4" fillId="7" borderId="36" xfId="0" applyFont="1" applyFill="1" applyBorder="1" applyAlignment="1">
      <alignment horizontal="center"/>
    </xf>
    <xf numFmtId="0" fontId="4" fillId="7" borderId="82" xfId="0" applyFont="1" applyFill="1" applyBorder="1" applyAlignment="1">
      <alignment horizontal="center"/>
    </xf>
    <xf numFmtId="0" fontId="39" fillId="0" borderId="29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4" fillId="7" borderId="36" xfId="3" applyFont="1" applyFill="1" applyBorder="1" applyAlignment="1">
      <alignment horizontal="center"/>
    </xf>
    <xf numFmtId="0" fontId="4" fillId="7" borderId="29" xfId="3" applyFont="1" applyFill="1" applyBorder="1" applyAlignment="1">
      <alignment horizontal="center"/>
    </xf>
    <xf numFmtId="0" fontId="4" fillId="7" borderId="82" xfId="3" applyFont="1" applyFill="1" applyBorder="1" applyAlignment="1">
      <alignment horizontal="center"/>
    </xf>
    <xf numFmtId="164" fontId="3" fillId="0" borderId="27" xfId="2" applyNumberFormat="1" applyFont="1" applyBorder="1" applyAlignment="1">
      <alignment horizontal="center" vertical="center" wrapText="1"/>
    </xf>
    <xf numFmtId="164" fontId="3" fillId="0" borderId="4" xfId="2" applyNumberFormat="1" applyFont="1" applyBorder="1" applyAlignment="1">
      <alignment horizontal="center" vertical="center" wrapText="1"/>
    </xf>
    <xf numFmtId="44" fontId="3" fillId="0" borderId="1" xfId="2" applyNumberFormat="1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164" fontId="3" fillId="0" borderId="35" xfId="2" applyNumberFormat="1" applyFont="1" applyBorder="1" applyAlignment="1">
      <alignment horizontal="center" vertical="center" wrapText="1"/>
    </xf>
    <xf numFmtId="44" fontId="3" fillId="0" borderId="27" xfId="2" applyNumberFormat="1" applyFont="1" applyBorder="1" applyAlignment="1">
      <alignment horizontal="center" vertical="center" wrapText="1"/>
    </xf>
    <xf numFmtId="44" fontId="3" fillId="0" borderId="4" xfId="2" applyNumberFormat="1" applyFont="1" applyBorder="1" applyAlignment="1">
      <alignment horizontal="center" vertical="center" wrapText="1"/>
    </xf>
    <xf numFmtId="44" fontId="3" fillId="0" borderId="35" xfId="2" applyNumberFormat="1" applyFont="1" applyBorder="1" applyAlignment="1">
      <alignment horizontal="center" vertical="center" wrapText="1"/>
    </xf>
    <xf numFmtId="44" fontId="3" fillId="0" borderId="16" xfId="0" applyNumberFormat="1" applyFont="1" applyBorder="1" applyAlignment="1">
      <alignment horizontal="center" vertical="center" wrapText="1"/>
    </xf>
    <xf numFmtId="44" fontId="3" fillId="0" borderId="7" xfId="0" applyNumberFormat="1" applyFont="1" applyBorder="1" applyAlignment="1">
      <alignment horizontal="center" vertical="center" wrapText="1"/>
    </xf>
    <xf numFmtId="44" fontId="3" fillId="0" borderId="27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44" fontId="3" fillId="0" borderId="35" xfId="0" applyNumberFormat="1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5" fillId="7" borderId="27" xfId="0" applyFont="1" applyFill="1" applyBorder="1" applyAlignment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0" fontId="3" fillId="0" borderId="36" xfId="3" applyFont="1" applyBorder="1" applyAlignment="1">
      <alignment horizontal="center"/>
    </xf>
    <xf numFmtId="0" fontId="3" fillId="0" borderId="29" xfId="3" applyFont="1" applyBorder="1" applyAlignment="1">
      <alignment horizontal="center"/>
    </xf>
    <xf numFmtId="0" fontId="2" fillId="0" borderId="16" xfId="3" applyBorder="1" applyAlignment="1">
      <alignment horizontal="center"/>
    </xf>
    <xf numFmtId="0" fontId="2" fillId="0" borderId="17" xfId="3" applyBorder="1" applyAlignment="1">
      <alignment horizontal="center"/>
    </xf>
    <xf numFmtId="0" fontId="2" fillId="0" borderId="59" xfId="3" applyBorder="1" applyAlignment="1">
      <alignment horizontal="center"/>
    </xf>
    <xf numFmtId="0" fontId="2" fillId="0" borderId="54" xfId="3" applyBorder="1" applyAlignment="1">
      <alignment horizontal="center"/>
    </xf>
    <xf numFmtId="0" fontId="3" fillId="0" borderId="36" xfId="3" applyFont="1" applyBorder="1" applyAlignment="1">
      <alignment horizontal="center" vertical="center" wrapText="1"/>
    </xf>
    <xf numFmtId="0" fontId="3" fillId="0" borderId="29" xfId="3" applyFont="1" applyBorder="1" applyAlignment="1">
      <alignment horizontal="center" vertical="center" wrapText="1"/>
    </xf>
    <xf numFmtId="0" fontId="2" fillId="0" borderId="60" xfId="3" applyBorder="1" applyAlignment="1">
      <alignment horizontal="center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" fillId="0" borderId="32" xfId="3" applyBorder="1" applyAlignment="1">
      <alignment horizontal="center"/>
    </xf>
    <xf numFmtId="0" fontId="2" fillId="0" borderId="24" xfId="3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20" fillId="0" borderId="27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64" fontId="38" fillId="7" borderId="78" xfId="1" applyNumberFormat="1" applyFont="1" applyFill="1" applyBorder="1" applyAlignment="1">
      <alignment horizontal="center"/>
    </xf>
    <xf numFmtId="164" fontId="38" fillId="7" borderId="79" xfId="1" applyNumberFormat="1" applyFont="1" applyFill="1" applyBorder="1" applyAlignment="1">
      <alignment horizontal="center"/>
    </xf>
    <xf numFmtId="164" fontId="4" fillId="7" borderId="21" xfId="1" applyNumberFormat="1" applyFont="1" applyFill="1" applyBorder="1" applyAlignment="1">
      <alignment horizontal="center"/>
    </xf>
    <xf numFmtId="164" fontId="4" fillId="7" borderId="22" xfId="1" applyNumberFormat="1" applyFont="1" applyFill="1" applyBorder="1" applyAlignment="1">
      <alignment horizontal="center"/>
    </xf>
    <xf numFmtId="164" fontId="34" fillId="0" borderId="7" xfId="1" applyNumberFormat="1" applyFont="1" applyFill="1" applyBorder="1" applyAlignment="1">
      <alignment horizontal="center"/>
    </xf>
    <xf numFmtId="164" fontId="34" fillId="0" borderId="9" xfId="1" applyNumberFormat="1" applyFont="1" applyFill="1" applyBorder="1" applyAlignment="1">
      <alignment horizontal="center"/>
    </xf>
    <xf numFmtId="164" fontId="34" fillId="0" borderId="32" xfId="1" applyNumberFormat="1" applyFont="1" applyFill="1" applyBorder="1" applyAlignment="1">
      <alignment horizontal="center"/>
    </xf>
    <xf numFmtId="164" fontId="34" fillId="0" borderId="24" xfId="1" applyNumberFormat="1" applyFont="1" applyFill="1" applyBorder="1" applyAlignment="1">
      <alignment horizontal="center"/>
    </xf>
    <xf numFmtId="0" fontId="3" fillId="0" borderId="27" xfId="5" applyFont="1" applyBorder="1" applyAlignment="1">
      <alignment horizontal="center" vertical="center" wrapText="1"/>
    </xf>
    <xf numFmtId="0" fontId="3" fillId="0" borderId="35" xfId="5" applyFont="1" applyBorder="1" applyAlignment="1">
      <alignment horizontal="center" vertical="center" wrapText="1"/>
    </xf>
    <xf numFmtId="0" fontId="3" fillId="0" borderId="21" xfId="5" applyFont="1" applyBorder="1" applyAlignment="1">
      <alignment horizontal="center" vertical="center" wrapText="1"/>
    </xf>
    <xf numFmtId="0" fontId="3" fillId="0" borderId="22" xfId="5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" fillId="0" borderId="3" xfId="5" applyFont="1" applyBorder="1" applyAlignment="1">
      <alignment horizontal="center"/>
    </xf>
    <xf numFmtId="0" fontId="3" fillId="0" borderId="14" xfId="5" applyFont="1" applyBorder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36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13" borderId="0" xfId="0" applyFont="1" applyFill="1" applyAlignment="1">
      <alignment horizontal="left"/>
    </xf>
    <xf numFmtId="0" fontId="4" fillId="11" borderId="21" xfId="0" applyFont="1" applyFill="1" applyBorder="1" applyAlignment="1">
      <alignment horizontal="center"/>
    </xf>
    <xf numFmtId="0" fontId="4" fillId="11" borderId="34" xfId="0" applyFont="1" applyFill="1" applyBorder="1" applyAlignment="1">
      <alignment horizontal="center"/>
    </xf>
    <xf numFmtId="0" fontId="4" fillId="11" borderId="36" xfId="0" applyFont="1" applyFill="1" applyBorder="1" applyAlignment="1">
      <alignment horizontal="center"/>
    </xf>
    <xf numFmtId="0" fontId="4" fillId="11" borderId="45" xfId="0" applyFont="1" applyFill="1" applyBorder="1" applyAlignment="1">
      <alignment horizontal="center"/>
    </xf>
    <xf numFmtId="0" fontId="4" fillId="11" borderId="21" xfId="3" applyFont="1" applyFill="1" applyBorder="1" applyAlignment="1">
      <alignment horizontal="center"/>
    </xf>
    <xf numFmtId="0" fontId="4" fillId="11" borderId="34" xfId="3" applyFont="1" applyFill="1" applyBorder="1" applyAlignment="1">
      <alignment horizontal="center"/>
    </xf>
    <xf numFmtId="0" fontId="4" fillId="11" borderId="27" xfId="0" applyFont="1" applyFill="1" applyBorder="1" applyAlignment="1">
      <alignment horizontal="center" vertical="center" wrapText="1"/>
    </xf>
    <xf numFmtId="0" fontId="4" fillId="11" borderId="33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4" fillId="11" borderId="22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164" fontId="38" fillId="11" borderId="36" xfId="1" applyNumberFormat="1" applyFont="1" applyFill="1" applyBorder="1" applyAlignment="1">
      <alignment horizontal="center"/>
    </xf>
    <xf numFmtId="164" fontId="38" fillId="11" borderId="29" xfId="1" applyNumberFormat="1" applyFont="1" applyFill="1" applyBorder="1" applyAlignment="1">
      <alignment horizontal="center"/>
    </xf>
    <xf numFmtId="164" fontId="4" fillId="11" borderId="21" xfId="1" applyNumberFormat="1" applyFont="1" applyFill="1" applyBorder="1" applyAlignment="1">
      <alignment horizontal="center"/>
    </xf>
    <xf numFmtId="164" fontId="4" fillId="11" borderId="22" xfId="1" applyNumberFormat="1" applyFont="1" applyFill="1" applyBorder="1" applyAlignment="1">
      <alignment horizontal="center"/>
    </xf>
    <xf numFmtId="164" fontId="43" fillId="0" borderId="7" xfId="1" applyNumberFormat="1" applyFont="1" applyFill="1" applyBorder="1" applyAlignment="1">
      <alignment horizontal="center"/>
    </xf>
    <xf numFmtId="164" fontId="43" fillId="0" borderId="9" xfId="1" applyNumberFormat="1" applyFont="1" applyFill="1" applyBorder="1" applyAlignment="1">
      <alignment horizontal="center"/>
    </xf>
  </cellXfs>
  <cellStyles count="13">
    <cellStyle name="Bad" xfId="12" builtinId="27"/>
    <cellStyle name="Comma" xfId="8" builtinId="3"/>
    <cellStyle name="Currency" xfId="1" builtinId="4"/>
    <cellStyle name="Currency (0)" xfId="7" xr:uid="{1176685A-6AB9-4A1D-8266-1F266F5CF744}"/>
    <cellStyle name="Currency 2" xfId="6" xr:uid="{53F552DA-46A3-47DC-B592-139FD36C478A}"/>
    <cellStyle name="Neutral" xfId="11" builtinId="28"/>
    <cellStyle name="Normal" xfId="0" builtinId="0"/>
    <cellStyle name="Normal 2 3" xfId="2" xr:uid="{15954B53-A9DB-460C-9CB3-0FAA15BC9B77}"/>
    <cellStyle name="Normal 3" xfId="5" xr:uid="{6F6CC560-0ACD-4BDD-92D0-6B7FA07B3697}"/>
    <cellStyle name="Normal 5" xfId="3" xr:uid="{0E6B56C6-ED30-4C9E-81D0-B848DF043C0F}"/>
    <cellStyle name="Percent" xfId="4" builtinId="5"/>
    <cellStyle name="STYLE1" xfId="9" xr:uid="{9AFD30D0-D151-406C-A9E1-3D0EE4D4E791}"/>
    <cellStyle name="STYLE4" xfId="10" xr:uid="{BD0120CE-37CD-4B6C-9B20-4CB94AB7A437}"/>
  </cellStyles>
  <dxfs count="0"/>
  <tableStyles count="0" defaultTableStyle="TableStyleMedium2" defaultPivotStyle="PivotStyleLight16"/>
  <colors>
    <mruColors>
      <color rgb="FF5D3754"/>
      <color rgb="FF540000"/>
      <color rgb="FFE87722"/>
      <color rgb="FFFFC600"/>
      <color rgb="FF4298B5"/>
      <color rgb="FF4A7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485775</xdr:colOff>
      <xdr:row>8</xdr:row>
      <xdr:rowOff>104776</xdr:rowOff>
    </xdr:from>
    <xdr:to>
      <xdr:col>19</xdr:col>
      <xdr:colOff>171450</xdr:colOff>
      <xdr:row>20</xdr:row>
      <xdr:rowOff>146655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2AF236-5668-4EC4-A1F4-D6F39A898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4775" y="2381251"/>
          <a:ext cx="5248275" cy="306130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8</xdr:col>
      <xdr:colOff>533400</xdr:colOff>
      <xdr:row>21</xdr:row>
      <xdr:rowOff>66675</xdr:rowOff>
    </xdr:from>
    <xdr:to>
      <xdr:col>18</xdr:col>
      <xdr:colOff>593629</xdr:colOff>
      <xdr:row>37</xdr:row>
      <xdr:rowOff>116686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AB370E-EF16-59B6-A03E-DDD1035C1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2400" y="5553075"/>
          <a:ext cx="5013229" cy="309801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752476</xdr:colOff>
      <xdr:row>17</xdr:row>
      <xdr:rowOff>57150</xdr:rowOff>
    </xdr:from>
    <xdr:to>
      <xdr:col>18</xdr:col>
      <xdr:colOff>645105</xdr:colOff>
      <xdr:row>35</xdr:row>
      <xdr:rowOff>171449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208DE7-4994-414C-B3F7-349839613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3276" y="4505325"/>
          <a:ext cx="5131379" cy="354329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38101</xdr:colOff>
      <xdr:row>17</xdr:row>
      <xdr:rowOff>152399</xdr:rowOff>
    </xdr:from>
    <xdr:to>
      <xdr:col>6</xdr:col>
      <xdr:colOff>512653</xdr:colOff>
      <xdr:row>34</xdr:row>
      <xdr:rowOff>123824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588389-3C50-40B6-83C9-741E1A8C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926" y="4600574"/>
          <a:ext cx="5198952" cy="32099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drinc-my.sharepoint.com/personal/aosborne_hdrinc_com/Documents/WCWD%20COS/WCWD%20COS%20Study-%20Water%20AG.xlsx" TargetMode="External"/><Relationship Id="rId1" Type="http://schemas.openxmlformats.org/officeDocument/2006/relationships/externalLinkPath" Target="/personal/aosborne_hdrinc_com/Documents/WCWD%20COS/WCWD%20COS%20Study-%20Water%20A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drinc-my.sharepoint.com/personal/aosborne_hdrinc_com/Documents/WCWD%20COS%20Study-%20Supporting%20Docs/Water/WCWD%20COS%20Study-%20Water.xlsx" TargetMode="External"/><Relationship Id="rId1" Type="http://schemas.openxmlformats.org/officeDocument/2006/relationships/externalLinkPath" Target="/personal/aosborne_hdrinc_com/Documents/WCWD%20COS%20Study-%20Supporting%20Docs/Water/WCWD%20COS%20Study-%20Wa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enses-Summary"/>
      <sheetName val="Revenues- Summary"/>
      <sheetName val="Revenues"/>
      <sheetName val="Expenses"/>
      <sheetName val="W-Sales-TY"/>
      <sheetName val="W-Sales By Meter-TY"/>
      <sheetName val="Purchased-TY"/>
      <sheetName val="W Exp Alloc-TY"/>
      <sheetName val="W-Alloc Met-TY"/>
      <sheetName val="W-Alloc %-TY"/>
      <sheetName val="W-Summary-TY"/>
      <sheetName val="W-Sales-TY Adj"/>
      <sheetName val="W-Purchased-TY Adj"/>
      <sheetName val="W-Sales By Meter-TY Adj"/>
      <sheetName val="W-Alloc %-TY Adj"/>
      <sheetName val="W-Alloc Met-TY Adj"/>
      <sheetName val="W-Exp Alloc-TY Adj"/>
      <sheetName val="W-Summary-TY Adj"/>
    </sheetNames>
    <sheetDataSet>
      <sheetData sheetId="0"/>
      <sheetData sheetId="1"/>
      <sheetData sheetId="2">
        <row r="5">
          <cell r="C5" t="str">
            <v>Unmetered Revenue-Check Valves</v>
          </cell>
        </row>
        <row r="6">
          <cell r="C6" t="str">
            <v>Metered Revenue-Residential</v>
          </cell>
        </row>
        <row r="7">
          <cell r="C7" t="str">
            <v>Metered Revenue-Commercial</v>
          </cell>
        </row>
        <row r="8">
          <cell r="C8" t="str">
            <v>Metered Revenue-Industrial</v>
          </cell>
        </row>
        <row r="9">
          <cell r="C9" t="str">
            <v>Metered Revenue-City/County/State/Fed</v>
          </cell>
        </row>
        <row r="10">
          <cell r="C10" t="str">
            <v>Metered Revenue-Mult Family</v>
          </cell>
        </row>
        <row r="11">
          <cell r="C11" t="str">
            <v>Metered Revenue-Bulk Loading</v>
          </cell>
        </row>
        <row r="12">
          <cell r="C12" t="str">
            <v>Metered Revenue-Agricultural</v>
          </cell>
        </row>
        <row r="13">
          <cell r="C13" t="str">
            <v>Unbilled Revenue-Residential</v>
          </cell>
        </row>
        <row r="14">
          <cell r="C14" t="str">
            <v>Unbilled Revenue-Commercial &amp; Industrial</v>
          </cell>
        </row>
        <row r="15">
          <cell r="C15" t="str">
            <v>Metered Revenue-Fire Protect</v>
          </cell>
        </row>
        <row r="16">
          <cell r="C16" t="str">
            <v>Metered Revenue-Irrigation</v>
          </cell>
        </row>
        <row r="17">
          <cell r="C17" t="str">
            <v>Metered Revenue-Leak Adjusts</v>
          </cell>
        </row>
        <row r="21">
          <cell r="C21" t="str">
            <v>Interest Income-Sinking/Misc</v>
          </cell>
        </row>
        <row r="22">
          <cell r="C22" t="str">
            <v>Interest Income-Depreciation Reserve</v>
          </cell>
        </row>
        <row r="23">
          <cell r="C23" t="str">
            <v>Interest Income-DSR (SC Bank)</v>
          </cell>
        </row>
        <row r="24">
          <cell r="C24" t="str">
            <v>Interest Income-Depreciation Reserve</v>
          </cell>
        </row>
        <row r="25">
          <cell r="C25" t="str">
            <v>Interest Income-Depreciation Reserve</v>
          </cell>
        </row>
        <row r="26">
          <cell r="C26" t="str">
            <v>Interest Income-Customer Deposits</v>
          </cell>
        </row>
        <row r="27">
          <cell r="C27" t="str">
            <v>Interest Income-Depreciation Reserve Fund</v>
          </cell>
        </row>
        <row r="28">
          <cell r="C28" t="str">
            <v>Interest Income-Customer Deposits</v>
          </cell>
        </row>
        <row r="29">
          <cell r="C29" t="str">
            <v>Interest Income-Customer Deposits</v>
          </cell>
        </row>
        <row r="34">
          <cell r="C34" t="str">
            <v>Fortified Discounts</v>
          </cell>
        </row>
        <row r="35">
          <cell r="C35" t="str">
            <v>Misc Service Revenue</v>
          </cell>
        </row>
        <row r="36">
          <cell r="C36" t="str">
            <v>Other Water Revenue</v>
          </cell>
        </row>
        <row r="37">
          <cell r="C37" t="str">
            <v>Other Water Revenue-Meter Reading</v>
          </cell>
        </row>
        <row r="38">
          <cell r="C38" t="str">
            <v>Rental Revenue-District Property</v>
          </cell>
        </row>
        <row r="39">
          <cell r="C39" t="str">
            <v>Non-Utility Income-Southern Recycling</v>
          </cell>
        </row>
        <row r="40">
          <cell r="C40" t="str">
            <v>Non-Utility Income-Storm Water Agency</v>
          </cell>
        </row>
        <row r="41">
          <cell r="C41" t="str">
            <v>Disposition - Gains / (Losses)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enses-Summary"/>
      <sheetName val="Revenues- Summary"/>
      <sheetName val="Revenues"/>
      <sheetName val="Expenses"/>
      <sheetName val="W-Sales-TY"/>
      <sheetName val="Purchased-TY"/>
      <sheetName val="W-Sales By Meter-TY"/>
      <sheetName val="W-Alloc Met-TY"/>
      <sheetName val="W Exp Alloc-TY"/>
      <sheetName val="W-Alloc %-TY"/>
      <sheetName val="W-Summary-TY"/>
      <sheetName val="Flow Adjustments"/>
      <sheetName val="W-Sales-TY Adj"/>
      <sheetName val="W-Purchased-TY Adj"/>
      <sheetName val="W-Sales By Meter-TY Adj"/>
      <sheetName val="W-Summary-TY Adj"/>
      <sheetName val="W-Alloc Met-TY Adj"/>
      <sheetName val="W-Exp Alloc-TY Adj"/>
      <sheetName val="W-Alloc %-TY Adj"/>
      <sheetName val="SAO"/>
    </sheet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</row>
        <row r="6">
          <cell r="D6">
            <v>2606013</v>
          </cell>
          <cell r="E6">
            <v>10121995</v>
          </cell>
        </row>
        <row r="7">
          <cell r="D7">
            <v>847443</v>
          </cell>
          <cell r="E7">
            <v>2805185</v>
          </cell>
        </row>
        <row r="8">
          <cell r="D8">
            <v>2690800</v>
          </cell>
          <cell r="E8">
            <v>2971463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20811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161466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1981</v>
          </cell>
        </row>
        <row r="21">
          <cell r="D21">
            <v>101016</v>
          </cell>
          <cell r="E21">
            <v>54565</v>
          </cell>
        </row>
        <row r="22">
          <cell r="D22">
            <v>0</v>
          </cell>
          <cell r="E22">
            <v>-102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48048</v>
          </cell>
        </row>
        <row r="25">
          <cell r="D25">
            <v>204033</v>
          </cell>
          <cell r="E25">
            <v>156561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127309</v>
          </cell>
          <cell r="E29">
            <v>0</v>
          </cell>
        </row>
        <row r="34">
          <cell r="D34">
            <v>84207</v>
          </cell>
          <cell r="E34">
            <v>207919</v>
          </cell>
        </row>
        <row r="35">
          <cell r="D35">
            <v>33870</v>
          </cell>
          <cell r="E35">
            <v>267538</v>
          </cell>
        </row>
        <row r="36">
          <cell r="D36">
            <v>600</v>
          </cell>
          <cell r="E36">
            <v>600</v>
          </cell>
        </row>
        <row r="37">
          <cell r="D37">
            <v>0</v>
          </cell>
          <cell r="E37">
            <v>0</v>
          </cell>
        </row>
        <row r="38">
          <cell r="D38">
            <v>-14876</v>
          </cell>
          <cell r="E38">
            <v>136825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70540</v>
          </cell>
        </row>
        <row r="41">
          <cell r="D41">
            <v>0</v>
          </cell>
          <cell r="E41">
            <v>32445</v>
          </cell>
        </row>
      </sheetData>
      <sheetData sheetId="3">
        <row r="5">
          <cell r="C5" t="str">
            <v>Wages- Source (Oper)</v>
          </cell>
          <cell r="D5">
            <v>0</v>
          </cell>
          <cell r="E5">
            <v>0</v>
          </cell>
          <cell r="I5">
            <v>0</v>
          </cell>
          <cell r="J5">
            <v>0</v>
          </cell>
          <cell r="K5" t="str">
            <v>COLA 3.241% + 2% Merit increase</v>
          </cell>
        </row>
        <row r="6">
          <cell r="C6" t="str">
            <v>Wages- Source (Maint)</v>
          </cell>
          <cell r="D6">
            <v>0</v>
          </cell>
          <cell r="E6">
            <v>0</v>
          </cell>
          <cell r="I6">
            <v>0</v>
          </cell>
          <cell r="J6">
            <v>0</v>
          </cell>
          <cell r="K6" t="str">
            <v>COLA 3.241% + 2% Merit increase</v>
          </cell>
        </row>
        <row r="7">
          <cell r="C7" t="str">
            <v>Employee Overhead- Source (Oper)</v>
          </cell>
          <cell r="D7">
            <v>0</v>
          </cell>
          <cell r="E7">
            <v>0</v>
          </cell>
          <cell r="I7">
            <v>0</v>
          </cell>
          <cell r="J7">
            <v>0</v>
          </cell>
          <cell r="K7" t="str">
            <v>COLA 3.241% + 2% Merit increase</v>
          </cell>
        </row>
        <row r="8">
          <cell r="C8" t="str">
            <v>Purchased Power- Source</v>
          </cell>
          <cell r="D8">
            <v>157890</v>
          </cell>
          <cell r="E8">
            <v>535575</v>
          </cell>
          <cell r="I8">
            <v>157890</v>
          </cell>
          <cell r="J8">
            <v>535575</v>
          </cell>
        </row>
        <row r="9">
          <cell r="C9" t="str">
            <v>Purchased Power- Source (ENERNOC)</v>
          </cell>
          <cell r="D9">
            <v>0</v>
          </cell>
          <cell r="E9">
            <v>-7959</v>
          </cell>
          <cell r="I9">
            <v>0</v>
          </cell>
          <cell r="J9">
            <v>-7959</v>
          </cell>
        </row>
        <row r="10">
          <cell r="C10" t="str">
            <v>Materials &amp; Supplies- Source (Oper)</v>
          </cell>
          <cell r="D10">
            <v>0</v>
          </cell>
          <cell r="E10">
            <v>0</v>
          </cell>
          <cell r="I10">
            <v>0</v>
          </cell>
          <cell r="J10">
            <v>0</v>
          </cell>
        </row>
        <row r="11">
          <cell r="C11" t="str">
            <v>Materials &amp; Supplies- Source (Maint)</v>
          </cell>
          <cell r="D11">
            <v>0</v>
          </cell>
          <cell r="E11">
            <v>0</v>
          </cell>
          <cell r="I11">
            <v>0</v>
          </cell>
          <cell r="J11">
            <v>0</v>
          </cell>
        </row>
        <row r="12">
          <cell r="C12" t="str">
            <v>Contract Engineering- Source (Oper)</v>
          </cell>
          <cell r="D12">
            <v>0</v>
          </cell>
          <cell r="E12">
            <v>0</v>
          </cell>
          <cell r="I12">
            <v>0</v>
          </cell>
          <cell r="J12">
            <v>0</v>
          </cell>
        </row>
        <row r="13">
          <cell r="C13" t="str">
            <v>Contract Accounting- Source (Oper)</v>
          </cell>
          <cell r="D13">
            <v>1750</v>
          </cell>
          <cell r="E13">
            <v>1817</v>
          </cell>
          <cell r="I13">
            <v>1750</v>
          </cell>
          <cell r="J13">
            <v>1817</v>
          </cell>
        </row>
        <row r="14">
          <cell r="C14" t="str">
            <v>Contract Accounting- Source (Maint)</v>
          </cell>
          <cell r="D14">
            <v>1750</v>
          </cell>
          <cell r="E14">
            <v>1817</v>
          </cell>
          <cell r="I14">
            <v>1750</v>
          </cell>
          <cell r="J14">
            <v>1817</v>
          </cell>
        </row>
        <row r="15">
          <cell r="C15" t="str">
            <v>Contract Legal- Source (Oper)</v>
          </cell>
          <cell r="D15">
            <v>0</v>
          </cell>
          <cell r="E15">
            <v>0</v>
          </cell>
          <cell r="I15">
            <v>0</v>
          </cell>
          <cell r="J15">
            <v>0</v>
          </cell>
        </row>
        <row r="16">
          <cell r="C16" t="str">
            <v>Contract Legal- Source (Maint)</v>
          </cell>
          <cell r="D16">
            <v>0</v>
          </cell>
          <cell r="E16">
            <v>0</v>
          </cell>
          <cell r="I16">
            <v>0</v>
          </cell>
          <cell r="J16">
            <v>0</v>
          </cell>
        </row>
        <row r="17">
          <cell r="C17" t="str">
            <v>Contract Other- Source (Oper)</v>
          </cell>
          <cell r="D17">
            <v>0</v>
          </cell>
          <cell r="E17">
            <v>0</v>
          </cell>
          <cell r="I17">
            <v>0</v>
          </cell>
          <cell r="J17">
            <v>0</v>
          </cell>
        </row>
        <row r="18">
          <cell r="C18" t="str">
            <v>Contract Other- Source (Alarm)</v>
          </cell>
          <cell r="D18">
            <v>0</v>
          </cell>
          <cell r="E18">
            <v>0</v>
          </cell>
          <cell r="I18">
            <v>0</v>
          </cell>
          <cell r="J18">
            <v>0</v>
          </cell>
        </row>
        <row r="19">
          <cell r="C19" t="str">
            <v>Contract Other- Source (Maint)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</row>
        <row r="20">
          <cell r="C20" t="str">
            <v>Rent &amp; Utilities- Source (Oper)</v>
          </cell>
          <cell r="D20">
            <v>0</v>
          </cell>
          <cell r="E20">
            <v>4924</v>
          </cell>
          <cell r="I20">
            <v>0</v>
          </cell>
          <cell r="J20">
            <v>4924</v>
          </cell>
        </row>
        <row r="21">
          <cell r="C21" t="str">
            <v>Equipment Expense- Source (Oper)</v>
          </cell>
          <cell r="D21">
            <v>0</v>
          </cell>
          <cell r="E21">
            <v>81</v>
          </cell>
          <cell r="I21">
            <v>0</v>
          </cell>
          <cell r="J21">
            <v>81</v>
          </cell>
        </row>
        <row r="22">
          <cell r="C22" t="str">
            <v>Equipment Expense- Source (Maint)</v>
          </cell>
          <cell r="D22">
            <v>0</v>
          </cell>
          <cell r="E22">
            <v>0</v>
          </cell>
          <cell r="I22">
            <v>0</v>
          </cell>
          <cell r="J22">
            <v>0</v>
          </cell>
        </row>
        <row r="23">
          <cell r="C23" t="str">
            <v>Insurance G/L- Source (Oper)</v>
          </cell>
          <cell r="D23">
            <v>5742</v>
          </cell>
          <cell r="E23">
            <v>11569</v>
          </cell>
          <cell r="I23">
            <v>5742</v>
          </cell>
          <cell r="J23">
            <v>11569</v>
          </cell>
        </row>
        <row r="24">
          <cell r="C24" t="str">
            <v>Insurance Other- Source (Oper)</v>
          </cell>
          <cell r="D24">
            <v>0</v>
          </cell>
          <cell r="E24">
            <v>0</v>
          </cell>
          <cell r="I24">
            <v>0</v>
          </cell>
          <cell r="J24">
            <v>0</v>
          </cell>
        </row>
        <row r="25">
          <cell r="C25" t="str">
            <v>Misc Expense- Source (Oper)</v>
          </cell>
          <cell r="D25">
            <v>0</v>
          </cell>
          <cell r="E25">
            <v>0</v>
          </cell>
          <cell r="I25">
            <v>0</v>
          </cell>
          <cell r="J25">
            <v>0</v>
          </cell>
        </row>
        <row r="26">
          <cell r="C26" t="str">
            <v>Misc Expense- Source (Maint)</v>
          </cell>
          <cell r="D26">
            <v>0</v>
          </cell>
          <cell r="E26">
            <v>0</v>
          </cell>
          <cell r="I26">
            <v>0</v>
          </cell>
          <cell r="J26">
            <v>0</v>
          </cell>
        </row>
        <row r="27">
          <cell r="C27" t="str">
            <v xml:space="preserve">Purchased Water </v>
          </cell>
          <cell r="D27">
            <v>3377072</v>
          </cell>
          <cell r="E27">
            <v>8221642</v>
          </cell>
          <cell r="I27">
            <v>3377072</v>
          </cell>
          <cell r="J27">
            <v>8221642</v>
          </cell>
        </row>
        <row r="28">
          <cell r="C28" t="str">
            <v>Purchased Water - Unbilled (BGMU)</v>
          </cell>
          <cell r="D28">
            <v>-3057</v>
          </cell>
          <cell r="E28">
            <v>-72033</v>
          </cell>
          <cell r="I28">
            <v>-3057</v>
          </cell>
          <cell r="J28">
            <v>-72033</v>
          </cell>
        </row>
        <row r="29">
          <cell r="C29" t="str">
            <v>Purchased Power Water Treat</v>
          </cell>
          <cell r="D29">
            <v>0</v>
          </cell>
          <cell r="E29">
            <v>0</v>
          </cell>
          <cell r="I29">
            <v>0</v>
          </cell>
          <cell r="J29">
            <v>0</v>
          </cell>
        </row>
        <row r="30">
          <cell r="C30" t="str">
            <v>-</v>
          </cell>
          <cell r="D30">
            <v>0</v>
          </cell>
          <cell r="E30">
            <v>0</v>
          </cell>
          <cell r="I30">
            <v>0</v>
          </cell>
          <cell r="J30">
            <v>0</v>
          </cell>
        </row>
        <row r="31">
          <cell r="C31" t="str">
            <v>-</v>
          </cell>
          <cell r="D31">
            <v>0</v>
          </cell>
          <cell r="E31">
            <v>0</v>
          </cell>
          <cell r="I31">
            <v>0</v>
          </cell>
          <cell r="J31">
            <v>0</v>
          </cell>
        </row>
        <row r="32">
          <cell r="C32" t="str">
            <v>-</v>
          </cell>
          <cell r="D32">
            <v>0</v>
          </cell>
          <cell r="E32">
            <v>0</v>
          </cell>
          <cell r="I32">
            <v>0</v>
          </cell>
          <cell r="J32">
            <v>0</v>
          </cell>
        </row>
        <row r="33">
          <cell r="C33" t="str">
            <v>-</v>
          </cell>
          <cell r="D33">
            <v>0</v>
          </cell>
          <cell r="E33">
            <v>0</v>
          </cell>
          <cell r="I33">
            <v>0</v>
          </cell>
          <cell r="J33">
            <v>0</v>
          </cell>
        </row>
        <row r="34">
          <cell r="C34" t="str">
            <v>-</v>
          </cell>
          <cell r="D34">
            <v>0</v>
          </cell>
          <cell r="E34">
            <v>0</v>
          </cell>
          <cell r="I34">
            <v>0</v>
          </cell>
          <cell r="J34">
            <v>0</v>
          </cell>
        </row>
        <row r="35">
          <cell r="C35" t="str">
            <v>-</v>
          </cell>
          <cell r="D35">
            <v>0</v>
          </cell>
          <cell r="E35">
            <v>0</v>
          </cell>
          <cell r="I35">
            <v>0</v>
          </cell>
          <cell r="J35">
            <v>0</v>
          </cell>
        </row>
        <row r="39">
          <cell r="C39" t="str">
            <v>Wages- T&amp;D (Oper)</v>
          </cell>
          <cell r="D39">
            <v>63630</v>
          </cell>
          <cell r="E39">
            <v>399953</v>
          </cell>
          <cell r="I39">
            <v>77312.898300000001</v>
          </cell>
          <cell r="J39">
            <v>455105.75673000008</v>
          </cell>
          <cell r="K39" t="str">
            <v>COLA 3.241% + 2% Merit increase, New Employee Salaries</v>
          </cell>
        </row>
        <row r="40">
          <cell r="C40" t="str">
            <v>Wages- T&amp;D (Maint)</v>
          </cell>
          <cell r="D40">
            <v>73232</v>
          </cell>
          <cell r="E40">
            <v>351392</v>
          </cell>
          <cell r="I40">
            <v>77070.089120000004</v>
          </cell>
          <cell r="J40">
            <v>406742.85472000006</v>
          </cell>
          <cell r="K40" t="str">
            <v>COLA 3.241% + 2% Merit increase, New Employee Salaries</v>
          </cell>
        </row>
        <row r="41">
          <cell r="C41" t="str">
            <v>Employee Overhead T&amp;D (Oper)</v>
          </cell>
          <cell r="D41">
            <v>0</v>
          </cell>
          <cell r="E41">
            <v>0</v>
          </cell>
          <cell r="I41">
            <v>0</v>
          </cell>
          <cell r="J41">
            <v>0</v>
          </cell>
          <cell r="K41" t="str">
            <v>COLA 3.241% + 2% Merit increase</v>
          </cell>
        </row>
        <row r="42">
          <cell r="C42" t="str">
            <v>Employee Overhead- T&amp;D (Maint)</v>
          </cell>
          <cell r="D42">
            <v>0</v>
          </cell>
          <cell r="E42">
            <v>0</v>
          </cell>
          <cell r="I42">
            <v>0</v>
          </cell>
          <cell r="J42">
            <v>0</v>
          </cell>
          <cell r="K42" t="str">
            <v>COLA 3.241% + 2% Merit increase</v>
          </cell>
        </row>
        <row r="43">
          <cell r="C43" t="str">
            <v>Purchased Power- T&amp;D</v>
          </cell>
          <cell r="D43">
            <v>0</v>
          </cell>
          <cell r="E43">
            <v>7616</v>
          </cell>
          <cell r="I43">
            <v>0</v>
          </cell>
          <cell r="J43">
            <v>7616</v>
          </cell>
        </row>
        <row r="44">
          <cell r="C44" t="str">
            <v>Purchased Power- T&amp;D (ENERNOC)</v>
          </cell>
          <cell r="D44">
            <v>0</v>
          </cell>
          <cell r="E44">
            <v>0</v>
          </cell>
          <cell r="I44">
            <v>0</v>
          </cell>
          <cell r="J44">
            <v>0</v>
          </cell>
        </row>
        <row r="45">
          <cell r="C45" t="str">
            <v>Materials &amp; Supplies- T&amp;D (Oper)</v>
          </cell>
          <cell r="D45">
            <v>6445</v>
          </cell>
          <cell r="E45">
            <v>37130</v>
          </cell>
          <cell r="I45">
            <v>6445</v>
          </cell>
          <cell r="J45">
            <v>37130</v>
          </cell>
        </row>
        <row r="46">
          <cell r="C46" t="str">
            <v>Materials &amp; Supplies- T&amp;D (Maint)</v>
          </cell>
          <cell r="D46">
            <v>45683</v>
          </cell>
          <cell r="E46">
            <v>261520</v>
          </cell>
          <cell r="I46">
            <v>45683</v>
          </cell>
          <cell r="J46">
            <v>261520</v>
          </cell>
        </row>
        <row r="47">
          <cell r="C47" t="str">
            <v>Contract Accounting- T&amp;D (Oper)</v>
          </cell>
          <cell r="D47">
            <v>1750</v>
          </cell>
          <cell r="E47">
            <v>1817</v>
          </cell>
          <cell r="I47">
            <v>1750</v>
          </cell>
          <cell r="J47">
            <v>1817</v>
          </cell>
        </row>
        <row r="48">
          <cell r="C48" t="str">
            <v>Contract Accounting- T&amp;D (Maint)</v>
          </cell>
          <cell r="D48">
            <v>1750</v>
          </cell>
          <cell r="E48">
            <v>1817</v>
          </cell>
          <cell r="I48">
            <v>1750</v>
          </cell>
          <cell r="J48">
            <v>1817</v>
          </cell>
        </row>
        <row r="49">
          <cell r="C49" t="str">
            <v>Contract Legal- T&amp;D (Oper)</v>
          </cell>
          <cell r="D49">
            <v>0</v>
          </cell>
          <cell r="E49">
            <v>0</v>
          </cell>
          <cell r="I49">
            <v>0</v>
          </cell>
          <cell r="J49">
            <v>0</v>
          </cell>
        </row>
        <row r="50">
          <cell r="C50" t="str">
            <v>Contract Legal- T&amp;D (Maint)</v>
          </cell>
          <cell r="D50">
            <v>0</v>
          </cell>
          <cell r="E50">
            <v>0</v>
          </cell>
          <cell r="I50">
            <v>0</v>
          </cell>
          <cell r="J50">
            <v>0</v>
          </cell>
        </row>
        <row r="51">
          <cell r="C51" t="str">
            <v>Contract Other- T&amp;D (Oper)</v>
          </cell>
          <cell r="D51">
            <v>1637</v>
          </cell>
          <cell r="E51">
            <v>50543</v>
          </cell>
          <cell r="I51">
            <v>1637</v>
          </cell>
          <cell r="J51">
            <v>50543</v>
          </cell>
        </row>
        <row r="52">
          <cell r="C52" t="str">
            <v>Contract Other- T&amp;D (Maint)</v>
          </cell>
          <cell r="D52">
            <v>94158</v>
          </cell>
          <cell r="E52">
            <v>178649</v>
          </cell>
          <cell r="I52">
            <v>94158</v>
          </cell>
          <cell r="J52">
            <v>178649</v>
          </cell>
        </row>
        <row r="53">
          <cell r="C53" t="str">
            <v>Rent &amp; Utilities- T&amp;D (Oper)</v>
          </cell>
          <cell r="D53">
            <v>0</v>
          </cell>
          <cell r="E53">
            <v>18877</v>
          </cell>
          <cell r="I53">
            <v>0</v>
          </cell>
          <cell r="J53">
            <v>18877</v>
          </cell>
        </row>
        <row r="54">
          <cell r="C54" t="str">
            <v>Rent &amp; Utilities- T&amp;D (Oper)</v>
          </cell>
          <cell r="D54">
            <v>0</v>
          </cell>
          <cell r="E54">
            <v>0</v>
          </cell>
          <cell r="I54">
            <v>0</v>
          </cell>
          <cell r="J54">
            <v>0</v>
          </cell>
        </row>
        <row r="55">
          <cell r="C55" t="str">
            <v>Equipment Expense- T&amp;D (Oper)</v>
          </cell>
          <cell r="D55">
            <v>19707</v>
          </cell>
          <cell r="E55">
            <v>108465</v>
          </cell>
          <cell r="I55">
            <v>19707</v>
          </cell>
          <cell r="J55">
            <v>108465</v>
          </cell>
        </row>
        <row r="56">
          <cell r="C56" t="str">
            <v>Equipment Expense- T&amp;D (Maint)</v>
          </cell>
          <cell r="D56">
            <v>17668</v>
          </cell>
          <cell r="E56">
            <v>98814</v>
          </cell>
          <cell r="I56">
            <v>17668</v>
          </cell>
          <cell r="J56">
            <v>98814</v>
          </cell>
        </row>
        <row r="57">
          <cell r="C57" t="str">
            <v>Insurance G/L- T&amp;D (Oper)</v>
          </cell>
          <cell r="D57">
            <v>3344</v>
          </cell>
          <cell r="E57">
            <v>49168</v>
          </cell>
          <cell r="I57">
            <v>3344</v>
          </cell>
          <cell r="J57">
            <v>49168</v>
          </cell>
        </row>
        <row r="58">
          <cell r="C58" t="str">
            <v>Insurance Other- T&amp;D (Oper)</v>
          </cell>
          <cell r="D58">
            <v>0</v>
          </cell>
          <cell r="E58">
            <v>0</v>
          </cell>
          <cell r="I58">
            <v>0</v>
          </cell>
          <cell r="J58">
            <v>0</v>
          </cell>
        </row>
        <row r="59">
          <cell r="C59" t="str">
            <v>Misc Expense- T&amp;D (Oper)</v>
          </cell>
          <cell r="D59">
            <v>0</v>
          </cell>
          <cell r="E59">
            <v>0</v>
          </cell>
          <cell r="I59">
            <v>0</v>
          </cell>
          <cell r="J59">
            <v>0</v>
          </cell>
        </row>
        <row r="60">
          <cell r="C60" t="str">
            <v>Misc Expense- T&amp;D (Maint)</v>
          </cell>
          <cell r="D60">
            <v>0</v>
          </cell>
          <cell r="E60">
            <v>0</v>
          </cell>
          <cell r="I60">
            <v>0</v>
          </cell>
          <cell r="J60">
            <v>0</v>
          </cell>
        </row>
        <row r="61">
          <cell r="C61" t="str">
            <v>Chemicals</v>
          </cell>
          <cell r="D61">
            <v>30983</v>
          </cell>
          <cell r="E61">
            <v>0</v>
          </cell>
          <cell r="I61">
            <v>30983</v>
          </cell>
          <cell r="J61">
            <v>0</v>
          </cell>
        </row>
        <row r="62">
          <cell r="C62" t="str">
            <v xml:space="preserve">Contract Other- Water (Maint) </v>
          </cell>
          <cell r="D62">
            <v>0</v>
          </cell>
          <cell r="E62">
            <v>0</v>
          </cell>
          <cell r="I62">
            <v>0</v>
          </cell>
          <cell r="J62">
            <v>0</v>
          </cell>
        </row>
        <row r="63">
          <cell r="C63" t="str">
            <v>Payroll Taxes- T&amp;D (Oper)</v>
          </cell>
          <cell r="D63">
            <v>5468.1</v>
          </cell>
          <cell r="E63">
            <v>34386.35</v>
          </cell>
          <cell r="I63">
            <v>6608.9831210000011</v>
          </cell>
          <cell r="J63">
            <v>39011.248603499997</v>
          </cell>
        </row>
        <row r="64">
          <cell r="C64" t="str">
            <v>Wages (OH)- T&amp;D (Oper)</v>
          </cell>
          <cell r="D64">
            <v>9694.7999999999993</v>
          </cell>
          <cell r="E64">
            <v>60966.07</v>
          </cell>
          <cell r="I64">
            <v>11717.554468</v>
          </cell>
          <cell r="J64">
            <v>69165.891728700008</v>
          </cell>
        </row>
        <row r="65">
          <cell r="C65" t="str">
            <v>Worker's Compensation- T&amp;D (Oper)</v>
          </cell>
          <cell r="D65">
            <v>355.53</v>
          </cell>
          <cell r="E65">
            <v>2235.79</v>
          </cell>
          <cell r="I65">
            <v>429.7133273</v>
          </cell>
          <cell r="J65">
            <v>2536.4977539000001</v>
          </cell>
        </row>
        <row r="66">
          <cell r="C66" t="str">
            <v>Fringe Benefits- Insurance- T&amp;D (Oper)</v>
          </cell>
          <cell r="D66">
            <v>7669.29</v>
          </cell>
          <cell r="E66">
            <v>48228.58</v>
          </cell>
          <cell r="I66">
            <v>8867.49</v>
          </cell>
          <cell r="J66">
            <v>52187.57</v>
          </cell>
        </row>
        <row r="67">
          <cell r="C67" t="str">
            <v>Retirement- T&amp;D (Oper)</v>
          </cell>
          <cell r="D67">
            <v>12704.27</v>
          </cell>
          <cell r="E67">
            <v>79891.210000000006</v>
          </cell>
          <cell r="I67">
            <v>15354.930790700002</v>
          </cell>
          <cell r="J67">
            <v>90636.428316100006</v>
          </cell>
        </row>
        <row r="68">
          <cell r="C68" t="str">
            <v>Payroll Taxes- T&amp;D (Maint)</v>
          </cell>
          <cell r="D68">
            <v>6260.62</v>
          </cell>
          <cell r="E68">
            <v>30319.7</v>
          </cell>
          <cell r="I68">
            <v>6588.7390942000002</v>
          </cell>
          <cell r="J68">
            <v>35044.795477</v>
          </cell>
        </row>
        <row r="69">
          <cell r="C69" t="str">
            <v>Wages (OH)- T&amp;D (Maint)</v>
          </cell>
          <cell r="D69">
            <v>11099.92</v>
          </cell>
          <cell r="E69">
            <v>53756.01</v>
          </cell>
          <cell r="I69">
            <v>11681.666807200001</v>
          </cell>
          <cell r="J69">
            <v>62133.472484100006</v>
          </cell>
        </row>
        <row r="70">
          <cell r="C70" t="str">
            <v>Worker's Compensation- T&amp;D (Maint)</v>
          </cell>
          <cell r="D70">
            <v>407.06</v>
          </cell>
          <cell r="E70">
            <v>1971.38</v>
          </cell>
          <cell r="I70">
            <v>428.39401460000005</v>
          </cell>
          <cell r="J70">
            <v>2278.6000258000004</v>
          </cell>
        </row>
        <row r="71">
          <cell r="C71" t="str">
            <v>Fringe Benefits- Insurance- T&amp;D (Maint)</v>
          </cell>
          <cell r="D71">
            <v>8780.84</v>
          </cell>
          <cell r="E71">
            <v>42524.9</v>
          </cell>
          <cell r="I71">
            <v>8780.84</v>
          </cell>
          <cell r="J71">
            <v>46923.35</v>
          </cell>
        </row>
        <row r="72">
          <cell r="C72" t="str">
            <v>Retirement- T&amp;D (Maint)</v>
          </cell>
          <cell r="D72">
            <v>14545.56</v>
          </cell>
          <cell r="E72">
            <v>70443</v>
          </cell>
          <cell r="I72">
            <v>15307.8927996</v>
          </cell>
          <cell r="J72">
            <v>81421.007630000007</v>
          </cell>
        </row>
        <row r="76">
          <cell r="C76" t="str">
            <v>Wages</v>
          </cell>
          <cell r="D76">
            <v>85005</v>
          </cell>
          <cell r="E76">
            <v>528041</v>
          </cell>
          <cell r="I76">
            <v>128783.24205</v>
          </cell>
          <cell r="J76">
            <v>623912.12881000002</v>
          </cell>
        </row>
        <row r="77">
          <cell r="C77" t="str">
            <v>Employee Overhead</v>
          </cell>
          <cell r="D77">
            <v>0</v>
          </cell>
          <cell r="E77">
            <v>0</v>
          </cell>
          <cell r="I77">
            <v>0</v>
          </cell>
          <cell r="J77">
            <v>0</v>
          </cell>
        </row>
        <row r="78">
          <cell r="C78" t="str">
            <v xml:space="preserve">Materials &amp; Supplies </v>
          </cell>
          <cell r="D78">
            <v>454</v>
          </cell>
          <cell r="E78">
            <v>17514</v>
          </cell>
          <cell r="I78">
            <v>454</v>
          </cell>
          <cell r="J78">
            <v>17514</v>
          </cell>
        </row>
        <row r="79">
          <cell r="C79" t="str">
            <v xml:space="preserve">Contract Engineering </v>
          </cell>
          <cell r="D79">
            <v>0</v>
          </cell>
          <cell r="E79">
            <v>0</v>
          </cell>
          <cell r="I79">
            <v>0</v>
          </cell>
          <cell r="J79">
            <v>0</v>
          </cell>
        </row>
        <row r="80">
          <cell r="C80" t="str">
            <v>Contract Accounting</v>
          </cell>
          <cell r="D80">
            <v>3500</v>
          </cell>
          <cell r="E80">
            <v>3633</v>
          </cell>
          <cell r="I80">
            <v>3500</v>
          </cell>
          <cell r="J80">
            <v>3633</v>
          </cell>
        </row>
        <row r="81">
          <cell r="C81" t="str">
            <v>Contract Legal</v>
          </cell>
          <cell r="D81">
            <v>0</v>
          </cell>
          <cell r="E81">
            <v>0</v>
          </cell>
          <cell r="I81">
            <v>0</v>
          </cell>
          <cell r="J81">
            <v>0</v>
          </cell>
        </row>
        <row r="82">
          <cell r="C82" t="str">
            <v>Contract Other</v>
          </cell>
          <cell r="D82">
            <v>63808</v>
          </cell>
          <cell r="E82">
            <v>224862</v>
          </cell>
          <cell r="I82">
            <v>63808</v>
          </cell>
          <cell r="J82">
            <v>224862</v>
          </cell>
        </row>
        <row r="83">
          <cell r="C83" t="str">
            <v xml:space="preserve">Rent &amp; Utilities </v>
          </cell>
          <cell r="D83">
            <v>0</v>
          </cell>
          <cell r="E83">
            <v>28725</v>
          </cell>
          <cell r="I83">
            <v>0</v>
          </cell>
          <cell r="J83">
            <v>28725</v>
          </cell>
        </row>
        <row r="84">
          <cell r="C84" t="str">
            <v xml:space="preserve">Rent &amp; Utilities </v>
          </cell>
          <cell r="D84">
            <v>0</v>
          </cell>
          <cell r="E84">
            <v>0</v>
          </cell>
          <cell r="I84">
            <v>0</v>
          </cell>
          <cell r="J84">
            <v>0</v>
          </cell>
        </row>
        <row r="85">
          <cell r="C85" t="str">
            <v>Equipment Expenses</v>
          </cell>
          <cell r="D85">
            <v>32</v>
          </cell>
          <cell r="E85">
            <v>79805</v>
          </cell>
          <cell r="I85">
            <v>32</v>
          </cell>
          <cell r="J85">
            <v>79805</v>
          </cell>
        </row>
        <row r="86">
          <cell r="C86" t="str">
            <v>Insurance G/L</v>
          </cell>
          <cell r="D86">
            <v>3344</v>
          </cell>
          <cell r="E86">
            <v>5784</v>
          </cell>
          <cell r="I86">
            <v>3344</v>
          </cell>
          <cell r="J86">
            <v>5784</v>
          </cell>
        </row>
        <row r="87">
          <cell r="C87" t="str">
            <v>Misc Expense</v>
          </cell>
          <cell r="D87">
            <v>0</v>
          </cell>
          <cell r="E87">
            <v>5246</v>
          </cell>
          <cell r="I87">
            <v>0</v>
          </cell>
          <cell r="J87">
            <v>5246</v>
          </cell>
        </row>
        <row r="88">
          <cell r="C88" t="str">
            <v>Payroll Taxes</v>
          </cell>
          <cell r="D88">
            <v>7338.34</v>
          </cell>
          <cell r="E88">
            <v>45539.96</v>
          </cell>
          <cell r="I88">
            <v>11091.5023994</v>
          </cell>
          <cell r="J88">
            <v>53768.659303599998</v>
          </cell>
        </row>
        <row r="89">
          <cell r="C89" t="str">
            <v>Wages</v>
          </cell>
          <cell r="D89">
            <v>13010.68</v>
          </cell>
          <cell r="E89">
            <v>80741.119999999995</v>
          </cell>
          <cell r="I89">
            <v>19664.929738800001</v>
          </cell>
          <cell r="J89">
            <v>95330.392099200006</v>
          </cell>
        </row>
        <row r="90">
          <cell r="C90" t="str">
            <v>Worker's Compensation</v>
          </cell>
          <cell r="D90">
            <v>477.14</v>
          </cell>
          <cell r="E90">
            <v>2961</v>
          </cell>
          <cell r="I90">
            <v>721.16690740000001</v>
          </cell>
          <cell r="J90">
            <v>3496.0260100000005</v>
          </cell>
        </row>
        <row r="91">
          <cell r="C91" t="str">
            <v xml:space="preserve">Fringe Benefits- Insurance </v>
          </cell>
          <cell r="D91">
            <v>10292.39</v>
          </cell>
          <cell r="E91">
            <v>63872.08</v>
          </cell>
          <cell r="I91">
            <v>15016.96</v>
          </cell>
          <cell r="J91">
            <v>72065.72</v>
          </cell>
        </row>
        <row r="92">
          <cell r="C92" t="str">
            <v xml:space="preserve">Retirement </v>
          </cell>
          <cell r="D92">
            <v>17049.46</v>
          </cell>
          <cell r="E92">
            <v>105804.85</v>
          </cell>
          <cell r="I92">
            <v>25769.332198600001</v>
          </cell>
          <cell r="J92">
            <v>124922.93218850002</v>
          </cell>
        </row>
        <row r="93">
          <cell r="C93" t="str">
            <v>-</v>
          </cell>
          <cell r="D93">
            <v>0</v>
          </cell>
          <cell r="E93">
            <v>0</v>
          </cell>
          <cell r="I93">
            <v>0</v>
          </cell>
          <cell r="J93">
            <v>0</v>
          </cell>
        </row>
        <row r="97">
          <cell r="C97" t="str">
            <v>Wages</v>
          </cell>
          <cell r="D97">
            <v>95687</v>
          </cell>
          <cell r="E97">
            <v>482363</v>
          </cell>
          <cell r="I97">
            <v>136399.57567000002</v>
          </cell>
          <cell r="J97">
            <v>625592.99482999998</v>
          </cell>
        </row>
        <row r="98">
          <cell r="C98" t="str">
            <v>Employee Overhead</v>
          </cell>
          <cell r="D98">
            <v>0</v>
          </cell>
          <cell r="E98">
            <v>0</v>
          </cell>
          <cell r="I98">
            <v>0</v>
          </cell>
          <cell r="J98">
            <v>0</v>
          </cell>
        </row>
        <row r="99">
          <cell r="C99" t="str">
            <v xml:space="preserve">Materials &amp; Supplies </v>
          </cell>
          <cell r="D99">
            <v>7022</v>
          </cell>
          <cell r="E99">
            <v>31108</v>
          </cell>
          <cell r="I99">
            <v>7022</v>
          </cell>
          <cell r="J99">
            <v>31108</v>
          </cell>
        </row>
        <row r="100">
          <cell r="C100" t="str">
            <v>Contract Accounting</v>
          </cell>
          <cell r="D100">
            <v>3500</v>
          </cell>
          <cell r="E100">
            <v>3633</v>
          </cell>
          <cell r="I100">
            <v>3500</v>
          </cell>
          <cell r="J100">
            <v>3633</v>
          </cell>
        </row>
        <row r="101">
          <cell r="C101" t="str">
            <v>Contract Legal</v>
          </cell>
          <cell r="D101">
            <v>5136</v>
          </cell>
          <cell r="E101">
            <v>16922</v>
          </cell>
          <cell r="I101">
            <v>5136</v>
          </cell>
          <cell r="J101">
            <v>16922</v>
          </cell>
        </row>
        <row r="102">
          <cell r="C102" t="str">
            <v>Contract Other</v>
          </cell>
          <cell r="D102">
            <v>67075</v>
          </cell>
          <cell r="E102">
            <v>318815</v>
          </cell>
          <cell r="I102">
            <v>67075</v>
          </cell>
          <cell r="J102">
            <v>318815</v>
          </cell>
        </row>
        <row r="103">
          <cell r="C103" t="str">
            <v xml:space="preserve">Rent &amp; Utilities </v>
          </cell>
          <cell r="D103">
            <v>0</v>
          </cell>
          <cell r="E103">
            <v>4924</v>
          </cell>
          <cell r="I103">
            <v>0</v>
          </cell>
          <cell r="J103">
            <v>4924</v>
          </cell>
        </row>
        <row r="104">
          <cell r="C104" t="str">
            <v>Equipment Expenses</v>
          </cell>
          <cell r="D104">
            <v>213</v>
          </cell>
          <cell r="E104">
            <v>9716</v>
          </cell>
          <cell r="I104">
            <v>213</v>
          </cell>
          <cell r="J104">
            <v>9716</v>
          </cell>
        </row>
        <row r="105">
          <cell r="C105" t="str">
            <v>Insurance G/L</v>
          </cell>
          <cell r="D105">
            <v>3344</v>
          </cell>
          <cell r="E105">
            <v>5784</v>
          </cell>
          <cell r="I105">
            <v>3344</v>
          </cell>
          <cell r="J105">
            <v>5784</v>
          </cell>
        </row>
        <row r="106">
          <cell r="C106" t="str">
            <v xml:space="preserve">Insurance Other </v>
          </cell>
          <cell r="D106">
            <v>2545</v>
          </cell>
          <cell r="E106">
            <v>2843</v>
          </cell>
          <cell r="I106">
            <v>2545</v>
          </cell>
          <cell r="J106">
            <v>2843</v>
          </cell>
        </row>
        <row r="107">
          <cell r="C107" t="str">
            <v>Misc Expesne</v>
          </cell>
          <cell r="D107">
            <v>17777</v>
          </cell>
          <cell r="E107">
            <v>50260</v>
          </cell>
          <cell r="I107">
            <v>17777</v>
          </cell>
          <cell r="J107">
            <v>50260</v>
          </cell>
        </row>
        <row r="108">
          <cell r="C108" t="str">
            <v>Misc Expense- Commissioner Fee</v>
          </cell>
          <cell r="D108">
            <v>15000</v>
          </cell>
          <cell r="E108">
            <v>15000</v>
          </cell>
          <cell r="I108">
            <v>15000</v>
          </cell>
          <cell r="J108">
            <v>15000</v>
          </cell>
        </row>
        <row r="109">
          <cell r="C109" t="str">
            <v>Commissioner SS &amp; Medicare</v>
          </cell>
          <cell r="D109">
            <v>0</v>
          </cell>
          <cell r="E109">
            <v>2295</v>
          </cell>
          <cell r="I109">
            <v>0</v>
          </cell>
          <cell r="J109">
            <v>2295</v>
          </cell>
        </row>
        <row r="110">
          <cell r="C110" t="str">
            <v>Payroll Taxes</v>
          </cell>
          <cell r="D110">
            <v>8300.73</v>
          </cell>
          <cell r="E110">
            <v>41724.53</v>
          </cell>
          <cell r="I110">
            <v>11701.8512593</v>
          </cell>
          <cell r="J110">
            <v>53711.592617299997</v>
          </cell>
        </row>
        <row r="111">
          <cell r="C111" t="str">
            <v>Wages</v>
          </cell>
          <cell r="D111">
            <v>14716.96</v>
          </cell>
          <cell r="E111">
            <v>73976.479999999996</v>
          </cell>
          <cell r="I111">
            <v>20747.0458736</v>
          </cell>
          <cell r="J111">
            <v>95229.227316799996</v>
          </cell>
        </row>
        <row r="112">
          <cell r="C112" t="str">
            <v>Worker's Compensation</v>
          </cell>
          <cell r="D112">
            <v>539.71</v>
          </cell>
          <cell r="E112">
            <v>2712.92</v>
          </cell>
          <cell r="I112">
            <v>760.84620110000014</v>
          </cell>
          <cell r="J112">
            <v>3492.3141372000005</v>
          </cell>
        </row>
        <row r="113">
          <cell r="C113" t="str">
            <v xml:space="preserve">Fringe Benefits- Insurance </v>
          </cell>
          <cell r="D113">
            <v>11642.18</v>
          </cell>
          <cell r="E113">
            <v>58520.75</v>
          </cell>
          <cell r="I113">
            <v>15802.25</v>
          </cell>
          <cell r="J113">
            <v>72266.14</v>
          </cell>
        </row>
        <row r="114">
          <cell r="C114" t="str">
            <v xml:space="preserve">Retirement </v>
          </cell>
          <cell r="D114">
            <v>19285.419999999998</v>
          </cell>
          <cell r="E114">
            <v>96940.32</v>
          </cell>
          <cell r="I114">
            <v>27187.378862199999</v>
          </cell>
          <cell r="J114">
            <v>124790.36217120002</v>
          </cell>
        </row>
        <row r="115">
          <cell r="C115" t="str">
            <v>-</v>
          </cell>
          <cell r="D115">
            <v>0</v>
          </cell>
          <cell r="E115">
            <v>0</v>
          </cell>
          <cell r="I115">
            <v>0</v>
          </cell>
          <cell r="J115">
            <v>0</v>
          </cell>
        </row>
        <row r="119">
          <cell r="C119" t="str">
            <v>Employee Overhead- Reimbursement Acct</v>
          </cell>
          <cell r="D119">
            <v>0</v>
          </cell>
          <cell r="E119">
            <v>0</v>
          </cell>
          <cell r="I119">
            <v>0</v>
          </cell>
          <cell r="J119">
            <v>0</v>
          </cell>
        </row>
        <row r="120">
          <cell r="C120" t="str">
            <v>Purchased Power- Master Mtrs</v>
          </cell>
          <cell r="D120">
            <v>0</v>
          </cell>
          <cell r="E120">
            <v>4902</v>
          </cell>
          <cell r="I120">
            <v>0</v>
          </cell>
          <cell r="J120">
            <v>4902</v>
          </cell>
        </row>
        <row r="121">
          <cell r="C121" t="str">
            <v>Purchased Power- Property</v>
          </cell>
          <cell r="D121">
            <v>0</v>
          </cell>
          <cell r="E121">
            <v>2376</v>
          </cell>
          <cell r="I121">
            <v>0</v>
          </cell>
          <cell r="J121">
            <v>2376</v>
          </cell>
        </row>
        <row r="122">
          <cell r="C122" t="str">
            <v xml:space="preserve">Reimbursement- Trucks &amp; Equipment </v>
          </cell>
          <cell r="D122">
            <v>0</v>
          </cell>
          <cell r="E122">
            <v>0</v>
          </cell>
          <cell r="I122">
            <v>0</v>
          </cell>
          <cell r="J122">
            <v>0</v>
          </cell>
        </row>
        <row r="123">
          <cell r="C123" t="str">
            <v xml:space="preserve">Expense - Trucks &amp; Equipment </v>
          </cell>
          <cell r="D123">
            <v>0</v>
          </cell>
          <cell r="E123">
            <v>0</v>
          </cell>
          <cell r="I123">
            <v>0</v>
          </cell>
          <cell r="J123">
            <v>0</v>
          </cell>
        </row>
        <row r="124">
          <cell r="C124" t="str">
            <v>PSC Assessment</v>
          </cell>
          <cell r="D124">
            <v>8006</v>
          </cell>
          <cell r="E124">
            <v>20980</v>
          </cell>
          <cell r="I124">
            <v>8006</v>
          </cell>
          <cell r="J124">
            <v>20980</v>
          </cell>
        </row>
        <row r="125">
          <cell r="C125" t="str">
            <v>Bad Debt Expense</v>
          </cell>
          <cell r="D125">
            <v>4466</v>
          </cell>
          <cell r="E125">
            <v>20960</v>
          </cell>
          <cell r="I125">
            <v>4466</v>
          </cell>
          <cell r="J125">
            <v>20960</v>
          </cell>
        </row>
        <row r="126">
          <cell r="C126" t="str">
            <v>Bad Debt Expense</v>
          </cell>
          <cell r="D126">
            <v>0</v>
          </cell>
          <cell r="E126">
            <v>0</v>
          </cell>
          <cell r="I126">
            <v>0</v>
          </cell>
          <cell r="J126">
            <v>0</v>
          </cell>
        </row>
        <row r="127">
          <cell r="C127" t="str">
            <v>Misc Expense- Cash Over/Short (CIS)</v>
          </cell>
          <cell r="D127">
            <v>0</v>
          </cell>
          <cell r="E127">
            <v>-3</v>
          </cell>
          <cell r="I127">
            <v>0</v>
          </cell>
          <cell r="J127">
            <v>-3</v>
          </cell>
        </row>
        <row r="128">
          <cell r="C128" t="str">
            <v>Misc Expense- Customer FB (CIS)</v>
          </cell>
          <cell r="D128">
            <v>0</v>
          </cell>
          <cell r="E128">
            <v>0</v>
          </cell>
          <cell r="I128">
            <v>0</v>
          </cell>
          <cell r="J128">
            <v>0</v>
          </cell>
        </row>
        <row r="129">
          <cell r="C129" t="str">
            <v>Non-Utility Income</v>
          </cell>
          <cell r="D129">
            <v>-4</v>
          </cell>
          <cell r="E129">
            <v>0</v>
          </cell>
          <cell r="I129">
            <v>-4</v>
          </cell>
          <cell r="J129">
            <v>0</v>
          </cell>
        </row>
        <row r="130">
          <cell r="C130" t="str">
            <v>Non-Utility Income- Miscellaneous</v>
          </cell>
          <cell r="D130">
            <v>0</v>
          </cell>
          <cell r="E130">
            <v>-11001</v>
          </cell>
          <cell r="I130">
            <v>0</v>
          </cell>
          <cell r="J130">
            <v>-11001</v>
          </cell>
        </row>
        <row r="131">
          <cell r="C131" t="str">
            <v>Unrealized (Gain)/Loss on Investments</v>
          </cell>
          <cell r="D131">
            <v>-39712</v>
          </cell>
          <cell r="E131">
            <v>3996</v>
          </cell>
          <cell r="I131">
            <v>-39712</v>
          </cell>
          <cell r="J131">
            <v>3996</v>
          </cell>
        </row>
        <row r="132">
          <cell r="C132" t="str">
            <v>Rate Case Expenses</v>
          </cell>
          <cell r="D132">
            <v>0</v>
          </cell>
          <cell r="E132">
            <v>0</v>
          </cell>
          <cell r="I132">
            <v>43723.6</v>
          </cell>
          <cell r="J132">
            <v>64495.4</v>
          </cell>
          <cell r="K132" t="str">
            <v>Legal fee, HDR fees, Publication Costs (Distributed over 3 years)</v>
          </cell>
        </row>
        <row r="133">
          <cell r="C133" t="str">
            <v>-</v>
          </cell>
          <cell r="D133">
            <v>0</v>
          </cell>
          <cell r="E133">
            <v>0</v>
          </cell>
          <cell r="I133">
            <v>0</v>
          </cell>
          <cell r="J133">
            <v>0</v>
          </cell>
        </row>
        <row r="134">
          <cell r="C134" t="str">
            <v>-</v>
          </cell>
          <cell r="D134">
            <v>0</v>
          </cell>
          <cell r="E134">
            <v>0</v>
          </cell>
          <cell r="I134">
            <v>0</v>
          </cell>
          <cell r="J134">
            <v>0</v>
          </cell>
        </row>
        <row r="135">
          <cell r="C135" t="str">
            <v>-</v>
          </cell>
          <cell r="D135">
            <v>0</v>
          </cell>
          <cell r="E135">
            <v>0</v>
          </cell>
          <cell r="I135">
            <v>0</v>
          </cell>
          <cell r="J135">
            <v>0</v>
          </cell>
        </row>
        <row r="136">
          <cell r="C136" t="str">
            <v>-</v>
          </cell>
          <cell r="D136">
            <v>0</v>
          </cell>
          <cell r="E136">
            <v>0</v>
          </cell>
          <cell r="I136">
            <v>0</v>
          </cell>
          <cell r="J136">
            <v>0</v>
          </cell>
        </row>
        <row r="137">
          <cell r="C137" t="str">
            <v>-</v>
          </cell>
          <cell r="D137">
            <v>0</v>
          </cell>
          <cell r="E137">
            <v>0</v>
          </cell>
          <cell r="I137">
            <v>0</v>
          </cell>
          <cell r="J137">
            <v>0</v>
          </cell>
        </row>
        <row r="141">
          <cell r="C141" t="str">
            <v>Improvement (Land)</v>
          </cell>
          <cell r="D141">
            <v>1764</v>
          </cell>
          <cell r="E141">
            <v>0</v>
          </cell>
          <cell r="I141">
            <v>1764</v>
          </cell>
          <cell r="J141">
            <v>0</v>
          </cell>
        </row>
        <row r="142">
          <cell r="C142" t="str">
            <v>Structures</v>
          </cell>
          <cell r="D142">
            <v>466097</v>
          </cell>
          <cell r="E142">
            <v>205951</v>
          </cell>
          <cell r="I142">
            <v>473530.33</v>
          </cell>
          <cell r="J142">
            <v>205951</v>
          </cell>
        </row>
        <row r="143">
          <cell r="C143" t="str">
            <v>Office Building</v>
          </cell>
          <cell r="D143">
            <v>86689</v>
          </cell>
          <cell r="E143">
            <v>0</v>
          </cell>
          <cell r="I143">
            <v>86689</v>
          </cell>
          <cell r="J143">
            <v>0</v>
          </cell>
        </row>
        <row r="144">
          <cell r="C144" t="str">
            <v>Equip (Elec Plumbing)</v>
          </cell>
          <cell r="D144">
            <v>86600</v>
          </cell>
          <cell r="E144">
            <v>133962</v>
          </cell>
          <cell r="I144">
            <v>86600</v>
          </cell>
          <cell r="J144">
            <v>133962</v>
          </cell>
        </row>
        <row r="145">
          <cell r="C145" t="str">
            <v>Standpipes</v>
          </cell>
          <cell r="D145">
            <v>0</v>
          </cell>
          <cell r="E145">
            <v>420299</v>
          </cell>
          <cell r="I145">
            <v>0</v>
          </cell>
          <cell r="J145">
            <v>420299</v>
          </cell>
        </row>
        <row r="146">
          <cell r="C146" t="str">
            <v>Mains (T&amp;D)</v>
          </cell>
          <cell r="D146">
            <v>931730</v>
          </cell>
          <cell r="E146">
            <v>1112300</v>
          </cell>
          <cell r="I146">
            <v>986945.77</v>
          </cell>
          <cell r="J146">
            <v>1224338.8800000001</v>
          </cell>
        </row>
        <row r="147">
          <cell r="C147" t="str">
            <v>SCADA</v>
          </cell>
          <cell r="D147">
            <v>12441</v>
          </cell>
          <cell r="E147">
            <v>62241</v>
          </cell>
          <cell r="I147">
            <v>135055.47</v>
          </cell>
          <cell r="J147">
            <v>250510.07999999999</v>
          </cell>
        </row>
        <row r="148">
          <cell r="C148" t="str">
            <v>Meters  (Services)</v>
          </cell>
          <cell r="D148">
            <v>241093</v>
          </cell>
          <cell r="E148">
            <v>337967</v>
          </cell>
          <cell r="I148">
            <v>278938.39</v>
          </cell>
          <cell r="J148">
            <v>337967</v>
          </cell>
        </row>
        <row r="149">
          <cell r="C149" t="str">
            <v>Meters</v>
          </cell>
          <cell r="D149">
            <v>67295</v>
          </cell>
          <cell r="E149">
            <v>973066</v>
          </cell>
          <cell r="I149">
            <v>67295</v>
          </cell>
          <cell r="J149">
            <v>973066</v>
          </cell>
        </row>
        <row r="150">
          <cell r="C150" t="str">
            <v>Meters (Installations)</v>
          </cell>
          <cell r="D150">
            <v>1661</v>
          </cell>
          <cell r="E150">
            <v>179775</v>
          </cell>
          <cell r="I150">
            <v>1661</v>
          </cell>
          <cell r="J150">
            <v>342155</v>
          </cell>
        </row>
        <row r="151">
          <cell r="C151" t="str">
            <v>Hydrants</v>
          </cell>
          <cell r="D151">
            <v>0</v>
          </cell>
          <cell r="E151">
            <v>114119</v>
          </cell>
          <cell r="I151">
            <v>0</v>
          </cell>
          <cell r="J151">
            <v>127100.94</v>
          </cell>
        </row>
        <row r="152">
          <cell r="C152" t="str">
            <v>Equipment (Plumbing)</v>
          </cell>
          <cell r="D152">
            <v>0</v>
          </cell>
          <cell r="E152">
            <v>12</v>
          </cell>
          <cell r="I152">
            <v>0</v>
          </cell>
          <cell r="J152">
            <v>12</v>
          </cell>
        </row>
        <row r="153">
          <cell r="C153" t="str">
            <v>Software</v>
          </cell>
          <cell r="D153">
            <v>14772</v>
          </cell>
          <cell r="E153">
            <v>123372</v>
          </cell>
          <cell r="I153">
            <v>37002.339999999997</v>
          </cell>
          <cell r="J153">
            <v>196823.81</v>
          </cell>
        </row>
        <row r="154">
          <cell r="C154" t="str">
            <v>Hardware</v>
          </cell>
          <cell r="D154">
            <v>3278</v>
          </cell>
          <cell r="E154">
            <v>68319</v>
          </cell>
          <cell r="I154">
            <v>3278</v>
          </cell>
          <cell r="J154">
            <v>68319</v>
          </cell>
        </row>
        <row r="155">
          <cell r="C155" t="str">
            <v>Datamatic</v>
          </cell>
          <cell r="D155">
            <v>0</v>
          </cell>
          <cell r="E155">
            <v>0</v>
          </cell>
          <cell r="I155">
            <v>0</v>
          </cell>
          <cell r="J155">
            <v>0</v>
          </cell>
        </row>
        <row r="156">
          <cell r="C156" t="str">
            <v xml:space="preserve">Furniture &amp; Equipment </v>
          </cell>
          <cell r="D156">
            <v>1092</v>
          </cell>
          <cell r="E156">
            <v>606</v>
          </cell>
          <cell r="I156">
            <v>1092</v>
          </cell>
          <cell r="J156">
            <v>606</v>
          </cell>
        </row>
        <row r="157">
          <cell r="C157" t="str">
            <v>Trucks &amp; Equipment</v>
          </cell>
          <cell r="D157">
            <v>0</v>
          </cell>
          <cell r="E157">
            <v>0</v>
          </cell>
          <cell r="I157">
            <v>0</v>
          </cell>
          <cell r="J157">
            <v>0</v>
          </cell>
        </row>
        <row r="158">
          <cell r="C158" t="str">
            <v>Equipment (Tools)</v>
          </cell>
          <cell r="D158">
            <v>950</v>
          </cell>
          <cell r="E158">
            <v>0</v>
          </cell>
          <cell r="I158">
            <v>950</v>
          </cell>
          <cell r="J158">
            <v>0</v>
          </cell>
        </row>
        <row r="159">
          <cell r="C159" t="str">
            <v>Equip (Communication)</v>
          </cell>
          <cell r="D159">
            <v>2814</v>
          </cell>
          <cell r="E159">
            <v>21250</v>
          </cell>
          <cell r="I159">
            <v>2814</v>
          </cell>
          <cell r="J159">
            <v>21250</v>
          </cell>
        </row>
        <row r="160">
          <cell r="C160" t="str">
            <v>Depreciation Expense (Old)</v>
          </cell>
          <cell r="D160">
            <v>0</v>
          </cell>
          <cell r="E160">
            <v>0</v>
          </cell>
          <cell r="I160">
            <v>0</v>
          </cell>
          <cell r="J160">
            <v>0</v>
          </cell>
        </row>
        <row r="161">
          <cell r="C161" t="str">
            <v>Structures</v>
          </cell>
          <cell r="D161">
            <v>0</v>
          </cell>
          <cell r="E161">
            <v>0</v>
          </cell>
          <cell r="I161">
            <v>0</v>
          </cell>
          <cell r="J161">
            <v>123171.44</v>
          </cell>
        </row>
        <row r="162">
          <cell r="C162" t="str">
            <v>505 Hwy 31 W (Block Bldg)</v>
          </cell>
          <cell r="D162">
            <v>0</v>
          </cell>
          <cell r="E162">
            <v>5988</v>
          </cell>
          <cell r="I162">
            <v>0</v>
          </cell>
          <cell r="J162">
            <v>5988</v>
          </cell>
        </row>
        <row r="163">
          <cell r="C163" t="str">
            <v>505 Hwy 31 W (Rental Bldg)</v>
          </cell>
          <cell r="D163">
            <v>0</v>
          </cell>
          <cell r="E163">
            <v>4116</v>
          </cell>
          <cell r="I163">
            <v>0</v>
          </cell>
          <cell r="J163">
            <v>4116</v>
          </cell>
        </row>
        <row r="164">
          <cell r="C164" t="str">
            <v xml:space="preserve">Equipment </v>
          </cell>
          <cell r="D164">
            <v>0</v>
          </cell>
          <cell r="E164">
            <v>0</v>
          </cell>
          <cell r="I164">
            <v>0</v>
          </cell>
          <cell r="J164">
            <v>0</v>
          </cell>
        </row>
        <row r="165">
          <cell r="C165" t="str">
            <v>Unidentified Assets</v>
          </cell>
          <cell r="D165">
            <v>0</v>
          </cell>
          <cell r="E165">
            <v>0</v>
          </cell>
          <cell r="I165">
            <v>0</v>
          </cell>
          <cell r="J165">
            <v>0</v>
          </cell>
        </row>
        <row r="166">
          <cell r="C166" t="str">
            <v>Equipment (T&amp;D)</v>
          </cell>
          <cell r="D166">
            <v>0</v>
          </cell>
          <cell r="E166">
            <v>6</v>
          </cell>
          <cell r="I166">
            <v>0</v>
          </cell>
          <cell r="J166">
            <v>6</v>
          </cell>
        </row>
        <row r="167">
          <cell r="C167" t="str">
            <v>-</v>
          </cell>
          <cell r="D167">
            <v>0</v>
          </cell>
          <cell r="E167">
            <v>0</v>
          </cell>
          <cell r="I167">
            <v>0</v>
          </cell>
          <cell r="J167">
            <v>0</v>
          </cell>
        </row>
        <row r="168">
          <cell r="C168" t="str">
            <v>-</v>
          </cell>
          <cell r="D168">
            <v>0</v>
          </cell>
          <cell r="E168">
            <v>0</v>
          </cell>
          <cell r="I168">
            <v>0</v>
          </cell>
          <cell r="J168">
            <v>0</v>
          </cell>
        </row>
        <row r="169">
          <cell r="C169" t="str">
            <v>-</v>
          </cell>
          <cell r="D169">
            <v>0</v>
          </cell>
          <cell r="E169">
            <v>0</v>
          </cell>
          <cell r="I169">
            <v>0</v>
          </cell>
          <cell r="J169">
            <v>0</v>
          </cell>
        </row>
        <row r="170">
          <cell r="C170" t="str">
            <v>-</v>
          </cell>
          <cell r="D170">
            <v>0</v>
          </cell>
          <cell r="E170">
            <v>0</v>
          </cell>
          <cell r="I170">
            <v>0</v>
          </cell>
          <cell r="J170">
            <v>0</v>
          </cell>
        </row>
        <row r="171">
          <cell r="C171" t="str">
            <v>-</v>
          </cell>
          <cell r="D171">
            <v>0</v>
          </cell>
          <cell r="E171">
            <v>0</v>
          </cell>
          <cell r="I171">
            <v>0</v>
          </cell>
          <cell r="J171">
            <v>0</v>
          </cell>
        </row>
        <row r="172">
          <cell r="C172" t="str">
            <v>-</v>
          </cell>
          <cell r="D172">
            <v>0</v>
          </cell>
          <cell r="E172">
            <v>0</v>
          </cell>
          <cell r="I172">
            <v>0</v>
          </cell>
          <cell r="J172">
            <v>0</v>
          </cell>
        </row>
        <row r="176">
          <cell r="C176" t="str">
            <v>Series 1970, USDA</v>
          </cell>
          <cell r="D176">
            <v>0</v>
          </cell>
          <cell r="E176">
            <v>0</v>
          </cell>
          <cell r="I176">
            <v>0</v>
          </cell>
          <cell r="J176">
            <v>0</v>
          </cell>
        </row>
        <row r="177">
          <cell r="C177" t="str">
            <v>Series 1993, USDA</v>
          </cell>
          <cell r="D177">
            <v>0</v>
          </cell>
          <cell r="E177">
            <v>0</v>
          </cell>
          <cell r="I177">
            <v>0</v>
          </cell>
          <cell r="J177">
            <v>0</v>
          </cell>
        </row>
        <row r="178">
          <cell r="C178" t="str">
            <v>Series 1995, USDA</v>
          </cell>
          <cell r="D178">
            <v>0</v>
          </cell>
          <cell r="E178">
            <v>0</v>
          </cell>
          <cell r="I178">
            <v>0</v>
          </cell>
          <cell r="J178">
            <v>0</v>
          </cell>
        </row>
        <row r="179">
          <cell r="C179" t="str">
            <v>KIA Russellville Rd</v>
          </cell>
          <cell r="D179">
            <v>0</v>
          </cell>
          <cell r="E179">
            <v>0</v>
          </cell>
          <cell r="I179">
            <v>0</v>
          </cell>
          <cell r="J179">
            <v>0</v>
          </cell>
        </row>
        <row r="180">
          <cell r="C180" t="str">
            <v>KIA Barren River Rd (A98-02)</v>
          </cell>
          <cell r="D180">
            <v>0</v>
          </cell>
          <cell r="E180">
            <v>0</v>
          </cell>
          <cell r="I180">
            <v>0</v>
          </cell>
          <cell r="J180">
            <v>0</v>
          </cell>
        </row>
        <row r="181">
          <cell r="C181" t="str">
            <v>2019 USDA</v>
          </cell>
          <cell r="D181">
            <v>14819</v>
          </cell>
          <cell r="E181">
            <v>0</v>
          </cell>
          <cell r="I181">
            <v>17782.8</v>
          </cell>
          <cell r="J181">
            <v>0</v>
          </cell>
        </row>
        <row r="182">
          <cell r="C182" t="str">
            <v>Series 2003C, KRWFC</v>
          </cell>
          <cell r="D182">
            <v>0</v>
          </cell>
          <cell r="E182">
            <v>0</v>
          </cell>
          <cell r="I182">
            <v>0</v>
          </cell>
          <cell r="J182">
            <v>0</v>
          </cell>
        </row>
        <row r="183">
          <cell r="C183" t="str">
            <v>KIA, Buchanon Park (C11-02)</v>
          </cell>
          <cell r="D183">
            <v>14144</v>
          </cell>
          <cell r="E183">
            <v>0</v>
          </cell>
          <cell r="I183">
            <v>14071.199999999999</v>
          </cell>
          <cell r="J183">
            <v>0</v>
          </cell>
        </row>
        <row r="184">
          <cell r="C184" t="str">
            <v>Series 2013B, KRWFC</v>
          </cell>
          <cell r="D184">
            <v>1292</v>
          </cell>
          <cell r="E184">
            <v>0</v>
          </cell>
          <cell r="I184">
            <v>983.59999999999991</v>
          </cell>
          <cell r="J184">
            <v>0</v>
          </cell>
        </row>
        <row r="185">
          <cell r="C185" t="str">
            <v>KIA, Alvanton Area Improvement</v>
          </cell>
          <cell r="D185">
            <v>0</v>
          </cell>
          <cell r="E185">
            <v>0</v>
          </cell>
          <cell r="I185">
            <v>0</v>
          </cell>
          <cell r="J185">
            <v>0</v>
          </cell>
        </row>
        <row r="186">
          <cell r="C186" t="str">
            <v>KIA, Plum Springs Rehab</v>
          </cell>
          <cell r="D186">
            <v>36109</v>
          </cell>
          <cell r="E186">
            <v>0</v>
          </cell>
          <cell r="I186">
            <v>39318.800000000003</v>
          </cell>
          <cell r="J186">
            <v>0</v>
          </cell>
        </row>
        <row r="187">
          <cell r="C187" t="str">
            <v>Series 2021A, KRWFC</v>
          </cell>
          <cell r="D187">
            <v>35129</v>
          </cell>
          <cell r="E187">
            <v>0</v>
          </cell>
          <cell r="I187">
            <v>33952.799999999996</v>
          </cell>
          <cell r="J187">
            <v>0</v>
          </cell>
        </row>
        <row r="188">
          <cell r="C188" t="str">
            <v>Series 2022D, KRWFC</v>
          </cell>
          <cell r="D188">
            <v>277409</v>
          </cell>
          <cell r="E188">
            <v>0</v>
          </cell>
          <cell r="I188">
            <v>346694.39999999997</v>
          </cell>
          <cell r="J188">
            <v>0</v>
          </cell>
        </row>
        <row r="189">
          <cell r="C189" t="str">
            <v>Consumer Deposits</v>
          </cell>
          <cell r="D189">
            <v>4926</v>
          </cell>
          <cell r="E189">
            <v>0</v>
          </cell>
          <cell r="I189">
            <v>5911.2</v>
          </cell>
          <cell r="J189">
            <v>0</v>
          </cell>
        </row>
        <row r="190">
          <cell r="C190" t="str">
            <v>Other</v>
          </cell>
          <cell r="D190">
            <v>0</v>
          </cell>
          <cell r="E190">
            <v>0</v>
          </cell>
          <cell r="I190">
            <v>0</v>
          </cell>
          <cell r="J190">
            <v>0</v>
          </cell>
        </row>
        <row r="191">
          <cell r="C191" t="str">
            <v>Amortized Debt Expense</v>
          </cell>
          <cell r="D191">
            <v>0</v>
          </cell>
          <cell r="E191">
            <v>0</v>
          </cell>
          <cell r="I191">
            <v>0</v>
          </cell>
          <cell r="J191">
            <v>0</v>
          </cell>
        </row>
        <row r="192">
          <cell r="C192" t="str">
            <v>Am Prem/Disc-KRWFC, Series 2021A</v>
          </cell>
          <cell r="D192">
            <v>-12259</v>
          </cell>
          <cell r="E192">
            <v>0</v>
          </cell>
          <cell r="I192">
            <v>-12259</v>
          </cell>
          <cell r="J192">
            <v>0</v>
          </cell>
        </row>
        <row r="193">
          <cell r="C193" t="str">
            <v>Series 2004A, Refunding</v>
          </cell>
          <cell r="D193">
            <v>0</v>
          </cell>
          <cell r="E193">
            <v>0</v>
          </cell>
          <cell r="I193">
            <v>0</v>
          </cell>
          <cell r="J193">
            <v>0</v>
          </cell>
        </row>
        <row r="194">
          <cell r="C194" t="str">
            <v>KIA, So KY Industrial/Hwy 31W</v>
          </cell>
          <cell r="D194">
            <v>0</v>
          </cell>
          <cell r="E194">
            <v>0</v>
          </cell>
          <cell r="I194">
            <v>0</v>
          </cell>
          <cell r="J194">
            <v>0</v>
          </cell>
        </row>
        <row r="195">
          <cell r="C195" t="str">
            <v>KIA, So KY Industrial Park</v>
          </cell>
          <cell r="D195">
            <v>0</v>
          </cell>
          <cell r="E195">
            <v>0</v>
          </cell>
          <cell r="I195">
            <v>0</v>
          </cell>
          <cell r="J195">
            <v>0</v>
          </cell>
        </row>
        <row r="196">
          <cell r="C196" t="str">
            <v xml:space="preserve">Series 2005A, USDA </v>
          </cell>
          <cell r="D196">
            <v>0</v>
          </cell>
          <cell r="E196">
            <v>39540</v>
          </cell>
          <cell r="I196">
            <v>0</v>
          </cell>
          <cell r="J196">
            <v>45220</v>
          </cell>
        </row>
        <row r="197">
          <cell r="C197" t="str">
            <v>-</v>
          </cell>
          <cell r="D197">
            <v>0</v>
          </cell>
          <cell r="E197">
            <v>0</v>
          </cell>
          <cell r="I197">
            <v>0</v>
          </cell>
          <cell r="J197">
            <v>0</v>
          </cell>
        </row>
        <row r="198">
          <cell r="C198" t="str">
            <v>Series 1998, Refunding</v>
          </cell>
          <cell r="D198">
            <v>0</v>
          </cell>
          <cell r="E198">
            <v>0</v>
          </cell>
          <cell r="I198">
            <v>0</v>
          </cell>
          <cell r="J198">
            <v>0</v>
          </cell>
        </row>
        <row r="199">
          <cell r="C199" t="str">
            <v>Series 1998B, Revenue</v>
          </cell>
          <cell r="D199">
            <v>0</v>
          </cell>
          <cell r="E199">
            <v>0</v>
          </cell>
          <cell r="I199">
            <v>0</v>
          </cell>
          <cell r="J199">
            <v>0</v>
          </cell>
        </row>
        <row r="200">
          <cell r="C200" t="str">
            <v>Series 1999 A, USDA</v>
          </cell>
          <cell r="D200">
            <v>0</v>
          </cell>
          <cell r="E200">
            <v>0</v>
          </cell>
          <cell r="I200">
            <v>0</v>
          </cell>
          <cell r="J200">
            <v>0</v>
          </cell>
        </row>
        <row r="201">
          <cell r="C201" t="str">
            <v>KRWFC 2003, KRWFC</v>
          </cell>
          <cell r="D201">
            <v>0</v>
          </cell>
          <cell r="E201">
            <v>0</v>
          </cell>
          <cell r="I201">
            <v>0</v>
          </cell>
          <cell r="J201">
            <v>0</v>
          </cell>
        </row>
        <row r="202">
          <cell r="C202" t="str">
            <v>Series 2003C, KRWFC</v>
          </cell>
          <cell r="D202">
            <v>0</v>
          </cell>
          <cell r="E202">
            <v>0</v>
          </cell>
          <cell r="I202">
            <v>0</v>
          </cell>
          <cell r="J202">
            <v>0</v>
          </cell>
        </row>
        <row r="203">
          <cell r="C203" t="str">
            <v>Series 2013B, KRWFC</v>
          </cell>
          <cell r="D203">
            <v>0</v>
          </cell>
          <cell r="E203">
            <v>18892</v>
          </cell>
          <cell r="I203">
            <v>0</v>
          </cell>
          <cell r="J203">
            <v>13959.6</v>
          </cell>
        </row>
        <row r="204">
          <cell r="C204" t="str">
            <v>Series 2016B, KRWFC</v>
          </cell>
          <cell r="D204">
            <v>0</v>
          </cell>
          <cell r="E204">
            <v>37922</v>
          </cell>
          <cell r="I204">
            <v>0</v>
          </cell>
          <cell r="J204">
            <v>37067.599999999999</v>
          </cell>
        </row>
        <row r="205">
          <cell r="C205" t="str">
            <v>KIA Morgantown Rd Improvements</v>
          </cell>
          <cell r="D205">
            <v>0</v>
          </cell>
          <cell r="E205">
            <v>54693</v>
          </cell>
          <cell r="I205">
            <v>0</v>
          </cell>
          <cell r="J205">
            <v>65631.599999999991</v>
          </cell>
        </row>
        <row r="206">
          <cell r="C206" t="str">
            <v>Series 2021A, KRWFC</v>
          </cell>
          <cell r="D206">
            <v>0</v>
          </cell>
          <cell r="E206">
            <v>43655</v>
          </cell>
          <cell r="I206">
            <v>0</v>
          </cell>
          <cell r="J206">
            <v>39784.799999999996</v>
          </cell>
        </row>
        <row r="207">
          <cell r="C207" t="str">
            <v>Series 2022D, KRWFC</v>
          </cell>
          <cell r="D207">
            <v>0</v>
          </cell>
          <cell r="E207">
            <v>104697</v>
          </cell>
          <cell r="I207">
            <v>0</v>
          </cell>
          <cell r="J207">
            <v>130845.59999999999</v>
          </cell>
        </row>
        <row r="208">
          <cell r="C208" t="str">
            <v>Consumer Deposits</v>
          </cell>
          <cell r="D208">
            <v>0</v>
          </cell>
          <cell r="E208">
            <v>15005</v>
          </cell>
          <cell r="I208">
            <v>0</v>
          </cell>
          <cell r="J208">
            <v>15005</v>
          </cell>
        </row>
        <row r="209">
          <cell r="C209" t="str">
            <v>Other</v>
          </cell>
          <cell r="D209">
            <v>0</v>
          </cell>
          <cell r="E209">
            <v>0</v>
          </cell>
          <cell r="I209">
            <v>0</v>
          </cell>
          <cell r="J209">
            <v>0</v>
          </cell>
        </row>
        <row r="210">
          <cell r="C210" t="str">
            <v>Amortized Prem/Disc Exp- Rev Bonds, Series 2004A</v>
          </cell>
          <cell r="D210">
            <v>0</v>
          </cell>
          <cell r="E210">
            <v>0</v>
          </cell>
          <cell r="I210">
            <v>0</v>
          </cell>
          <cell r="J210">
            <v>0</v>
          </cell>
        </row>
        <row r="211">
          <cell r="C211" t="str">
            <v>Amortized Prem/Disc Exp- KRWFC, Series 2006A</v>
          </cell>
          <cell r="D211">
            <v>0</v>
          </cell>
          <cell r="E211">
            <v>0</v>
          </cell>
          <cell r="I211">
            <v>0</v>
          </cell>
          <cell r="J211">
            <v>0</v>
          </cell>
        </row>
        <row r="212">
          <cell r="C212" t="str">
            <v>Amortized Prem/Disc Exp- KRWFC, Series 2012B</v>
          </cell>
          <cell r="D212">
            <v>0</v>
          </cell>
          <cell r="E212">
            <v>0</v>
          </cell>
          <cell r="I212">
            <v>0</v>
          </cell>
          <cell r="J212">
            <v>0</v>
          </cell>
        </row>
        <row r="213">
          <cell r="C213" t="str">
            <v>Amortized Prem/Disc Exp- KRWFC, Series 2013B</v>
          </cell>
          <cell r="D213">
            <v>0</v>
          </cell>
          <cell r="E213">
            <v>844</v>
          </cell>
          <cell r="I213">
            <v>0</v>
          </cell>
          <cell r="J213">
            <v>1012.8</v>
          </cell>
        </row>
        <row r="214">
          <cell r="C214" t="str">
            <v>Amortized Prem/Disc Exp- KRWFC, Series 2016B</v>
          </cell>
          <cell r="D214">
            <v>0</v>
          </cell>
          <cell r="E214">
            <v>-1973</v>
          </cell>
          <cell r="I214">
            <v>0</v>
          </cell>
          <cell r="J214">
            <v>-1973</v>
          </cell>
        </row>
        <row r="215">
          <cell r="C215" t="str">
            <v>Amortized Prem/Disc Exp- KRWFC, Series 2021A</v>
          </cell>
          <cell r="D215">
            <v>0</v>
          </cell>
          <cell r="E215">
            <v>-11561</v>
          </cell>
          <cell r="I215">
            <v>0</v>
          </cell>
          <cell r="J215">
            <v>-11561</v>
          </cell>
        </row>
        <row r="216">
          <cell r="C216" t="str">
            <v>-</v>
          </cell>
          <cell r="D216">
            <v>0</v>
          </cell>
          <cell r="E216">
            <v>0</v>
          </cell>
          <cell r="I216">
            <v>0</v>
          </cell>
          <cell r="J216">
            <v>0</v>
          </cell>
        </row>
        <row r="217">
          <cell r="C217" t="str">
            <v>-</v>
          </cell>
          <cell r="D217">
            <v>0</v>
          </cell>
          <cell r="E217">
            <v>0</v>
          </cell>
          <cell r="I217">
            <v>0</v>
          </cell>
          <cell r="J217">
            <v>0</v>
          </cell>
        </row>
        <row r="218">
          <cell r="C218" t="str">
            <v>-</v>
          </cell>
          <cell r="D218">
            <v>0</v>
          </cell>
          <cell r="E218">
            <v>0</v>
          </cell>
          <cell r="I218">
            <v>0</v>
          </cell>
          <cell r="J218">
            <v>0</v>
          </cell>
        </row>
        <row r="219">
          <cell r="C219" t="str">
            <v>-</v>
          </cell>
          <cell r="D219">
            <v>0</v>
          </cell>
          <cell r="E219">
            <v>0</v>
          </cell>
          <cell r="I219">
            <v>0</v>
          </cell>
          <cell r="J219">
            <v>0</v>
          </cell>
        </row>
        <row r="220">
          <cell r="C220" t="str">
            <v>-</v>
          </cell>
          <cell r="D220">
            <v>0</v>
          </cell>
          <cell r="E220">
            <v>0</v>
          </cell>
          <cell r="I220">
            <v>0</v>
          </cell>
          <cell r="J220">
            <v>0</v>
          </cell>
        </row>
        <row r="221">
          <cell r="C221" t="str">
            <v>-</v>
          </cell>
          <cell r="D221">
            <v>0</v>
          </cell>
          <cell r="E221">
            <v>0</v>
          </cell>
          <cell r="I221">
            <v>0</v>
          </cell>
          <cell r="J221">
            <v>0</v>
          </cell>
        </row>
        <row r="225">
          <cell r="C225" t="str">
            <v>Amortized Debt Expense</v>
          </cell>
          <cell r="D225">
            <v>0</v>
          </cell>
          <cell r="E225">
            <v>0</v>
          </cell>
          <cell r="I225">
            <v>0</v>
          </cell>
          <cell r="J225">
            <v>0</v>
          </cell>
        </row>
        <row r="226">
          <cell r="C226" t="str">
            <v>Amortized Debt Gain/Loss KRWFC Series 2016B</v>
          </cell>
          <cell r="D226">
            <v>0</v>
          </cell>
          <cell r="E226">
            <v>1192</v>
          </cell>
          <cell r="I226">
            <v>0</v>
          </cell>
          <cell r="J226">
            <v>1192</v>
          </cell>
        </row>
        <row r="227">
          <cell r="C227" t="str">
            <v>Amortized Debt Gain/Loss KRWFC Series 2021A</v>
          </cell>
          <cell r="D227">
            <v>0</v>
          </cell>
          <cell r="E227">
            <v>2055</v>
          </cell>
          <cell r="I227">
            <v>0</v>
          </cell>
          <cell r="J227">
            <v>2055</v>
          </cell>
        </row>
        <row r="228">
          <cell r="C228" t="str">
            <v>Amortized Debt Expense</v>
          </cell>
          <cell r="D228">
            <v>-7049</v>
          </cell>
          <cell r="E228">
            <v>0</v>
          </cell>
          <cell r="I228">
            <v>-7049</v>
          </cell>
          <cell r="J228">
            <v>0</v>
          </cell>
        </row>
        <row r="229">
          <cell r="C229" t="str">
            <v>Debt Issuance Expense</v>
          </cell>
          <cell r="D229">
            <v>0</v>
          </cell>
          <cell r="E229">
            <v>-2384</v>
          </cell>
          <cell r="I229">
            <v>0</v>
          </cell>
          <cell r="J229">
            <v>-2384</v>
          </cell>
        </row>
        <row r="230">
          <cell r="C230" t="str">
            <v>OPEB Expense</v>
          </cell>
          <cell r="D230">
            <v>8618</v>
          </cell>
          <cell r="E230">
            <v>29230</v>
          </cell>
          <cell r="I230">
            <v>8618</v>
          </cell>
          <cell r="J230">
            <v>29230</v>
          </cell>
        </row>
        <row r="231">
          <cell r="C231" t="str">
            <v xml:space="preserve">Bonds- Series 2020, USDA </v>
          </cell>
          <cell r="D231">
            <v>7500</v>
          </cell>
          <cell r="I231">
            <v>9800</v>
          </cell>
          <cell r="J231">
            <v>0</v>
          </cell>
          <cell r="K231" t="str">
            <v>20% Debt Service Coverage</v>
          </cell>
        </row>
        <row r="232">
          <cell r="C232" t="str">
            <v>Loan- KIA, Buchanon Park (C11-02)</v>
          </cell>
          <cell r="D232">
            <v>40586.54</v>
          </cell>
          <cell r="I232">
            <v>51727.199999999997</v>
          </cell>
          <cell r="J232">
            <v>0</v>
          </cell>
          <cell r="K232" t="str">
            <v>20% Debt Service Coverage</v>
          </cell>
        </row>
        <row r="233">
          <cell r="C233" t="str">
            <v>Loan- Series 2013B, RWFA</v>
          </cell>
          <cell r="D233">
            <v>9870.9500000000007</v>
          </cell>
          <cell r="E233">
            <v>0</v>
          </cell>
          <cell r="I233">
            <v>11845.199999999999</v>
          </cell>
          <cell r="J233">
            <v>0</v>
          </cell>
          <cell r="K233" t="str">
            <v>20% Debt Service Coverage</v>
          </cell>
        </row>
        <row r="234">
          <cell r="C234" t="str">
            <v>Loan - KIA, Plum Springs Rehab (B19-006)</v>
          </cell>
          <cell r="D234">
            <v>85570.44</v>
          </cell>
          <cell r="E234">
            <v>0</v>
          </cell>
          <cell r="I234">
            <v>106868</v>
          </cell>
          <cell r="J234">
            <v>0</v>
          </cell>
          <cell r="K234" t="str">
            <v>20% Debt Service Coverage</v>
          </cell>
        </row>
        <row r="235">
          <cell r="C235" t="str">
            <v>Loan- Series 2021A, KRWFC</v>
          </cell>
          <cell r="D235">
            <v>100000</v>
          </cell>
          <cell r="E235">
            <v>155000</v>
          </cell>
          <cell r="I235">
            <v>114000</v>
          </cell>
          <cell r="J235">
            <v>162000</v>
          </cell>
          <cell r="K235" t="str">
            <v>20% Debt Service Coverage</v>
          </cell>
        </row>
        <row r="236">
          <cell r="C236" t="str">
            <v>Loan- Series 2022D, KRWFC</v>
          </cell>
          <cell r="D236">
            <v>0</v>
          </cell>
          <cell r="E236">
            <v>0</v>
          </cell>
          <cell r="I236">
            <v>0</v>
          </cell>
          <cell r="J236">
            <v>0</v>
          </cell>
          <cell r="K236" t="str">
            <v>20% Debt Service Coverage</v>
          </cell>
        </row>
        <row r="237">
          <cell r="C237" t="str">
            <v>Bond- Series 2005A, USDA (RD)</v>
          </cell>
          <cell r="D237">
            <v>0</v>
          </cell>
          <cell r="E237">
            <v>26000</v>
          </cell>
          <cell r="I237">
            <v>0</v>
          </cell>
          <cell r="J237">
            <v>33600</v>
          </cell>
          <cell r="K237" t="str">
            <v>20% Debt Service Coverage</v>
          </cell>
        </row>
        <row r="238">
          <cell r="C238" t="str">
            <v>Loan- Series 2013B, KRWFC</v>
          </cell>
          <cell r="D238">
            <v>0</v>
          </cell>
          <cell r="E238">
            <v>140129.04999999999</v>
          </cell>
          <cell r="I238">
            <v>0</v>
          </cell>
          <cell r="J238">
            <v>168154.8</v>
          </cell>
          <cell r="K238" t="str">
            <v>20% Debt Service Coverage</v>
          </cell>
        </row>
        <row r="239">
          <cell r="C239" t="str">
            <v>Loan- Series 2016B, KRWFC</v>
          </cell>
          <cell r="D239">
            <v>0</v>
          </cell>
          <cell r="E239">
            <v>165000</v>
          </cell>
          <cell r="I239">
            <v>0</v>
          </cell>
          <cell r="J239">
            <v>202000</v>
          </cell>
          <cell r="K239" t="str">
            <v>20% Debt Service Coverage</v>
          </cell>
        </row>
        <row r="240">
          <cell r="C240" t="str">
            <v xml:space="preserve">Loan- Series 2020 KIA </v>
          </cell>
          <cell r="D240">
            <v>0</v>
          </cell>
          <cell r="E240">
            <v>78818.14</v>
          </cell>
          <cell r="I240">
            <v>0</v>
          </cell>
          <cell r="J240">
            <v>100415.2</v>
          </cell>
          <cell r="K240" t="str">
            <v>20% Debt Service Coverage</v>
          </cell>
        </row>
        <row r="241">
          <cell r="C241" t="str">
            <v>-</v>
          </cell>
          <cell r="D241">
            <v>0</v>
          </cell>
          <cell r="E241">
            <v>0</v>
          </cell>
          <cell r="I241">
            <v>0</v>
          </cell>
          <cell r="J241">
            <v>0</v>
          </cell>
          <cell r="K241" t="str">
            <v>20% Debt Service Coverage</v>
          </cell>
        </row>
        <row r="242">
          <cell r="C242" t="str">
            <v>-</v>
          </cell>
          <cell r="D242">
            <v>0</v>
          </cell>
          <cell r="E242">
            <v>0</v>
          </cell>
          <cell r="I242">
            <v>0</v>
          </cell>
          <cell r="J242">
            <v>0</v>
          </cell>
        </row>
        <row r="243">
          <cell r="C243" t="str">
            <v>-</v>
          </cell>
          <cell r="D243">
            <v>0</v>
          </cell>
          <cell r="E243">
            <v>0</v>
          </cell>
          <cell r="I243">
            <v>0</v>
          </cell>
          <cell r="J243">
            <v>0</v>
          </cell>
        </row>
        <row r="244">
          <cell r="C244" t="str">
            <v>-</v>
          </cell>
          <cell r="D244">
            <v>0</v>
          </cell>
          <cell r="E244">
            <v>0</v>
          </cell>
          <cell r="I244">
            <v>0</v>
          </cell>
          <cell r="J24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HDR_2024-Branding">
      <a:dk1>
        <a:sysClr val="windowText" lastClr="000000"/>
      </a:dk1>
      <a:lt1>
        <a:sysClr val="window" lastClr="FFFFFF"/>
      </a:lt1>
      <a:dk2>
        <a:srgbClr val="54585A"/>
      </a:dk2>
      <a:lt2>
        <a:sysClr val="window" lastClr="FFFFFF"/>
      </a:lt2>
      <a:accent1>
        <a:srgbClr val="377F99"/>
      </a:accent1>
      <a:accent2>
        <a:srgbClr val="C8102E"/>
      </a:accent2>
      <a:accent3>
        <a:srgbClr val="CE0058"/>
      </a:accent3>
      <a:accent4>
        <a:srgbClr val="FF8200"/>
      </a:accent4>
      <a:accent5>
        <a:srgbClr val="FFC600"/>
      </a:accent5>
      <a:accent6>
        <a:srgbClr val="4A7729"/>
      </a:accent6>
      <a:hlink>
        <a:srgbClr val="01426A"/>
      </a:hlink>
      <a:folHlink>
        <a:srgbClr val="772583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0" dT="2024-03-01T16:18:54.82" personId="{00000000-0000-0000-0000-000000000000}" id="{26D793A7-28BE-48F0-9287-D4B34778C09B}">
    <text>Was 176,559 in '22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4-04-18T20:15:01.65" personId="{00000000-0000-0000-0000-000000000000}" id="{CDE5C4DA-087D-4014-AE5D-9052F23DA3AA}">
    <text>To BGMU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197" dT="2024-02-05T20:58:53.41" personId="{00000000-0000-0000-0000-000000000000}" id="{D0F9C101-C157-435E-B8E9-F4327E64DB78}">
    <text>No line item name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8" dT="2024-05-09T14:39:28.43" personId="{00000000-0000-0000-0000-000000000000}" id="{11D9544F-37A4-44A3-A72E-D9736AAAB426}">
    <text>When would the plant open &amp; begin using water?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A1" dT="2024-04-18T20:15:01.65" personId="{00000000-0000-0000-0000-000000000000}" id="{1F1871AD-BA67-4763-90D5-C1D3D6CE3DDE}">
    <text>To BGMU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13" dT="2024-06-17T21:11:01.87" personId="{00000000-0000-0000-0000-000000000000}" id="{CA3634DA-29CA-4EE3-9637-94512A3ADCFF}">
    <text xml:space="preserve">3.241% COLA
</text>
  </threadedComment>
  <threadedComment ref="C14" dT="2024-06-17T21:11:17.74" personId="{00000000-0000-0000-0000-000000000000}" id="{725AC4CE-2990-46B8-90C6-C92989A6F93B}">
    <text>2% Merit Increase</text>
  </threadedComment>
  <threadedComment ref="C15" dT="2024-06-17T21:09:45.35" personId="{00000000-0000-0000-0000-000000000000}" id="{276C662B-31B9-4779-A6BD-79CFDF042912}">
    <text xml:space="preserve">WC Known and Measurables.xlsx 
New Employees &amp; CSR Wages tabs
</text>
  </threadedComment>
  <threadedComment ref="C19" dT="2024-06-17T21:00:52.91" personId="{00000000-0000-0000-0000-000000000000}" id="{4B60DEEB-D6DF-4C02-B66F-09FC66970FD2}">
    <text>WC Known and Measurables.xlsx 
New Employees &amp; CSR Wages tabs</text>
  </threadedComment>
  <threadedComment ref="C20" dT="2024-06-17T21:01:35.69" personId="{00000000-0000-0000-0000-000000000000}" id="{08CE5651-D63E-439E-96B3-CB9C509FCED3}">
    <text>WC Known and Measurables.xlsx 
New Employees &amp; CSR Wages tabs</text>
  </threadedComment>
  <threadedComment ref="C21" dT="2024-06-17T21:02:42.28" personId="{00000000-0000-0000-0000-000000000000}" id="{DAB2E2BF-6991-4EBA-A212-7FB82AE2E787}">
    <text xml:space="preserve">WC Known and Measurables.xlsx 
New Employees &amp; CSR Wages tabs
</text>
  </threadedComment>
  <threadedComment ref="C22" dT="2024-06-17T21:03:04.86" personId="{00000000-0000-0000-0000-000000000000}" id="{77462A5B-E5DE-427B-A95B-07EFCCDB097E}">
    <text xml:space="preserve">WC Known and Measurables.xlsx 
New Employees &amp; CSR Wages tabs
</text>
  </threadedComment>
  <threadedComment ref="C23" dT="2024-06-17T21:06:00.76" personId="{00000000-0000-0000-0000-000000000000}" id="{3932DCEE-52E7-4EEB-8F9C-DC0B3BBA23FB}">
    <text>3.241% COLA</text>
  </threadedComment>
  <threadedComment ref="C24" dT="2024-06-17T21:06:16.96" personId="{00000000-0000-0000-0000-000000000000}" id="{F681C7D7-2653-41FD-A99B-69E72A5603B7}">
    <text>2% Merit Increase</text>
  </threadedComment>
  <threadedComment ref="C43" dT="2024-06-17T21:11:57.66" personId="{00000000-0000-0000-0000-000000000000}" id="{09F294AA-6EB7-4C64-9816-3D006C399D62}">
    <text>WC Known and Measurables.xlsx 
Developments-S</text>
  </threadedComment>
  <threadedComment ref="C44" dT="2024-06-17T21:12:14.75" personId="{00000000-0000-0000-0000-000000000000}" id="{90AAD82D-7E5C-4AA5-BC26-BE8583E68FF6}">
    <text>WC Known and Measurables.xlsx 
Developments-S</text>
  </threadedComment>
  <threadedComment ref="C45" dT="2024-06-17T21:12:25.73" personId="{00000000-0000-0000-0000-000000000000}" id="{5CBAB928-3EF9-43F5-90BD-3C63E4F76ECA}">
    <text xml:space="preserve">WC Known and Measurables.xlsx 
Developments-S
</text>
  </threadedComment>
  <threadedComment ref="C46" dT="2024-06-17T21:12:48.29" personId="{00000000-0000-0000-0000-000000000000}" id="{352AF3C0-F04C-4ED3-8ECE-BD693C38230A}">
    <text>WC Known and Measurables.xlsx 
SCADA Upgrade</text>
  </threadedComment>
  <threadedComment ref="C47" dT="2024-06-17T21:13:08.62" personId="{00000000-0000-0000-0000-000000000000}" id="{A1E2B3BE-26EC-461D-BD23-881AC4EAF3EC}">
    <text>WC Known and Measurables.xlsx 
CIS Infinity Upgrade</text>
  </threadedComment>
  <threadedComment ref="C49" dT="2024-06-12T20:50:04.27" personId="{00000000-0000-0000-0000-000000000000}" id="{B4E7D3B8-4DC1-4B33-8B58-83140F097FB2}">
    <text xml:space="preserve">-Payroll Taxes- WC Known and Measurables.xlsx  
New Employees
CSR Wages
</text>
  </threadedComment>
  <threadedComment ref="E55" dT="2024-06-18T14:32:49.75" personId="{00000000-0000-0000-0000-000000000000}" id="{00D20EDF-AD7A-4B63-965D-D8C4D3FA9870}">
    <text>Principal- $295,809 (DSC included)
Principal DSC- $50,712
Interest- $446,456  (DSC included)
Interest DSC- $74,887
Total DSC- $125,599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8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3B29-816E-480A-B227-A1E4751CE1DA}">
  <sheetPr>
    <tabColor rgb="FFE87722"/>
  </sheetPr>
  <dimension ref="A1:J36"/>
  <sheetViews>
    <sheetView workbookViewId="0">
      <selection sqref="A1:A2"/>
    </sheetView>
  </sheetViews>
  <sheetFormatPr defaultRowHeight="15"/>
  <cols>
    <col min="1" max="1" width="28.140625" customWidth="1"/>
    <col min="2" max="3" width="12.7109375" bestFit="1" customWidth="1"/>
    <col min="6" max="6" width="12.5703125" bestFit="1" customWidth="1"/>
    <col min="7" max="7" width="11.28515625" bestFit="1" customWidth="1"/>
    <col min="8" max="8" width="12.28515625" bestFit="1" customWidth="1"/>
    <col min="9" max="9" width="10.5703125" bestFit="1" customWidth="1"/>
  </cols>
  <sheetData>
    <row r="1" spans="1:10" ht="15.75" thickBot="1">
      <c r="A1" s="827" t="s">
        <v>0</v>
      </c>
      <c r="B1" s="828" t="s">
        <v>1</v>
      </c>
      <c r="C1" s="829"/>
      <c r="D1" s="832" t="s">
        <v>2</v>
      </c>
      <c r="E1" s="832"/>
      <c r="F1" s="833" t="s">
        <v>3</v>
      </c>
      <c r="G1" s="833" t="s">
        <v>4</v>
      </c>
      <c r="H1" s="833"/>
      <c r="I1" s="824" t="s">
        <v>5</v>
      </c>
    </row>
    <row r="2" spans="1:10" ht="15.75" thickBot="1">
      <c r="A2" s="827"/>
      <c r="B2" s="830"/>
      <c r="C2" s="831"/>
      <c r="D2" s="832"/>
      <c r="E2" s="832"/>
      <c r="F2" s="833"/>
      <c r="G2" s="833"/>
      <c r="H2" s="833"/>
      <c r="I2" s="824"/>
    </row>
    <row r="3" spans="1:10" ht="15.75" thickBot="1">
      <c r="A3" s="56" t="s">
        <v>6</v>
      </c>
      <c r="B3" s="25" t="s">
        <v>7</v>
      </c>
      <c r="C3" s="25" t="s">
        <v>8</v>
      </c>
      <c r="D3" s="1" t="s">
        <v>7</v>
      </c>
      <c r="E3" s="1" t="s">
        <v>8</v>
      </c>
      <c r="F3" s="2" t="s">
        <v>9</v>
      </c>
      <c r="G3" s="2" t="s">
        <v>7</v>
      </c>
      <c r="H3" s="2" t="s">
        <v>8</v>
      </c>
      <c r="I3" s="824"/>
    </row>
    <row r="4" spans="1:10">
      <c r="A4" s="57" t="s">
        <v>10</v>
      </c>
      <c r="B4" s="26"/>
      <c r="C4" s="47"/>
      <c r="D4" s="21"/>
      <c r="E4" s="20"/>
      <c r="F4" s="21"/>
      <c r="G4" s="834"/>
      <c r="H4" s="835"/>
      <c r="I4" s="19"/>
    </row>
    <row r="5" spans="1:10">
      <c r="A5" s="72" t="s">
        <v>11</v>
      </c>
      <c r="B5" s="77">
        <v>317555</v>
      </c>
      <c r="C5" s="78">
        <v>1761749</v>
      </c>
      <c r="D5" s="226">
        <f>B5/(C5+B5)</f>
        <v>0.1527217761327829</v>
      </c>
      <c r="E5" s="230">
        <f>C5/(B5+C5)</f>
        <v>0.84727822386721707</v>
      </c>
      <c r="F5" s="227">
        <f>SUM(B5:C5)</f>
        <v>2079304</v>
      </c>
      <c r="G5" s="235">
        <f>B5</f>
        <v>317555</v>
      </c>
      <c r="H5" s="240">
        <f>C5</f>
        <v>1761749</v>
      </c>
      <c r="I5" s="73"/>
      <c r="J5" s="7"/>
    </row>
    <row r="6" spans="1:10">
      <c r="A6" s="74" t="s">
        <v>12</v>
      </c>
      <c r="B6" s="79">
        <v>15000</v>
      </c>
      <c r="C6" s="80">
        <v>15000</v>
      </c>
      <c r="D6" s="226">
        <f>B6/(C6+B6)</f>
        <v>0.5</v>
      </c>
      <c r="E6" s="230">
        <f>C6/(B6+C6)</f>
        <v>0.5</v>
      </c>
      <c r="F6" s="227">
        <f t="shared" ref="F6:F23" si="0">SUM(B6:C6)</f>
        <v>30000</v>
      </c>
      <c r="G6" s="235">
        <f t="shared" ref="G6:G23" si="1">B6</f>
        <v>15000</v>
      </c>
      <c r="H6" s="240">
        <f t="shared" ref="H6:H23" si="2">C6</f>
        <v>15000</v>
      </c>
      <c r="I6" s="75"/>
      <c r="J6" s="7"/>
    </row>
    <row r="7" spans="1:10">
      <c r="A7" s="72" t="s">
        <v>13</v>
      </c>
      <c r="B7" s="79">
        <v>179639</v>
      </c>
      <c r="C7" s="80">
        <v>999812</v>
      </c>
      <c r="D7" s="226">
        <f t="shared" ref="D7:D23" si="3">B7/(C7+B7)</f>
        <v>0.15230730229572911</v>
      </c>
      <c r="E7" s="230">
        <f t="shared" ref="E7:E23" si="4">C7/(B7+C7)</f>
        <v>0.84769269770427091</v>
      </c>
      <c r="F7" s="227">
        <f t="shared" si="0"/>
        <v>1179451</v>
      </c>
      <c r="G7" s="235">
        <f t="shared" si="1"/>
        <v>179639</v>
      </c>
      <c r="H7" s="240">
        <f t="shared" si="2"/>
        <v>999812</v>
      </c>
      <c r="I7" s="75"/>
      <c r="J7" s="7"/>
    </row>
    <row r="8" spans="1:10">
      <c r="A8" s="76" t="s">
        <v>14</v>
      </c>
      <c r="B8" s="7"/>
      <c r="C8" s="80">
        <v>8215807</v>
      </c>
      <c r="D8" s="226">
        <f t="shared" si="3"/>
        <v>0</v>
      </c>
      <c r="E8" s="230">
        <f t="shared" si="4"/>
        <v>1</v>
      </c>
      <c r="F8" s="227">
        <f t="shared" si="0"/>
        <v>8215807</v>
      </c>
      <c r="G8" s="235">
        <f t="shared" si="1"/>
        <v>0</v>
      </c>
      <c r="H8" s="240">
        <f t="shared" si="2"/>
        <v>8215807</v>
      </c>
      <c r="I8" s="75"/>
      <c r="J8" s="7"/>
    </row>
    <row r="9" spans="1:10">
      <c r="A9" s="76" t="s">
        <v>15</v>
      </c>
      <c r="B9" s="79">
        <v>3378674</v>
      </c>
      <c r="C9" s="80"/>
      <c r="D9" s="226">
        <f t="shared" si="3"/>
        <v>1</v>
      </c>
      <c r="E9" s="230">
        <f t="shared" si="4"/>
        <v>0</v>
      </c>
      <c r="F9" s="227">
        <f t="shared" si="0"/>
        <v>3378674</v>
      </c>
      <c r="G9" s="235">
        <f t="shared" si="1"/>
        <v>3378674</v>
      </c>
      <c r="H9" s="240">
        <f t="shared" si="2"/>
        <v>0</v>
      </c>
      <c r="I9" s="75"/>
      <c r="J9" s="7"/>
    </row>
    <row r="10" spans="1:10">
      <c r="A10" s="76" t="s">
        <v>16</v>
      </c>
      <c r="B10" s="79">
        <v>157890</v>
      </c>
      <c r="C10" s="80">
        <v>542510</v>
      </c>
      <c r="D10" s="226">
        <f t="shared" si="3"/>
        <v>0.22542832667047402</v>
      </c>
      <c r="E10" s="230">
        <f t="shared" si="4"/>
        <v>0.77457167332952603</v>
      </c>
      <c r="F10" s="227">
        <f t="shared" si="0"/>
        <v>700400</v>
      </c>
      <c r="G10" s="235">
        <f t="shared" si="1"/>
        <v>157890</v>
      </c>
      <c r="H10" s="240">
        <f t="shared" si="2"/>
        <v>542510</v>
      </c>
      <c r="I10" s="75"/>
      <c r="J10" s="7"/>
    </row>
    <row r="11" spans="1:10">
      <c r="A11" s="76" t="s">
        <v>17</v>
      </c>
      <c r="B11" s="79">
        <v>30983</v>
      </c>
      <c r="C11" s="80">
        <v>0</v>
      </c>
      <c r="D11" s="226">
        <f t="shared" si="3"/>
        <v>1</v>
      </c>
      <c r="E11" s="230">
        <f t="shared" si="4"/>
        <v>0</v>
      </c>
      <c r="F11" s="227">
        <f t="shared" si="0"/>
        <v>30983</v>
      </c>
      <c r="G11" s="235">
        <f t="shared" si="1"/>
        <v>30983</v>
      </c>
      <c r="H11" s="240">
        <f t="shared" si="2"/>
        <v>0</v>
      </c>
      <c r="I11" s="75"/>
      <c r="J11" s="7"/>
    </row>
    <row r="12" spans="1:10">
      <c r="A12" s="76" t="s">
        <v>18</v>
      </c>
      <c r="B12" s="79">
        <v>59515</v>
      </c>
      <c r="C12" s="80">
        <v>344145</v>
      </c>
      <c r="D12" s="226">
        <f t="shared" si="3"/>
        <v>0.1474384382896497</v>
      </c>
      <c r="E12" s="230">
        <f t="shared" si="4"/>
        <v>0.85256156171035025</v>
      </c>
      <c r="F12" s="227">
        <f t="shared" si="0"/>
        <v>403660</v>
      </c>
      <c r="G12" s="235">
        <f t="shared" si="1"/>
        <v>59515</v>
      </c>
      <c r="H12" s="240">
        <f t="shared" si="2"/>
        <v>344145</v>
      </c>
      <c r="I12" s="75"/>
      <c r="J12" s="7"/>
    </row>
    <row r="13" spans="1:10">
      <c r="A13" s="76" t="s">
        <v>19</v>
      </c>
      <c r="B13" s="79">
        <v>0</v>
      </c>
      <c r="C13" s="80">
        <v>0</v>
      </c>
      <c r="D13" s="226"/>
      <c r="E13" s="230"/>
      <c r="F13" s="227">
        <f t="shared" si="0"/>
        <v>0</v>
      </c>
      <c r="G13" s="235">
        <f t="shared" si="1"/>
        <v>0</v>
      </c>
      <c r="H13" s="240">
        <f t="shared" si="2"/>
        <v>0</v>
      </c>
      <c r="I13" s="75"/>
      <c r="J13" s="7"/>
    </row>
    <row r="14" spans="1:10">
      <c r="A14" s="76" t="s">
        <v>20</v>
      </c>
      <c r="B14" s="79">
        <v>14000</v>
      </c>
      <c r="C14" s="80">
        <v>14533</v>
      </c>
      <c r="D14" s="226">
        <f t="shared" si="3"/>
        <v>0.49065993761609367</v>
      </c>
      <c r="E14" s="230">
        <f t="shared" si="4"/>
        <v>0.50934006238390639</v>
      </c>
      <c r="F14" s="227">
        <f t="shared" si="0"/>
        <v>28533</v>
      </c>
      <c r="G14" s="235">
        <f t="shared" si="1"/>
        <v>14000</v>
      </c>
      <c r="H14" s="240">
        <f t="shared" si="2"/>
        <v>14533</v>
      </c>
      <c r="I14" s="75"/>
      <c r="J14" s="7"/>
    </row>
    <row r="15" spans="1:10">
      <c r="A15" s="76" t="s">
        <v>21</v>
      </c>
      <c r="B15" s="79">
        <v>5136</v>
      </c>
      <c r="C15" s="80">
        <v>16922</v>
      </c>
      <c r="D15" s="226">
        <f t="shared" si="3"/>
        <v>0.23284069271919486</v>
      </c>
      <c r="E15" s="230">
        <f t="shared" si="4"/>
        <v>0.76715930728080517</v>
      </c>
      <c r="F15" s="227">
        <f t="shared" si="0"/>
        <v>22058</v>
      </c>
      <c r="G15" s="235">
        <f t="shared" si="1"/>
        <v>5136</v>
      </c>
      <c r="H15" s="240">
        <f t="shared" si="2"/>
        <v>16922</v>
      </c>
      <c r="I15" s="75"/>
      <c r="J15" s="7"/>
    </row>
    <row r="16" spans="1:10">
      <c r="A16" s="76" t="s">
        <v>22</v>
      </c>
      <c r="B16" s="79">
        <v>202915</v>
      </c>
      <c r="C16" s="80">
        <v>740331</v>
      </c>
      <c r="D16" s="226">
        <f t="shared" si="3"/>
        <v>0.21512415637066046</v>
      </c>
      <c r="E16" s="230">
        <f t="shared" si="4"/>
        <v>0.78487584362933949</v>
      </c>
      <c r="F16" s="227">
        <f t="shared" si="0"/>
        <v>943246</v>
      </c>
      <c r="G16" s="235">
        <f t="shared" si="1"/>
        <v>202915</v>
      </c>
      <c r="H16" s="240">
        <f t="shared" si="2"/>
        <v>740331</v>
      </c>
      <c r="I16" s="75"/>
      <c r="J16" s="7"/>
    </row>
    <row r="17" spans="1:10">
      <c r="A17" s="76" t="s">
        <v>23</v>
      </c>
      <c r="B17" s="79">
        <v>0</v>
      </c>
      <c r="C17" s="80">
        <v>57450</v>
      </c>
      <c r="D17" s="226">
        <f t="shared" si="3"/>
        <v>0</v>
      </c>
      <c r="E17" s="230">
        <f t="shared" si="4"/>
        <v>1</v>
      </c>
      <c r="F17" s="227">
        <f t="shared" si="0"/>
        <v>57450</v>
      </c>
      <c r="G17" s="235">
        <f t="shared" si="1"/>
        <v>0</v>
      </c>
      <c r="H17" s="240">
        <f t="shared" si="2"/>
        <v>57450</v>
      </c>
      <c r="I17" s="75"/>
      <c r="J17" s="7"/>
    </row>
    <row r="18" spans="1:10">
      <c r="A18" s="76" t="s">
        <v>24</v>
      </c>
      <c r="B18" s="79">
        <v>37618</v>
      </c>
      <c r="C18" s="80">
        <v>296880</v>
      </c>
      <c r="D18" s="226">
        <f t="shared" si="3"/>
        <v>0.11246106105268193</v>
      </c>
      <c r="E18" s="230">
        <f t="shared" si="4"/>
        <v>0.88753893894731806</v>
      </c>
      <c r="F18" s="227">
        <f t="shared" si="0"/>
        <v>334498</v>
      </c>
      <c r="G18" s="235">
        <f t="shared" si="1"/>
        <v>37618</v>
      </c>
      <c r="H18" s="240">
        <f t="shared" si="2"/>
        <v>296880</v>
      </c>
      <c r="I18" s="75"/>
      <c r="J18" s="7"/>
    </row>
    <row r="19" spans="1:10">
      <c r="A19" s="76" t="s">
        <v>25</v>
      </c>
      <c r="B19" s="79">
        <v>15775</v>
      </c>
      <c r="C19" s="80">
        <v>72306</v>
      </c>
      <c r="D19" s="226">
        <f t="shared" si="3"/>
        <v>0.17909651343649596</v>
      </c>
      <c r="E19" s="230">
        <f t="shared" si="4"/>
        <v>0.82090348656350409</v>
      </c>
      <c r="F19" s="227">
        <f t="shared" si="0"/>
        <v>88081</v>
      </c>
      <c r="G19" s="235">
        <f t="shared" si="1"/>
        <v>15775</v>
      </c>
      <c r="H19" s="240">
        <f t="shared" si="2"/>
        <v>72306</v>
      </c>
      <c r="I19" s="75"/>
      <c r="J19" s="7"/>
    </row>
    <row r="20" spans="1:10">
      <c r="A20" s="76" t="s">
        <v>26</v>
      </c>
      <c r="B20" s="79">
        <v>2545</v>
      </c>
      <c r="C20" s="80">
        <v>2737</v>
      </c>
      <c r="D20" s="226">
        <f t="shared" si="3"/>
        <v>0.48182506626277927</v>
      </c>
      <c r="E20" s="230">
        <f t="shared" si="4"/>
        <v>0.51817493373722079</v>
      </c>
      <c r="F20" s="227">
        <f t="shared" si="0"/>
        <v>5282</v>
      </c>
      <c r="G20" s="235">
        <f t="shared" si="1"/>
        <v>2545</v>
      </c>
      <c r="H20" s="240">
        <f t="shared" si="2"/>
        <v>2737</v>
      </c>
      <c r="I20" s="75"/>
      <c r="J20" s="7"/>
    </row>
    <row r="21" spans="1:10">
      <c r="A21" s="76" t="s">
        <v>27</v>
      </c>
      <c r="B21" s="79">
        <v>8006</v>
      </c>
      <c r="C21" s="80">
        <v>20980</v>
      </c>
      <c r="D21" s="226">
        <f t="shared" si="3"/>
        <v>0.27620230456082245</v>
      </c>
      <c r="E21" s="230">
        <f t="shared" si="4"/>
        <v>0.72379769543917749</v>
      </c>
      <c r="F21" s="227">
        <f t="shared" si="0"/>
        <v>28986</v>
      </c>
      <c r="G21" s="235">
        <f t="shared" si="1"/>
        <v>8006</v>
      </c>
      <c r="H21" s="240">
        <f t="shared" si="2"/>
        <v>20980</v>
      </c>
      <c r="I21" s="75"/>
      <c r="J21" s="7"/>
    </row>
    <row r="22" spans="1:10">
      <c r="A22" s="76" t="s">
        <v>28</v>
      </c>
      <c r="B22" s="79">
        <v>4466</v>
      </c>
      <c r="C22" s="80">
        <v>20990</v>
      </c>
      <c r="D22" s="226">
        <f t="shared" si="3"/>
        <v>0.17543997485857951</v>
      </c>
      <c r="E22" s="230">
        <f t="shared" si="4"/>
        <v>0.82456002514142046</v>
      </c>
      <c r="F22" s="227">
        <f t="shared" si="0"/>
        <v>25456</v>
      </c>
      <c r="G22" s="235">
        <f t="shared" si="1"/>
        <v>4466</v>
      </c>
      <c r="H22" s="240">
        <f t="shared" si="2"/>
        <v>20990</v>
      </c>
      <c r="I22" s="75"/>
      <c r="J22" s="7"/>
    </row>
    <row r="23" spans="1:10">
      <c r="A23" s="71" t="s">
        <v>29</v>
      </c>
      <c r="B23" s="263">
        <v>18031</v>
      </c>
      <c r="C23" s="260">
        <v>55055</v>
      </c>
      <c r="D23" s="269">
        <f t="shared" si="3"/>
        <v>0.24670935610103167</v>
      </c>
      <c r="E23" s="265">
        <f t="shared" si="4"/>
        <v>0.75329064389896838</v>
      </c>
      <c r="F23" s="268">
        <f t="shared" si="0"/>
        <v>73086</v>
      </c>
      <c r="G23" s="270">
        <f t="shared" si="1"/>
        <v>18031</v>
      </c>
      <c r="H23" s="267">
        <f t="shared" si="2"/>
        <v>55055</v>
      </c>
      <c r="I23" s="271"/>
      <c r="J23" s="7"/>
    </row>
    <row r="24" spans="1:10">
      <c r="A24" s="112" t="s">
        <v>30</v>
      </c>
      <c r="B24" s="109">
        <f>SUM(B5:B23)</f>
        <v>4447748</v>
      </c>
      <c r="C24" s="110">
        <f>SUM(C5:C23)</f>
        <v>13177207</v>
      </c>
      <c r="D24" s="113"/>
      <c r="E24" s="114"/>
      <c r="F24" s="115">
        <f>SUM(F5:F23)</f>
        <v>17624955</v>
      </c>
      <c r="G24" s="109">
        <f>SUM(G5:G23)</f>
        <v>4447748</v>
      </c>
      <c r="H24" s="110">
        <f>SUM(H5:H23)</f>
        <v>13177207</v>
      </c>
      <c r="I24" s="116"/>
      <c r="J24" s="7"/>
    </row>
    <row r="25" spans="1:10">
      <c r="B25" s="82"/>
      <c r="C25" s="15"/>
      <c r="D25" s="82"/>
      <c r="E25" s="84"/>
      <c r="F25" s="5"/>
      <c r="G25" s="7"/>
      <c r="H25" s="15"/>
      <c r="I25" s="5"/>
    </row>
    <row r="26" spans="1:10">
      <c r="A26" s="57" t="s">
        <v>31</v>
      </c>
      <c r="B26" s="26"/>
      <c r="C26" s="83"/>
      <c r="D26" s="81"/>
      <c r="E26" s="85"/>
      <c r="F26" s="70"/>
      <c r="G26" s="825"/>
      <c r="H26" s="826"/>
      <c r="I26" s="34"/>
    </row>
    <row r="27" spans="1:10">
      <c r="A27" s="72" t="s">
        <v>32</v>
      </c>
      <c r="B27" s="77">
        <v>1926133</v>
      </c>
      <c r="C27" s="282">
        <v>3849703</v>
      </c>
      <c r="D27" s="226">
        <f>B27/(C27+B27)</f>
        <v>0.33348124842879889</v>
      </c>
      <c r="E27" s="230">
        <f>C27/(B27+C27)</f>
        <v>0.66651875157120111</v>
      </c>
      <c r="F27" s="231">
        <f t="shared" ref="F27:F32" si="5">SUM(B27:C27)</f>
        <v>5775836</v>
      </c>
      <c r="G27" s="239">
        <f t="shared" ref="G27:H32" si="6">B27</f>
        <v>1926133</v>
      </c>
      <c r="H27" s="240">
        <f t="shared" si="6"/>
        <v>3849703</v>
      </c>
      <c r="I27" s="5"/>
    </row>
    <row r="28" spans="1:10">
      <c r="A28" s="74" t="s">
        <v>33</v>
      </c>
      <c r="B28" s="79">
        <v>-4</v>
      </c>
      <c r="C28" s="61">
        <v>-11001</v>
      </c>
      <c r="D28" s="226">
        <f>B28/(C28+B28)</f>
        <v>3.6347114947751021E-4</v>
      </c>
      <c r="E28" s="230">
        <f>C28/(B28+C28)</f>
        <v>0.99963652885052245</v>
      </c>
      <c r="F28" s="231">
        <f t="shared" si="5"/>
        <v>-11005</v>
      </c>
      <c r="G28" s="239">
        <f t="shared" si="6"/>
        <v>-4</v>
      </c>
      <c r="H28" s="240">
        <f t="shared" si="6"/>
        <v>-11001</v>
      </c>
      <c r="I28" s="5"/>
    </row>
    <row r="29" spans="1:10">
      <c r="A29" s="72" t="s">
        <v>34</v>
      </c>
      <c r="B29" s="79">
        <v>0</v>
      </c>
      <c r="C29" s="68">
        <v>0</v>
      </c>
      <c r="D29" s="226"/>
      <c r="E29" s="230"/>
      <c r="F29" s="231">
        <f t="shared" si="5"/>
        <v>0</v>
      </c>
      <c r="G29" s="239">
        <f t="shared" si="6"/>
        <v>0</v>
      </c>
      <c r="H29" s="240">
        <f t="shared" si="6"/>
        <v>0</v>
      </c>
      <c r="I29" s="5"/>
    </row>
    <row r="30" spans="1:10">
      <c r="A30" s="72" t="s">
        <v>35</v>
      </c>
      <c r="B30" s="79">
        <v>369324</v>
      </c>
      <c r="C30" s="80">
        <v>294851</v>
      </c>
      <c r="D30" s="226">
        <f>B30/(C30+B30)</f>
        <v>0.55606429028493998</v>
      </c>
      <c r="E30" s="230">
        <f>C30/(B30+C30)</f>
        <v>0.44393570971506002</v>
      </c>
      <c r="F30" s="231">
        <f t="shared" si="5"/>
        <v>664175</v>
      </c>
      <c r="G30" s="239">
        <f t="shared" si="6"/>
        <v>369324</v>
      </c>
      <c r="H30" s="240">
        <f t="shared" si="6"/>
        <v>294851</v>
      </c>
      <c r="I30" s="5"/>
    </row>
    <row r="31" spans="1:10">
      <c r="A31" s="72" t="s">
        <v>36</v>
      </c>
      <c r="B31" s="79">
        <v>0</v>
      </c>
      <c r="C31" s="80">
        <v>3247</v>
      </c>
      <c r="D31" s="226">
        <f>B31/(C31+B31)</f>
        <v>0</v>
      </c>
      <c r="E31" s="230">
        <f>C31/(B31+C31)</f>
        <v>1</v>
      </c>
      <c r="F31" s="231">
        <f t="shared" si="5"/>
        <v>3247</v>
      </c>
      <c r="G31" s="239">
        <f t="shared" si="6"/>
        <v>0</v>
      </c>
      <c r="H31" s="240">
        <f t="shared" si="6"/>
        <v>3247</v>
      </c>
      <c r="I31" s="5"/>
    </row>
    <row r="32" spans="1:10">
      <c r="A32" s="71" t="s">
        <v>37</v>
      </c>
      <c r="B32" s="28">
        <v>8618</v>
      </c>
      <c r="C32" s="61">
        <v>29230</v>
      </c>
      <c r="D32" s="226">
        <f>B32/(C32+B32)</f>
        <v>0.2277002747833439</v>
      </c>
      <c r="E32" s="230">
        <f>C32/(B32+C32)</f>
        <v>0.77229972521665613</v>
      </c>
      <c r="F32" s="231">
        <f t="shared" si="5"/>
        <v>37848</v>
      </c>
      <c r="G32" s="239">
        <f t="shared" si="6"/>
        <v>8618</v>
      </c>
      <c r="H32" s="240">
        <f t="shared" si="6"/>
        <v>29230</v>
      </c>
      <c r="I32" s="17"/>
    </row>
    <row r="33" spans="1:9">
      <c r="A33" s="112" t="s">
        <v>30</v>
      </c>
      <c r="B33" s="109">
        <f>SUM(B27:B32)</f>
        <v>2304071</v>
      </c>
      <c r="C33" s="110">
        <f>SUM(C27:C32)</f>
        <v>4166030</v>
      </c>
      <c r="D33" s="113"/>
      <c r="E33" s="114"/>
      <c r="F33" s="111">
        <f>SUM(F27:F32)</f>
        <v>6470101</v>
      </c>
      <c r="G33" s="110">
        <f>SUM(G27:G32)</f>
        <v>2304071</v>
      </c>
      <c r="H33" s="110">
        <f>SUM(H27:H32)</f>
        <v>4166030</v>
      </c>
      <c r="I33" s="116"/>
    </row>
    <row r="34" spans="1:9">
      <c r="A34" s="69"/>
      <c r="B34" s="7"/>
      <c r="C34" s="15"/>
      <c r="D34" s="7"/>
      <c r="E34" s="15"/>
      <c r="F34" s="5"/>
      <c r="G34" s="7"/>
      <c r="H34" s="15"/>
      <c r="I34" s="5"/>
    </row>
    <row r="35" spans="1:9" ht="15.75" thickBot="1">
      <c r="A35" s="174" t="s">
        <v>38</v>
      </c>
      <c r="B35" s="175">
        <f>SUM(B24,B33)</f>
        <v>6751819</v>
      </c>
      <c r="C35" s="176">
        <f>SUM(C24,C33)</f>
        <v>17343237</v>
      </c>
      <c r="D35" s="177"/>
      <c r="E35" s="178"/>
      <c r="F35" s="179">
        <f>SUM(F24,F33)</f>
        <v>24095056</v>
      </c>
      <c r="G35" s="175">
        <f>SUM(G24,G33)</f>
        <v>6751819</v>
      </c>
      <c r="H35" s="175">
        <f>SUM(H24,H33)</f>
        <v>17343237</v>
      </c>
      <c r="I35" s="180"/>
    </row>
    <row r="36" spans="1:9">
      <c r="F36" s="86"/>
      <c r="G36" s="86"/>
    </row>
  </sheetData>
  <mergeCells count="8">
    <mergeCell ref="I1:I3"/>
    <mergeCell ref="G26:H26"/>
    <mergeCell ref="A1:A2"/>
    <mergeCell ref="B1:C2"/>
    <mergeCell ref="D1:E2"/>
    <mergeCell ref="F1:F2"/>
    <mergeCell ref="G1:H2"/>
    <mergeCell ref="G4:H4"/>
  </mergeCells>
  <pageMargins left="0.7" right="0.7" top="0.75" bottom="0.75" header="0.3" footer="0.3"/>
  <pageSetup paperSize="256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02C43-8CAA-4448-93A4-4762C8CBA852}">
  <sheetPr>
    <tabColor rgb="FF5D3754"/>
  </sheetPr>
  <dimension ref="A1:Q59"/>
  <sheetViews>
    <sheetView workbookViewId="0">
      <selection sqref="A1:A2"/>
    </sheetView>
  </sheetViews>
  <sheetFormatPr defaultRowHeight="15"/>
  <cols>
    <col min="1" max="1" width="13.140625" bestFit="1" customWidth="1"/>
    <col min="2" max="2" width="12.7109375" customWidth="1"/>
    <col min="3" max="3" width="14.5703125" bestFit="1" customWidth="1"/>
    <col min="4" max="4" width="12.7109375" bestFit="1" customWidth="1"/>
    <col min="5" max="5" width="15.7109375" bestFit="1" customWidth="1"/>
    <col min="6" max="6" width="11.85546875" bestFit="1" customWidth="1"/>
    <col min="7" max="7" width="14.28515625" bestFit="1" customWidth="1"/>
    <col min="8" max="8" width="13.5703125" bestFit="1" customWidth="1"/>
    <col min="9" max="9" width="14.5703125" bestFit="1" customWidth="1"/>
    <col min="10" max="10" width="13.7109375" bestFit="1" customWidth="1"/>
    <col min="11" max="11" width="14.28515625" customWidth="1"/>
    <col min="12" max="12" width="13.42578125" bestFit="1" customWidth="1"/>
    <col min="13" max="13" width="12.28515625" hidden="1" customWidth="1"/>
    <col min="14" max="14" width="10.42578125" hidden="1" customWidth="1"/>
    <col min="15" max="15" width="12.42578125" hidden="1" customWidth="1"/>
    <col min="16" max="16" width="11.85546875" hidden="1" customWidth="1"/>
  </cols>
  <sheetData>
    <row r="1" spans="1:17" ht="48" customHeight="1">
      <c r="A1" s="911" t="s">
        <v>498</v>
      </c>
      <c r="B1" s="913" t="s">
        <v>499</v>
      </c>
      <c r="C1" s="914"/>
      <c r="D1" s="913" t="s">
        <v>500</v>
      </c>
      <c r="E1" s="914"/>
      <c r="F1" s="102" t="s">
        <v>501</v>
      </c>
      <c r="G1" s="102" t="s">
        <v>502</v>
      </c>
      <c r="H1" s="102" t="s">
        <v>503</v>
      </c>
      <c r="I1" s="920" t="s">
        <v>504</v>
      </c>
      <c r="J1" s="921"/>
      <c r="K1" s="799" t="s">
        <v>505</v>
      </c>
      <c r="L1" s="799" t="s">
        <v>503</v>
      </c>
      <c r="M1" s="915" t="s">
        <v>506</v>
      </c>
      <c r="N1" s="916"/>
      <c r="O1" s="916"/>
      <c r="P1" s="917"/>
    </row>
    <row r="2" spans="1:17" ht="39.75" thickBot="1">
      <c r="A2" s="912"/>
      <c r="B2" s="314" t="s">
        <v>507</v>
      </c>
      <c r="C2" s="22" t="s">
        <v>508</v>
      </c>
      <c r="D2" s="104" t="s">
        <v>507</v>
      </c>
      <c r="E2" s="393" t="s">
        <v>508</v>
      </c>
      <c r="F2" s="314" t="s">
        <v>507</v>
      </c>
      <c r="G2" s="314" t="s">
        <v>507</v>
      </c>
      <c r="H2" s="315" t="s">
        <v>507</v>
      </c>
      <c r="I2" s="314" t="s">
        <v>507</v>
      </c>
      <c r="J2" s="479" t="s">
        <v>508</v>
      </c>
      <c r="K2" s="104" t="s">
        <v>507</v>
      </c>
      <c r="L2" s="105" t="s">
        <v>507</v>
      </c>
      <c r="M2" s="508" t="s">
        <v>509</v>
      </c>
      <c r="N2" s="499" t="s">
        <v>510</v>
      </c>
      <c r="O2" s="499" t="s">
        <v>502</v>
      </c>
      <c r="P2" s="500" t="s">
        <v>511</v>
      </c>
    </row>
    <row r="3" spans="1:17">
      <c r="A3" s="484" t="s">
        <v>512</v>
      </c>
      <c r="B3" s="394"/>
      <c r="C3" s="395"/>
      <c r="D3" s="396"/>
      <c r="E3" s="397"/>
      <c r="F3" s="398"/>
      <c r="G3" s="398"/>
      <c r="H3" s="398"/>
      <c r="I3" s="396"/>
      <c r="J3" s="503"/>
      <c r="K3" s="504"/>
      <c r="L3" s="780"/>
      <c r="M3" s="777"/>
      <c r="N3" s="505"/>
      <c r="O3" s="506"/>
      <c r="P3" s="507"/>
    </row>
    <row r="4" spans="1:17">
      <c r="A4" s="317" t="s">
        <v>406</v>
      </c>
      <c r="B4" s="400">
        <f>'S-Alloc %-TY'!K7</f>
        <v>3848861.8727728743</v>
      </c>
      <c r="C4" s="585">
        <f>'S-Alloc %-TY'!K8</f>
        <v>0.55284544800718649</v>
      </c>
      <c r="D4" s="400">
        <f>C55</f>
        <v>2612332.4330496001</v>
      </c>
      <c r="E4" s="710">
        <v>0.42516660000000001</v>
      </c>
      <c r="F4" s="530">
        <f>(Revenues!$D$30+Revenues!$D$41)*E4</f>
        <v>227956.89908940002</v>
      </c>
      <c r="G4" s="399">
        <f>SUM(D4,F4)</f>
        <v>2840289.3321390003</v>
      </c>
      <c r="H4" s="399">
        <f>G4-B4</f>
        <v>-1008572.540633874</v>
      </c>
      <c r="I4" s="319">
        <f>D4*J4</f>
        <v>119675.46217495522</v>
      </c>
      <c r="J4" s="800">
        <v>4.5811727734531765E-2</v>
      </c>
      <c r="K4" s="399">
        <f>SUM(G4,I4)</f>
        <v>2959964.7943139556</v>
      </c>
      <c r="L4" s="781">
        <f>K4-B4</f>
        <v>-888897.07845891872</v>
      </c>
      <c r="M4" s="778">
        <v>3.42</v>
      </c>
      <c r="N4" s="586">
        <f>M4*(1+J4)</f>
        <v>3.5766761088520989</v>
      </c>
      <c r="O4" s="320">
        <f>((N4*'S-Sales By Meter'!J15)/1000)+F4</f>
        <v>3043359.4410802578</v>
      </c>
      <c r="P4" s="321">
        <f>O4-B4</f>
        <v>-805502.43169261655</v>
      </c>
    </row>
    <row r="5" spans="1:17">
      <c r="A5" s="318" t="s">
        <v>407</v>
      </c>
      <c r="B5" s="400">
        <f>'S-Alloc %-TY'!L7</f>
        <v>887847.91093596118</v>
      </c>
      <c r="C5" s="585">
        <f>'S-Alloc %-TY'!L8</f>
        <v>0.12752930406671451</v>
      </c>
      <c r="D5" s="400">
        <f>C56</f>
        <v>823063.64328960003</v>
      </c>
      <c r="E5" s="710">
        <v>0.13395660000000001</v>
      </c>
      <c r="F5" s="530">
        <f>(Revenues!$D$30+Revenues!$D$41)*E5</f>
        <v>71822.036699400007</v>
      </c>
      <c r="G5" s="399">
        <f>SUM(D5,F5)</f>
        <v>894885.67998900008</v>
      </c>
      <c r="H5" s="399">
        <f>G5-B5</f>
        <v>7037.7690530389082</v>
      </c>
      <c r="I5" s="319">
        <f>D5*J5</f>
        <v>37705.967534574927</v>
      </c>
      <c r="J5" s="800">
        <v>4.5811727734531765E-2</v>
      </c>
      <c r="K5" s="399">
        <f>SUM(G5,I5)</f>
        <v>932591.647523575</v>
      </c>
      <c r="L5" s="781">
        <f>K5-B5</f>
        <v>44743.736587613821</v>
      </c>
      <c r="M5" s="778">
        <v>4.79</v>
      </c>
      <c r="N5" s="586">
        <f>M5*(1+J5)</f>
        <v>5.0094381758484072</v>
      </c>
      <c r="O5" s="320">
        <f>((N5*'S-Sales By Meter'!AO15)/1000)+F5</f>
        <v>957852.03696502245</v>
      </c>
      <c r="P5" s="321">
        <f>O5-B5</f>
        <v>70004.12602906127</v>
      </c>
    </row>
    <row r="6" spans="1:17">
      <c r="A6" s="604" t="s">
        <v>408</v>
      </c>
      <c r="B6" s="400">
        <f>'S-Alloc %-TY'!M7</f>
        <v>2110501.9501371351</v>
      </c>
      <c r="C6" s="585">
        <f>'S-Alloc %-TY'!M8</f>
        <v>0.30314971924492817</v>
      </c>
      <c r="D6" s="400">
        <f>C57</f>
        <v>2528833.2228607996</v>
      </c>
      <c r="E6" s="710">
        <v>0.41157679999999996</v>
      </c>
      <c r="F6" s="530">
        <f>(Revenues!$D$30+Revenues!$D$41)*E6</f>
        <v>220670.60551119997</v>
      </c>
      <c r="G6" s="399">
        <f>SUM(D6,F6)</f>
        <v>2749503.8283719998</v>
      </c>
      <c r="H6" s="399">
        <f>G6-B6</f>
        <v>639001.87823486468</v>
      </c>
      <c r="I6" s="319">
        <f>D6*J6</f>
        <v>115850.21909173744</v>
      </c>
      <c r="J6" s="800">
        <v>4.5811727734531765E-2</v>
      </c>
      <c r="K6" s="399">
        <f>SUM(G6,I6)</f>
        <v>2865354.0474637374</v>
      </c>
      <c r="L6" s="781">
        <f>K6-B6</f>
        <v>754852.09732660232</v>
      </c>
      <c r="M6" s="778">
        <v>6.08</v>
      </c>
      <c r="N6" s="586">
        <f>M6*(1+J6)</f>
        <v>6.3585353046259536</v>
      </c>
      <c r="O6" s="320">
        <f>((N6*'S-Sales By Meter'!AW15)/1000)+F6</f>
        <v>2951417.6690191147</v>
      </c>
      <c r="P6" s="321">
        <f>O6-B6</f>
        <v>840915.71888197958</v>
      </c>
    </row>
    <row r="7" spans="1:17" ht="15.75" thickBot="1">
      <c r="A7" s="316" t="s">
        <v>409</v>
      </c>
      <c r="B7" s="400">
        <f>'S-Alloc %-TY'!N7</f>
        <v>114701.19615402908</v>
      </c>
      <c r="C7" s="585">
        <f>'S-Alloc %-TY'!N8</f>
        <v>1.6475528681170835E-2</v>
      </c>
      <c r="D7" s="602">
        <f>C58</f>
        <v>180026.70079999996</v>
      </c>
      <c r="E7" s="710">
        <v>2.9335338391663936E-2</v>
      </c>
      <c r="F7" s="530">
        <f>(Revenues!$D$30+Revenues!$D$41)*E7</f>
        <v>15728.405696736145</v>
      </c>
      <c r="G7" s="399">
        <f>SUM(D7,F7)</f>
        <v>195755.10649673612</v>
      </c>
      <c r="H7" s="399">
        <f>G7-B7</f>
        <v>81053.910342707037</v>
      </c>
      <c r="I7" s="319">
        <f>D7*J7</f>
        <v>8247.3342019956108</v>
      </c>
      <c r="J7" s="800">
        <v>4.5811727734531765E-2</v>
      </c>
      <c r="K7" s="399">
        <f>SUM(G7,I7)</f>
        <v>204002.44069873172</v>
      </c>
      <c r="L7" s="781">
        <f>K7-B7</f>
        <v>89301.24454470264</v>
      </c>
      <c r="M7" s="779">
        <v>7.87</v>
      </c>
      <c r="N7" s="586">
        <f>M7*(1+J7)</f>
        <v>8.2305382972707655</v>
      </c>
      <c r="O7" s="320">
        <f>((N7*'S-Sales By Meter'!AW16)/1000)+F7</f>
        <v>15728.408191996446</v>
      </c>
      <c r="P7" s="321">
        <f>O7-B7</f>
        <v>-98972.787962032628</v>
      </c>
    </row>
    <row r="8" spans="1:17" ht="15.75" thickBot="1">
      <c r="A8" s="323"/>
      <c r="B8" s="528">
        <f t="shared" ref="B8:H8" si="0">SUM(B4:B7)</f>
        <v>6961912.9299999988</v>
      </c>
      <c r="C8" s="531">
        <f t="shared" si="0"/>
        <v>1</v>
      </c>
      <c r="D8" s="528">
        <f t="shared" si="0"/>
        <v>6144256</v>
      </c>
      <c r="E8" s="531">
        <f t="shared" si="0"/>
        <v>1.000035338391664</v>
      </c>
      <c r="F8" s="529">
        <f t="shared" si="0"/>
        <v>536177.94699673611</v>
      </c>
      <c r="G8" s="529">
        <f t="shared" si="0"/>
        <v>6680433.9469967363</v>
      </c>
      <c r="H8" s="529">
        <f t="shared" si="0"/>
        <v>-281478.98300326336</v>
      </c>
      <c r="I8" s="637">
        <f>D8*J8</f>
        <v>281478.98300326319</v>
      </c>
      <c r="J8" s="638">
        <v>4.5811727734531765E-2</v>
      </c>
      <c r="K8" s="637">
        <f>SUM(G8,I8)</f>
        <v>6961912.9299999997</v>
      </c>
      <c r="L8" s="533">
        <f>K8-B8</f>
        <v>0</v>
      </c>
      <c r="M8" s="322"/>
      <c r="N8" s="322"/>
      <c r="O8" s="529">
        <f>SUM(O4:O7)</f>
        <v>6968357.5552563919</v>
      </c>
      <c r="P8" s="533">
        <f>SUM(P4:P7)</f>
        <v>6444.6252563916787</v>
      </c>
      <c r="Q8" s="7"/>
    </row>
    <row r="9" spans="1:17" ht="15.75" thickBot="1"/>
    <row r="10" spans="1:17" ht="54" customHeight="1">
      <c r="A10" s="911" t="s">
        <v>513</v>
      </c>
      <c r="B10" s="103" t="s">
        <v>514</v>
      </c>
      <c r="C10" s="102" t="s">
        <v>515</v>
      </c>
      <c r="D10" s="102" t="s">
        <v>516</v>
      </c>
      <c r="E10" s="102" t="s">
        <v>517</v>
      </c>
      <c r="F10" s="102" t="s">
        <v>518</v>
      </c>
      <c r="G10" s="913" t="s">
        <v>519</v>
      </c>
      <c r="H10" s="914"/>
    </row>
    <row r="11" spans="1:17" ht="31.5" customHeight="1" thickBot="1">
      <c r="A11" s="912"/>
      <c r="B11" s="104" t="s">
        <v>507</v>
      </c>
      <c r="C11" s="105" t="s">
        <v>507</v>
      </c>
      <c r="D11" s="105" t="s">
        <v>507</v>
      </c>
      <c r="E11" s="105" t="s">
        <v>507</v>
      </c>
      <c r="F11" s="105" t="s">
        <v>507</v>
      </c>
      <c r="G11" s="918" t="s">
        <v>507</v>
      </c>
      <c r="H11" s="919"/>
    </row>
    <row r="12" spans="1:17">
      <c r="A12" s="581" t="s">
        <v>512</v>
      </c>
      <c r="B12" s="582">
        <f>B8/'S-Sales By Meter'!BB15*1000</f>
        <v>4.9146411908341188</v>
      </c>
      <c r="C12" s="582">
        <f>D8/'S-Sales By Meter'!BB15*1000</f>
        <v>4.3374305206413553</v>
      </c>
      <c r="D12" s="583">
        <f>C12-B12</f>
        <v>-0.57721067019276351</v>
      </c>
      <c r="E12" s="583">
        <v>5.4</v>
      </c>
      <c r="F12" s="584">
        <f>(E12*'S-Sales By Meter'!BB15)/1000</f>
        <v>7649455.6494000005</v>
      </c>
      <c r="G12" s="905">
        <f>F12-B8</f>
        <v>687542.71940000169</v>
      </c>
      <c r="H12" s="906"/>
    </row>
    <row r="13" spans="1:17">
      <c r="A13" s="317" t="s">
        <v>406</v>
      </c>
      <c r="B13" s="518">
        <f>B4/'S-Sales By Meter'!J15*1000</f>
        <v>4.8895787019088335</v>
      </c>
      <c r="C13" s="518">
        <f>D4/'S-Sales By Meter'!J15*1000</f>
        <v>3.3186966560955535</v>
      </c>
      <c r="D13" s="519">
        <f>C13-B13</f>
        <v>-1.5708820458132799</v>
      </c>
      <c r="E13" s="532">
        <f>M5</f>
        <v>4.79</v>
      </c>
      <c r="F13" s="517">
        <f>(E13*'S-Sales By Meter'!J15)/1000</f>
        <v>3770477.8866500002</v>
      </c>
      <c r="G13" s="907">
        <f>F13-B4</f>
        <v>-78383.986122874077</v>
      </c>
      <c r="H13" s="908"/>
    </row>
    <row r="14" spans="1:17">
      <c r="A14" s="318" t="s">
        <v>407</v>
      </c>
      <c r="B14" s="519">
        <f>B5/'S-Sales By Meter'!AO15*1000</f>
        <v>5.0197162828081572</v>
      </c>
      <c r="C14" s="518">
        <f>D5/'S-Sales By Meter'!AO15*1000</f>
        <v>4.6534388616770768</v>
      </c>
      <c r="D14" s="532">
        <f>C14-B14</f>
        <v>-0.36627742113108042</v>
      </c>
      <c r="E14" s="532">
        <f>M6</f>
        <v>6.08</v>
      </c>
      <c r="F14" s="517">
        <f>(E14*'S-Sales By Meter'!AO15)/1000</f>
        <v>1075382.5504000001</v>
      </c>
      <c r="G14" s="907">
        <f>F14-B5</f>
        <v>187534.63946403889</v>
      </c>
      <c r="H14" s="908"/>
    </row>
    <row r="15" spans="1:17">
      <c r="A15" s="604" t="s">
        <v>408</v>
      </c>
      <c r="B15" s="518">
        <f>B6/'S-Sales By Meter'!AW15*1000</f>
        <v>4.914296655212719</v>
      </c>
      <c r="C15" s="518">
        <f>D6/'S-Sales By Meter'!AW15*1000</f>
        <v>5.8883796093569698</v>
      </c>
      <c r="D15" s="518">
        <f>C15-B15</f>
        <v>0.97408295414425083</v>
      </c>
      <c r="E15" s="518">
        <f>M6</f>
        <v>6.08</v>
      </c>
      <c r="F15" s="603">
        <f>(E15*'S-Sales By Meter'!AW15)/1000</f>
        <v>2611126.8319999999</v>
      </c>
      <c r="G15" s="909">
        <f>F15-B6</f>
        <v>500624.88186286483</v>
      </c>
      <c r="H15" s="910"/>
    </row>
    <row r="16" spans="1:17" ht="15.75" thickBot="1">
      <c r="A16" s="605" t="s">
        <v>409</v>
      </c>
      <c r="B16" s="518">
        <f>B7/'S-Sales By Meter'!BA15*1000</f>
        <v>4.9705956216932154</v>
      </c>
      <c r="C16" s="518">
        <f>D7/'S-Sales By Meter'!BA15*1000</f>
        <v>7.8014873496410493</v>
      </c>
      <c r="D16" s="518">
        <f>C16-B16</f>
        <v>2.8308917279478338</v>
      </c>
      <c r="E16" s="518">
        <f>M7</f>
        <v>7.87</v>
      </c>
      <c r="F16" s="603">
        <f>(E16*'S-Sales By Meter'!BA15)/1000</f>
        <v>181607.69502000001</v>
      </c>
      <c r="G16" s="909">
        <f>F16-B7</f>
        <v>66906.498865970934</v>
      </c>
      <c r="H16" s="910"/>
    </row>
    <row r="17" spans="1:8" ht="15.75" thickBot="1">
      <c r="A17" s="310"/>
      <c r="B17" s="311"/>
      <c r="C17" s="312"/>
      <c r="D17" s="311"/>
      <c r="E17" s="311"/>
      <c r="F17" s="401"/>
      <c r="G17" s="903"/>
      <c r="H17" s="904"/>
    </row>
    <row r="24" spans="1:8">
      <c r="A24" s="108"/>
      <c r="B24" s="108"/>
      <c r="C24" s="108"/>
      <c r="D24" s="108"/>
      <c r="E24" s="108"/>
    </row>
    <row r="25" spans="1:8">
      <c r="A25" s="108"/>
      <c r="B25" s="108"/>
      <c r="C25" s="108"/>
      <c r="D25" s="108"/>
      <c r="E25" s="108"/>
    </row>
    <row r="26" spans="1:8">
      <c r="A26" s="108"/>
      <c r="B26" s="108"/>
      <c r="C26" s="108"/>
      <c r="D26" s="108"/>
      <c r="E26" s="108"/>
    </row>
    <row r="27" spans="1:8">
      <c r="A27" s="108"/>
      <c r="B27" s="108"/>
      <c r="C27" s="108"/>
      <c r="D27" s="108"/>
      <c r="E27" s="108"/>
    </row>
    <row r="28" spans="1:8">
      <c r="A28" s="108"/>
      <c r="B28" s="108"/>
      <c r="C28" s="108"/>
      <c r="D28" s="108"/>
      <c r="E28" s="108"/>
    </row>
    <row r="29" spans="1:8">
      <c r="A29" s="108"/>
      <c r="B29" s="108"/>
      <c r="C29" s="108"/>
      <c r="D29" s="108"/>
      <c r="E29" s="108"/>
    </row>
    <row r="30" spans="1:8">
      <c r="A30" s="108"/>
      <c r="B30" s="108"/>
      <c r="C30" s="108"/>
      <c r="D30" s="108"/>
      <c r="E30" s="108"/>
    </row>
    <row r="31" spans="1:8">
      <c r="A31" s="108"/>
      <c r="B31" s="108"/>
      <c r="C31" s="108"/>
      <c r="D31" s="108"/>
      <c r="E31" s="108"/>
    </row>
    <row r="32" spans="1:8">
      <c r="A32" s="108"/>
      <c r="B32" s="108"/>
      <c r="C32" s="108"/>
      <c r="D32" s="108"/>
      <c r="E32" s="108"/>
    </row>
    <row r="33" spans="1:5">
      <c r="A33" s="108"/>
      <c r="B33" s="108"/>
      <c r="C33" s="108"/>
      <c r="D33" s="108"/>
      <c r="E33" s="108"/>
    </row>
    <row r="34" spans="1:5">
      <c r="A34" s="108"/>
      <c r="B34" s="108"/>
      <c r="C34" s="108"/>
      <c r="D34" s="108"/>
      <c r="E34" s="108"/>
    </row>
    <row r="35" spans="1:5">
      <c r="A35" s="108"/>
      <c r="B35" s="108"/>
      <c r="C35" s="108"/>
      <c r="D35" s="108"/>
      <c r="E35" s="108"/>
    </row>
    <row r="36" spans="1:5">
      <c r="A36" s="108"/>
      <c r="B36" s="108"/>
      <c r="C36" s="108"/>
      <c r="D36" s="108"/>
      <c r="E36" s="108"/>
    </row>
    <row r="37" spans="1:5">
      <c r="A37" s="108"/>
      <c r="B37" s="108"/>
      <c r="C37" s="108"/>
      <c r="D37" s="108"/>
      <c r="E37" s="108"/>
    </row>
    <row r="38" spans="1:5">
      <c r="A38" s="108"/>
      <c r="B38" s="108"/>
      <c r="C38" s="108"/>
      <c r="D38" s="108"/>
      <c r="E38" s="108"/>
    </row>
    <row r="39" spans="1:5">
      <c r="A39" s="108"/>
      <c r="E39" s="108"/>
    </row>
    <row r="40" spans="1:5">
      <c r="A40" s="108"/>
      <c r="B40" s="108" t="s">
        <v>520</v>
      </c>
      <c r="C40" s="108"/>
      <c r="D40" s="108"/>
      <c r="E40" s="108"/>
    </row>
    <row r="41" spans="1:5">
      <c r="A41" s="108"/>
      <c r="B41" s="772"/>
      <c r="C41" s="772" t="s">
        <v>521</v>
      </c>
      <c r="D41" s="772"/>
      <c r="E41" s="772" t="s">
        <v>522</v>
      </c>
    </row>
    <row r="42" spans="1:5">
      <c r="A42" s="108"/>
      <c r="B42" s="620" t="s">
        <v>523</v>
      </c>
      <c r="C42" s="626">
        <v>6012294.0790399825</v>
      </c>
      <c r="D42" s="627">
        <f>C42/C44</f>
        <v>0.97066466160833609</v>
      </c>
      <c r="E42" s="629">
        <f>E44*D42</f>
        <v>5964012.1710749883</v>
      </c>
    </row>
    <row r="43" spans="1:5">
      <c r="A43" s="108"/>
      <c r="B43" s="620" t="s">
        <v>524</v>
      </c>
      <c r="C43" s="626">
        <v>181703.00032000328</v>
      </c>
      <c r="D43" s="627">
        <f>C43/C44</f>
        <v>2.9335338391663936E-2</v>
      </c>
      <c r="E43" s="629">
        <f>E44*D43</f>
        <v>180243.8289250115</v>
      </c>
    </row>
    <row r="44" spans="1:5">
      <c r="A44" s="108"/>
      <c r="B44" s="620" t="s">
        <v>38</v>
      </c>
      <c r="C44" s="626">
        <v>6193997.0793599859</v>
      </c>
      <c r="D44" s="628">
        <f>SUM(D42:D43)</f>
        <v>1</v>
      </c>
      <c r="E44" s="626">
        <f>Revenues!D18</f>
        <v>6144256</v>
      </c>
    </row>
    <row r="45" spans="1:5">
      <c r="A45" s="108"/>
      <c r="B45" s="108"/>
      <c r="C45" s="108"/>
      <c r="D45" s="108"/>
      <c r="E45" s="108"/>
    </row>
    <row r="46" spans="1:5">
      <c r="A46" s="108"/>
      <c r="B46" s="108"/>
      <c r="C46" s="622"/>
      <c r="D46" s="622"/>
      <c r="E46" s="108"/>
    </row>
    <row r="47" spans="1:5">
      <c r="A47" s="108"/>
      <c r="B47" s="772"/>
      <c r="C47" s="773" t="s">
        <v>525</v>
      </c>
      <c r="D47" s="773" t="s">
        <v>526</v>
      </c>
      <c r="E47" s="108"/>
    </row>
    <row r="48" spans="1:5">
      <c r="A48" s="108"/>
      <c r="B48" s="620" t="s">
        <v>406</v>
      </c>
      <c r="C48" s="621">
        <v>0.438</v>
      </c>
      <c r="D48" s="623">
        <f>C48*D51/C51</f>
        <v>0.42516660000000001</v>
      </c>
      <c r="E48" s="108"/>
    </row>
    <row r="49" spans="1:5">
      <c r="A49" s="108"/>
      <c r="B49" s="620" t="s">
        <v>407</v>
      </c>
      <c r="C49" s="621">
        <v>0.13800000000000001</v>
      </c>
      <c r="D49" s="623">
        <f>C49*D51/C51</f>
        <v>0.13395660000000001</v>
      </c>
      <c r="E49" s="108"/>
    </row>
    <row r="50" spans="1:5">
      <c r="A50" s="108"/>
      <c r="B50" s="620" t="s">
        <v>408</v>
      </c>
      <c r="C50" s="621">
        <v>0.42399999999999999</v>
      </c>
      <c r="D50" s="623">
        <f>C50*D51/C51</f>
        <v>0.41157679999999996</v>
      </c>
      <c r="E50" s="108"/>
    </row>
    <row r="51" spans="1:5">
      <c r="A51" s="108"/>
      <c r="B51" s="620" t="s">
        <v>38</v>
      </c>
      <c r="C51" s="621">
        <v>1</v>
      </c>
      <c r="D51" s="621">
        <v>0.97070000000000001</v>
      </c>
      <c r="E51" s="108"/>
    </row>
    <row r="52" spans="1:5">
      <c r="A52" s="108"/>
      <c r="B52" s="607"/>
      <c r="C52" s="108"/>
      <c r="D52" s="619"/>
      <c r="E52" s="108"/>
    </row>
    <row r="53" spans="1:5">
      <c r="A53" s="108"/>
      <c r="B53" s="108"/>
      <c r="C53" s="108"/>
      <c r="D53" s="108"/>
      <c r="E53" s="108"/>
    </row>
    <row r="54" spans="1:5">
      <c r="A54" s="108"/>
      <c r="B54" s="774"/>
      <c r="C54" s="775" t="s">
        <v>527</v>
      </c>
      <c r="D54" s="776" t="s">
        <v>508</v>
      </c>
      <c r="E54" s="108"/>
    </row>
    <row r="55" spans="1:5">
      <c r="A55" s="108"/>
      <c r="B55" s="620" t="s">
        <v>406</v>
      </c>
      <c r="C55" s="624">
        <f>$C$59*D55</f>
        <v>2612332.4330496001</v>
      </c>
      <c r="D55" s="621">
        <v>0.42516660000000001</v>
      </c>
      <c r="E55" s="108"/>
    </row>
    <row r="56" spans="1:5">
      <c r="A56" s="108"/>
      <c r="B56" s="620" t="s">
        <v>407</v>
      </c>
      <c r="C56" s="624">
        <f>$C$59*D56</f>
        <v>823063.64328960003</v>
      </c>
      <c r="D56" s="621">
        <v>0.13395660000000001</v>
      </c>
      <c r="E56" s="108"/>
    </row>
    <row r="57" spans="1:5">
      <c r="A57" s="108"/>
      <c r="B57" s="620" t="s">
        <v>408</v>
      </c>
      <c r="C57" s="624">
        <f>$C$59*D57</f>
        <v>2528833.2228607996</v>
      </c>
      <c r="D57" s="621">
        <v>0.41157679999999996</v>
      </c>
      <c r="E57" s="108"/>
    </row>
    <row r="58" spans="1:5">
      <c r="A58" s="108"/>
      <c r="B58" s="620" t="s">
        <v>409</v>
      </c>
      <c r="C58" s="624">
        <f>$C$59*D58</f>
        <v>180026.70079999996</v>
      </c>
      <c r="D58" s="621">
        <v>2.9299999999999993E-2</v>
      </c>
      <c r="E58" s="108"/>
    </row>
    <row r="59" spans="1:5">
      <c r="A59" s="108"/>
      <c r="B59" s="620" t="s">
        <v>38</v>
      </c>
      <c r="C59" s="624">
        <f>E44</f>
        <v>6144256</v>
      </c>
      <c r="D59" s="625">
        <f>SUM(D55:D58)</f>
        <v>1</v>
      </c>
      <c r="E59" s="108"/>
    </row>
  </sheetData>
  <mergeCells count="14">
    <mergeCell ref="A1:A2"/>
    <mergeCell ref="A10:A11"/>
    <mergeCell ref="B1:C1"/>
    <mergeCell ref="D1:E1"/>
    <mergeCell ref="M1:P1"/>
    <mergeCell ref="G10:H10"/>
    <mergeCell ref="G11:H11"/>
    <mergeCell ref="I1:J1"/>
    <mergeCell ref="G17:H17"/>
    <mergeCell ref="G12:H12"/>
    <mergeCell ref="G13:H13"/>
    <mergeCell ref="G14:H14"/>
    <mergeCell ref="G15:H15"/>
    <mergeCell ref="G16:H16"/>
  </mergeCells>
  <pageMargins left="0.7" right="0.7" top="0.75" bottom="0.75" header="0.3" footer="0.3"/>
  <pageSetup paperSize="3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E4C70-1ED7-4233-A148-D55FC764E1CE}">
  <sheetPr>
    <tabColor rgb="FFC00000"/>
  </sheetPr>
  <dimension ref="A1:I41"/>
  <sheetViews>
    <sheetView workbookViewId="0"/>
  </sheetViews>
  <sheetFormatPr defaultRowHeight="15"/>
  <cols>
    <col min="1" max="1" width="25.140625" bestFit="1" customWidth="1"/>
    <col min="2" max="2" width="11.85546875" bestFit="1" customWidth="1"/>
    <col min="3" max="3" width="15.5703125" customWidth="1"/>
    <col min="4" max="4" width="16.5703125" customWidth="1"/>
    <col min="5" max="5" width="15.7109375" customWidth="1"/>
  </cols>
  <sheetData>
    <row r="1" spans="1:9" ht="15.75" thickBot="1"/>
    <row r="2" spans="1:9" ht="15.75" thickBot="1">
      <c r="A2" s="923" t="s">
        <v>528</v>
      </c>
      <c r="B2" s="924"/>
      <c r="C2" s="924"/>
      <c r="D2" s="924"/>
      <c r="E2" s="925"/>
    </row>
    <row r="3" spans="1:9" ht="52.5" thickBot="1">
      <c r="A3" s="641"/>
      <c r="B3" s="642" t="s">
        <v>529</v>
      </c>
      <c r="C3" s="642" t="s">
        <v>530</v>
      </c>
      <c r="D3" s="642" t="s">
        <v>531</v>
      </c>
      <c r="E3" s="642" t="s">
        <v>532</v>
      </c>
      <c r="G3" s="640" t="s">
        <v>527</v>
      </c>
      <c r="H3" s="643" t="s">
        <v>533</v>
      </c>
      <c r="I3" s="644">
        <v>0</v>
      </c>
    </row>
    <row r="4" spans="1:9" ht="15.75" thickBot="1">
      <c r="A4" s="645" t="s">
        <v>534</v>
      </c>
      <c r="B4" s="681">
        <f>(B9*I3)/1000</f>
        <v>0</v>
      </c>
      <c r="C4" s="681">
        <f>(C9*I3)/1000</f>
        <v>0</v>
      </c>
      <c r="D4" s="681">
        <f>B4*12</f>
        <v>0</v>
      </c>
      <c r="E4" s="682">
        <f>(D22*I3)/1000</f>
        <v>0</v>
      </c>
    </row>
    <row r="5" spans="1:9">
      <c r="A5" s="646"/>
      <c r="B5" s="646"/>
      <c r="C5" s="646"/>
      <c r="D5" s="646"/>
      <c r="E5" s="646"/>
    </row>
    <row r="6" spans="1:9" ht="15.75" thickBot="1">
      <c r="A6" s="190"/>
      <c r="B6" s="647"/>
      <c r="C6" s="190"/>
      <c r="D6" s="190"/>
      <c r="E6" s="646"/>
    </row>
    <row r="7" spans="1:9" ht="15.75" thickBot="1">
      <c r="A7" s="923" t="s">
        <v>535</v>
      </c>
      <c r="B7" s="924"/>
      <c r="C7" s="924"/>
      <c r="D7" s="925"/>
      <c r="E7" s="190"/>
    </row>
    <row r="8" spans="1:9" ht="51.75" thickBot="1">
      <c r="A8" s="648"/>
      <c r="B8" s="649" t="s">
        <v>536</v>
      </c>
      <c r="C8" s="649" t="s">
        <v>537</v>
      </c>
      <c r="D8" s="649" t="s">
        <v>538</v>
      </c>
      <c r="E8" s="190"/>
    </row>
    <row r="9" spans="1:9" ht="15.75" thickBot="1">
      <c r="A9" s="650" t="s">
        <v>539</v>
      </c>
      <c r="B9" s="651">
        <f>AVERAGE(B10:B21)</f>
        <v>0</v>
      </c>
      <c r="C9" s="651">
        <v>0</v>
      </c>
      <c r="D9" s="652" t="s">
        <v>79</v>
      </c>
      <c r="E9" s="190"/>
    </row>
    <row r="10" spans="1:9">
      <c r="A10" s="130" t="s">
        <v>540</v>
      </c>
      <c r="B10" s="683">
        <v>0</v>
      </c>
      <c r="C10" s="653">
        <f>$C$9</f>
        <v>0</v>
      </c>
      <c r="D10" s="654">
        <f>C10-B10</f>
        <v>0</v>
      </c>
      <c r="E10" s="190"/>
    </row>
    <row r="11" spans="1:9">
      <c r="A11" s="131" t="s">
        <v>541</v>
      </c>
      <c r="B11" s="683">
        <v>0</v>
      </c>
      <c r="C11" s="653">
        <f t="shared" ref="C11:C21" si="0">$C$9</f>
        <v>0</v>
      </c>
      <c r="D11" s="654">
        <f t="shared" ref="D11:D21" si="1">C11-B11</f>
        <v>0</v>
      </c>
      <c r="E11" s="655"/>
    </row>
    <row r="12" spans="1:9">
      <c r="A12" s="132" t="s">
        <v>542</v>
      </c>
      <c r="B12" s="683">
        <v>0</v>
      </c>
      <c r="C12" s="653">
        <f t="shared" si="0"/>
        <v>0</v>
      </c>
      <c r="D12" s="654">
        <f>C12-B12</f>
        <v>0</v>
      </c>
      <c r="E12" s="655"/>
    </row>
    <row r="13" spans="1:9">
      <c r="A13" s="131" t="s">
        <v>543</v>
      </c>
      <c r="B13" s="683">
        <v>0</v>
      </c>
      <c r="C13" s="653">
        <f t="shared" si="0"/>
        <v>0</v>
      </c>
      <c r="D13" s="654">
        <f t="shared" si="1"/>
        <v>0</v>
      </c>
      <c r="E13" s="655"/>
    </row>
    <row r="14" spans="1:9">
      <c r="A14" s="132" t="s">
        <v>544</v>
      </c>
      <c r="B14" s="683">
        <v>0</v>
      </c>
      <c r="C14" s="653">
        <f t="shared" si="0"/>
        <v>0</v>
      </c>
      <c r="D14" s="654">
        <f t="shared" si="1"/>
        <v>0</v>
      </c>
      <c r="E14" s="655"/>
    </row>
    <row r="15" spans="1:9">
      <c r="A15" s="131" t="s">
        <v>545</v>
      </c>
      <c r="B15" s="683">
        <v>0</v>
      </c>
      <c r="C15" s="653">
        <f t="shared" si="0"/>
        <v>0</v>
      </c>
      <c r="D15" s="654">
        <f t="shared" si="1"/>
        <v>0</v>
      </c>
      <c r="E15" s="655"/>
    </row>
    <row r="16" spans="1:9">
      <c r="A16" s="132" t="s">
        <v>546</v>
      </c>
      <c r="B16" s="683">
        <v>0</v>
      </c>
      <c r="C16" s="653">
        <f t="shared" si="0"/>
        <v>0</v>
      </c>
      <c r="D16" s="654">
        <f t="shared" si="1"/>
        <v>0</v>
      </c>
      <c r="E16" s="655"/>
    </row>
    <row r="17" spans="1:5">
      <c r="A17" s="131" t="s">
        <v>547</v>
      </c>
      <c r="B17" s="683">
        <v>0</v>
      </c>
      <c r="C17" s="653">
        <f t="shared" si="0"/>
        <v>0</v>
      </c>
      <c r="D17" s="654">
        <f t="shared" si="1"/>
        <v>0</v>
      </c>
      <c r="E17" s="655"/>
    </row>
    <row r="18" spans="1:5">
      <c r="A18" s="132" t="s">
        <v>548</v>
      </c>
      <c r="B18" s="683">
        <v>0</v>
      </c>
      <c r="C18" s="653">
        <f t="shared" si="0"/>
        <v>0</v>
      </c>
      <c r="D18" s="654">
        <f t="shared" si="1"/>
        <v>0</v>
      </c>
      <c r="E18" s="655"/>
    </row>
    <row r="19" spans="1:5">
      <c r="A19" s="131" t="s">
        <v>549</v>
      </c>
      <c r="B19" s="683">
        <v>0</v>
      </c>
      <c r="C19" s="653">
        <f t="shared" si="0"/>
        <v>0</v>
      </c>
      <c r="D19" s="654">
        <f t="shared" si="1"/>
        <v>0</v>
      </c>
      <c r="E19" s="655"/>
    </row>
    <row r="20" spans="1:5">
      <c r="A20" s="132" t="s">
        <v>550</v>
      </c>
      <c r="B20" s="683">
        <v>0</v>
      </c>
      <c r="C20" s="653">
        <f t="shared" si="0"/>
        <v>0</v>
      </c>
      <c r="D20" s="654">
        <f t="shared" si="1"/>
        <v>0</v>
      </c>
      <c r="E20" s="655"/>
    </row>
    <row r="21" spans="1:5" ht="15.75" thickBot="1">
      <c r="A21" s="133" t="s">
        <v>551</v>
      </c>
      <c r="B21" s="683">
        <v>0</v>
      </c>
      <c r="C21" s="653">
        <f t="shared" si="0"/>
        <v>0</v>
      </c>
      <c r="D21" s="656">
        <f t="shared" si="1"/>
        <v>0</v>
      </c>
      <c r="E21" s="655"/>
    </row>
    <row r="22" spans="1:5" ht="15.75" thickBot="1">
      <c r="A22" s="672" t="s">
        <v>552</v>
      </c>
      <c r="B22" s="679">
        <f>SUM(B10:B21)</f>
        <v>0</v>
      </c>
      <c r="C22" s="680">
        <f>SUM(C10:C21)</f>
        <v>0</v>
      </c>
      <c r="D22" s="680">
        <f>SUM(D10:D21)</f>
        <v>0</v>
      </c>
      <c r="E22" s="655"/>
    </row>
    <row r="23" spans="1:5" ht="15.75" thickBot="1">
      <c r="A23" s="657"/>
      <c r="B23" s="657"/>
      <c r="C23" s="657"/>
      <c r="D23" s="657"/>
      <c r="E23" s="658"/>
    </row>
    <row r="24" spans="1:5" ht="40.5" thickBot="1">
      <c r="A24" s="659"/>
      <c r="B24" s="649" t="s">
        <v>536</v>
      </c>
      <c r="C24" s="649" t="s">
        <v>553</v>
      </c>
      <c r="D24" s="649" t="s">
        <v>554</v>
      </c>
      <c r="E24" s="649" t="s">
        <v>555</v>
      </c>
    </row>
    <row r="25" spans="1:5">
      <c r="A25" s="660" t="s">
        <v>106</v>
      </c>
      <c r="B25" s="646"/>
      <c r="C25" s="655"/>
      <c r="D25" s="655"/>
      <c r="E25" s="661"/>
    </row>
    <row r="26" spans="1:5">
      <c r="A26" s="662" t="s">
        <v>14</v>
      </c>
      <c r="B26" s="684">
        <f>Expenses!D27</f>
        <v>3377072</v>
      </c>
      <c r="C26" s="685">
        <v>0.96109147437678477</v>
      </c>
      <c r="D26" s="686">
        <f>E26/12</f>
        <v>0</v>
      </c>
      <c r="E26" s="687">
        <f>C26*($D$22/1000)</f>
        <v>0</v>
      </c>
    </row>
    <row r="27" spans="1:5">
      <c r="A27" s="663" t="s">
        <v>16</v>
      </c>
      <c r="B27" s="688">
        <f>Expenses!D8</f>
        <v>157890</v>
      </c>
      <c r="C27" s="689">
        <v>4.4934408531814109E-2</v>
      </c>
      <c r="D27" s="690">
        <f>E27/12</f>
        <v>0</v>
      </c>
      <c r="E27" s="691">
        <f>C27*($D$22/1000)</f>
        <v>0</v>
      </c>
    </row>
    <row r="28" spans="1:5">
      <c r="A28" s="667" t="s">
        <v>38</v>
      </c>
      <c r="B28" s="676"/>
      <c r="C28" s="677"/>
      <c r="D28" s="678"/>
      <c r="E28" s="671">
        <f>SUM(E26:E27)</f>
        <v>0</v>
      </c>
    </row>
    <row r="29" spans="1:5">
      <c r="A29" s="664"/>
      <c r="B29" s="665"/>
      <c r="C29" s="287"/>
      <c r="D29" s="242"/>
      <c r="E29" s="520"/>
    </row>
    <row r="30" spans="1:5">
      <c r="A30" s="660" t="s">
        <v>155</v>
      </c>
      <c r="B30" s="665"/>
      <c r="C30" s="287"/>
      <c r="D30" s="242"/>
      <c r="E30" s="520"/>
    </row>
    <row r="31" spans="1:5">
      <c r="A31" s="662" t="s">
        <v>16</v>
      </c>
      <c r="B31" s="684">
        <f>Expenses!D43</f>
        <v>0</v>
      </c>
      <c r="C31" s="685">
        <v>0</v>
      </c>
      <c r="D31" s="686">
        <f>E31/12</f>
        <v>0</v>
      </c>
      <c r="E31" s="687">
        <f>C31*($D$22/1000)</f>
        <v>0</v>
      </c>
    </row>
    <row r="32" spans="1:5">
      <c r="A32" s="666" t="s">
        <v>556</v>
      </c>
      <c r="B32" s="688">
        <f>Expenses!D61</f>
        <v>30983</v>
      </c>
      <c r="C32" s="689">
        <v>3.8512403492389227E-2</v>
      </c>
      <c r="D32" s="690">
        <f>E32/12</f>
        <v>0</v>
      </c>
      <c r="E32" s="692">
        <f>C32*($D$22/1000)</f>
        <v>0</v>
      </c>
    </row>
    <row r="33" spans="1:5">
      <c r="A33" s="667" t="s">
        <v>38</v>
      </c>
      <c r="B33" s="668"/>
      <c r="C33" s="669"/>
      <c r="D33" s="670"/>
      <c r="E33" s="671">
        <f>SUM(E31:E32)</f>
        <v>0</v>
      </c>
    </row>
    <row r="34" spans="1:5" ht="15.75" thickBot="1">
      <c r="A34" s="672" t="s">
        <v>557</v>
      </c>
      <c r="B34" s="673"/>
      <c r="C34" s="674"/>
      <c r="D34" s="673"/>
      <c r="E34" s="675">
        <f>SUM(E33,E28)</f>
        <v>0</v>
      </c>
    </row>
    <row r="35" spans="1:5">
      <c r="A35" s="190"/>
      <c r="B35" s="190"/>
      <c r="C35" s="190"/>
      <c r="D35" s="190"/>
      <c r="E35" s="190"/>
    </row>
    <row r="36" spans="1:5">
      <c r="A36" s="658" t="s">
        <v>466</v>
      </c>
    </row>
    <row r="37" spans="1:5">
      <c r="A37" s="922" t="s">
        <v>558</v>
      </c>
      <c r="B37" s="922"/>
      <c r="C37" s="922"/>
      <c r="D37" s="922"/>
    </row>
    <row r="38" spans="1:5">
      <c r="A38" s="922" t="s">
        <v>559</v>
      </c>
      <c r="B38" s="922"/>
    </row>
    <row r="39" spans="1:5">
      <c r="A39" s="926" t="s">
        <v>560</v>
      </c>
      <c r="B39" s="926"/>
      <c r="C39" s="926"/>
      <c r="D39" s="926"/>
      <c r="E39" s="926"/>
    </row>
    <row r="40" spans="1:5">
      <c r="A40" s="922" t="s">
        <v>561</v>
      </c>
      <c r="B40" s="922"/>
      <c r="C40" s="922"/>
      <c r="D40" s="922"/>
    </row>
    <row r="41" spans="1:5">
      <c r="A41" s="922" t="s">
        <v>562</v>
      </c>
      <c r="B41" s="922"/>
      <c r="C41" s="922"/>
      <c r="D41" s="922"/>
    </row>
  </sheetData>
  <mergeCells count="7">
    <mergeCell ref="A41:D41"/>
    <mergeCell ref="A2:E2"/>
    <mergeCell ref="A7:D7"/>
    <mergeCell ref="A37:D37"/>
    <mergeCell ref="A38:B38"/>
    <mergeCell ref="A39:E39"/>
    <mergeCell ref="A40:D40"/>
  </mergeCells>
  <pageMargins left="0.7" right="0.7" top="0.75" bottom="0.75" header="0.3" footer="0.3"/>
  <pageSetup paperSize="256" orientation="portrait" horizontalDpi="1200" verticalDpi="12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613AE-35EF-43C1-8869-1DFA7D673919}">
  <sheetPr>
    <tabColor rgb="FFC00000"/>
  </sheetPr>
  <dimension ref="A1:B20"/>
  <sheetViews>
    <sheetView workbookViewId="0">
      <selection sqref="A1:A2"/>
    </sheetView>
  </sheetViews>
  <sheetFormatPr defaultRowHeight="15"/>
  <cols>
    <col min="1" max="1" width="14.28515625" customWidth="1"/>
    <col min="2" max="2" width="14.7109375" customWidth="1"/>
  </cols>
  <sheetData>
    <row r="1" spans="1:2" ht="51" customHeight="1" thickBot="1">
      <c r="A1" s="87" t="s">
        <v>388</v>
      </c>
      <c r="B1" s="634" t="s">
        <v>389</v>
      </c>
    </row>
    <row r="2" spans="1:2">
      <c r="A2" s="117" t="s">
        <v>390</v>
      </c>
      <c r="B2" s="476">
        <v>86935000</v>
      </c>
    </row>
    <row r="3" spans="1:2">
      <c r="A3" s="118" t="s">
        <v>391</v>
      </c>
      <c r="B3" s="476">
        <v>87752000</v>
      </c>
    </row>
    <row r="4" spans="1:2">
      <c r="A4" s="119" t="s">
        <v>392</v>
      </c>
      <c r="B4" s="476">
        <v>91212000</v>
      </c>
    </row>
    <row r="5" spans="1:2">
      <c r="A5" s="118" t="s">
        <v>393</v>
      </c>
      <c r="B5" s="476">
        <v>89822000</v>
      </c>
    </row>
    <row r="6" spans="1:2">
      <c r="A6" s="119" t="s">
        <v>394</v>
      </c>
      <c r="B6" s="476">
        <v>92199000</v>
      </c>
    </row>
    <row r="7" spans="1:2">
      <c r="A7" s="118" t="s">
        <v>395</v>
      </c>
      <c r="B7" s="476">
        <v>93350000</v>
      </c>
    </row>
    <row r="8" spans="1:2">
      <c r="A8" s="119" t="s">
        <v>396</v>
      </c>
      <c r="B8" s="476">
        <v>88152000</v>
      </c>
    </row>
    <row r="9" spans="1:2">
      <c r="A9" s="118" t="s">
        <v>397</v>
      </c>
      <c r="B9" s="476">
        <v>91032000</v>
      </c>
    </row>
    <row r="10" spans="1:2">
      <c r="A10" s="119" t="s">
        <v>398</v>
      </c>
      <c r="B10" s="476">
        <v>88981000</v>
      </c>
    </row>
    <row r="11" spans="1:2">
      <c r="A11" s="118" t="s">
        <v>399</v>
      </c>
      <c r="B11" s="476">
        <v>88926000</v>
      </c>
    </row>
    <row r="12" spans="1:2">
      <c r="A12" s="119" t="s">
        <v>400</v>
      </c>
      <c r="B12" s="476">
        <v>93041000</v>
      </c>
    </row>
    <row r="13" spans="1:2" ht="15.75" thickBot="1">
      <c r="A13" s="120" t="s">
        <v>401</v>
      </c>
      <c r="B13" s="478">
        <v>88564000</v>
      </c>
    </row>
    <row r="14" spans="1:2">
      <c r="A14" s="783" t="s">
        <v>38</v>
      </c>
      <c r="B14" s="511">
        <f>SUM(B2:B13)</f>
        <v>1079966000</v>
      </c>
    </row>
    <row r="15" spans="1:2" ht="15.75" thickBot="1">
      <c r="A15" s="782"/>
      <c r="B15" s="512"/>
    </row>
    <row r="18" spans="1:1">
      <c r="A18" s="108" t="s">
        <v>100</v>
      </c>
    </row>
    <row r="19" spans="1:1">
      <c r="A19" s="108" t="s">
        <v>404</v>
      </c>
    </row>
    <row r="20" spans="1:1">
      <c r="A20" s="108" t="s">
        <v>405</v>
      </c>
    </row>
  </sheetData>
  <pageMargins left="0.7" right="0.7" top="0.75" bottom="0.75" header="0.3" footer="0.3"/>
  <pageSetup paperSize="256" orientation="portrait" horizontalDpi="1200" verticalDpi="12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42DE2-C1C6-48A7-95ED-58D4EE4625C0}">
  <sheetPr>
    <tabColor rgb="FFC00000"/>
  </sheetPr>
  <dimension ref="A1:BD45"/>
  <sheetViews>
    <sheetView workbookViewId="0">
      <selection sqref="A1:A2"/>
    </sheetView>
  </sheetViews>
  <sheetFormatPr defaultRowHeight="15"/>
  <cols>
    <col min="1" max="1" width="14.140625" customWidth="1"/>
    <col min="2" max="2" width="12.7109375" customWidth="1"/>
    <col min="3" max="8" width="12.28515625" bestFit="1" customWidth="1"/>
    <col min="9" max="9" width="14" bestFit="1" customWidth="1"/>
    <col min="10" max="10" width="14" hidden="1" customWidth="1"/>
    <col min="11" max="11" width="12.28515625" bestFit="1" customWidth="1"/>
    <col min="17" max="20" width="11.28515625" bestFit="1" customWidth="1"/>
    <col min="21" max="22" width="10.28515625" bestFit="1" customWidth="1"/>
    <col min="23" max="23" width="11.28515625" bestFit="1" customWidth="1"/>
    <col min="25" max="27" width="10.28515625" bestFit="1" customWidth="1"/>
    <col min="29" max="29" width="10.28515625" bestFit="1" customWidth="1"/>
    <col min="30" max="30" width="11.28515625" bestFit="1" customWidth="1"/>
    <col min="32" max="32" width="11.28515625" bestFit="1" customWidth="1"/>
    <col min="33" max="34" width="10.28515625" bestFit="1" customWidth="1"/>
    <col min="35" max="36" width="11.28515625" bestFit="1" customWidth="1"/>
    <col min="38" max="41" width="10.28515625" bestFit="1" customWidth="1"/>
    <col min="42" max="43" width="12.28515625" bestFit="1" customWidth="1"/>
    <col min="44" max="44" width="10.28515625" bestFit="1" customWidth="1"/>
    <col min="46" max="46" width="12.28515625" bestFit="1" customWidth="1"/>
    <col min="47" max="47" width="11.28515625" bestFit="1" customWidth="1"/>
    <col min="49" max="49" width="11.28515625" bestFit="1" customWidth="1"/>
    <col min="50" max="50" width="12.28515625" bestFit="1" customWidth="1"/>
    <col min="51" max="54" width="12.28515625" customWidth="1"/>
    <col min="55" max="55" width="14" bestFit="1" customWidth="1"/>
  </cols>
  <sheetData>
    <row r="1" spans="1:56" ht="15.75" thickBot="1">
      <c r="A1" s="285"/>
      <c r="B1" s="286"/>
      <c r="C1" s="841" t="s">
        <v>406</v>
      </c>
      <c r="D1" s="842"/>
      <c r="E1" s="842"/>
      <c r="F1" s="842"/>
      <c r="G1" s="842"/>
      <c r="H1" s="842"/>
      <c r="I1" s="842"/>
      <c r="J1" s="842"/>
      <c r="K1" s="845"/>
      <c r="L1" s="846" t="s">
        <v>407</v>
      </c>
      <c r="M1" s="846"/>
      <c r="N1" s="846"/>
      <c r="O1" s="846"/>
      <c r="P1" s="846"/>
      <c r="Q1" s="846"/>
      <c r="R1" s="846"/>
      <c r="S1" s="846"/>
      <c r="T1" s="846"/>
      <c r="U1" s="846"/>
      <c r="V1" s="846"/>
      <c r="W1" s="846"/>
      <c r="X1" s="846"/>
      <c r="Y1" s="846"/>
      <c r="Z1" s="846"/>
      <c r="AA1" s="846"/>
      <c r="AB1" s="846"/>
      <c r="AC1" s="846"/>
      <c r="AD1" s="846"/>
      <c r="AE1" s="846"/>
      <c r="AF1" s="846"/>
      <c r="AG1" s="846"/>
      <c r="AH1" s="846"/>
      <c r="AI1" s="846"/>
      <c r="AJ1" s="846"/>
      <c r="AK1" s="846"/>
      <c r="AL1" s="846"/>
      <c r="AM1" s="846"/>
      <c r="AN1" s="846"/>
      <c r="AO1" s="846"/>
      <c r="AP1" s="847"/>
      <c r="AQ1" s="841" t="s">
        <v>408</v>
      </c>
      <c r="AR1" s="842"/>
      <c r="AS1" s="842"/>
      <c r="AT1" s="842"/>
      <c r="AU1" s="842"/>
      <c r="AV1" s="842"/>
      <c r="AW1" s="842"/>
      <c r="AX1" s="845"/>
      <c r="AY1" s="841" t="s">
        <v>409</v>
      </c>
      <c r="AZ1" s="842"/>
      <c r="BA1" s="842"/>
      <c r="BB1" s="788"/>
      <c r="BC1" s="791"/>
      <c r="BD1" s="7"/>
    </row>
    <row r="2" spans="1:56" ht="60.75" thickBot="1">
      <c r="A2" s="87" t="s">
        <v>563</v>
      </c>
      <c r="B2" s="87" t="s">
        <v>411</v>
      </c>
      <c r="C2" s="335" t="s">
        <v>412</v>
      </c>
      <c r="D2" s="283" t="s">
        <v>413</v>
      </c>
      <c r="E2" s="283" t="s">
        <v>414</v>
      </c>
      <c r="F2" s="283" t="s">
        <v>415</v>
      </c>
      <c r="G2" s="283" t="s">
        <v>416</v>
      </c>
      <c r="H2" s="283" t="s">
        <v>417</v>
      </c>
      <c r="I2" s="336" t="s">
        <v>418</v>
      </c>
      <c r="J2" s="699" t="s">
        <v>564</v>
      </c>
      <c r="K2" s="404" t="s">
        <v>419</v>
      </c>
      <c r="L2" s="340" t="s">
        <v>420</v>
      </c>
      <c r="M2" s="338" t="s">
        <v>421</v>
      </c>
      <c r="N2" s="328" t="s">
        <v>422</v>
      </c>
      <c r="O2" s="341" t="s">
        <v>423</v>
      </c>
      <c r="P2" s="405" t="s">
        <v>30</v>
      </c>
      <c r="Q2" s="337" t="s">
        <v>424</v>
      </c>
      <c r="R2" s="283" t="s">
        <v>425</v>
      </c>
      <c r="S2" s="335" t="s">
        <v>426</v>
      </c>
      <c r="T2" s="335" t="s">
        <v>427</v>
      </c>
      <c r="U2" s="335" t="s">
        <v>428</v>
      </c>
      <c r="V2" s="336" t="s">
        <v>429</v>
      </c>
      <c r="W2" s="406" t="s">
        <v>30</v>
      </c>
      <c r="X2" s="335" t="s">
        <v>430</v>
      </c>
      <c r="Y2" s="283" t="s">
        <v>431</v>
      </c>
      <c r="Z2" s="284" t="s">
        <v>432</v>
      </c>
      <c r="AA2" s="284" t="s">
        <v>433</v>
      </c>
      <c r="AB2" s="338" t="s">
        <v>434</v>
      </c>
      <c r="AC2" s="339" t="s">
        <v>435</v>
      </c>
      <c r="AD2" s="406" t="s">
        <v>30</v>
      </c>
      <c r="AE2" s="335" t="s">
        <v>436</v>
      </c>
      <c r="AF2" s="338" t="s">
        <v>437</v>
      </c>
      <c r="AG2" s="328" t="s">
        <v>438</v>
      </c>
      <c r="AH2" s="338" t="s">
        <v>439</v>
      </c>
      <c r="AI2" s="339" t="s">
        <v>440</v>
      </c>
      <c r="AJ2" s="406" t="s">
        <v>30</v>
      </c>
      <c r="AK2" s="337" t="s">
        <v>441</v>
      </c>
      <c r="AL2" s="338" t="s">
        <v>442</v>
      </c>
      <c r="AM2" s="339" t="s">
        <v>443</v>
      </c>
      <c r="AN2" s="339" t="s">
        <v>444</v>
      </c>
      <c r="AO2" s="407" t="s">
        <v>30</v>
      </c>
      <c r="AP2" s="408" t="s">
        <v>445</v>
      </c>
      <c r="AQ2" s="337" t="s">
        <v>446</v>
      </c>
      <c r="AR2" s="338" t="s">
        <v>565</v>
      </c>
      <c r="AS2" s="332" t="s">
        <v>448</v>
      </c>
      <c r="AT2" s="409" t="s">
        <v>30</v>
      </c>
      <c r="AU2" s="332" t="s">
        <v>449</v>
      </c>
      <c r="AV2" s="332" t="s">
        <v>450</v>
      </c>
      <c r="AW2" s="409" t="s">
        <v>30</v>
      </c>
      <c r="AX2" s="410" t="s">
        <v>451</v>
      </c>
      <c r="AY2" s="588" t="s">
        <v>452</v>
      </c>
      <c r="AZ2" s="587" t="s">
        <v>453</v>
      </c>
      <c r="BA2" s="587" t="s">
        <v>454</v>
      </c>
      <c r="BB2" s="410" t="s">
        <v>455</v>
      </c>
      <c r="BC2" s="411" t="s">
        <v>38</v>
      </c>
    </row>
    <row r="3" spans="1:56">
      <c r="A3" s="784" t="s">
        <v>390</v>
      </c>
      <c r="B3" s="819">
        <v>31</v>
      </c>
      <c r="C3" s="121">
        <v>3473</v>
      </c>
      <c r="D3" s="122">
        <v>9533401</v>
      </c>
      <c r="E3" s="122">
        <v>17212</v>
      </c>
      <c r="F3" s="122">
        <v>33108524</v>
      </c>
      <c r="G3" s="122">
        <v>1763200</v>
      </c>
      <c r="H3" s="122">
        <v>8528032</v>
      </c>
      <c r="I3" s="139">
        <v>7575000</v>
      </c>
      <c r="J3" s="136">
        <f>' Flow Adjustments'!C10</f>
        <v>0</v>
      </c>
      <c r="K3" s="412">
        <f>SUM(C3:J3)</f>
        <v>60528842</v>
      </c>
      <c r="L3" s="121">
        <v>13478</v>
      </c>
      <c r="M3" s="122">
        <v>14931</v>
      </c>
      <c r="N3" s="278">
        <v>43000</v>
      </c>
      <c r="O3" s="136">
        <v>5339</v>
      </c>
      <c r="P3" s="413">
        <f t="shared" ref="P3:P14" si="0">SUM(L3:O3)</f>
        <v>76748</v>
      </c>
      <c r="Q3" s="121">
        <v>1025243</v>
      </c>
      <c r="R3" s="121">
        <v>1062226</v>
      </c>
      <c r="S3" s="121">
        <v>1494650</v>
      </c>
      <c r="T3" s="121">
        <v>3068193</v>
      </c>
      <c r="U3" s="121">
        <v>295146</v>
      </c>
      <c r="V3" s="139">
        <v>253572</v>
      </c>
      <c r="W3" s="412">
        <f t="shared" ref="W3:W14" si="1">SUM(Q3:V3)</f>
        <v>7199030</v>
      </c>
      <c r="X3" s="121">
        <v>808</v>
      </c>
      <c r="Y3" s="122">
        <v>457520</v>
      </c>
      <c r="Z3" s="277">
        <v>280125</v>
      </c>
      <c r="AA3" s="277">
        <v>582313</v>
      </c>
      <c r="AB3" s="122">
        <v>43700</v>
      </c>
      <c r="AC3" s="136">
        <v>0</v>
      </c>
      <c r="AD3" s="412">
        <f>SUM(X3:AC3)</f>
        <v>1364466</v>
      </c>
      <c r="AE3" s="121">
        <v>29113</v>
      </c>
      <c r="AF3" s="122">
        <v>2722490</v>
      </c>
      <c r="AG3" s="325">
        <v>339485</v>
      </c>
      <c r="AH3" s="122">
        <v>786609</v>
      </c>
      <c r="AI3" s="136">
        <v>1526200</v>
      </c>
      <c r="AJ3" s="412">
        <f t="shared" ref="AJ3:AJ14" si="2">SUM(AE3:AI3)</f>
        <v>5403897</v>
      </c>
      <c r="AK3" s="280">
        <v>0</v>
      </c>
      <c r="AL3" s="278">
        <v>0</v>
      </c>
      <c r="AM3" s="134">
        <v>0</v>
      </c>
      <c r="AN3" s="134">
        <v>0</v>
      </c>
      <c r="AO3" s="414">
        <f>SUM(AK3:AN3)</f>
        <v>0</v>
      </c>
      <c r="AP3" s="415">
        <f>SUM(P3,W3,AD3,AJ3,AO3)</f>
        <v>14044141</v>
      </c>
      <c r="AQ3" s="280">
        <v>32453990</v>
      </c>
      <c r="AR3" s="278">
        <v>582867</v>
      </c>
      <c r="AS3" s="333">
        <v>21300</v>
      </c>
      <c r="AT3" s="416">
        <f>SUM(AQ3:AS3)</f>
        <v>33058157</v>
      </c>
      <c r="AU3" s="134">
        <v>0</v>
      </c>
      <c r="AV3" s="134">
        <v>0</v>
      </c>
      <c r="AW3" s="416">
        <f>SUM(AU3,AV3)</f>
        <v>0</v>
      </c>
      <c r="AX3" s="414">
        <f t="shared" ref="AX3:AX14" si="3">SUM(AT3,AW3)</f>
        <v>33058157</v>
      </c>
      <c r="AY3" s="591">
        <v>1290626</v>
      </c>
      <c r="AZ3" s="591">
        <v>211429</v>
      </c>
      <c r="BA3" s="591">
        <v>261502</v>
      </c>
      <c r="BB3" s="416">
        <f>SUM(AY3:BA3)</f>
        <v>1763557</v>
      </c>
      <c r="BC3" s="415">
        <f>SUM(AP3,AX3,K3,BB3)</f>
        <v>109394697</v>
      </c>
    </row>
    <row r="4" spans="1:56">
      <c r="A4" s="785" t="s">
        <v>391</v>
      </c>
      <c r="B4" s="206">
        <v>28</v>
      </c>
      <c r="C4" s="123">
        <v>4786</v>
      </c>
      <c r="D4" s="124">
        <v>10210837</v>
      </c>
      <c r="E4" s="124">
        <v>18505</v>
      </c>
      <c r="F4" s="124">
        <v>30943486</v>
      </c>
      <c r="G4" s="124">
        <v>1912100</v>
      </c>
      <c r="H4" s="124">
        <v>7740358</v>
      </c>
      <c r="I4" s="125">
        <v>6642000</v>
      </c>
      <c r="J4" s="136">
        <f>' Flow Adjustments'!C11</f>
        <v>0</v>
      </c>
      <c r="K4" s="412">
        <f t="shared" ref="K4:K14" si="4">SUM(C4:J4)</f>
        <v>57472072</v>
      </c>
      <c r="L4" s="123">
        <v>8470</v>
      </c>
      <c r="M4" s="124">
        <v>6757</v>
      </c>
      <c r="N4" s="122">
        <v>47000</v>
      </c>
      <c r="O4" s="136">
        <v>6162</v>
      </c>
      <c r="P4" s="412">
        <f t="shared" si="0"/>
        <v>68389</v>
      </c>
      <c r="Q4" s="123">
        <v>1114727</v>
      </c>
      <c r="R4" s="123">
        <v>1295725</v>
      </c>
      <c r="S4" s="123">
        <v>1209105</v>
      </c>
      <c r="T4" s="123">
        <v>2867336</v>
      </c>
      <c r="U4" s="123">
        <v>978126</v>
      </c>
      <c r="V4" s="125">
        <v>257312</v>
      </c>
      <c r="W4" s="412">
        <f t="shared" si="1"/>
        <v>7722331</v>
      </c>
      <c r="X4" s="123">
        <v>15624</v>
      </c>
      <c r="Y4" s="124">
        <v>531951</v>
      </c>
      <c r="Z4" s="329">
        <v>300990</v>
      </c>
      <c r="AA4" s="329">
        <v>858694</v>
      </c>
      <c r="AB4" s="124">
        <v>70000</v>
      </c>
      <c r="AC4" s="136">
        <v>0</v>
      </c>
      <c r="AD4" s="412">
        <f t="shared" ref="AD4:AD14" si="5">SUM(X4:AC4)</f>
        <v>1777259</v>
      </c>
      <c r="AE4" s="123">
        <v>157391</v>
      </c>
      <c r="AF4" s="124">
        <v>2773373</v>
      </c>
      <c r="AG4" s="326">
        <v>208107</v>
      </c>
      <c r="AH4" s="124">
        <v>1064311</v>
      </c>
      <c r="AI4" s="136">
        <v>2054700</v>
      </c>
      <c r="AJ4" s="412">
        <f t="shared" si="2"/>
        <v>6257882</v>
      </c>
      <c r="AK4" s="281">
        <v>0</v>
      </c>
      <c r="AL4" s="124">
        <v>0</v>
      </c>
      <c r="AM4" s="135">
        <v>0</v>
      </c>
      <c r="AN4" s="135">
        <v>0</v>
      </c>
      <c r="AO4" s="418">
        <f t="shared" ref="AO4:AO14" si="6">SUM(AK4:AN4)</f>
        <v>0</v>
      </c>
      <c r="AP4" s="419">
        <f>SUM(P4,W4,AD4,AJ4,AO4)</f>
        <v>15825861</v>
      </c>
      <c r="AQ4" s="281">
        <v>30078123</v>
      </c>
      <c r="AR4" s="124">
        <v>499396</v>
      </c>
      <c r="AS4" s="125">
        <v>10700</v>
      </c>
      <c r="AT4" s="420">
        <f t="shared" ref="AT4:AT14" si="7">SUM(AQ4:AS4)</f>
        <v>30588219</v>
      </c>
      <c r="AU4" s="135">
        <v>1787</v>
      </c>
      <c r="AV4" s="135">
        <v>0</v>
      </c>
      <c r="AW4" s="420">
        <f t="shared" ref="AW4:AW14" si="8">SUM(AU4,AV4)</f>
        <v>1787</v>
      </c>
      <c r="AX4" s="418">
        <f t="shared" si="3"/>
        <v>30590006</v>
      </c>
      <c r="AY4" s="592">
        <v>2143700</v>
      </c>
      <c r="AZ4" s="592">
        <v>215784</v>
      </c>
      <c r="BA4" s="592">
        <v>276777</v>
      </c>
      <c r="BB4" s="418">
        <f t="shared" ref="BB4:BB14" si="9">SUM(AY4:BA4)</f>
        <v>2636261</v>
      </c>
      <c r="BC4" s="421">
        <f t="shared" ref="BC4:BC14" si="10">SUM(AP4,AX4,K4,BB4)</f>
        <v>106524200</v>
      </c>
    </row>
    <row r="5" spans="1:56">
      <c r="A5" s="786" t="s">
        <v>392</v>
      </c>
      <c r="B5" s="207">
        <v>31</v>
      </c>
      <c r="C5" s="123">
        <v>4618</v>
      </c>
      <c r="D5" s="124">
        <v>10703250</v>
      </c>
      <c r="E5" s="124">
        <v>35352</v>
      </c>
      <c r="F5" s="124">
        <v>34302557</v>
      </c>
      <c r="G5" s="124">
        <v>2118300</v>
      </c>
      <c r="H5" s="124">
        <v>8473799</v>
      </c>
      <c r="I5" s="125">
        <v>8280000</v>
      </c>
      <c r="J5" s="136">
        <f>' Flow Adjustments'!C12</f>
        <v>0</v>
      </c>
      <c r="K5" s="412">
        <f t="shared" si="4"/>
        <v>63917876</v>
      </c>
      <c r="L5" s="123">
        <v>11752</v>
      </c>
      <c r="M5" s="124">
        <v>8432</v>
      </c>
      <c r="N5" s="122">
        <v>17900</v>
      </c>
      <c r="O5" s="136">
        <v>3660</v>
      </c>
      <c r="P5" s="412">
        <f t="shared" si="0"/>
        <v>41744</v>
      </c>
      <c r="Q5" s="123">
        <v>988895</v>
      </c>
      <c r="R5" s="123">
        <v>1116152</v>
      </c>
      <c r="S5" s="123">
        <v>895988</v>
      </c>
      <c r="T5" s="123">
        <v>2918161</v>
      </c>
      <c r="U5" s="123">
        <v>473635</v>
      </c>
      <c r="V5" s="125">
        <v>313412</v>
      </c>
      <c r="W5" s="412">
        <f t="shared" si="1"/>
        <v>6706243</v>
      </c>
      <c r="X5" s="123">
        <v>1524</v>
      </c>
      <c r="Y5" s="124">
        <v>499912</v>
      </c>
      <c r="Z5" s="329">
        <v>355086</v>
      </c>
      <c r="AA5" s="329">
        <v>182854</v>
      </c>
      <c r="AB5" s="124">
        <v>46600</v>
      </c>
      <c r="AC5" s="136">
        <v>85000</v>
      </c>
      <c r="AD5" s="412">
        <f t="shared" si="5"/>
        <v>1170976</v>
      </c>
      <c r="AE5" s="123">
        <v>208379</v>
      </c>
      <c r="AF5" s="124">
        <v>2554830</v>
      </c>
      <c r="AG5" s="326">
        <v>190153</v>
      </c>
      <c r="AH5" s="124">
        <v>827006</v>
      </c>
      <c r="AI5" s="136">
        <v>1749700</v>
      </c>
      <c r="AJ5" s="412">
        <f t="shared" si="2"/>
        <v>5530068</v>
      </c>
      <c r="AK5" s="281">
        <v>0</v>
      </c>
      <c r="AL5" s="124">
        <v>0</v>
      </c>
      <c r="AM5" s="135">
        <v>0</v>
      </c>
      <c r="AN5" s="135">
        <v>0</v>
      </c>
      <c r="AO5" s="418">
        <f t="shared" si="6"/>
        <v>0</v>
      </c>
      <c r="AP5" s="419">
        <f t="shared" ref="AP5:AP14" si="11">SUM(P5,W5,AD5,AJ5,AO5)</f>
        <v>13449031</v>
      </c>
      <c r="AQ5" s="281">
        <v>29377873</v>
      </c>
      <c r="AR5" s="124">
        <v>492434</v>
      </c>
      <c r="AS5" s="135">
        <v>15700</v>
      </c>
      <c r="AT5" s="420">
        <f t="shared" si="7"/>
        <v>29886007</v>
      </c>
      <c r="AU5" s="135">
        <v>57910</v>
      </c>
      <c r="AV5" s="135">
        <v>0</v>
      </c>
      <c r="AW5" s="420">
        <f t="shared" si="8"/>
        <v>57910</v>
      </c>
      <c r="AX5" s="418">
        <f t="shared" si="3"/>
        <v>29943917</v>
      </c>
      <c r="AY5" s="592">
        <v>1337512</v>
      </c>
      <c r="AZ5" s="592">
        <v>199010</v>
      </c>
      <c r="BA5" s="592">
        <v>229226</v>
      </c>
      <c r="BB5" s="418">
        <f t="shared" si="9"/>
        <v>1765748</v>
      </c>
      <c r="BC5" s="419">
        <f t="shared" si="10"/>
        <v>109076572</v>
      </c>
    </row>
    <row r="6" spans="1:56">
      <c r="A6" s="785" t="s">
        <v>393</v>
      </c>
      <c r="B6" s="206">
        <v>30</v>
      </c>
      <c r="C6" s="123">
        <v>4034</v>
      </c>
      <c r="D6" s="124">
        <v>10609100</v>
      </c>
      <c r="E6" s="124">
        <v>49014</v>
      </c>
      <c r="F6" s="124">
        <v>33940804</v>
      </c>
      <c r="G6" s="124">
        <v>2264800</v>
      </c>
      <c r="H6" s="124">
        <v>8002116</v>
      </c>
      <c r="I6" s="125">
        <v>7630000</v>
      </c>
      <c r="J6" s="136">
        <f>' Flow Adjustments'!C13</f>
        <v>0</v>
      </c>
      <c r="K6" s="412">
        <f t="shared" si="4"/>
        <v>62499868</v>
      </c>
      <c r="L6" s="123">
        <v>10097</v>
      </c>
      <c r="M6" s="124">
        <v>7368</v>
      </c>
      <c r="N6" s="122">
        <v>39600</v>
      </c>
      <c r="O6" s="136">
        <v>4352</v>
      </c>
      <c r="P6" s="412">
        <f t="shared" si="0"/>
        <v>61417</v>
      </c>
      <c r="Q6" s="123">
        <v>1057565</v>
      </c>
      <c r="R6" s="123">
        <v>1138483</v>
      </c>
      <c r="S6" s="123">
        <v>862534</v>
      </c>
      <c r="T6" s="123">
        <v>2849467</v>
      </c>
      <c r="U6" s="123">
        <v>646316</v>
      </c>
      <c r="V6" s="125">
        <v>335104</v>
      </c>
      <c r="W6" s="412">
        <f t="shared" si="1"/>
        <v>6889469</v>
      </c>
      <c r="X6" s="123">
        <v>1197</v>
      </c>
      <c r="Y6" s="124">
        <v>441100</v>
      </c>
      <c r="Z6" s="329">
        <v>319402</v>
      </c>
      <c r="AA6" s="329">
        <v>112376</v>
      </c>
      <c r="AB6" s="124">
        <v>48800</v>
      </c>
      <c r="AC6" s="136">
        <v>150000</v>
      </c>
      <c r="AD6" s="412">
        <f t="shared" si="5"/>
        <v>1072875</v>
      </c>
      <c r="AE6" s="123">
        <v>133051</v>
      </c>
      <c r="AF6" s="124">
        <v>2618582</v>
      </c>
      <c r="AG6" s="326">
        <v>178623</v>
      </c>
      <c r="AH6" s="124">
        <v>834892</v>
      </c>
      <c r="AI6" s="136">
        <v>1529700</v>
      </c>
      <c r="AJ6" s="412">
        <f t="shared" si="2"/>
        <v>5294848</v>
      </c>
      <c r="AK6" s="281">
        <v>0</v>
      </c>
      <c r="AL6" s="124">
        <v>0</v>
      </c>
      <c r="AM6" s="135">
        <v>0</v>
      </c>
      <c r="AN6" s="135">
        <v>0</v>
      </c>
      <c r="AO6" s="418">
        <f t="shared" si="6"/>
        <v>0</v>
      </c>
      <c r="AP6" s="419">
        <f t="shared" si="11"/>
        <v>13318609</v>
      </c>
      <c r="AQ6" s="281">
        <v>29534528</v>
      </c>
      <c r="AR6" s="124">
        <v>517102</v>
      </c>
      <c r="AS6" s="135">
        <v>14600</v>
      </c>
      <c r="AT6" s="420">
        <f t="shared" si="7"/>
        <v>30066230</v>
      </c>
      <c r="AU6" s="135">
        <v>210665</v>
      </c>
      <c r="AV6" s="135">
        <v>0</v>
      </c>
      <c r="AW6" s="420">
        <f t="shared" si="8"/>
        <v>210665</v>
      </c>
      <c r="AX6" s="418">
        <f t="shared" si="3"/>
        <v>30276895</v>
      </c>
      <c r="AY6" s="593">
        <v>1295136</v>
      </c>
      <c r="AZ6" s="593">
        <v>204503</v>
      </c>
      <c r="BA6" s="593">
        <v>229304</v>
      </c>
      <c r="BB6" s="418">
        <f t="shared" si="9"/>
        <v>1728943</v>
      </c>
      <c r="BC6" s="421">
        <f t="shared" si="10"/>
        <v>107824315</v>
      </c>
    </row>
    <row r="7" spans="1:56">
      <c r="A7" s="786" t="s">
        <v>394</v>
      </c>
      <c r="B7" s="207">
        <v>31</v>
      </c>
      <c r="C7" s="123">
        <v>4448</v>
      </c>
      <c r="D7" s="124">
        <v>11892107</v>
      </c>
      <c r="E7" s="124">
        <v>17479</v>
      </c>
      <c r="F7" s="124">
        <v>33776964</v>
      </c>
      <c r="G7" s="124">
        <v>2436200</v>
      </c>
      <c r="H7" s="124">
        <v>8955896</v>
      </c>
      <c r="I7" s="334">
        <v>7313000</v>
      </c>
      <c r="J7" s="136">
        <f>' Flow Adjustments'!C14</f>
        <v>0</v>
      </c>
      <c r="K7" s="412">
        <f t="shared" si="4"/>
        <v>64396094</v>
      </c>
      <c r="L7" s="123">
        <v>11291</v>
      </c>
      <c r="M7" s="124">
        <v>10666</v>
      </c>
      <c r="N7" s="122">
        <v>38900</v>
      </c>
      <c r="O7" s="136">
        <v>5654</v>
      </c>
      <c r="P7" s="412">
        <f t="shared" si="0"/>
        <v>66511</v>
      </c>
      <c r="Q7" s="123">
        <v>958114</v>
      </c>
      <c r="R7" s="123">
        <v>1591389</v>
      </c>
      <c r="S7" s="123">
        <v>1063474</v>
      </c>
      <c r="T7" s="123">
        <v>2983779</v>
      </c>
      <c r="U7" s="123">
        <v>726588</v>
      </c>
      <c r="V7" s="125">
        <v>306680</v>
      </c>
      <c r="W7" s="412">
        <f t="shared" si="1"/>
        <v>7630024</v>
      </c>
      <c r="X7" s="123">
        <v>31450</v>
      </c>
      <c r="Y7" s="124">
        <v>516398</v>
      </c>
      <c r="Z7" s="329">
        <v>483043</v>
      </c>
      <c r="AA7" s="329">
        <v>296601</v>
      </c>
      <c r="AB7" s="124">
        <v>36400</v>
      </c>
      <c r="AC7" s="136">
        <v>121000</v>
      </c>
      <c r="AD7" s="412">
        <f t="shared" si="5"/>
        <v>1484892</v>
      </c>
      <c r="AE7" s="123">
        <v>16359</v>
      </c>
      <c r="AF7" s="124">
        <v>2812651</v>
      </c>
      <c r="AG7" s="326">
        <v>161946</v>
      </c>
      <c r="AH7" s="124">
        <v>817405</v>
      </c>
      <c r="AI7" s="136">
        <v>1552600</v>
      </c>
      <c r="AJ7" s="412">
        <f t="shared" si="2"/>
        <v>5360961</v>
      </c>
      <c r="AK7" s="281">
        <v>0</v>
      </c>
      <c r="AL7" s="124">
        <v>0</v>
      </c>
      <c r="AM7" s="135">
        <v>0</v>
      </c>
      <c r="AN7" s="135">
        <v>0</v>
      </c>
      <c r="AO7" s="418">
        <f t="shared" si="6"/>
        <v>0</v>
      </c>
      <c r="AP7" s="419">
        <f t="shared" si="11"/>
        <v>14542388</v>
      </c>
      <c r="AQ7" s="281">
        <v>31873313</v>
      </c>
      <c r="AR7" s="124">
        <v>624343</v>
      </c>
      <c r="AS7" s="135">
        <v>9900</v>
      </c>
      <c r="AT7" s="418">
        <f t="shared" si="7"/>
        <v>32507556</v>
      </c>
      <c r="AU7" s="135">
        <v>1782861</v>
      </c>
      <c r="AV7" s="135">
        <v>14567</v>
      </c>
      <c r="AW7" s="420">
        <f t="shared" si="8"/>
        <v>1797428</v>
      </c>
      <c r="AX7" s="418">
        <f t="shared" si="3"/>
        <v>34304984</v>
      </c>
      <c r="AY7" s="594">
        <v>1489197</v>
      </c>
      <c r="AZ7" s="594">
        <v>224081</v>
      </c>
      <c r="BA7" s="594">
        <v>259279</v>
      </c>
      <c r="BB7" s="418">
        <f t="shared" si="9"/>
        <v>1972557</v>
      </c>
      <c r="BC7" s="422">
        <f t="shared" si="10"/>
        <v>115216023</v>
      </c>
    </row>
    <row r="8" spans="1:56">
      <c r="A8" s="785" t="s">
        <v>395</v>
      </c>
      <c r="B8" s="206">
        <v>30</v>
      </c>
      <c r="C8" s="123">
        <v>4516</v>
      </c>
      <c r="D8" s="124">
        <v>10708562</v>
      </c>
      <c r="E8" s="124">
        <v>13050</v>
      </c>
      <c r="F8" s="124">
        <v>39414631</v>
      </c>
      <c r="G8" s="124">
        <v>1999300</v>
      </c>
      <c r="H8" s="124">
        <v>9131116</v>
      </c>
      <c r="I8" s="125">
        <v>9697000</v>
      </c>
      <c r="J8" s="136">
        <f>' Flow Adjustments'!C15</f>
        <v>0</v>
      </c>
      <c r="K8" s="412">
        <f t="shared" si="4"/>
        <v>70968175</v>
      </c>
      <c r="L8" s="123">
        <v>11930</v>
      </c>
      <c r="M8" s="124">
        <v>31375</v>
      </c>
      <c r="N8" s="122">
        <v>19900</v>
      </c>
      <c r="O8" s="136">
        <v>5195</v>
      </c>
      <c r="P8" s="412">
        <f t="shared" si="0"/>
        <v>68400</v>
      </c>
      <c r="Q8" s="123">
        <v>1085169</v>
      </c>
      <c r="R8" s="123">
        <v>1637788</v>
      </c>
      <c r="S8" s="123">
        <v>1221246</v>
      </c>
      <c r="T8" s="123">
        <v>3108129</v>
      </c>
      <c r="U8" s="123">
        <v>737104</v>
      </c>
      <c r="V8" s="125">
        <v>303688</v>
      </c>
      <c r="W8" s="412">
        <f t="shared" si="1"/>
        <v>8093124</v>
      </c>
      <c r="X8" s="123">
        <v>504</v>
      </c>
      <c r="Y8" s="124">
        <v>306177</v>
      </c>
      <c r="Z8" s="329">
        <v>505973</v>
      </c>
      <c r="AA8" s="329">
        <v>23577</v>
      </c>
      <c r="AB8" s="124">
        <v>49200</v>
      </c>
      <c r="AC8" s="136">
        <v>166000</v>
      </c>
      <c r="AD8" s="412">
        <f t="shared" si="5"/>
        <v>1051431</v>
      </c>
      <c r="AE8" s="123">
        <v>21424</v>
      </c>
      <c r="AF8" s="124">
        <v>2612244</v>
      </c>
      <c r="AG8" s="326">
        <v>178573</v>
      </c>
      <c r="AH8" s="124">
        <v>846503</v>
      </c>
      <c r="AI8" s="136">
        <v>1711700</v>
      </c>
      <c r="AJ8" s="412">
        <f t="shared" si="2"/>
        <v>5370444</v>
      </c>
      <c r="AK8" s="281">
        <v>0</v>
      </c>
      <c r="AL8" s="124">
        <v>0</v>
      </c>
      <c r="AM8" s="135">
        <v>0</v>
      </c>
      <c r="AN8" s="135">
        <v>0</v>
      </c>
      <c r="AO8" s="418">
        <f t="shared" si="6"/>
        <v>0</v>
      </c>
      <c r="AP8" s="419">
        <f t="shared" si="11"/>
        <v>14583399</v>
      </c>
      <c r="AQ8" s="281">
        <v>38025110</v>
      </c>
      <c r="AR8" s="124">
        <v>802508</v>
      </c>
      <c r="AS8" s="136">
        <v>14300</v>
      </c>
      <c r="AT8" s="423">
        <f t="shared" si="7"/>
        <v>38841918</v>
      </c>
      <c r="AU8" s="135">
        <v>3595608</v>
      </c>
      <c r="AV8" s="135">
        <v>17766</v>
      </c>
      <c r="AW8" s="420">
        <f t="shared" si="8"/>
        <v>3613374</v>
      </c>
      <c r="AX8" s="418">
        <f t="shared" si="3"/>
        <v>42455292</v>
      </c>
      <c r="AY8" s="592">
        <v>1331917</v>
      </c>
      <c r="AZ8" s="592">
        <v>209455</v>
      </c>
      <c r="BA8" s="592">
        <v>250552</v>
      </c>
      <c r="BB8" s="418">
        <f t="shared" si="9"/>
        <v>1791924</v>
      </c>
      <c r="BC8" s="422">
        <f t="shared" si="10"/>
        <v>129798790</v>
      </c>
    </row>
    <row r="9" spans="1:56">
      <c r="A9" s="786" t="s">
        <v>396</v>
      </c>
      <c r="B9" s="206">
        <v>31</v>
      </c>
      <c r="C9" s="123">
        <v>4424</v>
      </c>
      <c r="D9" s="124">
        <v>9644394</v>
      </c>
      <c r="E9" s="124">
        <v>61463</v>
      </c>
      <c r="F9" s="124">
        <v>34056287</v>
      </c>
      <c r="G9" s="124">
        <v>1759000</v>
      </c>
      <c r="H9" s="124">
        <v>8965658</v>
      </c>
      <c r="I9" s="125">
        <v>8738000</v>
      </c>
      <c r="J9" s="136">
        <f>' Flow Adjustments'!C16</f>
        <v>0</v>
      </c>
      <c r="K9" s="412">
        <f t="shared" si="4"/>
        <v>63229226</v>
      </c>
      <c r="L9" s="123">
        <v>20484</v>
      </c>
      <c r="M9" s="124">
        <v>13226</v>
      </c>
      <c r="N9" s="122">
        <v>24300</v>
      </c>
      <c r="O9" s="136">
        <v>6761</v>
      </c>
      <c r="P9" s="412">
        <f t="shared" si="0"/>
        <v>64771</v>
      </c>
      <c r="Q9" s="123">
        <v>1094625</v>
      </c>
      <c r="R9" s="123">
        <v>1249723</v>
      </c>
      <c r="S9" s="123">
        <v>1307946</v>
      </c>
      <c r="T9" s="123">
        <v>3222063</v>
      </c>
      <c r="U9" s="123">
        <v>797306</v>
      </c>
      <c r="V9" s="125">
        <v>286484</v>
      </c>
      <c r="W9" s="412">
        <f t="shared" si="1"/>
        <v>7958147</v>
      </c>
      <c r="X9" s="123">
        <v>2835</v>
      </c>
      <c r="Y9" s="124">
        <v>250828</v>
      </c>
      <c r="Z9" s="329">
        <v>385649</v>
      </c>
      <c r="AA9" s="329">
        <v>90505</v>
      </c>
      <c r="AB9" s="124">
        <v>63100</v>
      </c>
      <c r="AC9" s="136">
        <v>69000</v>
      </c>
      <c r="AD9" s="412">
        <f t="shared" si="5"/>
        <v>861917</v>
      </c>
      <c r="AE9" s="123">
        <v>19330</v>
      </c>
      <c r="AF9" s="124">
        <v>2542976</v>
      </c>
      <c r="AG9" s="326">
        <v>164768</v>
      </c>
      <c r="AH9" s="124">
        <v>805195</v>
      </c>
      <c r="AI9" s="136">
        <v>1452300</v>
      </c>
      <c r="AJ9" s="412">
        <f t="shared" si="2"/>
        <v>4984569</v>
      </c>
      <c r="AK9" s="281">
        <v>0</v>
      </c>
      <c r="AL9" s="124">
        <v>0</v>
      </c>
      <c r="AM9" s="135">
        <v>0</v>
      </c>
      <c r="AN9" s="135">
        <v>0</v>
      </c>
      <c r="AO9" s="418">
        <f t="shared" si="6"/>
        <v>0</v>
      </c>
      <c r="AP9" s="419">
        <f t="shared" si="11"/>
        <v>13869404</v>
      </c>
      <c r="AQ9" s="281">
        <v>37369185</v>
      </c>
      <c r="AR9" s="122">
        <v>868636</v>
      </c>
      <c r="AS9" s="136">
        <v>15300</v>
      </c>
      <c r="AT9" s="420">
        <f t="shared" si="7"/>
        <v>38253121</v>
      </c>
      <c r="AU9" s="135">
        <v>3557554</v>
      </c>
      <c r="AV9" s="135">
        <v>31733</v>
      </c>
      <c r="AW9" s="420">
        <f t="shared" si="8"/>
        <v>3589287</v>
      </c>
      <c r="AX9" s="418">
        <f t="shared" si="3"/>
        <v>41842408</v>
      </c>
      <c r="AY9" s="592">
        <v>1478248</v>
      </c>
      <c r="AZ9" s="592">
        <v>351223</v>
      </c>
      <c r="BA9" s="592">
        <v>246127</v>
      </c>
      <c r="BB9" s="418">
        <f t="shared" si="9"/>
        <v>2075598</v>
      </c>
      <c r="BC9" s="422">
        <f t="shared" si="10"/>
        <v>121016636</v>
      </c>
    </row>
    <row r="10" spans="1:56">
      <c r="A10" s="785" t="s">
        <v>397</v>
      </c>
      <c r="B10" s="206">
        <v>31</v>
      </c>
      <c r="C10" s="123">
        <v>3849</v>
      </c>
      <c r="D10" s="124">
        <v>11568744</v>
      </c>
      <c r="E10" s="124">
        <v>24152</v>
      </c>
      <c r="F10" s="124">
        <v>35988636</v>
      </c>
      <c r="G10" s="124">
        <v>1638900</v>
      </c>
      <c r="H10" s="124">
        <v>11388729</v>
      </c>
      <c r="I10" s="125">
        <v>9341000</v>
      </c>
      <c r="J10" s="136">
        <f>' Flow Adjustments'!C17</f>
        <v>0</v>
      </c>
      <c r="K10" s="412">
        <f t="shared" si="4"/>
        <v>69954010</v>
      </c>
      <c r="L10" s="123">
        <v>15950</v>
      </c>
      <c r="M10" s="124">
        <v>9468</v>
      </c>
      <c r="N10" s="122">
        <v>29000</v>
      </c>
      <c r="O10" s="136">
        <v>20756</v>
      </c>
      <c r="P10" s="412">
        <f t="shared" si="0"/>
        <v>75174</v>
      </c>
      <c r="Q10" s="123">
        <v>1097898</v>
      </c>
      <c r="R10" s="123">
        <v>1340506</v>
      </c>
      <c r="S10" s="123">
        <v>1507364</v>
      </c>
      <c r="T10" s="123">
        <v>4023025</v>
      </c>
      <c r="U10" s="123">
        <v>1066732</v>
      </c>
      <c r="V10" s="125">
        <v>251328</v>
      </c>
      <c r="W10" s="412">
        <f t="shared" si="1"/>
        <v>9286853</v>
      </c>
      <c r="X10" s="123">
        <v>1064</v>
      </c>
      <c r="Y10" s="124">
        <v>239844</v>
      </c>
      <c r="Z10" s="329">
        <v>371454</v>
      </c>
      <c r="AA10" s="329">
        <v>93209</v>
      </c>
      <c r="AB10" s="124">
        <v>99800</v>
      </c>
      <c r="AC10" s="136">
        <v>27000</v>
      </c>
      <c r="AD10" s="412">
        <f t="shared" si="5"/>
        <v>832371</v>
      </c>
      <c r="AE10" s="123">
        <v>20287</v>
      </c>
      <c r="AF10" s="124">
        <v>2578010</v>
      </c>
      <c r="AG10" s="326">
        <v>172843</v>
      </c>
      <c r="AH10" s="124">
        <v>954595</v>
      </c>
      <c r="AI10" s="136">
        <v>1463600</v>
      </c>
      <c r="AJ10" s="412">
        <f t="shared" si="2"/>
        <v>5189335</v>
      </c>
      <c r="AK10" s="281">
        <v>0</v>
      </c>
      <c r="AL10" s="124">
        <v>24432</v>
      </c>
      <c r="AM10" s="135">
        <v>0</v>
      </c>
      <c r="AN10" s="135">
        <v>0</v>
      </c>
      <c r="AO10" s="418">
        <f t="shared" si="6"/>
        <v>24432</v>
      </c>
      <c r="AP10" s="419">
        <f t="shared" si="11"/>
        <v>15408165</v>
      </c>
      <c r="AQ10" s="281">
        <v>34791860</v>
      </c>
      <c r="AR10" s="124">
        <v>730024</v>
      </c>
      <c r="AS10" s="135">
        <v>13000</v>
      </c>
      <c r="AT10" s="418">
        <f t="shared" si="7"/>
        <v>35534884</v>
      </c>
      <c r="AU10" s="135">
        <v>3810405</v>
      </c>
      <c r="AV10" s="135">
        <v>33248</v>
      </c>
      <c r="AW10" s="420">
        <f t="shared" si="8"/>
        <v>3843653</v>
      </c>
      <c r="AX10" s="418">
        <f t="shared" si="3"/>
        <v>39378537</v>
      </c>
      <c r="AY10" s="592">
        <v>1309181</v>
      </c>
      <c r="AZ10" s="592">
        <v>315115</v>
      </c>
      <c r="BA10" s="592">
        <v>226157</v>
      </c>
      <c r="BB10" s="418">
        <f t="shared" si="9"/>
        <v>1850453</v>
      </c>
      <c r="BC10" s="422">
        <f t="shared" si="10"/>
        <v>126591165</v>
      </c>
    </row>
    <row r="11" spans="1:56" ht="15" customHeight="1">
      <c r="A11" s="786" t="s">
        <v>398</v>
      </c>
      <c r="B11" s="206">
        <v>30</v>
      </c>
      <c r="C11" s="123">
        <v>3725</v>
      </c>
      <c r="D11" s="124">
        <v>10962920</v>
      </c>
      <c r="E11" s="124">
        <v>49226</v>
      </c>
      <c r="F11" s="124">
        <v>38365874</v>
      </c>
      <c r="G11" s="124">
        <v>2152000</v>
      </c>
      <c r="H11" s="124">
        <v>9853970</v>
      </c>
      <c r="I11" s="125">
        <v>10182000</v>
      </c>
      <c r="J11" s="136">
        <f>' Flow Adjustments'!C18</f>
        <v>0</v>
      </c>
      <c r="K11" s="412">
        <f t="shared" si="4"/>
        <v>71569715</v>
      </c>
      <c r="L11" s="123">
        <v>21873</v>
      </c>
      <c r="M11" s="124">
        <v>9322</v>
      </c>
      <c r="N11" s="122">
        <v>16600</v>
      </c>
      <c r="O11" s="136">
        <v>12115</v>
      </c>
      <c r="P11" s="412">
        <f t="shared" si="0"/>
        <v>59910</v>
      </c>
      <c r="Q11" s="123">
        <v>1170935</v>
      </c>
      <c r="R11" s="123">
        <v>1215417</v>
      </c>
      <c r="S11" s="123">
        <v>1670466</v>
      </c>
      <c r="T11" s="123">
        <v>3905263</v>
      </c>
      <c r="U11" s="123">
        <v>1085433</v>
      </c>
      <c r="V11" s="125">
        <v>231880</v>
      </c>
      <c r="W11" s="412">
        <f t="shared" si="1"/>
        <v>9279394</v>
      </c>
      <c r="X11" s="123">
        <v>692</v>
      </c>
      <c r="Y11" s="124">
        <v>617372</v>
      </c>
      <c r="Z11" s="329">
        <v>689500</v>
      </c>
      <c r="AA11" s="329">
        <v>185246</v>
      </c>
      <c r="AB11" s="124">
        <v>56000</v>
      </c>
      <c r="AC11" s="136">
        <v>71000</v>
      </c>
      <c r="AD11" s="412">
        <f t="shared" si="5"/>
        <v>1619810</v>
      </c>
      <c r="AE11" s="123">
        <v>4800</v>
      </c>
      <c r="AF11" s="124">
        <v>2155614</v>
      </c>
      <c r="AG11" s="326">
        <v>168908</v>
      </c>
      <c r="AH11" s="124">
        <v>813893</v>
      </c>
      <c r="AI11" s="136">
        <v>570100</v>
      </c>
      <c r="AJ11" s="412">
        <f t="shared" si="2"/>
        <v>3713315</v>
      </c>
      <c r="AK11" s="281">
        <v>12225</v>
      </c>
      <c r="AL11" s="124">
        <v>537161</v>
      </c>
      <c r="AM11" s="135">
        <v>116844</v>
      </c>
      <c r="AN11" s="135">
        <v>752500</v>
      </c>
      <c r="AO11" s="418">
        <f t="shared" si="6"/>
        <v>1418730</v>
      </c>
      <c r="AP11" s="419">
        <f t="shared" si="11"/>
        <v>16091159</v>
      </c>
      <c r="AQ11" s="281">
        <v>35162124</v>
      </c>
      <c r="AR11" s="124">
        <v>725599</v>
      </c>
      <c r="AS11" s="136">
        <v>12600</v>
      </c>
      <c r="AT11" s="420">
        <f t="shared" si="7"/>
        <v>35900323</v>
      </c>
      <c r="AU11" s="135">
        <v>4257266</v>
      </c>
      <c r="AV11" s="135">
        <v>42104</v>
      </c>
      <c r="AW11" s="420">
        <f t="shared" si="8"/>
        <v>4299370</v>
      </c>
      <c r="AX11" s="418">
        <f t="shared" si="3"/>
        <v>40199693</v>
      </c>
      <c r="AY11" s="592">
        <v>1409773</v>
      </c>
      <c r="AZ11" s="592">
        <v>313874</v>
      </c>
      <c r="BA11" s="592">
        <v>237181</v>
      </c>
      <c r="BB11" s="418">
        <f t="shared" si="9"/>
        <v>1960828</v>
      </c>
      <c r="BC11" s="422">
        <f t="shared" si="10"/>
        <v>129821395</v>
      </c>
    </row>
    <row r="12" spans="1:56">
      <c r="A12" s="785" t="s">
        <v>399</v>
      </c>
      <c r="B12" s="206">
        <v>31</v>
      </c>
      <c r="C12" s="123">
        <v>3909</v>
      </c>
      <c r="D12" s="124">
        <v>11188269</v>
      </c>
      <c r="E12" s="124">
        <v>36777</v>
      </c>
      <c r="F12" s="124">
        <v>38902206</v>
      </c>
      <c r="G12" s="124">
        <v>2094300</v>
      </c>
      <c r="H12" s="124">
        <v>9156046</v>
      </c>
      <c r="I12" s="125">
        <v>9788000</v>
      </c>
      <c r="J12" s="136">
        <f>' Flow Adjustments'!C19</f>
        <v>0</v>
      </c>
      <c r="K12" s="412">
        <f t="shared" si="4"/>
        <v>71169507</v>
      </c>
      <c r="L12" s="123">
        <v>10315</v>
      </c>
      <c r="M12" s="124">
        <v>7892</v>
      </c>
      <c r="N12" s="122">
        <v>20700</v>
      </c>
      <c r="O12" s="136">
        <v>32565</v>
      </c>
      <c r="P12" s="412">
        <f t="shared" si="0"/>
        <v>71472</v>
      </c>
      <c r="Q12" s="123">
        <v>1130867</v>
      </c>
      <c r="R12" s="123">
        <v>1215972</v>
      </c>
      <c r="S12" s="123">
        <v>1432470</v>
      </c>
      <c r="T12" s="123">
        <v>4650986</v>
      </c>
      <c r="U12" s="123">
        <v>1160135</v>
      </c>
      <c r="V12" s="125">
        <v>228140</v>
      </c>
      <c r="W12" s="412">
        <f t="shared" si="1"/>
        <v>9818570</v>
      </c>
      <c r="X12" s="123">
        <v>417</v>
      </c>
      <c r="Y12" s="124">
        <v>614167</v>
      </c>
      <c r="Z12" s="329">
        <v>504011</v>
      </c>
      <c r="AA12" s="329">
        <v>160320</v>
      </c>
      <c r="AB12" s="124">
        <v>51800</v>
      </c>
      <c r="AC12" s="136">
        <v>129000</v>
      </c>
      <c r="AD12" s="412">
        <f t="shared" si="5"/>
        <v>1459715</v>
      </c>
      <c r="AE12" s="123">
        <v>12104</v>
      </c>
      <c r="AF12" s="124">
        <v>2100987</v>
      </c>
      <c r="AG12" s="326">
        <v>172144</v>
      </c>
      <c r="AH12" s="124">
        <v>362900</v>
      </c>
      <c r="AI12" s="136">
        <v>686700</v>
      </c>
      <c r="AJ12" s="412">
        <f t="shared" si="2"/>
        <v>3334835</v>
      </c>
      <c r="AK12" s="281">
        <v>14700</v>
      </c>
      <c r="AL12" s="124">
        <v>561987</v>
      </c>
      <c r="AM12" s="135">
        <v>562207</v>
      </c>
      <c r="AN12" s="135">
        <v>789500</v>
      </c>
      <c r="AO12" s="418">
        <f t="shared" si="6"/>
        <v>1928394</v>
      </c>
      <c r="AP12" s="419">
        <f t="shared" si="11"/>
        <v>16612986</v>
      </c>
      <c r="AQ12" s="281">
        <v>34855164</v>
      </c>
      <c r="AR12" s="124">
        <v>699772</v>
      </c>
      <c r="AS12" s="136">
        <v>13100</v>
      </c>
      <c r="AT12" s="420">
        <f t="shared" si="7"/>
        <v>35568036</v>
      </c>
      <c r="AU12" s="135">
        <v>4429978</v>
      </c>
      <c r="AV12" s="135">
        <v>44794</v>
      </c>
      <c r="AW12" s="420">
        <f t="shared" si="8"/>
        <v>4474772</v>
      </c>
      <c r="AX12" s="418">
        <f t="shared" si="3"/>
        <v>40042808</v>
      </c>
      <c r="AY12" s="592">
        <v>1290857</v>
      </c>
      <c r="AZ12" s="592">
        <v>311506</v>
      </c>
      <c r="BA12" s="592">
        <v>264836</v>
      </c>
      <c r="BB12" s="418">
        <f t="shared" si="9"/>
        <v>1867199</v>
      </c>
      <c r="BC12" s="419">
        <f t="shared" si="10"/>
        <v>129692500</v>
      </c>
    </row>
    <row r="13" spans="1:56">
      <c r="A13" s="786" t="s">
        <v>400</v>
      </c>
      <c r="B13" s="206">
        <v>30</v>
      </c>
      <c r="C13" s="123">
        <v>4130</v>
      </c>
      <c r="D13" s="124">
        <v>11170022</v>
      </c>
      <c r="E13" s="124">
        <v>52774</v>
      </c>
      <c r="F13" s="124">
        <v>41266532</v>
      </c>
      <c r="G13" s="124">
        <v>2384500</v>
      </c>
      <c r="H13" s="124">
        <v>6906888</v>
      </c>
      <c r="I13" s="125">
        <v>8752000</v>
      </c>
      <c r="J13" s="136">
        <f>' Flow Adjustments'!C20</f>
        <v>0</v>
      </c>
      <c r="K13" s="412">
        <f t="shared" si="4"/>
        <v>70536846</v>
      </c>
      <c r="L13" s="123">
        <v>14684</v>
      </c>
      <c r="M13" s="124">
        <v>8570</v>
      </c>
      <c r="N13" s="122">
        <v>18300</v>
      </c>
      <c r="O13" s="136">
        <v>20585</v>
      </c>
      <c r="P13" s="412">
        <f t="shared" si="0"/>
        <v>62139</v>
      </c>
      <c r="Q13" s="123">
        <v>1056720</v>
      </c>
      <c r="R13" s="123">
        <v>1162273</v>
      </c>
      <c r="S13" s="123">
        <v>1281104</v>
      </c>
      <c r="T13" s="123">
        <v>3498426</v>
      </c>
      <c r="U13" s="123">
        <v>1005484</v>
      </c>
      <c r="V13" s="125">
        <v>282744</v>
      </c>
      <c r="W13" s="412">
        <f t="shared" si="1"/>
        <v>8286751</v>
      </c>
      <c r="X13" s="123">
        <v>1523</v>
      </c>
      <c r="Y13" s="124">
        <v>833590</v>
      </c>
      <c r="Z13" s="329">
        <v>412216</v>
      </c>
      <c r="AA13" s="329">
        <v>160422</v>
      </c>
      <c r="AB13" s="124">
        <v>43800</v>
      </c>
      <c r="AC13" s="136">
        <v>165000</v>
      </c>
      <c r="AD13" s="412">
        <f t="shared" si="5"/>
        <v>1616551</v>
      </c>
      <c r="AE13" s="123">
        <v>11490</v>
      </c>
      <c r="AF13" s="124">
        <v>2054781</v>
      </c>
      <c r="AG13" s="326">
        <v>184153</v>
      </c>
      <c r="AH13" s="124">
        <v>490700</v>
      </c>
      <c r="AI13" s="136">
        <v>808200</v>
      </c>
      <c r="AJ13" s="412">
        <f t="shared" si="2"/>
        <v>3549324</v>
      </c>
      <c r="AK13" s="281">
        <v>15191</v>
      </c>
      <c r="AL13" s="124">
        <v>577603</v>
      </c>
      <c r="AM13" s="135">
        <v>613215</v>
      </c>
      <c r="AN13" s="135">
        <v>859000</v>
      </c>
      <c r="AO13" s="418">
        <f t="shared" si="6"/>
        <v>2065009</v>
      </c>
      <c r="AP13" s="419">
        <f t="shared" si="11"/>
        <v>15579774</v>
      </c>
      <c r="AQ13" s="281">
        <v>31708122</v>
      </c>
      <c r="AR13" s="124">
        <v>572202</v>
      </c>
      <c r="AS13" s="135">
        <v>16100</v>
      </c>
      <c r="AT13" s="420">
        <f t="shared" si="7"/>
        <v>32296424</v>
      </c>
      <c r="AU13" s="135">
        <v>2887246</v>
      </c>
      <c r="AV13" s="135">
        <v>28921</v>
      </c>
      <c r="AW13" s="418">
        <f t="shared" si="8"/>
        <v>2916167</v>
      </c>
      <c r="AX13" s="418">
        <f t="shared" si="3"/>
        <v>35212591</v>
      </c>
      <c r="AY13" s="593">
        <v>1226712</v>
      </c>
      <c r="AZ13" s="593">
        <v>277688</v>
      </c>
      <c r="BA13" s="593">
        <v>250655</v>
      </c>
      <c r="BB13" s="423">
        <f t="shared" si="9"/>
        <v>1755055</v>
      </c>
      <c r="BC13" s="421">
        <f t="shared" si="10"/>
        <v>123084266</v>
      </c>
    </row>
    <row r="14" spans="1:56" ht="15.75" thickBot="1">
      <c r="A14" s="787" t="s">
        <v>401</v>
      </c>
      <c r="B14" s="207">
        <v>31</v>
      </c>
      <c r="C14" s="129">
        <v>5871</v>
      </c>
      <c r="D14" s="127">
        <v>9863270</v>
      </c>
      <c r="E14" s="127">
        <v>33327</v>
      </c>
      <c r="F14" s="127">
        <v>35871431</v>
      </c>
      <c r="G14" s="127">
        <v>1669200</v>
      </c>
      <c r="H14" s="127">
        <v>6538805</v>
      </c>
      <c r="I14" s="125">
        <v>6932000</v>
      </c>
      <c r="J14" s="136">
        <f>' Flow Adjustments'!C21</f>
        <v>0</v>
      </c>
      <c r="K14" s="412">
        <f t="shared" si="4"/>
        <v>60913904</v>
      </c>
      <c r="L14" s="129">
        <v>14649</v>
      </c>
      <c r="M14" s="127">
        <v>7556</v>
      </c>
      <c r="N14" s="279">
        <v>15100</v>
      </c>
      <c r="O14" s="140">
        <v>26154</v>
      </c>
      <c r="P14" s="412">
        <f t="shared" si="0"/>
        <v>63459</v>
      </c>
      <c r="Q14" s="129">
        <v>937355</v>
      </c>
      <c r="R14" s="129">
        <v>1108277</v>
      </c>
      <c r="S14" s="129">
        <v>895461</v>
      </c>
      <c r="T14" s="129">
        <v>2681951</v>
      </c>
      <c r="U14" s="129">
        <v>738925</v>
      </c>
      <c r="V14" s="128">
        <v>276760</v>
      </c>
      <c r="W14" s="412">
        <f t="shared" si="1"/>
        <v>6638729</v>
      </c>
      <c r="X14" s="129">
        <v>846</v>
      </c>
      <c r="Y14" s="127">
        <v>617069</v>
      </c>
      <c r="Z14" s="330">
        <v>269880</v>
      </c>
      <c r="AA14" s="330">
        <v>189422</v>
      </c>
      <c r="AB14" s="127">
        <v>48800</v>
      </c>
      <c r="AC14" s="140">
        <v>123000</v>
      </c>
      <c r="AD14" s="412">
        <f t="shared" si="5"/>
        <v>1249017</v>
      </c>
      <c r="AE14" s="129">
        <v>7989</v>
      </c>
      <c r="AF14" s="127">
        <v>2111765</v>
      </c>
      <c r="AG14" s="327">
        <v>159609</v>
      </c>
      <c r="AH14" s="127">
        <v>521100</v>
      </c>
      <c r="AI14" s="140">
        <v>777200</v>
      </c>
      <c r="AJ14" s="412">
        <f t="shared" si="2"/>
        <v>3577663</v>
      </c>
      <c r="AK14" s="126">
        <v>10264</v>
      </c>
      <c r="AL14" s="331">
        <v>591157</v>
      </c>
      <c r="AM14" s="137">
        <v>619924</v>
      </c>
      <c r="AN14" s="137">
        <v>797000</v>
      </c>
      <c r="AO14" s="424">
        <f t="shared" si="6"/>
        <v>2018345</v>
      </c>
      <c r="AP14" s="425">
        <f t="shared" si="11"/>
        <v>13547213</v>
      </c>
      <c r="AQ14" s="126">
        <v>28913136</v>
      </c>
      <c r="AR14" s="331">
        <v>502245</v>
      </c>
      <c r="AS14" s="128">
        <v>18900</v>
      </c>
      <c r="AT14" s="426">
        <f t="shared" si="7"/>
        <v>29434281</v>
      </c>
      <c r="AU14" s="138">
        <v>2692401</v>
      </c>
      <c r="AV14" s="140">
        <v>29680</v>
      </c>
      <c r="AW14" s="424">
        <f t="shared" si="8"/>
        <v>2722081</v>
      </c>
      <c r="AX14" s="423">
        <f t="shared" si="3"/>
        <v>32156362</v>
      </c>
      <c r="AY14" s="595">
        <v>1329211</v>
      </c>
      <c r="AZ14" s="595">
        <v>291699</v>
      </c>
      <c r="BA14" s="595">
        <v>286913</v>
      </c>
      <c r="BB14" s="426">
        <f t="shared" si="9"/>
        <v>1907823</v>
      </c>
      <c r="BC14" s="427">
        <f t="shared" si="10"/>
        <v>108525302</v>
      </c>
    </row>
    <row r="15" spans="1:56">
      <c r="A15" s="428" t="s">
        <v>38</v>
      </c>
      <c r="B15" s="429">
        <f t="shared" ref="B15:AW15" si="12">SUM(B3:B14)</f>
        <v>365</v>
      </c>
      <c r="C15" s="430">
        <f t="shared" si="12"/>
        <v>51783</v>
      </c>
      <c r="D15" s="431">
        <f t="shared" si="12"/>
        <v>128054876</v>
      </c>
      <c r="E15" s="431">
        <f t="shared" si="12"/>
        <v>408331</v>
      </c>
      <c r="F15" s="431">
        <f t="shared" si="12"/>
        <v>429937932</v>
      </c>
      <c r="G15" s="431">
        <f t="shared" si="12"/>
        <v>24191800</v>
      </c>
      <c r="H15" s="431">
        <f t="shared" si="12"/>
        <v>103641413</v>
      </c>
      <c r="I15" s="432">
        <f>SUM(I3:I14)</f>
        <v>100870000</v>
      </c>
      <c r="J15" s="433">
        <f>SUM(J3:J14)</f>
        <v>0</v>
      </c>
      <c r="K15" s="433">
        <f t="shared" si="12"/>
        <v>787156135</v>
      </c>
      <c r="L15" s="430">
        <f t="shared" si="12"/>
        <v>164973</v>
      </c>
      <c r="M15" s="431">
        <f>SUM(M3:M14)</f>
        <v>135563</v>
      </c>
      <c r="N15" s="431">
        <f>SUM(N3:N14)</f>
        <v>330300</v>
      </c>
      <c r="O15" s="434">
        <f>SUM(O3:O14)</f>
        <v>149298</v>
      </c>
      <c r="P15" s="435">
        <f>SUM(P3:P14)</f>
        <v>780134</v>
      </c>
      <c r="Q15" s="430">
        <f t="shared" si="12"/>
        <v>12718113</v>
      </c>
      <c r="R15" s="431">
        <f t="shared" ref="R15:W15" si="13">SUM(R3:R14)</f>
        <v>15133931</v>
      </c>
      <c r="S15" s="431">
        <f t="shared" si="13"/>
        <v>14841808</v>
      </c>
      <c r="T15" s="431">
        <f t="shared" si="13"/>
        <v>39776779</v>
      </c>
      <c r="U15" s="431">
        <f t="shared" si="13"/>
        <v>9710930</v>
      </c>
      <c r="V15" s="432">
        <f t="shared" si="13"/>
        <v>3327104</v>
      </c>
      <c r="W15" s="433">
        <f t="shared" si="13"/>
        <v>95508665</v>
      </c>
      <c r="X15" s="430">
        <f t="shared" si="12"/>
        <v>58484</v>
      </c>
      <c r="Y15" s="431">
        <f t="shared" si="12"/>
        <v>5925928</v>
      </c>
      <c r="Z15" s="431">
        <f t="shared" si="12"/>
        <v>4877329</v>
      </c>
      <c r="AA15" s="431">
        <f t="shared" si="12"/>
        <v>2935539</v>
      </c>
      <c r="AB15" s="431">
        <f>SUM(AB3:AB14)</f>
        <v>658000</v>
      </c>
      <c r="AC15" s="434">
        <f>SUM(AC3:AC14)</f>
        <v>1106000</v>
      </c>
      <c r="AD15" s="435">
        <f>SUM(AD3:AD14)</f>
        <v>15561280</v>
      </c>
      <c r="AE15" s="430">
        <f t="shared" si="12"/>
        <v>641717</v>
      </c>
      <c r="AF15" s="434">
        <f t="shared" si="12"/>
        <v>29638303</v>
      </c>
      <c r="AG15" s="434">
        <f t="shared" si="12"/>
        <v>2279312</v>
      </c>
      <c r="AH15" s="436">
        <f t="shared" si="12"/>
        <v>9125109</v>
      </c>
      <c r="AI15" s="437">
        <f t="shared" si="12"/>
        <v>15882700</v>
      </c>
      <c r="AJ15" s="435">
        <f t="shared" si="12"/>
        <v>57567141</v>
      </c>
      <c r="AK15" s="438">
        <f t="shared" si="12"/>
        <v>52380</v>
      </c>
      <c r="AL15" s="436">
        <f t="shared" si="12"/>
        <v>2292340</v>
      </c>
      <c r="AM15" s="439">
        <f t="shared" si="12"/>
        <v>1912190</v>
      </c>
      <c r="AN15" s="439">
        <f t="shared" si="12"/>
        <v>3198000</v>
      </c>
      <c r="AO15" s="435">
        <f t="shared" si="12"/>
        <v>7454910</v>
      </c>
      <c r="AP15" s="435">
        <f t="shared" si="12"/>
        <v>176872130</v>
      </c>
      <c r="AQ15" s="440">
        <f t="shared" si="12"/>
        <v>394142528</v>
      </c>
      <c r="AR15" s="441">
        <f t="shared" si="12"/>
        <v>7617128</v>
      </c>
      <c r="AS15" s="441">
        <f t="shared" si="12"/>
        <v>175500</v>
      </c>
      <c r="AT15" s="435">
        <f t="shared" si="12"/>
        <v>401935156</v>
      </c>
      <c r="AU15" s="442">
        <f t="shared" si="12"/>
        <v>27283681</v>
      </c>
      <c r="AV15" s="435">
        <f t="shared" si="12"/>
        <v>242813</v>
      </c>
      <c r="AW15" s="435">
        <f t="shared" si="12"/>
        <v>27526494</v>
      </c>
      <c r="AX15" s="435">
        <f t="shared" ref="AX15:BC15" si="14">SUM(AX3:AX14)</f>
        <v>429461650</v>
      </c>
      <c r="AY15" s="435">
        <f t="shared" si="14"/>
        <v>16932070</v>
      </c>
      <c r="AZ15" s="435">
        <f t="shared" si="14"/>
        <v>3125367</v>
      </c>
      <c r="BA15" s="435">
        <f t="shared" si="14"/>
        <v>3018509</v>
      </c>
      <c r="BB15" s="435">
        <f t="shared" si="14"/>
        <v>23075946</v>
      </c>
      <c r="BC15" s="415">
        <f t="shared" si="14"/>
        <v>1416565861</v>
      </c>
    </row>
    <row r="16" spans="1:56" ht="15.75" thickBot="1">
      <c r="A16" s="443" t="s">
        <v>456</v>
      </c>
      <c r="B16" s="443"/>
      <c r="C16" s="444"/>
      <c r="D16" s="445"/>
      <c r="E16" s="445"/>
      <c r="F16" s="445"/>
      <c r="G16" s="445"/>
      <c r="H16" s="445"/>
      <c r="I16" s="446"/>
      <c r="J16" s="447"/>
      <c r="K16" s="447">
        <f>K15/$BC$15</f>
        <v>0.55567916513554894</v>
      </c>
      <c r="L16" s="444"/>
      <c r="M16" s="445"/>
      <c r="N16" s="445"/>
      <c r="O16" s="447"/>
      <c r="P16" s="447">
        <f>P15/$BC$15</f>
        <v>5.50722011223169E-4</v>
      </c>
      <c r="Q16" s="444"/>
      <c r="R16" s="445"/>
      <c r="S16" s="445"/>
      <c r="T16" s="445"/>
      <c r="U16" s="445"/>
      <c r="V16" s="446"/>
      <c r="W16" s="447">
        <f>W15/$BC$15</f>
        <v>6.7422678768057645E-2</v>
      </c>
      <c r="X16" s="444"/>
      <c r="Y16" s="445"/>
      <c r="Z16" s="448"/>
      <c r="AA16" s="448"/>
      <c r="AB16" s="445"/>
      <c r="AC16" s="447"/>
      <c r="AD16" s="447">
        <f>AD15/$BC$15</f>
        <v>1.0985214615446673E-2</v>
      </c>
      <c r="AE16" s="444"/>
      <c r="AF16" s="449"/>
      <c r="AG16" s="445"/>
      <c r="AH16" s="445"/>
      <c r="AI16" s="447"/>
      <c r="AJ16" s="447">
        <f>AJ15/$BC$15</f>
        <v>4.0638520654000143E-2</v>
      </c>
      <c r="AK16" s="450"/>
      <c r="AL16" s="445"/>
      <c r="AM16" s="449"/>
      <c r="AN16" s="449"/>
      <c r="AO16" s="451">
        <f>AO15/$BC$15</f>
        <v>5.2626638868293329E-3</v>
      </c>
      <c r="AP16" s="447">
        <f>AP15/$BC$15</f>
        <v>0.12485979993555697</v>
      </c>
      <c r="AQ16" s="444"/>
      <c r="AR16" s="445"/>
      <c r="AS16" s="447"/>
      <c r="AT16" s="447">
        <f>AT15/$BC$15</f>
        <v>0.28373912365519022</v>
      </c>
      <c r="AU16" s="451"/>
      <c r="AV16" s="447"/>
      <c r="AW16" s="447">
        <f>AW15/$BC$15</f>
        <v>1.9431849063881967E-2</v>
      </c>
      <c r="AX16" s="447">
        <f>SUM(AT16,AW16)</f>
        <v>0.30317097271907217</v>
      </c>
      <c r="AY16" s="447"/>
      <c r="AZ16" s="447"/>
      <c r="BA16" s="447"/>
      <c r="BB16" s="451">
        <f>BB15/$BC$15</f>
        <v>1.6290062209821956E-2</v>
      </c>
      <c r="BC16" s="823">
        <f>SUM(B16,P16,W16,AD16,K16,AJ16,AT16,AW16,AO16,BB16)</f>
        <v>1</v>
      </c>
    </row>
    <row r="17" spans="1:55" ht="15.75" thickBot="1">
      <c r="A17" s="931" t="s">
        <v>566</v>
      </c>
      <c r="B17" s="932"/>
      <c r="C17" s="820"/>
      <c r="D17" s="553"/>
      <c r="E17" s="553"/>
      <c r="F17" s="553"/>
      <c r="G17" s="553"/>
      <c r="H17" s="553"/>
      <c r="I17" s="555"/>
      <c r="J17" s="693"/>
      <c r="K17" s="415">
        <f>LARGE(K3:K14,1)</f>
        <v>71569715</v>
      </c>
      <c r="L17" s="558"/>
      <c r="M17" s="553"/>
      <c r="N17" s="553"/>
      <c r="O17" s="553"/>
      <c r="P17" s="415">
        <f>LARGE(P3:P14,1)</f>
        <v>76748</v>
      </c>
      <c r="Q17" s="553"/>
      <c r="R17" s="553"/>
      <c r="S17" s="553"/>
      <c r="T17" s="553"/>
      <c r="U17" s="553"/>
      <c r="V17" s="553"/>
      <c r="W17" s="415">
        <f>LARGE(W3:W14,1)</f>
        <v>9818570</v>
      </c>
      <c r="X17" s="553"/>
      <c r="Y17" s="553"/>
      <c r="Z17" s="553"/>
      <c r="AA17" s="553"/>
      <c r="AB17" s="553"/>
      <c r="AC17" s="553"/>
      <c r="AD17" s="415">
        <f>LARGE(AD3:AD14,1)</f>
        <v>1777259</v>
      </c>
      <c r="AE17" s="553"/>
      <c r="AF17" s="553"/>
      <c r="AG17" s="553"/>
      <c r="AH17" s="553"/>
      <c r="AI17" s="553"/>
      <c r="AJ17" s="415">
        <f>LARGE(AJ3:AJ14,1)</f>
        <v>6257882</v>
      </c>
      <c r="AK17" s="553"/>
      <c r="AL17" s="553"/>
      <c r="AM17" s="553"/>
      <c r="AN17" s="553"/>
      <c r="AO17" s="415">
        <f>LARGE(AO3:AO14,1)</f>
        <v>2065009</v>
      </c>
      <c r="AP17" s="417">
        <f>SUM(AO17,AJ17,AD17,W17,P17)</f>
        <v>19995468</v>
      </c>
      <c r="AQ17" s="553"/>
      <c r="AR17" s="553"/>
      <c r="AS17" s="553"/>
      <c r="AT17" s="415">
        <f>LARGE(AT3:AT14,1)</f>
        <v>38841918</v>
      </c>
      <c r="AU17" s="553"/>
      <c r="AV17" s="553"/>
      <c r="AW17" s="415">
        <f>LARGE(AW3:AW14,1)</f>
        <v>4474772</v>
      </c>
      <c r="AX17" s="415">
        <f>SUM(AW17,AT17)</f>
        <v>43316690</v>
      </c>
      <c r="AY17" s="553"/>
      <c r="AZ17" s="553"/>
      <c r="BA17" s="553"/>
      <c r="BB17" s="415">
        <f>LARGE(BB3:BB14,1)</f>
        <v>2636261</v>
      </c>
      <c r="BC17" s="415">
        <f>SUM(AX17,AP17,K17)</f>
        <v>134881873</v>
      </c>
    </row>
    <row r="18" spans="1:55" ht="15.75" thickBot="1">
      <c r="A18" s="931" t="s">
        <v>458</v>
      </c>
      <c r="B18" s="932"/>
      <c r="C18" s="821"/>
      <c r="D18" s="553"/>
      <c r="E18" s="553"/>
      <c r="F18" s="553"/>
      <c r="G18" s="553"/>
      <c r="H18" s="553"/>
      <c r="I18" s="556"/>
      <c r="J18" s="694"/>
      <c r="K18" s="421">
        <f>K17/B11</f>
        <v>2385657.1666666665</v>
      </c>
      <c r="L18" s="558"/>
      <c r="M18" s="553"/>
      <c r="N18" s="553"/>
      <c r="O18" s="553"/>
      <c r="P18" s="421">
        <f>P17/B3</f>
        <v>2475.7419354838707</v>
      </c>
      <c r="Q18" s="553"/>
      <c r="R18" s="553"/>
      <c r="S18" s="553"/>
      <c r="T18" s="553"/>
      <c r="U18" s="553"/>
      <c r="V18" s="553"/>
      <c r="W18" s="421">
        <f>W17/B12</f>
        <v>316728.06451612903</v>
      </c>
      <c r="X18" s="553"/>
      <c r="Y18" s="553"/>
      <c r="Z18" s="553"/>
      <c r="AA18" s="553"/>
      <c r="AB18" s="553"/>
      <c r="AC18" s="553"/>
      <c r="AD18" s="421">
        <f>AD17/B4</f>
        <v>63473.535714285717</v>
      </c>
      <c r="AE18" s="553"/>
      <c r="AF18" s="553"/>
      <c r="AG18" s="553"/>
      <c r="AH18" s="553"/>
      <c r="AI18" s="553"/>
      <c r="AJ18" s="421">
        <f>SUM(AD18,W18,P18)</f>
        <v>382677.34216589865</v>
      </c>
      <c r="AK18" s="553"/>
      <c r="AL18" s="553"/>
      <c r="AM18" s="553"/>
      <c r="AN18" s="553"/>
      <c r="AO18" s="421">
        <f>AO17/B13</f>
        <v>68833.633333333331</v>
      </c>
      <c r="AP18" s="417">
        <f>SUM(AO18,AJ18,AD18,W18,P18)</f>
        <v>834188.3176651306</v>
      </c>
      <c r="AQ18" s="553"/>
      <c r="AR18" s="553"/>
      <c r="AS18" s="553"/>
      <c r="AT18" s="421">
        <f>AT17/B8</f>
        <v>1294730.6000000001</v>
      </c>
      <c r="AU18" s="553"/>
      <c r="AV18" s="553"/>
      <c r="AW18" s="421">
        <f>AW17/B12</f>
        <v>144347.48387096773</v>
      </c>
      <c r="AX18" s="562">
        <f>SUM(AW18,AT18)</f>
        <v>1439078.0838709679</v>
      </c>
      <c r="AY18" s="553"/>
      <c r="AZ18" s="553"/>
      <c r="BA18" s="553"/>
      <c r="BB18" s="421">
        <f>BB17/B4</f>
        <v>94152.178571428565</v>
      </c>
      <c r="BC18" s="419">
        <f>SUM(AX18,AP18,K18,BB18)</f>
        <v>4753075.7467741938</v>
      </c>
    </row>
    <row r="19" spans="1:55" ht="15.75" thickBot="1">
      <c r="A19" s="927" t="s">
        <v>459</v>
      </c>
      <c r="B19" s="928"/>
      <c r="C19" s="821"/>
      <c r="D19" s="553"/>
      <c r="E19" s="553"/>
      <c r="F19" s="553"/>
      <c r="G19" s="553"/>
      <c r="H19" s="553"/>
      <c r="I19" s="556"/>
      <c r="J19" s="695"/>
      <c r="K19" s="571">
        <f>K18/BC18</f>
        <v>0.50191860886832251</v>
      </c>
      <c r="L19" s="558"/>
      <c r="M19" s="553"/>
      <c r="N19" s="553"/>
      <c r="O19" s="553"/>
      <c r="P19" s="571">
        <f>P18/$BC$18</f>
        <v>5.2087155084033776E-4</v>
      </c>
      <c r="Q19" s="553"/>
      <c r="R19" s="553"/>
      <c r="S19" s="553"/>
      <c r="T19" s="553"/>
      <c r="U19" s="553"/>
      <c r="V19" s="553"/>
      <c r="W19" s="571">
        <f>W18/$BC$18</f>
        <v>6.6636443724063368E-2</v>
      </c>
      <c r="X19" s="553"/>
      <c r="Y19" s="553"/>
      <c r="Z19" s="553"/>
      <c r="AA19" s="553"/>
      <c r="AB19" s="553"/>
      <c r="AC19" s="553"/>
      <c r="AD19" s="571">
        <f>AD18/$BC$18</f>
        <v>1.3354202435625771E-2</v>
      </c>
      <c r="AE19" s="553"/>
      <c r="AF19" s="553"/>
      <c r="AG19" s="553"/>
      <c r="AH19" s="553"/>
      <c r="AI19" s="553"/>
      <c r="AJ19" s="571">
        <f>AJ18/$BC$18</f>
        <v>8.0511517710529487E-2</v>
      </c>
      <c r="AK19" s="553"/>
      <c r="AL19" s="553"/>
      <c r="AM19" s="553"/>
      <c r="AN19" s="553"/>
      <c r="AO19" s="571">
        <f>AO18/$BC$18</f>
        <v>1.4481913817605196E-2</v>
      </c>
      <c r="AP19" s="572">
        <f>AP18/BC18</f>
        <v>0.17550494923866417</v>
      </c>
      <c r="AQ19" s="553"/>
      <c r="AR19" s="553"/>
      <c r="AS19" s="553"/>
      <c r="AT19" s="571">
        <f>AT18/$BC$18</f>
        <v>0.27239847815989571</v>
      </c>
      <c r="AU19" s="553"/>
      <c r="AV19" s="553"/>
      <c r="AW19" s="571">
        <f>AW18/$BC$18</f>
        <v>3.0369279086059828E-2</v>
      </c>
      <c r="AX19" s="572">
        <f>AX18/BC18</f>
        <v>0.3027677572459555</v>
      </c>
      <c r="AY19" s="553"/>
      <c r="AZ19" s="553"/>
      <c r="BA19" s="553"/>
      <c r="BB19" s="572">
        <f>BB18/BC18</f>
        <v>1.9808684647057758E-2</v>
      </c>
      <c r="BC19" s="567">
        <f>SUM(K19,AP19,AX19,BB19)</f>
        <v>1</v>
      </c>
    </row>
    <row r="20" spans="1:55" ht="15.75" thickBot="1">
      <c r="A20" s="929" t="s">
        <v>460</v>
      </c>
      <c r="B20" s="930"/>
      <c r="C20" s="822"/>
      <c r="D20" s="554"/>
      <c r="E20" s="554"/>
      <c r="F20" s="554"/>
      <c r="G20" s="554"/>
      <c r="H20" s="554"/>
      <c r="I20" s="557"/>
      <c r="J20" s="696"/>
      <c r="K20" s="427">
        <f>K15/$B$15</f>
        <v>2156592.1506849313</v>
      </c>
      <c r="L20" s="559"/>
      <c r="M20" s="554"/>
      <c r="N20" s="554"/>
      <c r="O20" s="554"/>
      <c r="P20" s="427">
        <f>P15/$B$15</f>
        <v>2137.3534246575341</v>
      </c>
      <c r="Q20" s="554"/>
      <c r="R20" s="554"/>
      <c r="S20" s="554"/>
      <c r="T20" s="554"/>
      <c r="U20" s="554"/>
      <c r="V20" s="554"/>
      <c r="W20" s="427">
        <f>W15/$B$15</f>
        <v>261667.57534246575</v>
      </c>
      <c r="X20" s="554"/>
      <c r="Y20" s="554"/>
      <c r="Z20" s="554"/>
      <c r="AA20" s="554"/>
      <c r="AB20" s="554"/>
      <c r="AC20" s="554"/>
      <c r="AD20" s="427">
        <f>AD15/$B$15</f>
        <v>42633.643835616436</v>
      </c>
      <c r="AE20" s="554"/>
      <c r="AF20" s="554"/>
      <c r="AG20" s="554"/>
      <c r="AH20" s="554"/>
      <c r="AI20" s="554"/>
      <c r="AJ20" s="427">
        <f>AJ15/$B$15</f>
        <v>157718.19452054796</v>
      </c>
      <c r="AK20" s="554"/>
      <c r="AL20" s="554"/>
      <c r="AM20" s="554"/>
      <c r="AN20" s="554"/>
      <c r="AO20" s="427">
        <f>AO15/$B$15</f>
        <v>20424.410958904111</v>
      </c>
      <c r="AP20" s="427">
        <f>AP15/$B$15</f>
        <v>484581.17808219179</v>
      </c>
      <c r="AQ20" s="554"/>
      <c r="AR20" s="554"/>
      <c r="AS20" s="554"/>
      <c r="AT20" s="427">
        <f>AT15/$B$15</f>
        <v>1101192.208219178</v>
      </c>
      <c r="AU20" s="554"/>
      <c r="AV20" s="554"/>
      <c r="AW20" s="427">
        <f>AW15/$B$15</f>
        <v>75415.05205479452</v>
      </c>
      <c r="AX20" s="563">
        <f>AX15/$B$15</f>
        <v>1176607.2602739725</v>
      </c>
      <c r="AY20" s="554"/>
      <c r="AZ20" s="554"/>
      <c r="BA20" s="600"/>
      <c r="BB20" s="427">
        <f>BB15/$B$15</f>
        <v>63221.769863013702</v>
      </c>
      <c r="BC20" s="561">
        <f>SUM(K20,AP20,AX20)</f>
        <v>3817780.5890410957</v>
      </c>
    </row>
    <row r="21" spans="1:55" ht="15.75" thickBot="1">
      <c r="B21" s="564"/>
      <c r="BC21" s="526"/>
    </row>
    <row r="22" spans="1:55" ht="15.75" thickBot="1">
      <c r="A22" s="487" t="s">
        <v>461</v>
      </c>
      <c r="B22" s="488">
        <v>0.625</v>
      </c>
      <c r="C22" s="489">
        <v>1</v>
      </c>
      <c r="D22" s="489">
        <v>1.5</v>
      </c>
      <c r="E22" s="489">
        <v>2</v>
      </c>
      <c r="F22" s="489">
        <v>3</v>
      </c>
      <c r="G22" s="489">
        <v>4</v>
      </c>
      <c r="H22" s="489">
        <v>6</v>
      </c>
      <c r="I22" s="490" t="s">
        <v>38</v>
      </c>
      <c r="J22" s="287"/>
    </row>
    <row r="23" spans="1:55" ht="15.75" thickBot="1">
      <c r="A23" s="409" t="s">
        <v>462</v>
      </c>
      <c r="B23" s="495">
        <f>SUM(C15,L15,Q15,X15,AE15,AK15,AQ15,AU15,AY15)</f>
        <v>452045729</v>
      </c>
      <c r="C23" s="495">
        <f>SUM(D15,M15,R15,Y15,AF15,AL15,AR15,AV15,AZ15)</f>
        <v>192166249</v>
      </c>
      <c r="D23" s="495">
        <f>SUM(E15,N15,S15,Z15,AG15)</f>
        <v>22737080</v>
      </c>
      <c r="E23" s="495">
        <f>SUM(F15,O15,T15,AA15,AH15,AM15,AS15,BA15)</f>
        <v>487030856</v>
      </c>
      <c r="F23" s="495">
        <f>SUM(G15,U15,AB15,AI15,AN15)</f>
        <v>53641430</v>
      </c>
      <c r="G23" s="495">
        <f>SUM(H15,V15,AC15)</f>
        <v>108074517</v>
      </c>
      <c r="H23" s="495">
        <f>SUM(I15)</f>
        <v>100870000</v>
      </c>
      <c r="I23" s="496">
        <f>SUM(B23:H23)</f>
        <v>1416565861</v>
      </c>
      <c r="J23" s="697"/>
    </row>
    <row r="24" spans="1:55" ht="36.75" customHeight="1" thickBot="1">
      <c r="A24" s="789" t="s">
        <v>463</v>
      </c>
      <c r="B24" s="495">
        <v>4062</v>
      </c>
      <c r="C24" s="495">
        <v>31138</v>
      </c>
      <c r="D24" s="495">
        <v>44935</v>
      </c>
      <c r="E24" s="495">
        <v>336587</v>
      </c>
      <c r="F24" s="495">
        <v>443319</v>
      </c>
      <c r="G24" s="495">
        <v>1114171</v>
      </c>
      <c r="H24" s="790">
        <v>7759239</v>
      </c>
      <c r="I24" s="496" t="s">
        <v>79</v>
      </c>
      <c r="J24" s="698"/>
    </row>
    <row r="25" spans="1:55" ht="15.75" thickBot="1">
      <c r="A25" s="409" t="s">
        <v>456</v>
      </c>
      <c r="B25" s="497">
        <f>B23/$I$23</f>
        <v>0.3191138099861352</v>
      </c>
      <c r="C25" s="497">
        <f t="shared" ref="C25:H25" si="15">C23/$I$23</f>
        <v>0.13565641689567726</v>
      </c>
      <c r="D25" s="497">
        <f t="shared" si="15"/>
        <v>1.605084565849212E-2</v>
      </c>
      <c r="E25" s="497">
        <f t="shared" si="15"/>
        <v>0.34381095112386023</v>
      </c>
      <c r="F25" s="497">
        <f t="shared" si="15"/>
        <v>3.7867233340024703E-2</v>
      </c>
      <c r="G25" s="497">
        <f t="shared" si="15"/>
        <v>7.6293323152448897E-2</v>
      </c>
      <c r="H25" s="497">
        <f t="shared" si="15"/>
        <v>7.1207419843361597E-2</v>
      </c>
      <c r="I25" s="498">
        <f>SUM(B25:H25)</f>
        <v>1</v>
      </c>
    </row>
    <row r="27" spans="1:55">
      <c r="A27" s="108" t="s">
        <v>100</v>
      </c>
    </row>
    <row r="28" spans="1:55">
      <c r="A28" s="108" t="s">
        <v>464</v>
      </c>
    </row>
    <row r="30" spans="1:55" ht="15.75" thickBot="1"/>
    <row r="31" spans="1:55" ht="45.75" thickBot="1">
      <c r="A31" s="87" t="s">
        <v>410</v>
      </c>
      <c r="B31" s="513" t="s">
        <v>465</v>
      </c>
    </row>
    <row r="32" spans="1:55">
      <c r="A32" s="117" t="s">
        <v>390</v>
      </c>
      <c r="B32" s="474">
        <v>108346493</v>
      </c>
    </row>
    <row r="33" spans="1:2">
      <c r="A33" s="118" t="s">
        <v>391</v>
      </c>
      <c r="B33" s="474">
        <v>105167408</v>
      </c>
    </row>
    <row r="34" spans="1:2">
      <c r="A34" s="119" t="s">
        <v>392</v>
      </c>
      <c r="B34" s="474">
        <v>108524378</v>
      </c>
    </row>
    <row r="35" spans="1:2">
      <c r="A35" s="118" t="s">
        <v>393</v>
      </c>
      <c r="B35" s="474">
        <v>107318349</v>
      </c>
    </row>
    <row r="36" spans="1:2">
      <c r="A36" s="119" t="s">
        <v>394</v>
      </c>
      <c r="B36" s="474">
        <v>114440529</v>
      </c>
    </row>
    <row r="37" spans="1:2">
      <c r="A37" s="118" t="s">
        <v>395</v>
      </c>
      <c r="B37" s="474">
        <v>129365317</v>
      </c>
    </row>
    <row r="38" spans="1:2">
      <c r="A38" s="119" t="s">
        <v>396</v>
      </c>
      <c r="B38" s="474">
        <v>120665095</v>
      </c>
    </row>
    <row r="39" spans="1:2" ht="15" customHeight="1">
      <c r="A39" s="118" t="s">
        <v>397</v>
      </c>
      <c r="B39" s="474">
        <v>126054791</v>
      </c>
    </row>
    <row r="40" spans="1:2">
      <c r="A40" s="119" t="s">
        <v>398</v>
      </c>
      <c r="B40" s="474">
        <v>129078793</v>
      </c>
    </row>
    <row r="41" spans="1:2">
      <c r="A41" s="118" t="s">
        <v>399</v>
      </c>
      <c r="B41" s="474">
        <v>129106540</v>
      </c>
    </row>
    <row r="42" spans="1:2">
      <c r="A42" s="119" t="s">
        <v>400</v>
      </c>
      <c r="B42" s="474">
        <v>122451910</v>
      </c>
    </row>
    <row r="43" spans="1:2" ht="15.75" thickBot="1">
      <c r="A43" s="120" t="s">
        <v>401</v>
      </c>
      <c r="B43" s="475">
        <v>108034202</v>
      </c>
    </row>
    <row r="44" spans="1:2">
      <c r="A44" s="402" t="s">
        <v>38</v>
      </c>
      <c r="B44" s="474">
        <f>SUM(B32:B43)</f>
        <v>1408553805</v>
      </c>
    </row>
    <row r="45" spans="1:2" ht="15.75" thickBot="1">
      <c r="A45" s="403" t="s">
        <v>456</v>
      </c>
      <c r="B45" s="262"/>
    </row>
  </sheetData>
  <mergeCells count="8">
    <mergeCell ref="AY1:BA1"/>
    <mergeCell ref="A19:B19"/>
    <mergeCell ref="A20:B20"/>
    <mergeCell ref="C1:K1"/>
    <mergeCell ref="L1:AP1"/>
    <mergeCell ref="AQ1:AX1"/>
    <mergeCell ref="A17:B17"/>
    <mergeCell ref="A18:B18"/>
  </mergeCells>
  <pageMargins left="0.7" right="0.7" top="0.75" bottom="0.75" header="0.3" footer="0.3"/>
  <pageSetup paperSize="3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5C0E8-5915-4E97-A27F-2E1A18D4963E}">
  <sheetPr>
    <tabColor rgb="FFC00000"/>
  </sheetPr>
  <dimension ref="A1:L28"/>
  <sheetViews>
    <sheetView workbookViewId="0">
      <selection sqref="A1:B2"/>
    </sheetView>
  </sheetViews>
  <sheetFormatPr defaultRowHeight="15"/>
  <cols>
    <col min="3" max="3" width="11" customWidth="1"/>
    <col min="4" max="4" width="11.5703125" customWidth="1"/>
    <col min="5" max="5" width="12.7109375" customWidth="1"/>
    <col min="6" max="6" width="10.5703125" customWidth="1"/>
    <col min="7" max="7" width="12.140625" customWidth="1"/>
    <col min="8" max="8" width="12" customWidth="1"/>
    <col min="9" max="9" width="11.28515625" customWidth="1"/>
    <col min="10" max="10" width="11.42578125" customWidth="1"/>
  </cols>
  <sheetData>
    <row r="1" spans="1:12" ht="15.75" thickBot="1">
      <c r="A1" s="188" t="s">
        <v>481</v>
      </c>
      <c r="B1" s="188"/>
      <c r="C1" s="189"/>
      <c r="D1" s="189"/>
      <c r="E1" s="189"/>
      <c r="F1" s="189"/>
      <c r="G1" s="190"/>
      <c r="H1" s="190"/>
      <c r="I1" s="190"/>
    </row>
    <row r="2" spans="1:12" ht="15.75" thickBot="1">
      <c r="A2" s="879" t="s">
        <v>469</v>
      </c>
      <c r="B2" s="880"/>
      <c r="C2" s="191" t="s">
        <v>482</v>
      </c>
      <c r="D2" s="191" t="s">
        <v>483</v>
      </c>
      <c r="E2" s="189"/>
      <c r="F2" s="189"/>
      <c r="G2" s="190"/>
      <c r="H2" s="190"/>
      <c r="I2" s="190"/>
    </row>
    <row r="3" spans="1:12">
      <c r="A3" s="881" t="s">
        <v>460</v>
      </c>
      <c r="B3" s="882"/>
      <c r="C3" s="711">
        <f>'S-Sales By Meter Adj'!BC15/'S-Sales By Meter Adj'!B15</f>
        <v>3881002.3589041098</v>
      </c>
      <c r="D3" s="711">
        <f>C3/(24*60)</f>
        <v>2695.1405270167429</v>
      </c>
      <c r="E3" s="189"/>
      <c r="F3" s="189"/>
      <c r="G3" s="190"/>
      <c r="H3" s="190"/>
      <c r="I3" s="190"/>
    </row>
    <row r="4" spans="1:12" ht="15.75" thickBot="1">
      <c r="A4" s="883" t="s">
        <v>458</v>
      </c>
      <c r="B4" s="884"/>
      <c r="C4" s="712">
        <f>'S-Sales By Meter Adj'!BC8/'S-Sales By Meter Adj'!B8</f>
        <v>4326626.333333333</v>
      </c>
      <c r="D4" s="713">
        <f>C4/(24*60)</f>
        <v>3004.6016203703703</v>
      </c>
      <c r="E4" s="189"/>
      <c r="F4" s="189"/>
      <c r="G4" s="190"/>
      <c r="H4" s="190"/>
      <c r="I4" s="190"/>
    </row>
    <row r="5" spans="1:12">
      <c r="A5" s="189"/>
      <c r="B5" s="189"/>
      <c r="C5" s="193"/>
      <c r="D5" s="194"/>
      <c r="E5" s="189"/>
      <c r="F5" s="189"/>
      <c r="G5" s="190"/>
      <c r="H5" s="190"/>
      <c r="I5" s="190"/>
    </row>
    <row r="6" spans="1:12" ht="15.75" thickBot="1">
      <c r="A6" s="189"/>
      <c r="B6" s="189"/>
      <c r="C6" s="189"/>
      <c r="D6" s="189"/>
      <c r="E6" s="189"/>
      <c r="F6" s="190"/>
      <c r="G6" s="190"/>
      <c r="H6" s="190"/>
      <c r="I6" s="190"/>
    </row>
    <row r="7" spans="1:12" ht="58.9" customHeight="1" thickBot="1">
      <c r="A7" s="885" t="s">
        <v>484</v>
      </c>
      <c r="B7" s="886"/>
      <c r="C7" s="195" t="s">
        <v>470</v>
      </c>
      <c r="D7" s="196" t="s">
        <v>471</v>
      </c>
      <c r="E7" s="196" t="s">
        <v>485</v>
      </c>
      <c r="F7" s="196" t="s">
        <v>472</v>
      </c>
      <c r="G7" s="190"/>
      <c r="H7" s="190"/>
      <c r="I7" s="190"/>
    </row>
    <row r="8" spans="1:12">
      <c r="A8" s="881" t="s">
        <v>486</v>
      </c>
      <c r="B8" s="882"/>
      <c r="C8" s="192" t="s">
        <v>473</v>
      </c>
      <c r="D8" s="457">
        <f>D3/D3</f>
        <v>1</v>
      </c>
      <c r="E8" s="197">
        <v>0</v>
      </c>
      <c r="F8" s="198">
        <v>0</v>
      </c>
      <c r="G8" s="190"/>
      <c r="H8" s="190"/>
      <c r="I8" s="190"/>
    </row>
    <row r="9" spans="1:12">
      <c r="A9" s="894" t="s">
        <v>487</v>
      </c>
      <c r="B9" s="895"/>
      <c r="C9" s="199" t="s">
        <v>474</v>
      </c>
      <c r="D9" s="458">
        <f>D3/D4</f>
        <v>0.89700428460945825</v>
      </c>
      <c r="E9" s="458">
        <f>1-D9</f>
        <v>0.10299571539054175</v>
      </c>
      <c r="F9" s="200">
        <v>0</v>
      </c>
      <c r="G9" s="190"/>
      <c r="H9" s="190"/>
      <c r="I9" s="190"/>
    </row>
    <row r="10" spans="1:12" ht="15.75" thickBot="1">
      <c r="A10" s="883" t="s">
        <v>472</v>
      </c>
      <c r="B10" s="887"/>
      <c r="C10" s="208" t="s">
        <v>488</v>
      </c>
      <c r="D10" s="201">
        <v>0</v>
      </c>
      <c r="E10" s="201">
        <v>0</v>
      </c>
      <c r="F10" s="202">
        <v>1</v>
      </c>
      <c r="G10" s="190"/>
      <c r="H10" s="190"/>
      <c r="I10" s="190"/>
    </row>
    <row r="11" spans="1:12">
      <c r="A11" s="194"/>
      <c r="B11" s="194"/>
      <c r="C11" s="194"/>
      <c r="D11" s="203"/>
      <c r="E11" s="203"/>
      <c r="F11" s="204"/>
      <c r="G11" s="190"/>
      <c r="H11" s="190"/>
      <c r="I11" s="190"/>
    </row>
    <row r="12" spans="1:12" ht="15.75" thickBot="1">
      <c r="A12" s="190"/>
      <c r="B12" s="190"/>
      <c r="C12" s="190"/>
      <c r="D12" s="190"/>
      <c r="E12" s="190"/>
      <c r="F12" s="190"/>
      <c r="G12" s="190"/>
      <c r="H12" s="190"/>
      <c r="I12" s="190"/>
    </row>
    <row r="13" spans="1:12" ht="36" customHeight="1">
      <c r="A13" s="888" t="s">
        <v>567</v>
      </c>
      <c r="B13" s="889"/>
      <c r="C13" s="875" t="s">
        <v>490</v>
      </c>
      <c r="D13" s="892" t="s">
        <v>407</v>
      </c>
      <c r="E13" s="875" t="s">
        <v>491</v>
      </c>
      <c r="F13" s="900" t="s">
        <v>406</v>
      </c>
      <c r="G13" s="875" t="s">
        <v>568</v>
      </c>
      <c r="H13" s="875" t="s">
        <v>569</v>
      </c>
      <c r="I13" s="875" t="s">
        <v>570</v>
      </c>
      <c r="J13" s="875" t="s">
        <v>571</v>
      </c>
      <c r="K13" s="875" t="s">
        <v>409</v>
      </c>
      <c r="L13" s="937" t="s">
        <v>38</v>
      </c>
    </row>
    <row r="14" spans="1:12" ht="24" customHeight="1" thickBot="1">
      <c r="A14" s="890"/>
      <c r="B14" s="891"/>
      <c r="C14" s="876"/>
      <c r="D14" s="893"/>
      <c r="E14" s="876"/>
      <c r="F14" s="901"/>
      <c r="G14" s="876"/>
      <c r="H14" s="876"/>
      <c r="I14" s="876"/>
      <c r="J14" s="902"/>
      <c r="K14" s="876"/>
      <c r="L14" s="938"/>
    </row>
    <row r="15" spans="1:12">
      <c r="A15" s="896" t="s">
        <v>471</v>
      </c>
      <c r="B15" s="897"/>
      <c r="C15" s="211">
        <f>'S-Sales By Meter Adj'!P16</f>
        <v>5.50722011223169E-4</v>
      </c>
      <c r="D15" s="211">
        <f>'S-Sales By Meter Adj'!W16</f>
        <v>6.7422678768057645E-2</v>
      </c>
      <c r="E15" s="211">
        <f>'S-Sales By Meter Adj'!AD16</f>
        <v>1.0985214615446673E-2</v>
      </c>
      <c r="F15" s="211">
        <f>'S-Sales By Meter Adj'!K16</f>
        <v>0.55567916513554894</v>
      </c>
      <c r="G15" s="212">
        <f>'S-Sales By Meter Adj'!AJ16</f>
        <v>4.0638520654000143E-2</v>
      </c>
      <c r="H15" s="212">
        <f>'S-Sales By Meter Adj'!AO16</f>
        <v>5.2626638868293329E-3</v>
      </c>
      <c r="I15" s="212">
        <f>'S-Sales By Meter Adj'!AW16</f>
        <v>1.9431849063881967E-2</v>
      </c>
      <c r="J15" s="213">
        <f>'S-Sales By Meter Adj'!AT16</f>
        <v>0.28373912365519022</v>
      </c>
      <c r="K15" s="606">
        <f>'S-Sales By Meter Adj'!BB16</f>
        <v>1.6290062209821956E-2</v>
      </c>
      <c r="L15" s="459">
        <f>SUM(C15:K15)</f>
        <v>1</v>
      </c>
    </row>
    <row r="16" spans="1:12">
      <c r="A16" s="896" t="s">
        <v>458</v>
      </c>
      <c r="B16" s="897"/>
      <c r="C16" s="597">
        <f>'S-Sales By Meter Adj'!P19</f>
        <v>5.2087155084033776E-4</v>
      </c>
      <c r="D16" s="598">
        <f>'S-Sales By Meter Adj'!W19</f>
        <v>6.6636443724063368E-2</v>
      </c>
      <c r="E16" s="598">
        <f>'S-Sales By Meter Adj'!AD19</f>
        <v>1.3354202435625771E-2</v>
      </c>
      <c r="F16" s="598">
        <f>'S-Sales By Meter Adj'!K19</f>
        <v>0.50191860886832251</v>
      </c>
      <c r="G16" s="599">
        <f>'S-Sales By Meter Adj'!AJ19</f>
        <v>8.0511517710529487E-2</v>
      </c>
      <c r="H16" s="598">
        <f>'S-Sales By Meter Adj'!AO19</f>
        <v>1.4481913817605196E-2</v>
      </c>
      <c r="I16" s="598">
        <f>'S-Sales By Meter Adj'!AW19</f>
        <v>3.0369279086059828E-2</v>
      </c>
      <c r="J16" s="598">
        <f>'S-Sales By Meter Adj'!AT19</f>
        <v>0.27239847815989571</v>
      </c>
      <c r="K16" s="599">
        <f>'S-Sales By Meter Adj'!BB19</f>
        <v>1.9808684647057758E-2</v>
      </c>
      <c r="L16" s="459">
        <f>SUM(C16:K16)</f>
        <v>0.99999999999999989</v>
      </c>
    </row>
    <row r="17" spans="1:12" ht="15.75" thickBot="1">
      <c r="A17" s="898" t="s">
        <v>496</v>
      </c>
      <c r="B17" s="899"/>
      <c r="C17" s="814">
        <v>0</v>
      </c>
      <c r="D17" s="815">
        <v>0</v>
      </c>
      <c r="E17" s="816">
        <v>0</v>
      </c>
      <c r="F17" s="815">
        <v>0</v>
      </c>
      <c r="G17" s="817">
        <v>0</v>
      </c>
      <c r="H17" s="815">
        <v>0</v>
      </c>
      <c r="I17" s="815">
        <v>0</v>
      </c>
      <c r="J17" s="815">
        <v>0</v>
      </c>
      <c r="K17" s="818">
        <v>0</v>
      </c>
      <c r="L17" s="460">
        <f>SUM(C17:G17)</f>
        <v>0</v>
      </c>
    </row>
    <row r="18" spans="1:12">
      <c r="A18" s="287"/>
      <c r="B18" s="287"/>
      <c r="C18" s="288"/>
      <c r="D18" s="289"/>
      <c r="F18" s="190"/>
    </row>
    <row r="19" spans="1:12" ht="15.75" thickBot="1"/>
    <row r="20" spans="1:12" ht="27" customHeight="1">
      <c r="A20" s="888" t="s">
        <v>567</v>
      </c>
      <c r="B20" s="889"/>
      <c r="C20" s="900" t="s">
        <v>406</v>
      </c>
      <c r="D20" s="900" t="s">
        <v>407</v>
      </c>
      <c r="E20" s="900" t="s">
        <v>408</v>
      </c>
      <c r="F20" s="935" t="s">
        <v>409</v>
      </c>
      <c r="G20" s="933" t="s">
        <v>38</v>
      </c>
    </row>
    <row r="21" spans="1:12" ht="27.75" customHeight="1" thickBot="1">
      <c r="A21" s="890"/>
      <c r="B21" s="891"/>
      <c r="C21" s="901"/>
      <c r="D21" s="901"/>
      <c r="E21" s="901"/>
      <c r="F21" s="936"/>
      <c r="G21" s="934"/>
    </row>
    <row r="22" spans="1:12">
      <c r="A22" s="896" t="s">
        <v>471</v>
      </c>
      <c r="B22" s="897"/>
      <c r="C22" s="211">
        <f>'S-Sales By Meter Adj'!K16</f>
        <v>0.55567916513554894</v>
      </c>
      <c r="D22" s="211">
        <f>'S-Sales By Meter Adj'!AP16</f>
        <v>0.12485979993555697</v>
      </c>
      <c r="E22" s="211">
        <f>'S-Sales By Meter Adj'!AX16</f>
        <v>0.30317097271907217</v>
      </c>
      <c r="F22" s="636">
        <f>'S-Sales By Meter Adj'!BB16</f>
        <v>1.6290062209821956E-2</v>
      </c>
      <c r="G22" s="459">
        <f>SUM(C22:F22)</f>
        <v>1</v>
      </c>
    </row>
    <row r="23" spans="1:12">
      <c r="A23" s="896" t="s">
        <v>458</v>
      </c>
      <c r="B23" s="897"/>
      <c r="C23" s="566">
        <f>'S-Sales By Meter Adj'!K19</f>
        <v>0.50191860886832251</v>
      </c>
      <c r="D23" s="566">
        <f>'S-Sales By Meter Adj'!AP19</f>
        <v>0.17550494923866417</v>
      </c>
      <c r="E23" s="565">
        <f>'S-Sales By Meter Adj'!AX19</f>
        <v>0.3027677572459555</v>
      </c>
      <c r="F23" s="601">
        <f>'S-Sales By Meter Adj'!BB19</f>
        <v>1.9808684647057758E-2</v>
      </c>
      <c r="G23" s="459">
        <f>SUM(C23:F23)</f>
        <v>1</v>
      </c>
    </row>
    <row r="24" spans="1:12" ht="15.75" thickBot="1">
      <c r="A24" s="898" t="s">
        <v>496</v>
      </c>
      <c r="B24" s="899"/>
      <c r="C24" s="639">
        <f>C22</f>
        <v>0.55567916513554894</v>
      </c>
      <c r="D24" s="748">
        <f>D22</f>
        <v>0.12485979993555697</v>
      </c>
      <c r="E24" s="748">
        <f>E22</f>
        <v>0.30317097271907217</v>
      </c>
      <c r="F24" s="749">
        <f>F22</f>
        <v>1.6290062209821956E-2</v>
      </c>
      <c r="G24" s="460">
        <f>SUM(C24:F24)</f>
        <v>1</v>
      </c>
    </row>
    <row r="25" spans="1:12">
      <c r="F25" s="86"/>
    </row>
    <row r="27" spans="1:12">
      <c r="A27" s="108" t="s">
        <v>100</v>
      </c>
    </row>
    <row r="28" spans="1:12">
      <c r="A28" s="108" t="s">
        <v>572</v>
      </c>
    </row>
  </sheetData>
  <mergeCells count="30">
    <mergeCell ref="E13:E14"/>
    <mergeCell ref="F13:F14"/>
    <mergeCell ref="A2:B2"/>
    <mergeCell ref="A3:B3"/>
    <mergeCell ref="A4:B4"/>
    <mergeCell ref="A7:B7"/>
    <mergeCell ref="A8:B8"/>
    <mergeCell ref="A9:B9"/>
    <mergeCell ref="A15:B15"/>
    <mergeCell ref="A10:B10"/>
    <mergeCell ref="A13:B14"/>
    <mergeCell ref="C13:C14"/>
    <mergeCell ref="D13:D14"/>
    <mergeCell ref="G13:G14"/>
    <mergeCell ref="H13:H14"/>
    <mergeCell ref="I13:I14"/>
    <mergeCell ref="J13:J14"/>
    <mergeCell ref="L13:L14"/>
    <mergeCell ref="K13:K14"/>
    <mergeCell ref="G20:G21"/>
    <mergeCell ref="A22:B22"/>
    <mergeCell ref="A23:B23"/>
    <mergeCell ref="A24:B24"/>
    <mergeCell ref="A16:B16"/>
    <mergeCell ref="A17:B17"/>
    <mergeCell ref="A20:B21"/>
    <mergeCell ref="C20:C21"/>
    <mergeCell ref="D20:D21"/>
    <mergeCell ref="E20:E21"/>
    <mergeCell ref="F20:F21"/>
  </mergeCells>
  <pageMargins left="0.7" right="0.7" top="0.75" bottom="0.75" header="0.3" footer="0.3"/>
  <pageSetup paperSize="3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D6000-9C17-4BCB-AE16-79533B646FF4}">
  <sheetPr>
    <tabColor rgb="FFC00000"/>
  </sheetPr>
  <dimension ref="A1:H250"/>
  <sheetViews>
    <sheetView topLeftCell="A222" workbookViewId="0">
      <selection sqref="A1:A2"/>
    </sheetView>
  </sheetViews>
  <sheetFormatPr defaultRowHeight="15"/>
  <cols>
    <col min="1" max="1" width="10.28515625" customWidth="1"/>
    <col min="2" max="2" width="44.5703125" customWidth="1"/>
    <col min="3" max="3" width="18.7109375" bestFit="1" customWidth="1"/>
    <col min="5" max="5" width="12.28515625" bestFit="1" customWidth="1"/>
    <col min="6" max="6" width="10.28515625" customWidth="1"/>
    <col min="7" max="7" width="9.85546875" customWidth="1"/>
    <col min="8" max="8" width="47.28515625" style="798" customWidth="1"/>
  </cols>
  <sheetData>
    <row r="1" spans="1:8" ht="15.75" customHeight="1" thickBot="1">
      <c r="A1" s="792"/>
      <c r="B1" s="853" t="s">
        <v>573</v>
      </c>
      <c r="C1" s="858" t="s">
        <v>469</v>
      </c>
      <c r="D1" s="854" t="s">
        <v>470</v>
      </c>
      <c r="E1" s="851" t="s">
        <v>471</v>
      </c>
      <c r="F1" s="851" t="s">
        <v>458</v>
      </c>
      <c r="G1" s="851" t="s">
        <v>472</v>
      </c>
      <c r="H1" s="851" t="s">
        <v>100</v>
      </c>
    </row>
    <row r="2" spans="1:8" ht="15.75" thickBot="1">
      <c r="A2" s="5"/>
      <c r="B2" s="853"/>
      <c r="C2" s="859"/>
      <c r="D2" s="855"/>
      <c r="E2" s="852"/>
      <c r="F2" s="852"/>
      <c r="G2" s="852"/>
      <c r="H2" s="852"/>
    </row>
    <row r="3" spans="1:8" ht="15.75" thickBot="1">
      <c r="A3" s="262"/>
      <c r="B3" s="141" t="s">
        <v>6</v>
      </c>
      <c r="C3" s="860"/>
      <c r="D3" s="856"/>
      <c r="E3" s="857"/>
      <c r="F3" s="857"/>
      <c r="G3" s="857"/>
      <c r="H3" s="852"/>
    </row>
    <row r="4" spans="1:8">
      <c r="A4" s="243" t="s">
        <v>7</v>
      </c>
      <c r="B4" s="215" t="s">
        <v>106</v>
      </c>
      <c r="C4" s="258"/>
      <c r="D4" s="209"/>
      <c r="E4" s="210"/>
      <c r="F4" s="210"/>
      <c r="G4" s="210"/>
      <c r="H4" s="261"/>
    </row>
    <row r="5" spans="1:8">
      <c r="A5" s="53" t="str">
        <f>Expenses!A5</f>
        <v>601-1001-3</v>
      </c>
      <c r="B5" s="216" t="str">
        <f>Expenses!C5</f>
        <v>Wages- Source (Oper)</v>
      </c>
      <c r="C5" s="61">
        <f>Expenses!I5</f>
        <v>0</v>
      </c>
      <c r="D5" s="242" t="s">
        <v>473</v>
      </c>
      <c r="E5" s="452">
        <f>VLOOKUP(D5,'S-Alloc Met-TY Adj'!$C$8:$D$10,2,FALSE)*C5</f>
        <v>0</v>
      </c>
      <c r="F5" s="452">
        <f>VLOOKUP(D5,'S-Alloc Met-TY Adj'!$C$8:$E$10,3,FALSE)*C5</f>
        <v>0</v>
      </c>
      <c r="G5" s="452">
        <f>VLOOKUP(D5,'S-Alloc Met-TY Adj'!$C$8:$F$10,4,FALSE)*C5</f>
        <v>0</v>
      </c>
      <c r="H5" s="17" t="s">
        <v>236</v>
      </c>
    </row>
    <row r="6" spans="1:8">
      <c r="A6" s="53" t="str">
        <f>Expenses!A6</f>
        <v>601-2002-3</v>
      </c>
      <c r="B6" s="216" t="str">
        <f>Expenses!C6</f>
        <v>Wages- Source (Maint)</v>
      </c>
      <c r="C6" s="61">
        <f>Expenses!I6</f>
        <v>0</v>
      </c>
      <c r="D6" s="242" t="s">
        <v>473</v>
      </c>
      <c r="E6" s="452">
        <f>VLOOKUP(D6,'S-Alloc Met-TY Adj'!$C$8:$D$10,2,FALSE)*C6</f>
        <v>0</v>
      </c>
      <c r="F6" s="452">
        <f>VLOOKUP(D6,'S-Alloc Met-TY Adj'!$C$8:$E$10,3,FALSE)*C6</f>
        <v>0</v>
      </c>
      <c r="G6" s="452">
        <f>VLOOKUP(D6,'S-Alloc Met-TY Adj'!$C$8:$F$10,4,FALSE)*C6</f>
        <v>0</v>
      </c>
      <c r="H6" s="17" t="s">
        <v>236</v>
      </c>
    </row>
    <row r="7" spans="1:8">
      <c r="A7" s="53" t="str">
        <f>Expenses!A7</f>
        <v>604-1001-3</v>
      </c>
      <c r="B7" s="216" t="str">
        <f>Expenses!C7</f>
        <v>Employee Overhead- Source (Oper)</v>
      </c>
      <c r="C7" s="61">
        <f>Expenses!I7</f>
        <v>0</v>
      </c>
      <c r="D7" s="242" t="s">
        <v>473</v>
      </c>
      <c r="E7" s="452">
        <f>VLOOKUP(D7,'S-Alloc Met-TY Adj'!$C$8:$D$10,2,FALSE)*C7</f>
        <v>0</v>
      </c>
      <c r="F7" s="452">
        <f>VLOOKUP(D7,'S-Alloc Met-TY Adj'!$C$8:$E$10,3,FALSE)*C7</f>
        <v>0</v>
      </c>
      <c r="G7" s="452">
        <f>VLOOKUP(D7,'S-Alloc Met-TY Adj'!$C$8:$F$10,4,FALSE)*C7</f>
        <v>0</v>
      </c>
      <c r="H7" s="17" t="s">
        <v>236</v>
      </c>
    </row>
    <row r="8" spans="1:8">
      <c r="A8" s="53" t="str">
        <f>Expenses!A8</f>
        <v>615-5001-3</v>
      </c>
      <c r="B8" s="216" t="str">
        <f>Expenses!C8</f>
        <v>Purchased Power- Source</v>
      </c>
      <c r="C8" s="61">
        <f>Expenses!I8</f>
        <v>157890</v>
      </c>
      <c r="D8" s="242" t="s">
        <v>474</v>
      </c>
      <c r="E8" s="452">
        <f>VLOOKUP(D8,'S-Alloc Met-TY Adj'!$C$8:$D$10,2,FALSE)*C8</f>
        <v>141628.00649698736</v>
      </c>
      <c r="F8" s="452">
        <f>VLOOKUP(D8,'S-Alloc Met-TY Adj'!$C$8:$E$10,3,FALSE)*C8</f>
        <v>16261.993503012638</v>
      </c>
      <c r="G8" s="452">
        <f>VLOOKUP(D8,'S-Alloc Met-TY Adj'!$C$8:$F$10,4,FALSE)*C8</f>
        <v>0</v>
      </c>
      <c r="H8" s="795"/>
    </row>
    <row r="9" spans="1:8">
      <c r="A9" s="53" t="str">
        <f>Expenses!A9</f>
        <v>-</v>
      </c>
      <c r="B9" s="216" t="str">
        <f>Expenses!C9</f>
        <v>Purchased Power- Source (ENERNOC)</v>
      </c>
      <c r="C9" s="61">
        <f>Expenses!I9</f>
        <v>0</v>
      </c>
      <c r="D9" s="242" t="s">
        <v>474</v>
      </c>
      <c r="E9" s="452">
        <f>VLOOKUP(D9,'S-Alloc Met-TY Adj'!$C$8:$D$10,2,FALSE)*C9</f>
        <v>0</v>
      </c>
      <c r="F9" s="452">
        <f>VLOOKUP(D9,'S-Alloc Met-TY Adj'!$C$8:$E$10,3,FALSE)*C9</f>
        <v>0</v>
      </c>
      <c r="G9" s="452">
        <f>VLOOKUP(D9,'S-Alloc Met-TY Adj'!$C$8:$F$10,4,FALSE)*C9</f>
        <v>0</v>
      </c>
      <c r="H9" s="795"/>
    </row>
    <row r="10" spans="1:8">
      <c r="A10" s="53" t="str">
        <f>Expenses!A10</f>
        <v>620-1001-3</v>
      </c>
      <c r="B10" s="216" t="str">
        <f>Expenses!C10</f>
        <v>Materials &amp; Supplies- Source (Oper)</v>
      </c>
      <c r="C10" s="61">
        <f>Expenses!I10</f>
        <v>0</v>
      </c>
      <c r="D10" s="242" t="s">
        <v>473</v>
      </c>
      <c r="E10" s="452">
        <f>VLOOKUP(D10,'S-Alloc Met-TY Adj'!$C$8:$D$10,2,FALSE)*C10</f>
        <v>0</v>
      </c>
      <c r="F10" s="452">
        <f>VLOOKUP(D10,'S-Alloc Met-TY Adj'!$C$8:$E$10,3,FALSE)*C10</f>
        <v>0</v>
      </c>
      <c r="G10" s="452">
        <f>VLOOKUP(D10,'S-Alloc Met-TY Adj'!$C$8:$F$10,4,FALSE)*C10</f>
        <v>0</v>
      </c>
      <c r="H10" s="795"/>
    </row>
    <row r="11" spans="1:8">
      <c r="A11" s="53" t="str">
        <f>Expenses!A11</f>
        <v>620-2002-3</v>
      </c>
      <c r="B11" s="216" t="str">
        <f>Expenses!C11</f>
        <v>Materials &amp; Supplies- Source (Maint)</v>
      </c>
      <c r="C11" s="61">
        <f>Expenses!I11</f>
        <v>0</v>
      </c>
      <c r="D11" s="242" t="s">
        <v>473</v>
      </c>
      <c r="E11" s="452">
        <f>VLOOKUP(D11,'S-Alloc Met-TY Adj'!$C$8:$D$10,2,FALSE)*C11</f>
        <v>0</v>
      </c>
      <c r="F11" s="452">
        <f>VLOOKUP(D11,'S-Alloc Met-TY Adj'!$C$8:$E$10,3,FALSE)*C11</f>
        <v>0</v>
      </c>
      <c r="G11" s="452">
        <f>VLOOKUP(D11,'S-Alloc Met-TY Adj'!$C$8:$F$10,4,FALSE)*C11</f>
        <v>0</v>
      </c>
      <c r="H11" s="795"/>
    </row>
    <row r="12" spans="1:8">
      <c r="A12" s="53" t="str">
        <f>Expenses!A12</f>
        <v>631-1001-3</v>
      </c>
      <c r="B12" s="216" t="str">
        <f>Expenses!C12</f>
        <v>Contract Engineering- Source (Oper)</v>
      </c>
      <c r="C12" s="61">
        <f>Expenses!I12</f>
        <v>0</v>
      </c>
      <c r="D12" s="242" t="s">
        <v>473</v>
      </c>
      <c r="E12" s="452">
        <f>VLOOKUP(D12,'S-Alloc Met-TY Adj'!$C$8:$D$10,2,FALSE)*C12</f>
        <v>0</v>
      </c>
      <c r="F12" s="452">
        <f>VLOOKUP(D12,'S-Alloc Met-TY Adj'!$C$8:$E$10,3,FALSE)*C12</f>
        <v>0</v>
      </c>
      <c r="G12" s="452">
        <f>VLOOKUP(D12,'S-Alloc Met-TY Adj'!$C$8:$F$10,4,FALSE)*C12</f>
        <v>0</v>
      </c>
      <c r="H12" s="795"/>
    </row>
    <row r="13" spans="1:8">
      <c r="A13" s="53" t="str">
        <f>Expenses!A13</f>
        <v>632-1001-3</v>
      </c>
      <c r="B13" s="216" t="str">
        <f>Expenses!C13</f>
        <v>Contract Accounting- Source (Oper)</v>
      </c>
      <c r="C13" s="61">
        <f>Expenses!I13</f>
        <v>1750</v>
      </c>
      <c r="D13" s="242" t="s">
        <v>473</v>
      </c>
      <c r="E13" s="452">
        <f>VLOOKUP(D13,'S-Alloc Met-TY Adj'!$C$8:$D$10,2,FALSE)*C13</f>
        <v>1750</v>
      </c>
      <c r="F13" s="452">
        <f>VLOOKUP(D13,'S-Alloc Met-TY Adj'!$C$8:$E$10,3,FALSE)*C13</f>
        <v>0</v>
      </c>
      <c r="G13" s="452">
        <f>VLOOKUP(D13,'S-Alloc Met-TY Adj'!$C$8:$F$10,4,FALSE)*C13</f>
        <v>0</v>
      </c>
      <c r="H13" s="795"/>
    </row>
    <row r="14" spans="1:8">
      <c r="A14" s="53" t="str">
        <f>Expenses!A14</f>
        <v>632-2002-3</v>
      </c>
      <c r="B14" s="216" t="str">
        <f>Expenses!C14</f>
        <v>Contract Accounting- Source (Maint)</v>
      </c>
      <c r="C14" s="61">
        <f>Expenses!I14</f>
        <v>1750</v>
      </c>
      <c r="D14" s="242" t="s">
        <v>473</v>
      </c>
      <c r="E14" s="452">
        <f>VLOOKUP(D14,'S-Alloc Met-TY Adj'!$C$8:$D$10,2,FALSE)*C14</f>
        <v>1750</v>
      </c>
      <c r="F14" s="452">
        <f>VLOOKUP(D14,'S-Alloc Met-TY Adj'!$C$8:$E$10,3,FALSE)*C14</f>
        <v>0</v>
      </c>
      <c r="G14" s="452">
        <f>VLOOKUP(D14,'S-Alloc Met-TY Adj'!$C$8:$F$10,4,FALSE)*C14</f>
        <v>0</v>
      </c>
      <c r="H14" s="795"/>
    </row>
    <row r="15" spans="1:8">
      <c r="A15" s="53" t="str">
        <f>Expenses!A15</f>
        <v>633-1001-3</v>
      </c>
      <c r="B15" s="216" t="str">
        <f>Expenses!C15</f>
        <v>Contract Legal- Source (Oper)</v>
      </c>
      <c r="C15" s="61">
        <f>Expenses!I15</f>
        <v>0</v>
      </c>
      <c r="D15" s="242" t="s">
        <v>473</v>
      </c>
      <c r="E15" s="452">
        <f>VLOOKUP(D15,'S-Alloc Met-TY Adj'!$C$8:$D$10,2,FALSE)*C15</f>
        <v>0</v>
      </c>
      <c r="F15" s="452">
        <f>VLOOKUP(D15,'S-Alloc Met-TY Adj'!$C$8:$E$10,3,FALSE)*C15</f>
        <v>0</v>
      </c>
      <c r="G15" s="452">
        <f>VLOOKUP(D15,'S-Alloc Met-TY Adj'!$C$8:$F$10,4,FALSE)*C15</f>
        <v>0</v>
      </c>
      <c r="H15" s="795"/>
    </row>
    <row r="16" spans="1:8">
      <c r="A16" s="53" t="str">
        <f>Expenses!A16</f>
        <v>633-2002-3</v>
      </c>
      <c r="B16" s="216" t="str">
        <f>Expenses!C16</f>
        <v>Contract Legal- Source (Maint)</v>
      </c>
      <c r="C16" s="61">
        <f>Expenses!I16</f>
        <v>0</v>
      </c>
      <c r="D16" s="242" t="s">
        <v>473</v>
      </c>
      <c r="E16" s="452">
        <f>VLOOKUP(D16,'S-Alloc Met-TY Adj'!$C$8:$D$10,2,FALSE)*C16</f>
        <v>0</v>
      </c>
      <c r="F16" s="452">
        <f>VLOOKUP(D16,'S-Alloc Met-TY Adj'!$C$8:$E$10,3,FALSE)*C16</f>
        <v>0</v>
      </c>
      <c r="G16" s="452">
        <f>VLOOKUP(D16,'S-Alloc Met-TY Adj'!$C$8:$F$10,4,FALSE)*C16</f>
        <v>0</v>
      </c>
      <c r="H16" s="795"/>
    </row>
    <row r="17" spans="1:8">
      <c r="A17" s="53" t="str">
        <f>Expenses!A17</f>
        <v>635-1001-3</v>
      </c>
      <c r="B17" s="216" t="str">
        <f>Expenses!C17</f>
        <v>Contract Other- Source (Oper)</v>
      </c>
      <c r="C17" s="61">
        <f>Expenses!I17</f>
        <v>0</v>
      </c>
      <c r="D17" s="242" t="s">
        <v>473</v>
      </c>
      <c r="E17" s="452">
        <f>VLOOKUP(D17,'S-Alloc Met-TY Adj'!$C$8:$D$10,2,FALSE)*C17</f>
        <v>0</v>
      </c>
      <c r="F17" s="452">
        <f>VLOOKUP(D17,'S-Alloc Met-TY Adj'!$C$8:$E$10,3,FALSE)*C17</f>
        <v>0</v>
      </c>
      <c r="G17" s="452">
        <f>VLOOKUP(D17,'S-Alloc Met-TY Adj'!$C$8:$F$10,4,FALSE)*C17</f>
        <v>0</v>
      </c>
      <c r="H17" s="795"/>
    </row>
    <row r="18" spans="1:8">
      <c r="A18" s="53" t="str">
        <f>Expenses!A18</f>
        <v>635-1021-3</v>
      </c>
      <c r="B18" s="216" t="str">
        <f>Expenses!C18</f>
        <v>Contract Other- Source (Alarm)</v>
      </c>
      <c r="C18" s="61">
        <f>Expenses!I18</f>
        <v>0</v>
      </c>
      <c r="D18" s="242" t="s">
        <v>473</v>
      </c>
      <c r="E18" s="452">
        <f>VLOOKUP(D18,'S-Alloc Met-TY Adj'!$C$8:$D$10,2,FALSE)*C18</f>
        <v>0</v>
      </c>
      <c r="F18" s="452">
        <f>VLOOKUP(D18,'S-Alloc Met-TY Adj'!$C$8:$E$10,3,FALSE)*C18</f>
        <v>0</v>
      </c>
      <c r="G18" s="452">
        <f>VLOOKUP(D18,'S-Alloc Met-TY Adj'!$C$8:$F$10,4,FALSE)*C18</f>
        <v>0</v>
      </c>
      <c r="H18" s="795"/>
    </row>
    <row r="19" spans="1:8">
      <c r="A19" s="53" t="str">
        <f>Expenses!A19</f>
        <v>635-2002-3</v>
      </c>
      <c r="B19" s="216" t="str">
        <f>Expenses!C19</f>
        <v>Contract Other- Source (Maint)</v>
      </c>
      <c r="C19" s="61">
        <f>Expenses!I19</f>
        <v>0</v>
      </c>
      <c r="D19" s="242" t="s">
        <v>473</v>
      </c>
      <c r="E19" s="452">
        <f>VLOOKUP(D19,'S-Alloc Met-TY Adj'!$C$8:$D$10,2,FALSE)*C19</f>
        <v>0</v>
      </c>
      <c r="F19" s="452">
        <f>VLOOKUP(D19,'S-Alloc Met-TY Adj'!$C$8:$E$10,3,FALSE)*C19</f>
        <v>0</v>
      </c>
      <c r="G19" s="452">
        <f>VLOOKUP(D19,'S-Alloc Met-TY Adj'!$C$8:$F$10,4,FALSE)*C19</f>
        <v>0</v>
      </c>
      <c r="H19" s="795"/>
    </row>
    <row r="20" spans="1:8">
      <c r="A20" s="53" t="str">
        <f>Expenses!A20</f>
        <v>641-1001-3</v>
      </c>
      <c r="B20" s="216" t="str">
        <f>Expenses!C20</f>
        <v>Rent &amp; Utilities- Source (Oper)</v>
      </c>
      <c r="C20" s="61">
        <f>Expenses!I20</f>
        <v>0</v>
      </c>
      <c r="D20" s="242" t="s">
        <v>473</v>
      </c>
      <c r="E20" s="452">
        <f>VLOOKUP(D20,'S-Alloc Met-TY Adj'!$C$8:$D$10,2,FALSE)*C20</f>
        <v>0</v>
      </c>
      <c r="F20" s="452">
        <f>VLOOKUP(D20,'S-Alloc Met-TY Adj'!$C$8:$E$10,3,FALSE)*C20</f>
        <v>0</v>
      </c>
      <c r="G20" s="452">
        <f>VLOOKUP(D20,'S-Alloc Met-TY Adj'!$C$8:$F$10,4,FALSE)*C20</f>
        <v>0</v>
      </c>
      <c r="H20" s="795"/>
    </row>
    <row r="21" spans="1:8">
      <c r="A21" s="53" t="str">
        <f>Expenses!A21</f>
        <v>650-1001-3</v>
      </c>
      <c r="B21" s="216" t="str">
        <f>Expenses!C21</f>
        <v>Equipment Expense- Source (Oper)</v>
      </c>
      <c r="C21" s="61">
        <f>Expenses!I21</f>
        <v>0</v>
      </c>
      <c r="D21" s="242" t="s">
        <v>473</v>
      </c>
      <c r="E21" s="452">
        <f>VLOOKUP(D21,'S-Alloc Met-TY Adj'!$C$8:$D$10,2,FALSE)*C21</f>
        <v>0</v>
      </c>
      <c r="F21" s="452">
        <f>VLOOKUP(D21,'S-Alloc Met-TY Adj'!$C$8:$E$10,3,FALSE)*C21</f>
        <v>0</v>
      </c>
      <c r="G21" s="452">
        <f>VLOOKUP(D21,'S-Alloc Met-TY Adj'!$C$8:$F$10,4,FALSE)*C21</f>
        <v>0</v>
      </c>
      <c r="H21" s="795"/>
    </row>
    <row r="22" spans="1:8">
      <c r="A22" s="53" t="str">
        <f>Expenses!A22</f>
        <v>650-2002-3</v>
      </c>
      <c r="B22" s="216" t="str">
        <f>Expenses!C22</f>
        <v>Equipment Expense- Source (Maint)</v>
      </c>
      <c r="C22" s="61">
        <f>Expenses!I22</f>
        <v>0</v>
      </c>
      <c r="D22" s="242" t="s">
        <v>473</v>
      </c>
      <c r="E22" s="452">
        <f>VLOOKUP(D22,'S-Alloc Met-TY Adj'!$C$8:$D$10,2,FALSE)*C22</f>
        <v>0</v>
      </c>
      <c r="F22" s="452">
        <f>VLOOKUP(D22,'S-Alloc Met-TY Adj'!$C$8:$E$10,3,FALSE)*C22</f>
        <v>0</v>
      </c>
      <c r="G22" s="452">
        <f>VLOOKUP(D22,'S-Alloc Met-TY Adj'!$C$8:$F$10,4,FALSE)*C22</f>
        <v>0</v>
      </c>
      <c r="H22" s="795"/>
    </row>
    <row r="23" spans="1:8">
      <c r="A23" s="53" t="str">
        <f>Expenses!A23</f>
        <v>657-1001-3</v>
      </c>
      <c r="B23" s="216" t="str">
        <f>Expenses!C23</f>
        <v>Insurance G/L- Source (Oper)</v>
      </c>
      <c r="C23" s="61">
        <f>Expenses!I23</f>
        <v>5742</v>
      </c>
      <c r="D23" s="242" t="s">
        <v>473</v>
      </c>
      <c r="E23" s="452">
        <f>VLOOKUP(D23,'S-Alloc Met-TY Adj'!$C$8:$D$10,2,FALSE)*C23</f>
        <v>5742</v>
      </c>
      <c r="F23" s="452">
        <f>VLOOKUP(D23,'S-Alloc Met-TY Adj'!$C$8:$E$10,3,FALSE)*C23</f>
        <v>0</v>
      </c>
      <c r="G23" s="452">
        <f>VLOOKUP(D23,'S-Alloc Met-TY Adj'!$C$8:$F$10,4,FALSE)*C23</f>
        <v>0</v>
      </c>
      <c r="H23" s="795"/>
    </row>
    <row r="24" spans="1:8">
      <c r="A24" s="53" t="str">
        <f>Expenses!A24</f>
        <v>659-1001-3</v>
      </c>
      <c r="B24" s="216" t="str">
        <f>Expenses!C24</f>
        <v>Insurance Other- Source (Oper)</v>
      </c>
      <c r="C24" s="61">
        <f>Expenses!I24</f>
        <v>0</v>
      </c>
      <c r="D24" s="242" t="s">
        <v>473</v>
      </c>
      <c r="E24" s="452">
        <f>VLOOKUP(D24,'S-Alloc Met-TY Adj'!$C$8:$D$10,2,FALSE)*C24</f>
        <v>0</v>
      </c>
      <c r="F24" s="452">
        <f>VLOOKUP(D24,'S-Alloc Met-TY Adj'!$C$8:$E$10,3,FALSE)*C24</f>
        <v>0</v>
      </c>
      <c r="G24" s="452">
        <f>VLOOKUP(D24,'S-Alloc Met-TY Adj'!$C$8:$F$10,4,FALSE)*C24</f>
        <v>0</v>
      </c>
      <c r="H24" s="795"/>
    </row>
    <row r="25" spans="1:8">
      <c r="A25" s="53" t="str">
        <f>Expenses!A25</f>
        <v>675-1001-3</v>
      </c>
      <c r="B25" s="216" t="str">
        <f>Expenses!C25</f>
        <v>Misc Expense- Source (Oper)</v>
      </c>
      <c r="C25" s="61">
        <f>Expenses!I25</f>
        <v>0</v>
      </c>
      <c r="D25" s="242" t="s">
        <v>473</v>
      </c>
      <c r="E25" s="452">
        <f>VLOOKUP(D25,'S-Alloc Met-TY Adj'!$C$8:$D$10,2,FALSE)*C25</f>
        <v>0</v>
      </c>
      <c r="F25" s="452">
        <f>VLOOKUP(D25,'S-Alloc Met-TY Adj'!$C$8:$E$10,3,FALSE)*C25</f>
        <v>0</v>
      </c>
      <c r="G25" s="452">
        <f>VLOOKUP(D25,'S-Alloc Met-TY Adj'!$C$8:$F$10,4,FALSE)*C25</f>
        <v>0</v>
      </c>
      <c r="H25" s="795"/>
    </row>
    <row r="26" spans="1:8">
      <c r="A26" s="53" t="str">
        <f>Expenses!A26</f>
        <v>675-2002-3</v>
      </c>
      <c r="B26" s="216" t="str">
        <f>Expenses!C26</f>
        <v>Misc Expense- Source (Maint)</v>
      </c>
      <c r="C26" s="61">
        <f>Expenses!I26</f>
        <v>0</v>
      </c>
      <c r="D26" s="242" t="s">
        <v>473</v>
      </c>
      <c r="E26" s="452">
        <f>VLOOKUP(D26,'S-Alloc Met-TY Adj'!$C$8:$D$10,2,FALSE)*C26</f>
        <v>0</v>
      </c>
      <c r="F26" s="452">
        <f>VLOOKUP(D26,'S-Alloc Met-TY Adj'!$C$8:$E$10,3,FALSE)*C26</f>
        <v>0</v>
      </c>
      <c r="G26" s="452">
        <f>VLOOKUP(D26,'S-Alloc Met-TY Adj'!$C$8:$F$10,4,FALSE)*C26</f>
        <v>0</v>
      </c>
      <c r="H26" s="795"/>
    </row>
    <row r="27" spans="1:8">
      <c r="A27" s="53" t="str">
        <f>Expenses!A27</f>
        <v>610-1001-3</v>
      </c>
      <c r="B27" s="216" t="str">
        <f>Expenses!C27</f>
        <v xml:space="preserve">Purchased Water </v>
      </c>
      <c r="C27" s="61">
        <f>Expenses!I27</f>
        <v>3377072</v>
      </c>
      <c r="D27" s="242" t="s">
        <v>474</v>
      </c>
      <c r="E27" s="452">
        <f>VLOOKUP(D27,'S-Alloc Met-TY Adj'!$C$8:$D$10,2,FALSE)*C27</f>
        <v>3029248.0534346323</v>
      </c>
      <c r="F27" s="452">
        <f>VLOOKUP(D27,'S-Alloc Met-TY Adj'!$C$8:$E$10,3,FALSE)*C27</f>
        <v>347823.94656536763</v>
      </c>
      <c r="G27" s="452">
        <f>VLOOKUP(D27,'S-Alloc Met-TY Adj'!$C$8:$F$10,4,FALSE)*C27</f>
        <v>0</v>
      </c>
      <c r="H27" s="795"/>
    </row>
    <row r="28" spans="1:8">
      <c r="A28" s="53" t="str">
        <f>Expenses!A28</f>
        <v>610-1100-3</v>
      </c>
      <c r="B28" s="216" t="str">
        <f>Expenses!C28</f>
        <v>Purchased Water - Unbilled (BGMU)</v>
      </c>
      <c r="C28" s="61">
        <f>Expenses!I28</f>
        <v>-3057</v>
      </c>
      <c r="D28" s="242" t="s">
        <v>474</v>
      </c>
      <c r="E28" s="452">
        <f>VLOOKUP(D28,'S-Alloc Met-TY Adj'!$C$8:$D$10,2,FALSE)*C28</f>
        <v>-2742.1420980511139</v>
      </c>
      <c r="F28" s="452">
        <f>VLOOKUP(D28,'S-Alloc Met-TY Adj'!$C$8:$E$10,3,FALSE)*C28</f>
        <v>-314.85790194888614</v>
      </c>
      <c r="G28" s="452">
        <f>VLOOKUP(D28,'S-Alloc Met-TY Adj'!$C$8:$F$10,4,FALSE)*C28</f>
        <v>0</v>
      </c>
      <c r="H28" s="795"/>
    </row>
    <row r="29" spans="1:8">
      <c r="A29" s="53" t="str">
        <f>Expenses!A29</f>
        <v>-</v>
      </c>
      <c r="B29" s="216" t="str">
        <f>Expenses!C29</f>
        <v>Purchased Power Water Treat</v>
      </c>
      <c r="C29" s="61">
        <f>Expenses!I29</f>
        <v>0</v>
      </c>
      <c r="D29" s="242" t="s">
        <v>473</v>
      </c>
      <c r="E29" s="452">
        <f>VLOOKUP(D29,'S-Alloc Met-TY Adj'!$C$8:$D$10,2,FALSE)*C29</f>
        <v>0</v>
      </c>
      <c r="F29" s="452">
        <f>VLOOKUP(D29,'S-Alloc Met-TY Adj'!$C$8:$E$10,3,FALSE)*C29</f>
        <v>0</v>
      </c>
      <c r="G29" s="452">
        <f>VLOOKUP(D29,'S-Alloc Met-TY Adj'!$C$8:$F$10,4,FALSE)*C29</f>
        <v>0</v>
      </c>
      <c r="H29" s="795"/>
    </row>
    <row r="30" spans="1:8">
      <c r="A30" s="53"/>
      <c r="B30" s="216" t="str">
        <f>Expenses!C30</f>
        <v>-</v>
      </c>
      <c r="C30" s="61">
        <f>Expenses!I30</f>
        <v>0</v>
      </c>
      <c r="D30" s="242" t="s">
        <v>473</v>
      </c>
      <c r="E30" s="452">
        <f>VLOOKUP(D30,'S-Alloc Met-TY Adj'!$C$8:$D$10,2,FALSE)*C30</f>
        <v>0</v>
      </c>
      <c r="F30" s="452">
        <f>VLOOKUP(D30,'S-Alloc Met-TY Adj'!$C$8:$E$10,3,FALSE)*C30</f>
        <v>0</v>
      </c>
      <c r="G30" s="452">
        <f>VLOOKUP(D30,'S-Alloc Met-TY Adj'!$C$8:$F$10,4,FALSE)*C30</f>
        <v>0</v>
      </c>
      <c r="H30" s="795"/>
    </row>
    <row r="31" spans="1:8">
      <c r="A31" s="53"/>
      <c r="B31" s="216" t="str">
        <f>Expenses!C31</f>
        <v>-</v>
      </c>
      <c r="C31" s="61">
        <f>Expenses!I31</f>
        <v>0</v>
      </c>
      <c r="D31" s="242" t="s">
        <v>473</v>
      </c>
      <c r="E31" s="452">
        <f>VLOOKUP(D31,'S-Alloc Met-TY Adj'!$C$8:$D$10,2,FALSE)*C31</f>
        <v>0</v>
      </c>
      <c r="F31" s="452">
        <f>VLOOKUP(D31,'S-Alloc Met-TY Adj'!$C$8:$E$10,3,FALSE)*C31</f>
        <v>0</v>
      </c>
      <c r="G31" s="452">
        <f>VLOOKUP(D31,'S-Alloc Met-TY Adj'!$C$8:$F$10,4,FALSE)*C31</f>
        <v>0</v>
      </c>
      <c r="H31" s="795"/>
    </row>
    <row r="32" spans="1:8">
      <c r="A32" s="53"/>
      <c r="B32" s="216" t="str">
        <f>Expenses!C32</f>
        <v>-</v>
      </c>
      <c r="C32" s="61">
        <f>Expenses!I32</f>
        <v>0</v>
      </c>
      <c r="D32" s="242" t="s">
        <v>473</v>
      </c>
      <c r="E32" s="452">
        <f>VLOOKUP(D32,'S-Alloc Met-TY Adj'!$C$8:$D$10,2,FALSE)*C32</f>
        <v>0</v>
      </c>
      <c r="F32" s="452">
        <f>VLOOKUP(D32,'S-Alloc Met-TY Adj'!$C$8:$E$10,3,FALSE)*C32</f>
        <v>0</v>
      </c>
      <c r="G32" s="452">
        <f>VLOOKUP(D32,'S-Alloc Met-TY Adj'!$C$8:$F$10,4,FALSE)*C32</f>
        <v>0</v>
      </c>
      <c r="H32" s="795"/>
    </row>
    <row r="33" spans="1:8">
      <c r="A33" s="53"/>
      <c r="B33" s="216" t="str">
        <f>Expenses!C33</f>
        <v>-</v>
      </c>
      <c r="C33" s="61">
        <f>Expenses!I33</f>
        <v>0</v>
      </c>
      <c r="D33" s="242" t="s">
        <v>473</v>
      </c>
      <c r="E33" s="452">
        <f>VLOOKUP(D33,'S-Alloc Met-TY Adj'!$C$8:$D$10,2,FALSE)*C33</f>
        <v>0</v>
      </c>
      <c r="F33" s="452">
        <f>VLOOKUP(D33,'S-Alloc Met-TY Adj'!$C$8:$E$10,3,FALSE)*C33</f>
        <v>0</v>
      </c>
      <c r="G33" s="452">
        <f>VLOOKUP(D33,'S-Alloc Met-TY Adj'!$C$8:$F$10,4,FALSE)*C33</f>
        <v>0</v>
      </c>
      <c r="H33" s="795"/>
    </row>
    <row r="34" spans="1:8">
      <c r="A34" s="53"/>
      <c r="B34" s="216" t="str">
        <f>Expenses!C34</f>
        <v>-</v>
      </c>
      <c r="C34" s="61">
        <f>Expenses!I34</f>
        <v>0</v>
      </c>
      <c r="D34" s="242" t="s">
        <v>473</v>
      </c>
      <c r="E34" s="452">
        <f>VLOOKUP(D34,'S-Alloc Met-TY Adj'!$C$8:$D$10,2,FALSE)*C34</f>
        <v>0</v>
      </c>
      <c r="F34" s="452">
        <f>VLOOKUP(D34,'S-Alloc Met-TY Adj'!$C$8:$E$10,3,FALSE)*C34</f>
        <v>0</v>
      </c>
      <c r="G34" s="452">
        <f>VLOOKUP(D34,'S-Alloc Met-TY Adj'!$C$8:$F$10,4,FALSE)*C34</f>
        <v>0</v>
      </c>
      <c r="H34" s="795"/>
    </row>
    <row r="35" spans="1:8">
      <c r="A35" s="53"/>
      <c r="B35" s="216" t="str">
        <f>Expenses!C35</f>
        <v>-</v>
      </c>
      <c r="C35" s="61">
        <f>Expenses!I35</f>
        <v>0</v>
      </c>
      <c r="D35" s="242" t="s">
        <v>473</v>
      </c>
      <c r="E35" s="452">
        <f>VLOOKUP(D35,'S-Alloc Met-TY Adj'!$C$8:$D$10,2,FALSE)*C35</f>
        <v>0</v>
      </c>
      <c r="F35" s="452">
        <f>VLOOKUP(D35,'S-Alloc Met-TY Adj'!$C$8:$E$10,3,FALSE)*C35</f>
        <v>0</v>
      </c>
      <c r="G35" s="452">
        <f>VLOOKUP(D35,'S-Alloc Met-TY Adj'!$C$8:$F$10,4,FALSE)*C35</f>
        <v>0</v>
      </c>
      <c r="H35" s="795"/>
    </row>
    <row r="36" spans="1:8">
      <c r="A36" s="794"/>
      <c r="B36" s="453" t="s">
        <v>30</v>
      </c>
      <c r="C36" s="454">
        <f>SUM(C5:C35)</f>
        <v>3541147</v>
      </c>
      <c r="D36" s="454"/>
      <c r="E36" s="454">
        <f>SUM(E5:E35)</f>
        <v>3177375.9178335685</v>
      </c>
      <c r="F36" s="454">
        <f>SUM(F5:F35)</f>
        <v>363771.08216643136</v>
      </c>
      <c r="G36" s="454">
        <f>SUM(G5:G35)</f>
        <v>0</v>
      </c>
      <c r="H36" s="795"/>
    </row>
    <row r="37" spans="1:8">
      <c r="A37" s="53"/>
      <c r="B37" s="218"/>
      <c r="C37" s="61"/>
      <c r="H37" s="795"/>
    </row>
    <row r="38" spans="1:8">
      <c r="A38" s="53"/>
      <c r="B38" s="217" t="s">
        <v>155</v>
      </c>
      <c r="C38" s="259"/>
      <c r="D38" s="148"/>
      <c r="E38" s="148"/>
      <c r="F38" s="148"/>
      <c r="G38" s="148"/>
      <c r="H38" s="795"/>
    </row>
    <row r="39" spans="1:8" ht="26.25">
      <c r="A39" s="53" t="str">
        <f>Expenses!A39</f>
        <v>601-5001-3</v>
      </c>
      <c r="B39" s="216" t="str">
        <f>Expenses!C39</f>
        <v>Wages- T&amp;D (Oper)</v>
      </c>
      <c r="C39" s="61">
        <f>Expenses!I39</f>
        <v>77312.898300000001</v>
      </c>
      <c r="D39" s="242" t="s">
        <v>473</v>
      </c>
      <c r="E39" s="452">
        <f>VLOOKUP(D39,'S-Alloc Met-TY Adj'!$C$8:$D$10,2,FALSE)*C39</f>
        <v>77312.898300000001</v>
      </c>
      <c r="F39" s="452">
        <f>VLOOKUP(D39,'S-Alloc Met-TY Adj'!$C$8:$E$10,3,FALSE)*C39</f>
        <v>0</v>
      </c>
      <c r="G39" s="452">
        <f>VLOOKUP(D39,'S-Alloc Met-TY Adj'!$C$8:$F$10,4,FALSE)*C39</f>
        <v>0</v>
      </c>
      <c r="H39" s="17" t="s">
        <v>205</v>
      </c>
    </row>
    <row r="40" spans="1:8" ht="26.25">
      <c r="A40" s="53" t="str">
        <f>Expenses!A40</f>
        <v>601-6002-3</v>
      </c>
      <c r="B40" s="216" t="str">
        <f>Expenses!C40</f>
        <v>Wages- T&amp;D (Maint)</v>
      </c>
      <c r="C40" s="61">
        <f>Expenses!I40</f>
        <v>77070.089120000004</v>
      </c>
      <c r="D40" s="242" t="s">
        <v>473</v>
      </c>
      <c r="E40" s="452">
        <f>VLOOKUP(D40,'S-Alloc Met-TY Adj'!$C$8:$D$10,2,FALSE)*C40</f>
        <v>77070.089120000004</v>
      </c>
      <c r="F40" s="452">
        <f>VLOOKUP(D40,'S-Alloc Met-TY Adj'!$C$8:$E$10,3,FALSE)*C40</f>
        <v>0</v>
      </c>
      <c r="G40" s="452">
        <f>VLOOKUP(D40,'S-Alloc Met-TY Adj'!$C$8:$F$10,4,FALSE)*C40</f>
        <v>0</v>
      </c>
      <c r="H40" s="17" t="s">
        <v>205</v>
      </c>
    </row>
    <row r="41" spans="1:8">
      <c r="A41" s="53" t="str">
        <f>Expenses!A41</f>
        <v>604-5001-3</v>
      </c>
      <c r="B41" s="216" t="str">
        <f>Expenses!C41</f>
        <v>Employee Overhead T&amp;D (Oper)</v>
      </c>
      <c r="C41" s="61">
        <f>Expenses!I41</f>
        <v>0</v>
      </c>
      <c r="D41" s="242" t="s">
        <v>473</v>
      </c>
      <c r="E41" s="452">
        <f>VLOOKUP(D41,'S-Alloc Met-TY Adj'!$C$8:$D$10,2,FALSE)*C41</f>
        <v>0</v>
      </c>
      <c r="F41" s="452">
        <f>VLOOKUP(D41,'S-Alloc Met-TY Adj'!$C$8:$E$10,3,FALSE)*C41</f>
        <v>0</v>
      </c>
      <c r="G41" s="452">
        <f>VLOOKUP(D41,'S-Alloc Met-TY Adj'!$C$8:$F$10,4,FALSE)*C41</f>
        <v>0</v>
      </c>
      <c r="H41" s="17" t="s">
        <v>236</v>
      </c>
    </row>
    <row r="42" spans="1:8">
      <c r="A42" s="53" t="str">
        <f>Expenses!A42</f>
        <v>604-6001-3</v>
      </c>
      <c r="B42" s="216" t="str">
        <f>Expenses!C42</f>
        <v>Employee Overhead- T&amp;D (Maint)</v>
      </c>
      <c r="C42" s="61">
        <f>Expenses!I42</f>
        <v>0</v>
      </c>
      <c r="D42" s="242" t="s">
        <v>473</v>
      </c>
      <c r="E42" s="452">
        <f>VLOOKUP(D42,'S-Alloc Met-TY Adj'!$C$8:$D$10,2,FALSE)*C42</f>
        <v>0</v>
      </c>
      <c r="F42" s="452">
        <f>VLOOKUP(D42,'S-Alloc Met-TY Adj'!$C$8:$E$10,3,FALSE)*C42</f>
        <v>0</v>
      </c>
      <c r="G42" s="452">
        <f>VLOOKUP(D42,'S-Alloc Met-TY Adj'!$C$8:$F$10,4,FALSE)*C42</f>
        <v>0</v>
      </c>
      <c r="H42" s="17" t="s">
        <v>236</v>
      </c>
    </row>
    <row r="43" spans="1:8">
      <c r="A43" s="53" t="str">
        <f>Expenses!A43</f>
        <v>615-5001-3</v>
      </c>
      <c r="B43" s="216" t="str">
        <f>Expenses!C43</f>
        <v>Purchased Power- T&amp;D</v>
      </c>
      <c r="C43" s="61">
        <f>Expenses!I43</f>
        <v>0</v>
      </c>
      <c r="D43" s="242" t="s">
        <v>473</v>
      </c>
      <c r="E43" s="452">
        <f>VLOOKUP(D43,'S-Alloc Met-TY Adj'!$C$8:$D$10,2,FALSE)*C43</f>
        <v>0</v>
      </c>
      <c r="F43" s="452">
        <f>VLOOKUP(D43,'S-Alloc Met-TY Adj'!$C$8:$E$10,3,FALSE)*C43</f>
        <v>0</v>
      </c>
      <c r="G43" s="452">
        <f>VLOOKUP(D43,'S-Alloc Met-TY Adj'!$C$8:$F$10,4,FALSE)*C43</f>
        <v>0</v>
      </c>
      <c r="H43" s="795"/>
    </row>
    <row r="44" spans="1:8">
      <c r="A44" s="53" t="str">
        <f>Expenses!A44</f>
        <v>-</v>
      </c>
      <c r="B44" s="216" t="str">
        <f>Expenses!C44</f>
        <v>Purchased Power- T&amp;D (ENERNOC)</v>
      </c>
      <c r="C44" s="61">
        <f>Expenses!I44</f>
        <v>0</v>
      </c>
      <c r="D44" s="242" t="s">
        <v>473</v>
      </c>
      <c r="E44" s="452">
        <f>VLOOKUP(D44,'S-Alloc Met-TY Adj'!$C$8:$D$10,2,FALSE)*C44</f>
        <v>0</v>
      </c>
      <c r="F44" s="452">
        <f>VLOOKUP(D44,'S-Alloc Met-TY Adj'!$C$8:$E$10,3,FALSE)*C44</f>
        <v>0</v>
      </c>
      <c r="G44" s="452">
        <f>VLOOKUP(D44,'S-Alloc Met-TY Adj'!$C$8:$F$10,4,FALSE)*C44</f>
        <v>0</v>
      </c>
      <c r="H44" s="795"/>
    </row>
    <row r="45" spans="1:8">
      <c r="A45" s="53" t="str">
        <f>Expenses!A45</f>
        <v>620-5001-3</v>
      </c>
      <c r="B45" s="216" t="str">
        <f>Expenses!C45</f>
        <v>Materials &amp; Supplies- T&amp;D (Oper)</v>
      </c>
      <c r="C45" s="61">
        <f>Expenses!I45</f>
        <v>6445</v>
      </c>
      <c r="D45" s="242" t="s">
        <v>473</v>
      </c>
      <c r="E45" s="452">
        <f>VLOOKUP(D45,'S-Alloc Met-TY Adj'!$C$8:$D$10,2,FALSE)*C45</f>
        <v>6445</v>
      </c>
      <c r="F45" s="452">
        <f>VLOOKUP(D45,'S-Alloc Met-TY Adj'!$C$8:$E$10,3,FALSE)*C45</f>
        <v>0</v>
      </c>
      <c r="G45" s="452">
        <f>VLOOKUP(D45,'S-Alloc Met-TY Adj'!$C$8:$F$10,4,FALSE)*C45</f>
        <v>0</v>
      </c>
      <c r="H45" s="795"/>
    </row>
    <row r="46" spans="1:8">
      <c r="A46" s="53" t="str">
        <f>Expenses!A46</f>
        <v>620-6002-3</v>
      </c>
      <c r="B46" s="216" t="str">
        <f>Expenses!C46</f>
        <v>Materials &amp; Supplies- T&amp;D (Maint)</v>
      </c>
      <c r="C46" s="61">
        <f>Expenses!I46</f>
        <v>45683</v>
      </c>
      <c r="D46" s="242" t="s">
        <v>473</v>
      </c>
      <c r="E46" s="452">
        <f>VLOOKUP(D46,'S-Alloc Met-TY Adj'!$C$8:$D$10,2,FALSE)*C46</f>
        <v>45683</v>
      </c>
      <c r="F46" s="452">
        <f>VLOOKUP(D46,'S-Alloc Met-TY Adj'!$C$8:$E$10,3,FALSE)*C46</f>
        <v>0</v>
      </c>
      <c r="G46" s="452">
        <f>VLOOKUP(D46,'S-Alloc Met-TY Adj'!$C$8:$F$10,4,FALSE)*C46</f>
        <v>0</v>
      </c>
      <c r="H46" s="795"/>
    </row>
    <row r="47" spans="1:8">
      <c r="A47" s="53" t="str">
        <f>Expenses!A47</f>
        <v>632-5001-3</v>
      </c>
      <c r="B47" s="216" t="str">
        <f>Expenses!C47</f>
        <v>Contract Accounting- T&amp;D (Oper)</v>
      </c>
      <c r="C47" s="61">
        <f>Expenses!I47</f>
        <v>1750</v>
      </c>
      <c r="D47" s="242" t="s">
        <v>473</v>
      </c>
      <c r="E47" s="452">
        <f>VLOOKUP(D47,'S-Alloc Met-TY Adj'!$C$8:$D$10,2,FALSE)*C47</f>
        <v>1750</v>
      </c>
      <c r="F47" s="452">
        <f>VLOOKUP(D47,'S-Alloc Met-TY Adj'!$C$8:$E$10,3,FALSE)*C47</f>
        <v>0</v>
      </c>
      <c r="G47" s="452">
        <f>VLOOKUP(D47,'S-Alloc Met-TY Adj'!$C$8:$F$10,4,FALSE)*C47</f>
        <v>0</v>
      </c>
      <c r="H47" s="795"/>
    </row>
    <row r="48" spans="1:8">
      <c r="A48" s="53" t="str">
        <f>Expenses!A48</f>
        <v>632-6002-3</v>
      </c>
      <c r="B48" s="216" t="str">
        <f>Expenses!C48</f>
        <v>Contract Accounting- T&amp;D (Maint)</v>
      </c>
      <c r="C48" s="61">
        <f>Expenses!I48</f>
        <v>1750</v>
      </c>
      <c r="D48" s="242" t="s">
        <v>473</v>
      </c>
      <c r="E48" s="452">
        <f>VLOOKUP(D48,'S-Alloc Met-TY Adj'!$C$8:$D$10,2,FALSE)*C48</f>
        <v>1750</v>
      </c>
      <c r="F48" s="452">
        <f>VLOOKUP(D48,'S-Alloc Met-TY Adj'!$C$8:$E$10,3,FALSE)*C48</f>
        <v>0</v>
      </c>
      <c r="G48" s="452">
        <f>VLOOKUP(D48,'S-Alloc Met-TY Adj'!$C$8:$F$10,4,FALSE)*C48</f>
        <v>0</v>
      </c>
      <c r="H48" s="795"/>
    </row>
    <row r="49" spans="1:8">
      <c r="A49" s="53" t="str">
        <f>Expenses!A49</f>
        <v>633-5001-3</v>
      </c>
      <c r="B49" s="216" t="str">
        <f>Expenses!C49</f>
        <v>Contract Legal- T&amp;D (Oper)</v>
      </c>
      <c r="C49" s="61">
        <f>Expenses!I49</f>
        <v>0</v>
      </c>
      <c r="D49" s="242" t="s">
        <v>473</v>
      </c>
      <c r="E49" s="452">
        <f>VLOOKUP(D49,'S-Alloc Met-TY Adj'!$C$8:$D$10,2,FALSE)*C49</f>
        <v>0</v>
      </c>
      <c r="F49" s="452">
        <f>VLOOKUP(D49,'S-Alloc Met-TY Adj'!$C$8:$E$10,3,FALSE)*C49</f>
        <v>0</v>
      </c>
      <c r="G49" s="452">
        <f>VLOOKUP(D49,'S-Alloc Met-TY Adj'!$C$8:$F$10,4,FALSE)*C49</f>
        <v>0</v>
      </c>
      <c r="H49" s="795"/>
    </row>
    <row r="50" spans="1:8">
      <c r="A50" s="53" t="str">
        <f>Expenses!A50</f>
        <v>633-6002-3</v>
      </c>
      <c r="B50" s="216" t="str">
        <f>Expenses!C50</f>
        <v>Contract Legal- T&amp;D (Maint)</v>
      </c>
      <c r="C50" s="61">
        <f>Expenses!I50</f>
        <v>0</v>
      </c>
      <c r="D50" s="242" t="s">
        <v>473</v>
      </c>
      <c r="E50" s="452">
        <f>VLOOKUP(D50,'S-Alloc Met-TY Adj'!$C$8:$D$10,2,FALSE)*C50</f>
        <v>0</v>
      </c>
      <c r="F50" s="452">
        <f>VLOOKUP(D50,'S-Alloc Met-TY Adj'!$C$8:$E$10,3,FALSE)*C50</f>
        <v>0</v>
      </c>
      <c r="G50" s="452">
        <f>VLOOKUP(D50,'S-Alloc Met-TY Adj'!$C$8:$F$10,4,FALSE)*C50</f>
        <v>0</v>
      </c>
      <c r="H50" s="795"/>
    </row>
    <row r="51" spans="1:8">
      <c r="A51" s="53" t="str">
        <f>Expenses!A51</f>
        <v>635-5001-3</v>
      </c>
      <c r="B51" s="216" t="str">
        <f>Expenses!C51</f>
        <v>Contract Other- T&amp;D (Oper)</v>
      </c>
      <c r="C51" s="61">
        <f>Expenses!I51</f>
        <v>1637</v>
      </c>
      <c r="D51" s="242" t="s">
        <v>473</v>
      </c>
      <c r="E51" s="452">
        <f>VLOOKUP(D51,'S-Alloc Met-TY Adj'!$C$8:$D$10,2,FALSE)*C51</f>
        <v>1637</v>
      </c>
      <c r="F51" s="452">
        <f>VLOOKUP(D51,'S-Alloc Met-TY Adj'!$C$8:$E$10,3,FALSE)*C51</f>
        <v>0</v>
      </c>
      <c r="G51" s="452">
        <f>VLOOKUP(D51,'S-Alloc Met-TY Adj'!$C$8:$F$10,4,FALSE)*C51</f>
        <v>0</v>
      </c>
      <c r="H51" s="795"/>
    </row>
    <row r="52" spans="1:8">
      <c r="A52" s="53" t="str">
        <f>Expenses!A52</f>
        <v>635-6002-3</v>
      </c>
      <c r="B52" s="216" t="str">
        <f>Expenses!C52</f>
        <v>Contract Other- T&amp;D (Maint)</v>
      </c>
      <c r="C52" s="61">
        <f>Expenses!I52</f>
        <v>94158</v>
      </c>
      <c r="D52" s="242" t="s">
        <v>473</v>
      </c>
      <c r="E52" s="452">
        <f>VLOOKUP(D52,'S-Alloc Met-TY Adj'!$C$8:$D$10,2,FALSE)*C52</f>
        <v>94158</v>
      </c>
      <c r="F52" s="452">
        <f>VLOOKUP(D52,'S-Alloc Met-TY Adj'!$C$8:$E$10,3,FALSE)*C52</f>
        <v>0</v>
      </c>
      <c r="G52" s="452">
        <f>VLOOKUP(D52,'S-Alloc Met-TY Adj'!$C$8:$F$10,4,FALSE)*C52</f>
        <v>0</v>
      </c>
      <c r="H52" s="795"/>
    </row>
    <row r="53" spans="1:8">
      <c r="A53" s="53" t="str">
        <f>Expenses!A53</f>
        <v>641-5001-3</v>
      </c>
      <c r="B53" s="216" t="str">
        <f>Expenses!C53</f>
        <v>Rent &amp; Utilities- T&amp;D (Oper)</v>
      </c>
      <c r="C53" s="61">
        <f>Expenses!I53</f>
        <v>0</v>
      </c>
      <c r="D53" s="242" t="s">
        <v>473</v>
      </c>
      <c r="E53" s="452">
        <f>VLOOKUP(D53,'S-Alloc Met-TY Adj'!$C$8:$D$10,2,FALSE)*C53</f>
        <v>0</v>
      </c>
      <c r="F53" s="452">
        <f>VLOOKUP(D53,'S-Alloc Met-TY Adj'!$C$8:$E$10,3,FALSE)*C53</f>
        <v>0</v>
      </c>
      <c r="G53" s="452">
        <f>VLOOKUP(D53,'S-Alloc Met-TY Adj'!$C$8:$F$10,4,FALSE)*C53</f>
        <v>0</v>
      </c>
      <c r="H53" s="795"/>
    </row>
    <row r="54" spans="1:8">
      <c r="A54" s="53" t="str">
        <f>Expenses!A54</f>
        <v>641-5031-3</v>
      </c>
      <c r="B54" s="216" t="str">
        <f>Expenses!C54</f>
        <v>Rent &amp; Utilities- T&amp;D (Oper)</v>
      </c>
      <c r="C54" s="61">
        <f>Expenses!I54</f>
        <v>0</v>
      </c>
      <c r="D54" s="242" t="s">
        <v>473</v>
      </c>
      <c r="E54" s="452">
        <f>VLOOKUP(D54,'S-Alloc Met-TY Adj'!$C$8:$D$10,2,FALSE)*C54</f>
        <v>0</v>
      </c>
      <c r="F54" s="452">
        <f>VLOOKUP(D54,'S-Alloc Met-TY Adj'!$C$8:$E$10,3,FALSE)*C54</f>
        <v>0</v>
      </c>
      <c r="G54" s="452">
        <f>VLOOKUP(D54,'S-Alloc Met-TY Adj'!$C$8:$F$10,4,FALSE)*C54</f>
        <v>0</v>
      </c>
      <c r="H54" s="795"/>
    </row>
    <row r="55" spans="1:8">
      <c r="A55" s="53" t="str">
        <f>Expenses!A55</f>
        <v>650-5001-3</v>
      </c>
      <c r="B55" s="216" t="str">
        <f>Expenses!C55</f>
        <v>Equipment Expense- T&amp;D (Oper)</v>
      </c>
      <c r="C55" s="61">
        <f>Expenses!I55</f>
        <v>19707</v>
      </c>
      <c r="D55" s="242" t="s">
        <v>473</v>
      </c>
      <c r="E55" s="452">
        <f>VLOOKUP(D55,'S-Alloc Met-TY Adj'!$C$8:$D$10,2,FALSE)*C55</f>
        <v>19707</v>
      </c>
      <c r="F55" s="452">
        <f>VLOOKUP(D55,'S-Alloc Met-TY Adj'!$C$8:$E$10,3,FALSE)*C55</f>
        <v>0</v>
      </c>
      <c r="G55" s="452">
        <f>VLOOKUP(D55,'S-Alloc Met-TY Adj'!$C$8:$F$10,4,FALSE)*C55</f>
        <v>0</v>
      </c>
      <c r="H55" s="795"/>
    </row>
    <row r="56" spans="1:8">
      <c r="A56" s="53" t="str">
        <f>Expenses!A56</f>
        <v>650-6002-3</v>
      </c>
      <c r="B56" s="216" t="str">
        <f>Expenses!C56</f>
        <v>Equipment Expense- T&amp;D (Maint)</v>
      </c>
      <c r="C56" s="61">
        <f>Expenses!I56</f>
        <v>17668</v>
      </c>
      <c r="D56" s="242" t="s">
        <v>473</v>
      </c>
      <c r="E56" s="452">
        <f>VLOOKUP(D56,'S-Alloc Met-TY Adj'!$C$8:$D$10,2,FALSE)*C56</f>
        <v>17668</v>
      </c>
      <c r="F56" s="452">
        <f>VLOOKUP(D56,'S-Alloc Met-TY Adj'!$C$8:$E$10,3,FALSE)*C56</f>
        <v>0</v>
      </c>
      <c r="G56" s="452">
        <f>VLOOKUP(D56,'S-Alloc Met-TY Adj'!$C$8:$F$10,4,FALSE)*C56</f>
        <v>0</v>
      </c>
      <c r="H56" s="795"/>
    </row>
    <row r="57" spans="1:8">
      <c r="A57" s="53" t="str">
        <f>Expenses!A57</f>
        <v>657-5001-3</v>
      </c>
      <c r="B57" s="216" t="str">
        <f>Expenses!C57</f>
        <v>Insurance G/L- T&amp;D (Oper)</v>
      </c>
      <c r="C57" s="61">
        <f>Expenses!I57</f>
        <v>3344</v>
      </c>
      <c r="D57" s="242" t="s">
        <v>473</v>
      </c>
      <c r="E57" s="452">
        <f>VLOOKUP(D57,'S-Alloc Met-TY Adj'!$C$8:$D$10,2,FALSE)*C57</f>
        <v>3344</v>
      </c>
      <c r="F57" s="452">
        <f>VLOOKUP(D57,'S-Alloc Met-TY Adj'!$C$8:$E$10,3,FALSE)*C57</f>
        <v>0</v>
      </c>
      <c r="G57" s="452">
        <f>VLOOKUP(D57,'S-Alloc Met-TY Adj'!$C$8:$F$10,4,FALSE)*C57</f>
        <v>0</v>
      </c>
      <c r="H57" s="795"/>
    </row>
    <row r="58" spans="1:8">
      <c r="A58" s="53" t="str">
        <f>Expenses!A58</f>
        <v>659-5001-3</v>
      </c>
      <c r="B58" s="216" t="str">
        <f>Expenses!C58</f>
        <v>Insurance Other- T&amp;D (Oper)</v>
      </c>
      <c r="C58" s="61">
        <f>Expenses!I58</f>
        <v>0</v>
      </c>
      <c r="D58" s="242" t="s">
        <v>473</v>
      </c>
      <c r="E58" s="452">
        <f>VLOOKUP(D58,'S-Alloc Met-TY Adj'!$C$8:$D$10,2,FALSE)*C58</f>
        <v>0</v>
      </c>
      <c r="F58" s="452">
        <f>VLOOKUP(D58,'S-Alloc Met-TY Adj'!$C$8:$E$10,3,FALSE)*C58</f>
        <v>0</v>
      </c>
      <c r="G58" s="452">
        <f>VLOOKUP(D58,'S-Alloc Met-TY Adj'!$C$8:$F$10,4,FALSE)*C58</f>
        <v>0</v>
      </c>
      <c r="H58" s="795"/>
    </row>
    <row r="59" spans="1:8">
      <c r="A59" s="53" t="str">
        <f>Expenses!A59</f>
        <v>675-5001-3</v>
      </c>
      <c r="B59" s="216" t="str">
        <f>Expenses!C59</f>
        <v>Misc Expense- T&amp;D (Oper)</v>
      </c>
      <c r="C59" s="61">
        <f>Expenses!I59</f>
        <v>0</v>
      </c>
      <c r="D59" s="242" t="s">
        <v>473</v>
      </c>
      <c r="E59" s="452">
        <f>VLOOKUP(D59,'S-Alloc Met-TY Adj'!$C$8:$D$10,2,FALSE)*C59</f>
        <v>0</v>
      </c>
      <c r="F59" s="452">
        <f>VLOOKUP(D59,'S-Alloc Met-TY Adj'!$C$8:$E$10,3,FALSE)*C59</f>
        <v>0</v>
      </c>
      <c r="G59" s="452">
        <f>VLOOKUP(D59,'S-Alloc Met-TY Adj'!$C$8:$F$10,4,FALSE)*C59</f>
        <v>0</v>
      </c>
      <c r="H59" s="795"/>
    </row>
    <row r="60" spans="1:8">
      <c r="A60" s="53" t="str">
        <f>Expenses!A60</f>
        <v>675-6002-3</v>
      </c>
      <c r="B60" s="216" t="str">
        <f>Expenses!C60</f>
        <v>Misc Expense- T&amp;D (Maint)</v>
      </c>
      <c r="C60" s="61">
        <f>Expenses!I60</f>
        <v>0</v>
      </c>
      <c r="D60" s="242" t="s">
        <v>473</v>
      </c>
      <c r="E60" s="452">
        <f>VLOOKUP(D60,'S-Alloc Met-TY Adj'!$C$8:$D$10,2,FALSE)*C60</f>
        <v>0</v>
      </c>
      <c r="F60" s="452">
        <f>VLOOKUP(D60,'S-Alloc Met-TY Adj'!$C$8:$E$10,3,FALSE)*C60</f>
        <v>0</v>
      </c>
      <c r="G60" s="452">
        <f>VLOOKUP(D60,'S-Alloc Met-TY Adj'!$C$8:$F$10,4,FALSE)*C60</f>
        <v>0</v>
      </c>
      <c r="H60" s="795"/>
    </row>
    <row r="61" spans="1:8">
      <c r="A61" s="53" t="str">
        <f>Expenses!A61</f>
        <v>618-6002-3</v>
      </c>
      <c r="B61" s="216" t="str">
        <f>Expenses!C61</f>
        <v>Chemicals</v>
      </c>
      <c r="C61" s="61">
        <f>Expenses!I61</f>
        <v>30983</v>
      </c>
      <c r="D61" s="242" t="s">
        <v>474</v>
      </c>
      <c r="E61" s="452">
        <f>VLOOKUP(D61,'S-Alloc Met-TY Adj'!$C$8:$D$10,2,FALSE)*C61</f>
        <v>27791.883750054843</v>
      </c>
      <c r="F61" s="452">
        <f>VLOOKUP(D61,'S-Alloc Met-TY Adj'!$C$8:$E$10,3,FALSE)*C61</f>
        <v>3191.1162499451552</v>
      </c>
      <c r="G61" s="452">
        <f>VLOOKUP(D61,'S-Alloc Met-TY Adj'!$C$8:$F$10,4,FALSE)*C61</f>
        <v>0</v>
      </c>
      <c r="H61" s="795"/>
    </row>
    <row r="62" spans="1:8">
      <c r="A62" s="53" t="str">
        <f>Expenses!A62</f>
        <v>635-4002-3</v>
      </c>
      <c r="B62" s="216" t="str">
        <f>Expenses!C62</f>
        <v xml:space="preserve">Contract Other- Water (Maint) </v>
      </c>
      <c r="C62" s="61">
        <f>Expenses!I62</f>
        <v>0</v>
      </c>
      <c r="D62" s="242" t="s">
        <v>473</v>
      </c>
      <c r="E62" s="452">
        <f>VLOOKUP(D62,'S-Alloc Met-TY Adj'!$C$8:$D$10,2,FALSE)*C62</f>
        <v>0</v>
      </c>
      <c r="F62" s="452">
        <f>VLOOKUP(D62,'S-Alloc Met-TY Adj'!$C$8:$E$10,3,FALSE)*C62</f>
        <v>0</v>
      </c>
      <c r="G62" s="452">
        <f>VLOOKUP(D62,'S-Alloc Met-TY Adj'!$C$8:$F$10,4,FALSE)*C62</f>
        <v>0</v>
      </c>
      <c r="H62" s="795"/>
    </row>
    <row r="63" spans="1:8" ht="30">
      <c r="A63" s="53"/>
      <c r="B63" s="216" t="str">
        <f>Expenses!C63</f>
        <v>Payroll Taxes- T&amp;D (Oper)</v>
      </c>
      <c r="C63" s="61">
        <f>Expenses!I63</f>
        <v>6608.9831210000011</v>
      </c>
      <c r="D63" s="242" t="s">
        <v>473</v>
      </c>
      <c r="E63" s="452">
        <f>VLOOKUP(D63,'S-Alloc Met-TY Adj'!$C$8:$D$10,2,FALSE)*C63</f>
        <v>6608.9831210000011</v>
      </c>
      <c r="F63" s="452">
        <f>VLOOKUP(D63,'S-Alloc Met-TY Adj'!$C$8:$E$10,3,FALSE)*C63</f>
        <v>0</v>
      </c>
      <c r="G63" s="452">
        <f>VLOOKUP(D63,'S-Alloc Met-TY Adj'!$C$8:$F$10,4,FALSE)*C63</f>
        <v>0</v>
      </c>
      <c r="H63" s="795" t="s">
        <v>200</v>
      </c>
    </row>
    <row r="64" spans="1:8" ht="30">
      <c r="A64" s="53"/>
      <c r="B64" s="216" t="str">
        <f>Expenses!C64</f>
        <v>Wages (OH)- T&amp;D (Oper)</v>
      </c>
      <c r="C64" s="61">
        <f>Expenses!I64</f>
        <v>11717.554468</v>
      </c>
      <c r="D64" s="242" t="s">
        <v>473</v>
      </c>
      <c r="E64" s="452">
        <f>VLOOKUP(D64,'S-Alloc Met-TY Adj'!$C$8:$D$10,2,FALSE)*C64</f>
        <v>11717.554468</v>
      </c>
      <c r="F64" s="452">
        <f>VLOOKUP(D64,'S-Alloc Met-TY Adj'!$C$8:$E$10,3,FALSE)*C64</f>
        <v>0</v>
      </c>
      <c r="G64" s="452">
        <f>VLOOKUP(D64,'S-Alloc Met-TY Adj'!$C$8:$F$10,4,FALSE)*C64</f>
        <v>0</v>
      </c>
      <c r="H64" s="795" t="s">
        <v>200</v>
      </c>
    </row>
    <row r="65" spans="1:8" ht="30">
      <c r="A65" s="53"/>
      <c r="B65" s="216" t="str">
        <f>Expenses!C65</f>
        <v>Worker's Compensation- T&amp;D (Oper)</v>
      </c>
      <c r="C65" s="61">
        <f>Expenses!I65</f>
        <v>429.7133273</v>
      </c>
      <c r="D65" s="242" t="s">
        <v>473</v>
      </c>
      <c r="E65" s="452">
        <f>VLOOKUP(D65,'S-Alloc Met-TY Adj'!$C$8:$D$10,2,FALSE)*C65</f>
        <v>429.7133273</v>
      </c>
      <c r="F65" s="452">
        <f>VLOOKUP(D65,'S-Alloc Met-TY Adj'!$C$8:$E$10,3,FALSE)*C65</f>
        <v>0</v>
      </c>
      <c r="G65" s="452">
        <f>VLOOKUP(D65,'S-Alloc Met-TY Adj'!$C$8:$F$10,4,FALSE)*C65</f>
        <v>0</v>
      </c>
      <c r="H65" s="795" t="s">
        <v>200</v>
      </c>
    </row>
    <row r="66" spans="1:8">
      <c r="A66" s="53"/>
      <c r="B66" s="216" t="str">
        <f>Expenses!C66</f>
        <v>Fringe Benefits- Insurance- T&amp;D (Oper)</v>
      </c>
      <c r="C66" s="61">
        <f>Expenses!I66</f>
        <v>8867.49</v>
      </c>
      <c r="D66" s="242" t="s">
        <v>473</v>
      </c>
      <c r="E66" s="452">
        <f>VLOOKUP(D66,'S-Alloc Met-TY Adj'!$C$8:$D$10,2,FALSE)*C66</f>
        <v>8867.49</v>
      </c>
      <c r="F66" s="452">
        <f>VLOOKUP(D66,'S-Alloc Met-TY Adj'!$C$8:$E$10,3,FALSE)*C66</f>
        <v>0</v>
      </c>
      <c r="G66" s="452">
        <f>VLOOKUP(D66,'S-Alloc Met-TY Adj'!$C$8:$F$10,4,FALSE)*C66</f>
        <v>0</v>
      </c>
      <c r="H66" s="795"/>
    </row>
    <row r="67" spans="1:8" ht="30">
      <c r="A67" s="53"/>
      <c r="B67" s="216" t="str">
        <f>Expenses!C67</f>
        <v>Retirement- T&amp;D (Oper)</v>
      </c>
      <c r="C67" s="61">
        <f>Expenses!I67</f>
        <v>15354.930790700002</v>
      </c>
      <c r="D67" s="242" t="s">
        <v>473</v>
      </c>
      <c r="E67" s="452">
        <f>VLOOKUP(D67,'S-Alloc Met-TY Adj'!$C$8:$D$10,2,FALSE)*C67</f>
        <v>15354.930790700002</v>
      </c>
      <c r="F67" s="452">
        <f>VLOOKUP(D67,'S-Alloc Met-TY Adj'!$C$8:$E$10,3,FALSE)*C67</f>
        <v>0</v>
      </c>
      <c r="G67" s="452">
        <f>VLOOKUP(D67,'S-Alloc Met-TY Adj'!$C$8:$F$10,4,FALSE)*C67</f>
        <v>0</v>
      </c>
      <c r="H67" s="795" t="s">
        <v>200</v>
      </c>
    </row>
    <row r="68" spans="1:8" ht="30">
      <c r="A68" s="53"/>
      <c r="B68" s="216" t="str">
        <f>Expenses!C68</f>
        <v>Payroll Taxes- T&amp;D (Maint)</v>
      </c>
      <c r="C68" s="61">
        <f>Expenses!I68</f>
        <v>6588.7390942000002</v>
      </c>
      <c r="D68" s="242" t="s">
        <v>473</v>
      </c>
      <c r="E68" s="452">
        <f>VLOOKUP(D68,'S-Alloc Met-TY Adj'!$C$8:$D$10,2,FALSE)*C68</f>
        <v>6588.7390942000002</v>
      </c>
      <c r="F68" s="452">
        <f>VLOOKUP(D68,'S-Alloc Met-TY Adj'!$C$8:$E$10,3,FALSE)*C68</f>
        <v>0</v>
      </c>
      <c r="G68" s="452">
        <f>VLOOKUP(D68,'S-Alloc Met-TY Adj'!$C$8:$F$10,4,FALSE)*C68</f>
        <v>0</v>
      </c>
      <c r="H68" s="795" t="s">
        <v>200</v>
      </c>
    </row>
    <row r="69" spans="1:8" ht="30">
      <c r="A69" s="53"/>
      <c r="B69" s="216" t="str">
        <f>Expenses!C69</f>
        <v>Wages (OH)- T&amp;D (Maint)</v>
      </c>
      <c r="C69" s="61">
        <f>Expenses!I69</f>
        <v>11681.666807200001</v>
      </c>
      <c r="D69" s="242" t="s">
        <v>473</v>
      </c>
      <c r="E69" s="452">
        <f>VLOOKUP(D69,'S-Alloc Met-TY Adj'!$C$8:$D$10,2,FALSE)*C69</f>
        <v>11681.666807200001</v>
      </c>
      <c r="F69" s="452">
        <f>VLOOKUP(D69,'S-Alloc Met-TY Adj'!$C$8:$E$10,3,FALSE)*C69</f>
        <v>0</v>
      </c>
      <c r="G69" s="452">
        <f>VLOOKUP(D69,'S-Alloc Met-TY Adj'!$C$8:$F$10,4,FALSE)*C69</f>
        <v>0</v>
      </c>
      <c r="H69" s="795" t="s">
        <v>200</v>
      </c>
    </row>
    <row r="70" spans="1:8" ht="30">
      <c r="A70" s="53"/>
      <c r="B70" s="216" t="str">
        <f>Expenses!C70</f>
        <v>Worker's Compensation- T&amp;D (Maint)</v>
      </c>
      <c r="C70" s="61">
        <f>Expenses!I70</f>
        <v>428.39401460000005</v>
      </c>
      <c r="D70" s="242" t="s">
        <v>473</v>
      </c>
      <c r="E70" s="452">
        <f>VLOOKUP(D70,'S-Alloc Met-TY Adj'!$C$8:$D$10,2,FALSE)*C70</f>
        <v>428.39401460000005</v>
      </c>
      <c r="F70" s="452">
        <f>VLOOKUP(D70,'S-Alloc Met-TY Adj'!$C$8:$E$10,3,FALSE)*C70</f>
        <v>0</v>
      </c>
      <c r="G70" s="452">
        <f>VLOOKUP(D70,'S-Alloc Met-TY Adj'!$C$8:$F$10,4,FALSE)*C70</f>
        <v>0</v>
      </c>
      <c r="H70" s="795" t="s">
        <v>200</v>
      </c>
    </row>
    <row r="71" spans="1:8">
      <c r="A71" s="53"/>
      <c r="B71" s="216" t="str">
        <f>Expenses!C71</f>
        <v>Fringe Benefits- Insurance- T&amp;D (Maint)</v>
      </c>
      <c r="C71" s="61">
        <f>Expenses!I71</f>
        <v>8780.84</v>
      </c>
      <c r="D71" s="242" t="s">
        <v>473</v>
      </c>
      <c r="E71" s="452">
        <f>VLOOKUP(D71,'S-Alloc Met-TY Adj'!$C$8:$D$10,2,FALSE)*C71</f>
        <v>8780.84</v>
      </c>
      <c r="F71" s="452">
        <f>VLOOKUP(D71,'S-Alloc Met-TY Adj'!$C$8:$E$10,3,FALSE)*C71</f>
        <v>0</v>
      </c>
      <c r="G71" s="452">
        <f>VLOOKUP(D71,'S-Alloc Met-TY Adj'!$C$8:$F$10,4,FALSE)*C71</f>
        <v>0</v>
      </c>
      <c r="H71" s="795" t="s">
        <v>201</v>
      </c>
    </row>
    <row r="72" spans="1:8" ht="30">
      <c r="A72" s="53"/>
      <c r="B72" s="216" t="str">
        <f>Expenses!C72</f>
        <v>Retirement- T&amp;D (Maint)</v>
      </c>
      <c r="C72" s="61">
        <f>Expenses!I72</f>
        <v>15307.8927996</v>
      </c>
      <c r="D72" s="242" t="s">
        <v>473</v>
      </c>
      <c r="E72" s="452">
        <f>VLOOKUP(D72,'S-Alloc Met-TY Adj'!$C$8:$D$10,2,FALSE)*C72</f>
        <v>15307.8927996</v>
      </c>
      <c r="F72" s="452">
        <f>VLOOKUP(D72,'S-Alloc Met-TY Adj'!$C$8:$E$10,3,FALSE)*C72</f>
        <v>0</v>
      </c>
      <c r="G72" s="452">
        <f>VLOOKUP(D72,'S-Alloc Met-TY Adj'!$C$8:$F$10,4,FALSE)*C72</f>
        <v>0</v>
      </c>
      <c r="H72" s="795" t="s">
        <v>200</v>
      </c>
    </row>
    <row r="73" spans="1:8">
      <c r="A73" s="794"/>
      <c r="B73" s="453" t="s">
        <v>30</v>
      </c>
      <c r="C73" s="454">
        <f>SUM(C39:C72)</f>
        <v>463274.19184260012</v>
      </c>
      <c r="D73" s="454"/>
      <c r="E73" s="454">
        <f>SUM(E39:E72)</f>
        <v>460083.07559265499</v>
      </c>
      <c r="F73" s="454">
        <f>SUM(F39:F72)</f>
        <v>3191.1162499451552</v>
      </c>
      <c r="G73" s="454">
        <f>SUM(G39:G72)</f>
        <v>0</v>
      </c>
      <c r="H73" s="795"/>
    </row>
    <row r="74" spans="1:8">
      <c r="A74" s="53"/>
      <c r="B74" s="218"/>
      <c r="C74" s="142"/>
      <c r="H74" s="795"/>
    </row>
    <row r="75" spans="1:8">
      <c r="A75" s="53"/>
      <c r="B75" s="217" t="s">
        <v>202</v>
      </c>
      <c r="C75" s="259"/>
      <c r="D75" s="148"/>
      <c r="E75" s="148"/>
      <c r="F75" s="148"/>
      <c r="G75" s="148"/>
      <c r="H75" s="795"/>
    </row>
    <row r="76" spans="1:8" ht="26.25">
      <c r="A76" s="53" t="str">
        <f>Expenses!A76</f>
        <v>601-7001-3</v>
      </c>
      <c r="B76" s="216" t="str">
        <f>Expenses!C76</f>
        <v>Wages</v>
      </c>
      <c r="C76" s="61">
        <f>Expenses!I76</f>
        <v>128783.24205</v>
      </c>
      <c r="D76" s="242" t="s">
        <v>473</v>
      </c>
      <c r="E76" s="452">
        <f>VLOOKUP(D76,'S-Alloc Met-TY Adj'!$C$8:$D$10,2,FALSE)*C76</f>
        <v>128783.24205</v>
      </c>
      <c r="F76" s="452">
        <f>VLOOKUP(D76,'S-Alloc Met-TY Adj'!$C$8:$E$10,3,FALSE)*C76</f>
        <v>0</v>
      </c>
      <c r="G76" s="452">
        <f>VLOOKUP(D76,'S-Alloc Met-TY Adj'!$C$8:$F$10,4,FALSE)*C76</f>
        <v>0</v>
      </c>
      <c r="H76" s="17" t="s">
        <v>205</v>
      </c>
    </row>
    <row r="77" spans="1:8" ht="26.25">
      <c r="A77" s="53" t="str">
        <f>Expenses!A77</f>
        <v>604-7001-3</v>
      </c>
      <c r="B77" s="216" t="str">
        <f>Expenses!C77</f>
        <v>Employee Overhead</v>
      </c>
      <c r="C77" s="61">
        <f>Expenses!I77</f>
        <v>0</v>
      </c>
      <c r="D77" s="242" t="s">
        <v>473</v>
      </c>
      <c r="E77" s="452">
        <f>VLOOKUP(D77,'S-Alloc Met-TY Adj'!$C$8:$D$10,2,FALSE)*C77</f>
        <v>0</v>
      </c>
      <c r="F77" s="452">
        <f>VLOOKUP(D77,'S-Alloc Met-TY Adj'!$C$8:$E$10,3,FALSE)*C77</f>
        <v>0</v>
      </c>
      <c r="G77" s="452">
        <f>VLOOKUP(D77,'S-Alloc Met-TY Adj'!$C$8:$F$10,4,FALSE)*C77</f>
        <v>0</v>
      </c>
      <c r="H77" s="17" t="s">
        <v>205</v>
      </c>
    </row>
    <row r="78" spans="1:8">
      <c r="A78" s="53" t="str">
        <f>Expenses!A78</f>
        <v>620-7001-3</v>
      </c>
      <c r="B78" s="216" t="str">
        <f>Expenses!C78</f>
        <v xml:space="preserve">Materials &amp; Supplies </v>
      </c>
      <c r="C78" s="61">
        <f>Expenses!I78</f>
        <v>454</v>
      </c>
      <c r="D78" s="242" t="s">
        <v>473</v>
      </c>
      <c r="E78" s="452">
        <f>VLOOKUP(D78,'S-Alloc Met-TY Adj'!$C$8:$D$10,2,FALSE)*C78</f>
        <v>454</v>
      </c>
      <c r="F78" s="452">
        <f>VLOOKUP(D78,'S-Alloc Met-TY Adj'!$C$8:$E$10,3,FALSE)*C78</f>
        <v>0</v>
      </c>
      <c r="G78" s="452">
        <f>VLOOKUP(D78,'S-Alloc Met-TY Adj'!$C$8:$F$10,4,FALSE)*C78</f>
        <v>0</v>
      </c>
      <c r="H78" s="795"/>
    </row>
    <row r="79" spans="1:8">
      <c r="A79" s="53" t="str">
        <f>Expenses!A79</f>
        <v>631-7001-3</v>
      </c>
      <c r="B79" s="216" t="str">
        <f>Expenses!C79</f>
        <v xml:space="preserve">Contract Engineering </v>
      </c>
      <c r="C79" s="61">
        <f>Expenses!I79</f>
        <v>0</v>
      </c>
      <c r="D79" s="242" t="s">
        <v>473</v>
      </c>
      <c r="E79" s="452">
        <f>VLOOKUP(D79,'S-Alloc Met-TY Adj'!$C$8:$D$10,2,FALSE)*C79</f>
        <v>0</v>
      </c>
      <c r="F79" s="452">
        <f>VLOOKUP(D79,'S-Alloc Met-TY Adj'!$C$8:$E$10,3,FALSE)*C79</f>
        <v>0</v>
      </c>
      <c r="G79" s="452">
        <f>VLOOKUP(D79,'S-Alloc Met-TY Adj'!$C$8:$F$10,4,FALSE)*C79</f>
        <v>0</v>
      </c>
      <c r="H79" s="795"/>
    </row>
    <row r="80" spans="1:8">
      <c r="A80" s="53" t="str">
        <f>Expenses!A80</f>
        <v>632-7001-3</v>
      </c>
      <c r="B80" s="216" t="str">
        <f>Expenses!C80</f>
        <v>Contract Accounting</v>
      </c>
      <c r="C80" s="61">
        <f>Expenses!I80</f>
        <v>3500</v>
      </c>
      <c r="D80" s="242" t="s">
        <v>473</v>
      </c>
      <c r="E80" s="452">
        <f>VLOOKUP(D80,'S-Alloc Met-TY Adj'!$C$8:$D$10,2,FALSE)*C80</f>
        <v>3500</v>
      </c>
      <c r="F80" s="452">
        <f>VLOOKUP(D80,'S-Alloc Met-TY Adj'!$C$8:$E$10,3,FALSE)*C80</f>
        <v>0</v>
      </c>
      <c r="G80" s="452">
        <f>VLOOKUP(D80,'S-Alloc Met-TY Adj'!$C$8:$F$10,4,FALSE)*C80</f>
        <v>0</v>
      </c>
      <c r="H80" s="795"/>
    </row>
    <row r="81" spans="1:8">
      <c r="A81" s="53" t="str">
        <f>Expenses!A81</f>
        <v>633-7001-3</v>
      </c>
      <c r="B81" s="216" t="str">
        <f>Expenses!C81</f>
        <v>Contract Legal</v>
      </c>
      <c r="C81" s="61">
        <f>Expenses!I81</f>
        <v>0</v>
      </c>
      <c r="D81" s="242" t="s">
        <v>473</v>
      </c>
      <c r="E81" s="452">
        <f>VLOOKUP(D81,'S-Alloc Met-TY Adj'!$C$8:$D$10,2,FALSE)*C81</f>
        <v>0</v>
      </c>
      <c r="F81" s="452">
        <f>VLOOKUP(D81,'S-Alloc Met-TY Adj'!$C$8:$E$10,3,FALSE)*C81</f>
        <v>0</v>
      </c>
      <c r="G81" s="452">
        <f>VLOOKUP(D81,'S-Alloc Met-TY Adj'!$C$8:$F$10,4,FALSE)*C81</f>
        <v>0</v>
      </c>
      <c r="H81" s="795"/>
    </row>
    <row r="82" spans="1:8">
      <c r="A82" s="53" t="str">
        <f>Expenses!A82</f>
        <v>635-7001-3</v>
      </c>
      <c r="B82" s="216" t="str">
        <f>Expenses!C82</f>
        <v>Contract Other</v>
      </c>
      <c r="C82" s="61">
        <f>Expenses!I82</f>
        <v>63808</v>
      </c>
      <c r="D82" s="242" t="s">
        <v>473</v>
      </c>
      <c r="E82" s="452">
        <f>VLOOKUP(D82,'S-Alloc Met-TY Adj'!$C$8:$D$10,2,FALSE)*C82</f>
        <v>63808</v>
      </c>
      <c r="F82" s="452">
        <f>VLOOKUP(D82,'S-Alloc Met-TY Adj'!$C$8:$E$10,3,FALSE)*C82</f>
        <v>0</v>
      </c>
      <c r="G82" s="452">
        <f>VLOOKUP(D82,'S-Alloc Met-TY Adj'!$C$8:$F$10,4,FALSE)*C82</f>
        <v>0</v>
      </c>
      <c r="H82" s="795"/>
    </row>
    <row r="83" spans="1:8">
      <c r="A83" s="53" t="str">
        <f>Expenses!A83</f>
        <v>641-7001-3</v>
      </c>
      <c r="B83" s="216" t="str">
        <f>Expenses!C83</f>
        <v xml:space="preserve">Rent &amp; Utilities </v>
      </c>
      <c r="C83" s="61">
        <f>Expenses!I83</f>
        <v>0</v>
      </c>
      <c r="D83" s="242" t="s">
        <v>473</v>
      </c>
      <c r="E83" s="452">
        <f>VLOOKUP(D83,'S-Alloc Met-TY Adj'!$C$8:$D$10,2,FALSE)*C83</f>
        <v>0</v>
      </c>
      <c r="F83" s="452">
        <f>VLOOKUP(D83,'S-Alloc Met-TY Adj'!$C$8:$E$10,3,FALSE)*C83</f>
        <v>0</v>
      </c>
      <c r="G83" s="452">
        <f>VLOOKUP(D83,'S-Alloc Met-TY Adj'!$C$8:$F$10,4,FALSE)*C83</f>
        <v>0</v>
      </c>
      <c r="H83" s="795"/>
    </row>
    <row r="84" spans="1:8">
      <c r="A84" s="53" t="str">
        <f>Expenses!A84</f>
        <v>641-7011-3</v>
      </c>
      <c r="B84" s="216" t="str">
        <f>Expenses!C84</f>
        <v xml:space="preserve">Rent &amp; Utilities </v>
      </c>
      <c r="C84" s="61">
        <f>Expenses!I84</f>
        <v>0</v>
      </c>
      <c r="D84" s="242" t="s">
        <v>473</v>
      </c>
      <c r="E84" s="452">
        <f>VLOOKUP(D84,'S-Alloc Met-TY Adj'!$C$8:$D$10,2,FALSE)*C84</f>
        <v>0</v>
      </c>
      <c r="F84" s="452">
        <f>VLOOKUP(D84,'S-Alloc Met-TY Adj'!$C$8:$E$10,3,FALSE)*C84</f>
        <v>0</v>
      </c>
      <c r="G84" s="452">
        <f>VLOOKUP(D84,'S-Alloc Met-TY Adj'!$C$8:$F$10,4,FALSE)*C84</f>
        <v>0</v>
      </c>
      <c r="H84" s="795"/>
    </row>
    <row r="85" spans="1:8">
      <c r="A85" s="53" t="str">
        <f>Expenses!A85</f>
        <v>650-7001-3</v>
      </c>
      <c r="B85" s="216" t="str">
        <f>Expenses!C85</f>
        <v>Equipment Expenses</v>
      </c>
      <c r="C85" s="61">
        <f>Expenses!I85</f>
        <v>32</v>
      </c>
      <c r="D85" s="242" t="s">
        <v>473</v>
      </c>
      <c r="E85" s="452">
        <f>VLOOKUP(D85,'S-Alloc Met-TY Adj'!$C$8:$D$10,2,FALSE)*C85</f>
        <v>32</v>
      </c>
      <c r="F85" s="452">
        <f>VLOOKUP(D85,'S-Alloc Met-TY Adj'!$C$8:$E$10,3,FALSE)*C85</f>
        <v>0</v>
      </c>
      <c r="G85" s="452">
        <f>VLOOKUP(D85,'S-Alloc Met-TY Adj'!$C$8:$F$10,4,FALSE)*C85</f>
        <v>0</v>
      </c>
      <c r="H85" s="795"/>
    </row>
    <row r="86" spans="1:8">
      <c r="A86" s="53" t="str">
        <f>Expenses!A86</f>
        <v>657-7001-3</v>
      </c>
      <c r="B86" s="216" t="str">
        <f>Expenses!C86</f>
        <v>Insurance G/L</v>
      </c>
      <c r="C86" s="61">
        <f>Expenses!I86</f>
        <v>3344</v>
      </c>
      <c r="D86" s="242" t="s">
        <v>473</v>
      </c>
      <c r="E86" s="452">
        <f>VLOOKUP(D86,'S-Alloc Met-TY Adj'!$C$8:$D$10,2,FALSE)*C86</f>
        <v>3344</v>
      </c>
      <c r="F86" s="452">
        <f>VLOOKUP(D86,'S-Alloc Met-TY Adj'!$C$8:$E$10,3,FALSE)*C86</f>
        <v>0</v>
      </c>
      <c r="G86" s="452">
        <f>VLOOKUP(D86,'S-Alloc Met-TY Adj'!$C$8:$F$10,4,FALSE)*C86</f>
        <v>0</v>
      </c>
      <c r="H86" s="795"/>
    </row>
    <row r="87" spans="1:8">
      <c r="A87" s="53" t="str">
        <f>Expenses!A87</f>
        <v>675-7001-3</v>
      </c>
      <c r="B87" s="216" t="str">
        <f>Expenses!C87</f>
        <v>Misc Expense</v>
      </c>
      <c r="C87" s="61">
        <f>Expenses!I87</f>
        <v>0</v>
      </c>
      <c r="D87" s="242" t="s">
        <v>473</v>
      </c>
      <c r="E87" s="452">
        <f>VLOOKUP(D87,'S-Alloc Met-TY Adj'!$C$8:$D$10,2,FALSE)*C87</f>
        <v>0</v>
      </c>
      <c r="F87" s="452">
        <f>VLOOKUP(D87,'S-Alloc Met-TY Adj'!$C$8:$E$10,3,FALSE)*C87</f>
        <v>0</v>
      </c>
      <c r="G87" s="452">
        <f>VLOOKUP(D87,'S-Alloc Met-TY Adj'!$C$8:$F$10,4,FALSE)*C87</f>
        <v>0</v>
      </c>
      <c r="H87" s="795"/>
    </row>
    <row r="88" spans="1:8">
      <c r="A88" s="53"/>
      <c r="B88" s="216" t="str">
        <f>Expenses!C88</f>
        <v>Payroll Taxes</v>
      </c>
      <c r="C88" s="61">
        <f>Expenses!I88</f>
        <v>11091.5023994</v>
      </c>
      <c r="D88" s="242" t="s">
        <v>473</v>
      </c>
      <c r="E88" s="452">
        <f>VLOOKUP(D88,'S-Alloc Met-TY Adj'!$C$8:$D$10,2,FALSE)*C88</f>
        <v>11091.5023994</v>
      </c>
      <c r="F88" s="452">
        <f>VLOOKUP(D88,'S-Alloc Met-TY Adj'!$C$8:$E$10,3,FALSE)*C88</f>
        <v>0</v>
      </c>
      <c r="G88" s="452">
        <f>VLOOKUP(D88,'S-Alloc Met-TY Adj'!$C$8:$F$10,4,FALSE)*C88</f>
        <v>0</v>
      </c>
      <c r="H88" s="795" t="s">
        <v>228</v>
      </c>
    </row>
    <row r="89" spans="1:8">
      <c r="A89" s="53"/>
      <c r="B89" s="216" t="str">
        <f>Expenses!C89</f>
        <v>Wages</v>
      </c>
      <c r="C89" s="61">
        <f>Expenses!I89</f>
        <v>19664.929738800001</v>
      </c>
      <c r="D89" s="242" t="s">
        <v>473</v>
      </c>
      <c r="E89" s="452">
        <f>VLOOKUP(D89,'S-Alloc Met-TY Adj'!$C$8:$D$10,2,FALSE)*C89</f>
        <v>19664.929738800001</v>
      </c>
      <c r="F89" s="452">
        <f>VLOOKUP(D89,'S-Alloc Met-TY Adj'!$C$8:$E$10,3,FALSE)*C89</f>
        <v>0</v>
      </c>
      <c r="G89" s="452">
        <f>VLOOKUP(D89,'S-Alloc Met-TY Adj'!$C$8:$F$10,4,FALSE)*C89</f>
        <v>0</v>
      </c>
      <c r="H89" s="795" t="s">
        <v>228</v>
      </c>
    </row>
    <row r="90" spans="1:8">
      <c r="A90" s="53"/>
      <c r="B90" s="216" t="str">
        <f>Expenses!C90</f>
        <v>Worker's Compensation</v>
      </c>
      <c r="C90" s="61">
        <f>Expenses!I90</f>
        <v>721.16690740000001</v>
      </c>
      <c r="D90" s="242" t="s">
        <v>473</v>
      </c>
      <c r="E90" s="452">
        <f>VLOOKUP(D90,'S-Alloc Met-TY Adj'!$C$8:$D$10,2,FALSE)*C90</f>
        <v>721.16690740000001</v>
      </c>
      <c r="F90" s="452">
        <f>VLOOKUP(D90,'S-Alloc Met-TY Adj'!$C$8:$E$10,3,FALSE)*C90</f>
        <v>0</v>
      </c>
      <c r="G90" s="452">
        <f>VLOOKUP(D90,'S-Alloc Met-TY Adj'!$C$8:$F$10,4,FALSE)*C90</f>
        <v>0</v>
      </c>
      <c r="H90" s="795" t="s">
        <v>228</v>
      </c>
    </row>
    <row r="91" spans="1:8">
      <c r="A91" s="53"/>
      <c r="B91" s="216" t="str">
        <f>Expenses!C91</f>
        <v xml:space="preserve">Fringe Benefits- Insurance </v>
      </c>
      <c r="C91" s="61">
        <f>Expenses!I91</f>
        <v>15016.96</v>
      </c>
      <c r="D91" s="242" t="s">
        <v>473</v>
      </c>
      <c r="E91" s="452">
        <f>VLOOKUP(D91,'S-Alloc Met-TY Adj'!$C$8:$D$10,2,FALSE)*C91</f>
        <v>15016.96</v>
      </c>
      <c r="F91" s="452">
        <f>VLOOKUP(D91,'S-Alloc Met-TY Adj'!$C$8:$E$10,3,FALSE)*C91</f>
        <v>0</v>
      </c>
      <c r="G91" s="452">
        <f>VLOOKUP(D91,'S-Alloc Met-TY Adj'!$C$8:$F$10,4,FALSE)*C91</f>
        <v>0</v>
      </c>
      <c r="H91" s="795" t="s">
        <v>229</v>
      </c>
    </row>
    <row r="92" spans="1:8">
      <c r="A92" s="53"/>
      <c r="B92" s="216" t="str">
        <f>Expenses!C92</f>
        <v xml:space="preserve">Retirement </v>
      </c>
      <c r="C92" s="61">
        <f>Expenses!I92</f>
        <v>25769.332198600001</v>
      </c>
      <c r="D92" s="242" t="s">
        <v>473</v>
      </c>
      <c r="E92" s="452">
        <f>VLOOKUP(D92,'S-Alloc Met-TY Adj'!$C$8:$D$10,2,FALSE)*C92</f>
        <v>25769.332198600001</v>
      </c>
      <c r="F92" s="452">
        <f>VLOOKUP(D92,'S-Alloc Met-TY Adj'!$C$8:$E$10,3,FALSE)*C92</f>
        <v>0</v>
      </c>
      <c r="G92" s="452">
        <f>VLOOKUP(D92,'S-Alloc Met-TY Adj'!$C$8:$F$10,4,FALSE)*C92</f>
        <v>0</v>
      </c>
      <c r="H92" s="795" t="s">
        <v>228</v>
      </c>
    </row>
    <row r="93" spans="1:8">
      <c r="A93" s="53"/>
      <c r="B93" s="216" t="str">
        <f>Expenses!C93</f>
        <v>-</v>
      </c>
      <c r="C93" s="61">
        <f>Expenses!I93</f>
        <v>0</v>
      </c>
      <c r="D93" s="241" t="s">
        <v>473</v>
      </c>
      <c r="E93" s="452">
        <f>VLOOKUP(D93,'S-Alloc Met-TY Adj'!$C$8:$D$10,2,FALSE)*C93</f>
        <v>0</v>
      </c>
      <c r="F93" s="452">
        <f>VLOOKUP(D93,'S-Alloc Met-TY Adj'!$C$8:$E$10,3,FALSE)*C93</f>
        <v>0</v>
      </c>
      <c r="G93" s="452">
        <f>VLOOKUP(D93,'S-Alloc Met-TY Adj'!$C$8:$F$10,4,FALSE)*C93</f>
        <v>0</v>
      </c>
      <c r="H93" s="795"/>
    </row>
    <row r="94" spans="1:8">
      <c r="A94" s="794"/>
      <c r="B94" s="453" t="s">
        <v>30</v>
      </c>
      <c r="C94" s="454">
        <f>SUM(C76:C93)</f>
        <v>272185.1332942</v>
      </c>
      <c r="D94" s="454"/>
      <c r="E94" s="454">
        <f>SUM(E76:E93)</f>
        <v>272185.1332942</v>
      </c>
      <c r="F94" s="454">
        <f>SUM(F76:F93)</f>
        <v>0</v>
      </c>
      <c r="G94" s="454">
        <f>SUM(G76:G93)</f>
        <v>0</v>
      </c>
      <c r="H94" s="795"/>
    </row>
    <row r="95" spans="1:8">
      <c r="A95" s="53"/>
      <c r="B95" s="219"/>
      <c r="C95" s="142"/>
      <c r="H95" s="795"/>
    </row>
    <row r="96" spans="1:8">
      <c r="A96" s="53"/>
      <c r="B96" s="217" t="s">
        <v>230</v>
      </c>
      <c r="C96" s="259"/>
      <c r="D96" s="148"/>
      <c r="E96" s="148"/>
      <c r="F96" s="148"/>
      <c r="G96" s="148"/>
      <c r="H96" s="795"/>
    </row>
    <row r="97" spans="1:8">
      <c r="A97" s="53" t="str">
        <f>Expenses!A97</f>
        <v>601-8001-3</v>
      </c>
      <c r="B97" s="216" t="str">
        <f>Expenses!C97</f>
        <v>Wages</v>
      </c>
      <c r="C97" s="61">
        <f>Expenses!I97</f>
        <v>136399.57567000002</v>
      </c>
      <c r="D97" s="242" t="s">
        <v>473</v>
      </c>
      <c r="E97" s="452">
        <f>VLOOKUP(D97,'S-Alloc Met-TY Adj'!$C$8:$D$10,2,FALSE)*C97</f>
        <v>136399.57567000002</v>
      </c>
      <c r="F97" s="452">
        <f>VLOOKUP(D97,'S-Alloc Met-TY Adj'!$C$8:$E$10,3,FALSE)*C97</f>
        <v>0</v>
      </c>
      <c r="G97" s="452">
        <f>VLOOKUP(D97,'S-Alloc Met-TY Adj'!$C$8:$F$10,4,FALSE)*C97</f>
        <v>0</v>
      </c>
      <c r="H97" s="17" t="s">
        <v>233</v>
      </c>
    </row>
    <row r="98" spans="1:8">
      <c r="A98" s="53" t="str">
        <f>Expenses!A98</f>
        <v>604-8001-3</v>
      </c>
      <c r="B98" s="216" t="str">
        <f>Expenses!C98</f>
        <v>Employee Overhead</v>
      </c>
      <c r="C98" s="61">
        <f>Expenses!I98</f>
        <v>0</v>
      </c>
      <c r="D98" s="242" t="s">
        <v>473</v>
      </c>
      <c r="E98" s="452">
        <f>VLOOKUP(D98,'S-Alloc Met-TY Adj'!$C$8:$D$10,2,FALSE)*C98</f>
        <v>0</v>
      </c>
      <c r="F98" s="452">
        <f>VLOOKUP(D98,'S-Alloc Met-TY Adj'!$C$8:$E$10,3,FALSE)*C98</f>
        <v>0</v>
      </c>
      <c r="G98" s="452">
        <f>VLOOKUP(D98,'S-Alloc Met-TY Adj'!$C$8:$F$10,4,FALSE)*C98</f>
        <v>0</v>
      </c>
      <c r="H98" s="17" t="s">
        <v>236</v>
      </c>
    </row>
    <row r="99" spans="1:8">
      <c r="A99" s="53" t="str">
        <f>Expenses!A99</f>
        <v>620-8001-3</v>
      </c>
      <c r="B99" s="216" t="str">
        <f>Expenses!C99</f>
        <v xml:space="preserve">Materials &amp; Supplies </v>
      </c>
      <c r="C99" s="61">
        <f>Expenses!I99</f>
        <v>7022</v>
      </c>
      <c r="D99" s="242" t="s">
        <v>473</v>
      </c>
      <c r="E99" s="452">
        <f>VLOOKUP(D99,'S-Alloc Met-TY Adj'!$C$8:$D$10,2,FALSE)*C99</f>
        <v>7022</v>
      </c>
      <c r="F99" s="452">
        <f>VLOOKUP(D99,'S-Alloc Met-TY Adj'!$C$8:$E$10,3,FALSE)*C99</f>
        <v>0</v>
      </c>
      <c r="G99" s="452">
        <f>VLOOKUP(D99,'S-Alloc Met-TY Adj'!$C$8:$F$10,4,FALSE)*C99</f>
        <v>0</v>
      </c>
      <c r="H99" s="795"/>
    </row>
    <row r="100" spans="1:8">
      <c r="A100" s="53" t="str">
        <f>Expenses!A100</f>
        <v>632-8001-3</v>
      </c>
      <c r="B100" s="216" t="str">
        <f>Expenses!C100</f>
        <v>Contract Accounting</v>
      </c>
      <c r="C100" s="61">
        <f>Expenses!I100</f>
        <v>3500</v>
      </c>
      <c r="D100" s="242" t="s">
        <v>473</v>
      </c>
      <c r="E100" s="452">
        <f>VLOOKUP(D100,'S-Alloc Met-TY Adj'!$C$8:$D$10,2,FALSE)*C100</f>
        <v>3500</v>
      </c>
      <c r="F100" s="452">
        <f>VLOOKUP(D100,'S-Alloc Met-TY Adj'!$C$8:$E$10,3,FALSE)*C100</f>
        <v>0</v>
      </c>
      <c r="G100" s="452">
        <f>VLOOKUP(D100,'S-Alloc Met-TY Adj'!$C$8:$F$10,4,FALSE)*C100</f>
        <v>0</v>
      </c>
      <c r="H100" s="795"/>
    </row>
    <row r="101" spans="1:8">
      <c r="A101" s="53" t="str">
        <f>Expenses!A101</f>
        <v>633-8001-3</v>
      </c>
      <c r="B101" s="216" t="str">
        <f>Expenses!C101</f>
        <v>Contract Legal</v>
      </c>
      <c r="C101" s="61">
        <f>Expenses!I101</f>
        <v>5136</v>
      </c>
      <c r="D101" s="242" t="s">
        <v>473</v>
      </c>
      <c r="E101" s="452">
        <f>VLOOKUP(D101,'S-Alloc Met-TY Adj'!$C$8:$D$10,2,FALSE)*C101</f>
        <v>5136</v>
      </c>
      <c r="F101" s="452">
        <f>VLOOKUP(D101,'S-Alloc Met-TY Adj'!$C$8:$E$10,3,FALSE)*C101</f>
        <v>0</v>
      </c>
      <c r="G101" s="452">
        <f>VLOOKUP(D101,'S-Alloc Met-TY Adj'!$C$8:$F$10,4,FALSE)*C101</f>
        <v>0</v>
      </c>
      <c r="H101" s="795"/>
    </row>
    <row r="102" spans="1:8">
      <c r="A102" s="53" t="str">
        <f>Expenses!A102</f>
        <v>635-8001-3</v>
      </c>
      <c r="B102" s="216" t="str">
        <f>Expenses!C102</f>
        <v>Contract Other</v>
      </c>
      <c r="C102" s="61">
        <f>Expenses!I102</f>
        <v>67075</v>
      </c>
      <c r="D102" s="242" t="s">
        <v>473</v>
      </c>
      <c r="E102" s="452">
        <f>VLOOKUP(D102,'S-Alloc Met-TY Adj'!$C$8:$D$10,2,FALSE)*C102</f>
        <v>67075</v>
      </c>
      <c r="F102" s="452">
        <f>VLOOKUP(D102,'S-Alloc Met-TY Adj'!$C$8:$E$10,3,FALSE)*C102</f>
        <v>0</v>
      </c>
      <c r="G102" s="452">
        <f>VLOOKUP(D102,'S-Alloc Met-TY Adj'!$C$8:$F$10,4,FALSE)*C102</f>
        <v>0</v>
      </c>
      <c r="H102" s="795"/>
    </row>
    <row r="103" spans="1:8">
      <c r="A103" s="53" t="str">
        <f>Expenses!A103</f>
        <v>641-8001-3</v>
      </c>
      <c r="B103" s="216" t="str">
        <f>Expenses!C103</f>
        <v xml:space="preserve">Rent &amp; Utilities </v>
      </c>
      <c r="C103" s="61">
        <f>Expenses!I103</f>
        <v>0</v>
      </c>
      <c r="D103" s="242" t="s">
        <v>473</v>
      </c>
      <c r="E103" s="452">
        <f>VLOOKUP(D103,'S-Alloc Met-TY Adj'!$C$8:$D$10,2,FALSE)*C103</f>
        <v>0</v>
      </c>
      <c r="F103" s="452">
        <f>VLOOKUP(D103,'S-Alloc Met-TY Adj'!$C$8:$E$10,3,FALSE)*C103</f>
        <v>0</v>
      </c>
      <c r="G103" s="452">
        <f>VLOOKUP(D103,'S-Alloc Met-TY Adj'!$C$8:$F$10,4,FALSE)*C103</f>
        <v>0</v>
      </c>
      <c r="H103" s="795"/>
    </row>
    <row r="104" spans="1:8">
      <c r="A104" s="53" t="str">
        <f>Expenses!A104</f>
        <v>650-8001-3</v>
      </c>
      <c r="B104" s="216" t="str">
        <f>Expenses!C104</f>
        <v>Equipment Expenses</v>
      </c>
      <c r="C104" s="61">
        <f>Expenses!I104</f>
        <v>213</v>
      </c>
      <c r="D104" s="242" t="s">
        <v>473</v>
      </c>
      <c r="E104" s="452">
        <f>VLOOKUP(D104,'S-Alloc Met-TY Adj'!$C$8:$D$10,2,FALSE)*C104</f>
        <v>213</v>
      </c>
      <c r="F104" s="452">
        <f>VLOOKUP(D104,'S-Alloc Met-TY Adj'!$C$8:$E$10,3,FALSE)*C104</f>
        <v>0</v>
      </c>
      <c r="G104" s="452">
        <f>VLOOKUP(D104,'S-Alloc Met-TY Adj'!$C$8:$F$10,4,FALSE)*C104</f>
        <v>0</v>
      </c>
      <c r="H104" s="795"/>
    </row>
    <row r="105" spans="1:8">
      <c r="A105" s="53" t="str">
        <f>Expenses!A105</f>
        <v>657-8001-3</v>
      </c>
      <c r="B105" s="216" t="str">
        <f>Expenses!C105</f>
        <v>Insurance G/L</v>
      </c>
      <c r="C105" s="61">
        <f>Expenses!I105</f>
        <v>3344</v>
      </c>
      <c r="D105" s="242" t="s">
        <v>473</v>
      </c>
      <c r="E105" s="452">
        <f>VLOOKUP(D105,'S-Alloc Met-TY Adj'!$C$8:$D$10,2,FALSE)*C105</f>
        <v>3344</v>
      </c>
      <c r="F105" s="452">
        <f>VLOOKUP(D105,'S-Alloc Met-TY Adj'!$C$8:$E$10,3,FALSE)*C105</f>
        <v>0</v>
      </c>
      <c r="G105" s="452">
        <f>VLOOKUP(D105,'S-Alloc Met-TY Adj'!$C$8:$F$10,4,FALSE)*C105</f>
        <v>0</v>
      </c>
      <c r="H105" s="795"/>
    </row>
    <row r="106" spans="1:8">
      <c r="A106" s="53" t="str">
        <f>Expenses!A106</f>
        <v>659-8001-3</v>
      </c>
      <c r="B106" s="216" t="str">
        <f>Expenses!C106</f>
        <v xml:space="preserve">Insurance Other </v>
      </c>
      <c r="C106" s="61">
        <f>Expenses!I106</f>
        <v>2545</v>
      </c>
      <c r="D106" s="242" t="s">
        <v>473</v>
      </c>
      <c r="E106" s="452">
        <f>VLOOKUP(D106,'S-Alloc Met-TY Adj'!$C$8:$D$10,2,FALSE)*C106</f>
        <v>2545</v>
      </c>
      <c r="F106" s="452">
        <f>VLOOKUP(D106,'S-Alloc Met-TY Adj'!$C$8:$E$10,3,FALSE)*C106</f>
        <v>0</v>
      </c>
      <c r="G106" s="452">
        <f>VLOOKUP(D106,'S-Alloc Met-TY Adj'!$C$8:$F$10,4,FALSE)*C106</f>
        <v>0</v>
      </c>
      <c r="H106" s="795"/>
    </row>
    <row r="107" spans="1:8">
      <c r="A107" s="53" t="str">
        <f>Expenses!A107</f>
        <v>675-8001-3</v>
      </c>
      <c r="B107" s="216" t="str">
        <f>Expenses!C107</f>
        <v>Misc Expesne</v>
      </c>
      <c r="C107" s="61">
        <f>Expenses!I107</f>
        <v>17777</v>
      </c>
      <c r="D107" s="242" t="s">
        <v>473</v>
      </c>
      <c r="E107" s="452">
        <f>VLOOKUP(D107,'S-Alloc Met-TY Adj'!$C$8:$D$10,2,FALSE)*C107</f>
        <v>17777</v>
      </c>
      <c r="F107" s="452">
        <f>VLOOKUP(D107,'S-Alloc Met-TY Adj'!$C$8:$E$10,3,FALSE)*C107</f>
        <v>0</v>
      </c>
      <c r="G107" s="452">
        <f>VLOOKUP(D107,'S-Alloc Met-TY Adj'!$C$8:$F$10,4,FALSE)*C107</f>
        <v>0</v>
      </c>
      <c r="H107" s="795"/>
    </row>
    <row r="108" spans="1:8">
      <c r="A108" s="53" t="str">
        <f>Expenses!A108</f>
        <v>675-8011-3</v>
      </c>
      <c r="B108" s="216" t="str">
        <f>Expenses!C108</f>
        <v>Misc Expense- Commissioner Fee</v>
      </c>
      <c r="C108" s="61">
        <f>Expenses!I108</f>
        <v>15000</v>
      </c>
      <c r="D108" s="242" t="s">
        <v>473</v>
      </c>
      <c r="E108" s="452">
        <f>VLOOKUP(D108,'S-Alloc Met-TY Adj'!$C$8:$D$10,2,FALSE)*C108</f>
        <v>15000</v>
      </c>
      <c r="F108" s="452">
        <f>VLOOKUP(D108,'S-Alloc Met-TY Adj'!$C$8:$E$10,3,FALSE)*C108</f>
        <v>0</v>
      </c>
      <c r="G108" s="452">
        <f>VLOOKUP(D108,'S-Alloc Met-TY Adj'!$C$8:$F$10,4,FALSE)*C108</f>
        <v>0</v>
      </c>
      <c r="H108" s="795"/>
    </row>
    <row r="109" spans="1:8">
      <c r="A109" s="53" t="str">
        <f>Expenses!A109</f>
        <v>604-8011-3</v>
      </c>
      <c r="B109" s="216" t="str">
        <f>Expenses!C109</f>
        <v>Commissioner SS &amp; Medicare</v>
      </c>
      <c r="C109" s="61">
        <f>Expenses!I109</f>
        <v>0</v>
      </c>
      <c r="D109" s="242" t="s">
        <v>473</v>
      </c>
      <c r="E109" s="452">
        <f>VLOOKUP(D109,'S-Alloc Met-TY Adj'!$C$8:$D$10,2,FALSE)*C109</f>
        <v>0</v>
      </c>
      <c r="F109" s="452">
        <f>VLOOKUP(D109,'S-Alloc Met-TY Adj'!$C$8:$E$10,3,FALSE)*C109</f>
        <v>0</v>
      </c>
      <c r="G109" s="452">
        <f>VLOOKUP(D109,'S-Alloc Met-TY Adj'!$C$8:$F$10,4,FALSE)*C109</f>
        <v>0</v>
      </c>
      <c r="H109" s="795" t="s">
        <v>236</v>
      </c>
    </row>
    <row r="110" spans="1:8">
      <c r="A110" s="53"/>
      <c r="B110" s="216" t="str">
        <f>Expenses!C110</f>
        <v>Payroll Taxes</v>
      </c>
      <c r="C110" s="61">
        <f>Expenses!I110</f>
        <v>11701.8512593</v>
      </c>
      <c r="D110" s="242" t="s">
        <v>473</v>
      </c>
      <c r="E110" s="452">
        <f>VLOOKUP(D110,'S-Alloc Met-TY Adj'!$C$8:$D$10,2,FALSE)*C110</f>
        <v>11701.8512593</v>
      </c>
      <c r="F110" s="452">
        <f>VLOOKUP(D110,'S-Alloc Met-TY Adj'!$C$8:$E$10,3,FALSE)*C110</f>
        <v>0</v>
      </c>
      <c r="G110" s="452">
        <f>VLOOKUP(D110,'S-Alloc Met-TY Adj'!$C$8:$F$10,4,FALSE)*C110</f>
        <v>0</v>
      </c>
      <c r="H110" s="795" t="s">
        <v>233</v>
      </c>
    </row>
    <row r="111" spans="1:8">
      <c r="A111" s="53"/>
      <c r="B111" s="216" t="str">
        <f>Expenses!C111</f>
        <v>Wages</v>
      </c>
      <c r="C111" s="61">
        <f>Expenses!I111</f>
        <v>20747.0458736</v>
      </c>
      <c r="D111" s="242" t="s">
        <v>473</v>
      </c>
      <c r="E111" s="452">
        <f>VLOOKUP(D111,'S-Alloc Met-TY Adj'!$C$8:$D$10,2,FALSE)*C111</f>
        <v>20747.0458736</v>
      </c>
      <c r="F111" s="452">
        <f>VLOOKUP(D111,'S-Alloc Met-TY Adj'!$C$8:$E$10,3,FALSE)*C111</f>
        <v>0</v>
      </c>
      <c r="G111" s="452">
        <f>VLOOKUP(D111,'S-Alloc Met-TY Adj'!$C$8:$F$10,4,FALSE)*C111</f>
        <v>0</v>
      </c>
      <c r="H111" s="795" t="s">
        <v>233</v>
      </c>
    </row>
    <row r="112" spans="1:8">
      <c r="A112" s="53"/>
      <c r="B112" s="216" t="str">
        <f>Expenses!C112</f>
        <v>Worker's Compensation</v>
      </c>
      <c r="C112" s="61">
        <f>Expenses!I112</f>
        <v>760.84620110000014</v>
      </c>
      <c r="D112" s="242" t="s">
        <v>473</v>
      </c>
      <c r="E112" s="452">
        <f>VLOOKUP(D112,'S-Alloc Met-TY Adj'!$C$8:$D$10,2,FALSE)*C112</f>
        <v>760.84620110000014</v>
      </c>
      <c r="F112" s="452">
        <f>VLOOKUP(D112,'S-Alloc Met-TY Adj'!$C$8:$E$10,3,FALSE)*C112</f>
        <v>0</v>
      </c>
      <c r="G112" s="452">
        <f>VLOOKUP(D112,'S-Alloc Met-TY Adj'!$C$8:$F$10,4,FALSE)*C112</f>
        <v>0</v>
      </c>
      <c r="H112" s="795" t="s">
        <v>233</v>
      </c>
    </row>
    <row r="113" spans="1:8">
      <c r="A113" s="53"/>
      <c r="B113" s="216" t="str">
        <f>Expenses!C113</f>
        <v xml:space="preserve">Fringe Benefits- Insurance </v>
      </c>
      <c r="C113" s="61">
        <f>Expenses!I113</f>
        <v>15802.25</v>
      </c>
      <c r="D113" s="242" t="s">
        <v>473</v>
      </c>
      <c r="E113" s="452">
        <f>VLOOKUP(D113,'S-Alloc Met-TY Adj'!$C$8:$D$10,2,FALSE)*C113</f>
        <v>15802.25</v>
      </c>
      <c r="F113" s="452">
        <f>VLOOKUP(D113,'S-Alloc Met-TY Adj'!$C$8:$E$10,3,FALSE)*C113</f>
        <v>0</v>
      </c>
      <c r="G113" s="452">
        <f>VLOOKUP(D113,'S-Alloc Met-TY Adj'!$C$8:$F$10,4,FALSE)*C113</f>
        <v>0</v>
      </c>
      <c r="H113" s="795" t="s">
        <v>259</v>
      </c>
    </row>
    <row r="114" spans="1:8">
      <c r="A114" s="53"/>
      <c r="B114" s="216" t="str">
        <f>Expenses!C114</f>
        <v xml:space="preserve">Retirement </v>
      </c>
      <c r="C114" s="61">
        <f>Expenses!I114</f>
        <v>27187.378862199999</v>
      </c>
      <c r="D114" s="242" t="s">
        <v>473</v>
      </c>
      <c r="E114" s="452">
        <f>VLOOKUP(D114,'S-Alloc Met-TY Adj'!$C$8:$D$10,2,FALSE)*C114</f>
        <v>27187.378862199999</v>
      </c>
      <c r="F114" s="452">
        <f>VLOOKUP(D114,'S-Alloc Met-TY Adj'!$C$8:$E$10,3,FALSE)*C114</f>
        <v>0</v>
      </c>
      <c r="G114" s="452">
        <f>VLOOKUP(D114,'S-Alloc Met-TY Adj'!$C$8:$F$10,4,FALSE)*C114</f>
        <v>0</v>
      </c>
      <c r="H114" s="795" t="s">
        <v>233</v>
      </c>
    </row>
    <row r="115" spans="1:8">
      <c r="A115" s="53"/>
      <c r="B115" s="216" t="str">
        <f>Expenses!C115</f>
        <v>-</v>
      </c>
      <c r="C115" s="61">
        <f>Expenses!I115</f>
        <v>0</v>
      </c>
      <c r="D115" s="242" t="s">
        <v>473</v>
      </c>
      <c r="E115" s="452">
        <f>VLOOKUP(D115,'S-Alloc Met-TY Adj'!$C$8:$D$10,2,FALSE)*C115</f>
        <v>0</v>
      </c>
      <c r="F115" s="452">
        <f>VLOOKUP(D115,'S-Alloc Met-TY Adj'!$C$8:$E$10,3,FALSE)*C115</f>
        <v>0</v>
      </c>
      <c r="G115" s="452">
        <f>VLOOKUP(D115,'S-Alloc Met-TY Adj'!$C$8:$F$10,4,FALSE)*C115</f>
        <v>0</v>
      </c>
      <c r="H115" s="795"/>
    </row>
    <row r="116" spans="1:8">
      <c r="A116" s="794"/>
      <c r="B116" s="453" t="s">
        <v>30</v>
      </c>
      <c r="C116" s="454">
        <f>SUM(C97:C115)</f>
        <v>334210.9478662</v>
      </c>
      <c r="D116" s="454"/>
      <c r="E116" s="454">
        <f>SUM(E97:E115)</f>
        <v>334210.9478662</v>
      </c>
      <c r="F116" s="454">
        <f>SUM(F97:F115)</f>
        <v>0</v>
      </c>
      <c r="G116" s="454">
        <f>SUM(G97:G115)</f>
        <v>0</v>
      </c>
      <c r="H116" s="795"/>
    </row>
    <row r="117" spans="1:8">
      <c r="A117" s="53"/>
      <c r="B117" s="218"/>
      <c r="C117" s="142"/>
      <c r="H117" s="795"/>
    </row>
    <row r="118" spans="1:8">
      <c r="A118" s="53"/>
      <c r="B118" s="217" t="s">
        <v>85</v>
      </c>
      <c r="C118" s="259"/>
      <c r="D118" s="148"/>
      <c r="E118" s="148"/>
      <c r="F118" s="148"/>
      <c r="G118" s="148"/>
      <c r="H118" s="795"/>
    </row>
    <row r="119" spans="1:8">
      <c r="A119" s="53" t="str">
        <f>Expenses!A119</f>
        <v>604-8200-3</v>
      </c>
      <c r="B119" s="216" t="str">
        <f>Expenses!C119</f>
        <v>Employee Overhead- Reimbursement Acct</v>
      </c>
      <c r="C119" s="61">
        <f>Expenses!I119</f>
        <v>0</v>
      </c>
      <c r="D119" s="242" t="s">
        <v>473</v>
      </c>
      <c r="E119" s="452">
        <f>VLOOKUP(D119,'S-Alloc Met-TY Adj'!$C$8:$D$10,2,FALSE)*C119</f>
        <v>0</v>
      </c>
      <c r="F119" s="452">
        <f>VLOOKUP(D119,'S-Alloc Met-TY Adj'!$C$8:$E$10,3,FALSE)*C119</f>
        <v>0</v>
      </c>
      <c r="G119" s="452">
        <f>VLOOKUP(D119,'S-Alloc Met-TY Adj'!$C$8:$F$10,4,FALSE)*C119</f>
        <v>0</v>
      </c>
      <c r="H119" s="17" t="s">
        <v>236</v>
      </c>
    </row>
    <row r="120" spans="1:8">
      <c r="A120" s="53" t="str">
        <f>Expenses!A120</f>
        <v>615-5011-3</v>
      </c>
      <c r="B120" s="216" t="str">
        <f>Expenses!C120</f>
        <v>Purchased Power- Master Mtrs</v>
      </c>
      <c r="C120" s="61">
        <f>Expenses!I120</f>
        <v>0</v>
      </c>
      <c r="D120" s="242" t="s">
        <v>473</v>
      </c>
      <c r="E120" s="452">
        <f>VLOOKUP(D120,'S-Alloc Met-TY Adj'!$C$8:$D$10,2,FALSE)*C120</f>
        <v>0</v>
      </c>
      <c r="F120" s="452">
        <f>VLOOKUP(D120,'S-Alloc Met-TY Adj'!$C$8:$E$10,3,FALSE)*C120</f>
        <v>0</v>
      </c>
      <c r="G120" s="452">
        <f>VLOOKUP(D120,'S-Alloc Met-TY Adj'!$C$8:$F$10,4,FALSE)*C120</f>
        <v>0</v>
      </c>
      <c r="H120" s="795"/>
    </row>
    <row r="121" spans="1:8">
      <c r="A121" s="53" t="str">
        <f>Expenses!A121</f>
        <v>-</v>
      </c>
      <c r="B121" s="216" t="str">
        <f>Expenses!C121</f>
        <v>Purchased Power- Property</v>
      </c>
      <c r="C121" s="61">
        <f>Expenses!I121</f>
        <v>0</v>
      </c>
      <c r="D121" s="242" t="s">
        <v>473</v>
      </c>
      <c r="E121" s="452">
        <f>VLOOKUP(D121,'S-Alloc Met-TY Adj'!$C$8:$D$10,2,FALSE)*C121</f>
        <v>0</v>
      </c>
      <c r="F121" s="452">
        <f>VLOOKUP(D121,'S-Alloc Met-TY Adj'!$C$8:$E$10,3,FALSE)*C121</f>
        <v>0</v>
      </c>
      <c r="G121" s="452">
        <f>VLOOKUP(D121,'S-Alloc Met-TY Adj'!$C$8:$F$10,4,FALSE)*C121</f>
        <v>0</v>
      </c>
      <c r="H121" s="795"/>
    </row>
    <row r="122" spans="1:8">
      <c r="A122" s="53" t="str">
        <f>Expenses!A122</f>
        <v>-</v>
      </c>
      <c r="B122" s="216" t="str">
        <f>Expenses!C122</f>
        <v xml:space="preserve">Reimbursement- Trucks &amp; Equipment </v>
      </c>
      <c r="C122" s="61">
        <f>Expenses!I122</f>
        <v>0</v>
      </c>
      <c r="D122" s="242" t="s">
        <v>473</v>
      </c>
      <c r="E122" s="452">
        <f>VLOOKUP(D122,'S-Alloc Met-TY Adj'!$C$8:$D$10,2,FALSE)*C122</f>
        <v>0</v>
      </c>
      <c r="F122" s="452">
        <f>VLOOKUP(D122,'S-Alloc Met-TY Adj'!$C$8:$E$10,3,FALSE)*C122</f>
        <v>0</v>
      </c>
      <c r="G122" s="452">
        <f>VLOOKUP(D122,'S-Alloc Met-TY Adj'!$C$8:$F$10,4,FALSE)*C122</f>
        <v>0</v>
      </c>
      <c r="H122" s="795"/>
    </row>
    <row r="123" spans="1:8">
      <c r="A123" s="53" t="str">
        <f>Expenses!A123</f>
        <v>-</v>
      </c>
      <c r="B123" s="216" t="str">
        <f>Expenses!C123</f>
        <v xml:space="preserve">Expense - Trucks &amp; Equipment </v>
      </c>
      <c r="C123" s="61">
        <f>Expenses!I123</f>
        <v>0</v>
      </c>
      <c r="D123" s="242" t="s">
        <v>473</v>
      </c>
      <c r="E123" s="452">
        <f>VLOOKUP(D123,'S-Alloc Met-TY Adj'!$C$8:$D$10,2,FALSE)*C123</f>
        <v>0</v>
      </c>
      <c r="F123" s="452">
        <f>VLOOKUP(D123,'S-Alloc Met-TY Adj'!$C$8:$E$10,3,FALSE)*C123</f>
        <v>0</v>
      </c>
      <c r="G123" s="452">
        <f>VLOOKUP(D123,'S-Alloc Met-TY Adj'!$C$8:$F$10,4,FALSE)*C123</f>
        <v>0</v>
      </c>
      <c r="H123" s="795"/>
    </row>
    <row r="124" spans="1:8">
      <c r="A124" s="53" t="str">
        <f>Expenses!A124</f>
        <v>408-0000-3</v>
      </c>
      <c r="B124" s="216" t="str">
        <f>Expenses!C124</f>
        <v>PSC Assessment</v>
      </c>
      <c r="C124" s="61">
        <f>Expenses!I124</f>
        <v>8006</v>
      </c>
      <c r="D124" s="242" t="s">
        <v>473</v>
      </c>
      <c r="E124" s="452">
        <f>VLOOKUP(D124,'S-Alloc Met-TY Adj'!$C$8:$D$10,2,FALSE)*C124</f>
        <v>8006</v>
      </c>
      <c r="F124" s="452">
        <f>VLOOKUP(D124,'S-Alloc Met-TY Adj'!$C$8:$E$10,3,FALSE)*C124</f>
        <v>0</v>
      </c>
      <c r="G124" s="452">
        <f>VLOOKUP(D124,'S-Alloc Met-TY Adj'!$C$8:$F$10,4,FALSE)*C124</f>
        <v>0</v>
      </c>
      <c r="H124" s="795"/>
    </row>
    <row r="125" spans="1:8">
      <c r="A125" s="53" t="str">
        <f>Expenses!A125</f>
        <v>670-7001-3</v>
      </c>
      <c r="B125" s="216" t="str">
        <f>Expenses!C125</f>
        <v>Bad Debt Expense</v>
      </c>
      <c r="C125" s="61">
        <f>Expenses!I125</f>
        <v>4466</v>
      </c>
      <c r="D125" s="242" t="s">
        <v>473</v>
      </c>
      <c r="E125" s="452">
        <f>VLOOKUP(D125,'S-Alloc Met-TY Adj'!$C$8:$D$10,2,FALSE)*C125</f>
        <v>4466</v>
      </c>
      <c r="F125" s="452">
        <f>VLOOKUP(D125,'S-Alloc Met-TY Adj'!$C$8:$E$10,3,FALSE)*C125</f>
        <v>0</v>
      </c>
      <c r="G125" s="452">
        <f>VLOOKUP(D125,'S-Alloc Met-TY Adj'!$C$8:$F$10,4,FALSE)*C125</f>
        <v>0</v>
      </c>
      <c r="H125" s="795"/>
    </row>
    <row r="126" spans="1:8">
      <c r="A126" s="53" t="str">
        <f>Expenses!A126</f>
        <v>670-7010-3</v>
      </c>
      <c r="B126" s="216" t="str">
        <f>Expenses!C126</f>
        <v>Bad Debt Expense</v>
      </c>
      <c r="C126" s="61">
        <f>Expenses!I126</f>
        <v>0</v>
      </c>
      <c r="D126" s="242" t="s">
        <v>473</v>
      </c>
      <c r="E126" s="452">
        <f>VLOOKUP(D126,'S-Alloc Met-TY Adj'!$C$8:$D$10,2,FALSE)*C126</f>
        <v>0</v>
      </c>
      <c r="F126" s="452">
        <f>VLOOKUP(D126,'S-Alloc Met-TY Adj'!$C$8:$E$10,3,FALSE)*C126</f>
        <v>0</v>
      </c>
      <c r="G126" s="452">
        <f>VLOOKUP(D126,'S-Alloc Met-TY Adj'!$C$8:$F$10,4,FALSE)*C126</f>
        <v>0</v>
      </c>
      <c r="H126" s="795"/>
    </row>
    <row r="127" spans="1:8">
      <c r="A127" s="53" t="str">
        <f>Expenses!A127</f>
        <v>675-7021-3</v>
      </c>
      <c r="B127" s="216" t="str">
        <f>Expenses!C127</f>
        <v>Misc Expense- Cash Over/Short (CIS)</v>
      </c>
      <c r="C127" s="61">
        <f>Expenses!I127</f>
        <v>0</v>
      </c>
      <c r="D127" s="242" t="s">
        <v>473</v>
      </c>
      <c r="E127" s="452">
        <f>VLOOKUP(D127,'S-Alloc Met-TY Adj'!$C$8:$D$10,2,FALSE)*C127</f>
        <v>0</v>
      </c>
      <c r="F127" s="452">
        <f>VLOOKUP(D127,'S-Alloc Met-TY Adj'!$C$8:$E$10,3,FALSE)*C127</f>
        <v>0</v>
      </c>
      <c r="G127" s="452">
        <f>VLOOKUP(D127,'S-Alloc Met-TY Adj'!$C$8:$F$10,4,FALSE)*C127</f>
        <v>0</v>
      </c>
      <c r="H127" s="795"/>
    </row>
    <row r="128" spans="1:8">
      <c r="A128" s="53" t="str">
        <f>Expenses!A128</f>
        <v>675-7025-3</v>
      </c>
      <c r="B128" s="216" t="str">
        <f>Expenses!C128</f>
        <v>Misc Expense- Customer FB (CIS)</v>
      </c>
      <c r="C128" s="61">
        <f>Expenses!I128</f>
        <v>0</v>
      </c>
      <c r="D128" s="242" t="s">
        <v>473</v>
      </c>
      <c r="E128" s="452">
        <f>VLOOKUP(D128,'S-Alloc Met-TY Adj'!$C$8:$D$10,2,FALSE)*C128</f>
        <v>0</v>
      </c>
      <c r="F128" s="452">
        <f>VLOOKUP(D128,'S-Alloc Met-TY Adj'!$C$8:$E$10,3,FALSE)*C128</f>
        <v>0</v>
      </c>
      <c r="G128" s="452">
        <f>VLOOKUP(D128,'S-Alloc Met-TY Adj'!$C$8:$F$10,4,FALSE)*C128</f>
        <v>0</v>
      </c>
      <c r="H128" s="795"/>
    </row>
    <row r="129" spans="1:8">
      <c r="A129" s="53" t="str">
        <f>Expenses!A129</f>
        <v>421-0000-3</v>
      </c>
      <c r="B129" s="216" t="str">
        <f>Expenses!C129</f>
        <v>Non-Utility Income</v>
      </c>
      <c r="C129" s="61">
        <f>Expenses!I129</f>
        <v>-4</v>
      </c>
      <c r="D129" s="242" t="s">
        <v>473</v>
      </c>
      <c r="E129" s="452">
        <f>VLOOKUP(D129,'S-Alloc Met-TY Adj'!$C$8:$D$10,2,FALSE)*C129</f>
        <v>-4</v>
      </c>
      <c r="F129" s="452">
        <f>VLOOKUP(D129,'S-Alloc Met-TY Adj'!$C$8:$E$10,3,FALSE)*C129</f>
        <v>0</v>
      </c>
      <c r="G129" s="452">
        <f>VLOOKUP(D129,'S-Alloc Met-TY Adj'!$C$8:$F$10,4,FALSE)*C129</f>
        <v>0</v>
      </c>
      <c r="H129" s="795"/>
    </row>
    <row r="130" spans="1:8">
      <c r="A130" s="53" t="str">
        <f>Expenses!A130</f>
        <v>421-0001-3</v>
      </c>
      <c r="B130" s="216" t="str">
        <f>Expenses!C130</f>
        <v>Non-Utility Income- Miscellaneous</v>
      </c>
      <c r="C130" s="61">
        <f>Expenses!I130</f>
        <v>0</v>
      </c>
      <c r="D130" s="242" t="s">
        <v>473</v>
      </c>
      <c r="E130" s="452">
        <f>VLOOKUP(D130,'S-Alloc Met-TY Adj'!$C$8:$D$10,2,FALSE)*C130</f>
        <v>0</v>
      </c>
      <c r="F130" s="452">
        <f>VLOOKUP(D130,'S-Alloc Met-TY Adj'!$C$8:$E$10,3,FALSE)*C130</f>
        <v>0</v>
      </c>
      <c r="G130" s="452">
        <f>VLOOKUP(D130,'S-Alloc Met-TY Adj'!$C$8:$F$10,4,FALSE)*C130</f>
        <v>0</v>
      </c>
      <c r="H130" s="795"/>
    </row>
    <row r="131" spans="1:8">
      <c r="A131" s="53" t="str">
        <f>Expenses!A131</f>
        <v>426-0000-3</v>
      </c>
      <c r="B131" s="216" t="str">
        <f>Expenses!C131</f>
        <v>Unrealized (Gain)/Loss on Investments</v>
      </c>
      <c r="C131" s="61">
        <f>Expenses!I131</f>
        <v>-39712</v>
      </c>
      <c r="D131" s="242" t="s">
        <v>473</v>
      </c>
      <c r="E131" s="452">
        <f>VLOOKUP(D131,'S-Alloc Met-TY Adj'!$C$8:$D$10,2,FALSE)*C131</f>
        <v>-39712</v>
      </c>
      <c r="F131" s="452">
        <f>VLOOKUP(D131,'S-Alloc Met-TY Adj'!$C$8:$E$10,3,FALSE)*C131</f>
        <v>0</v>
      </c>
      <c r="G131" s="452">
        <f>VLOOKUP(D131,'S-Alloc Met-TY Adj'!$C$8:$F$10,4,FALSE)*C131</f>
        <v>0</v>
      </c>
      <c r="H131" s="795"/>
    </row>
    <row r="132" spans="1:8" ht="30">
      <c r="A132" s="53"/>
      <c r="B132" s="216" t="str">
        <f>Expenses!C132</f>
        <v>Rate Case Expenses</v>
      </c>
      <c r="C132" s="61">
        <f>Expenses!I132</f>
        <v>43723.6</v>
      </c>
      <c r="D132" s="242" t="s">
        <v>473</v>
      </c>
      <c r="E132" s="452">
        <f>VLOOKUP(D132,'S-Alloc Met-TY Adj'!$C$8:$D$10,2,FALSE)*C132</f>
        <v>43723.6</v>
      </c>
      <c r="F132" s="452">
        <f>VLOOKUP(D132,'S-Alloc Met-TY Adj'!$C$8:$E$10,3,FALSE)*C132</f>
        <v>0</v>
      </c>
      <c r="G132" s="452">
        <f>VLOOKUP(D132,'S-Alloc Met-TY Adj'!$C$8:$F$10,4,FALSE)*C132</f>
        <v>0</v>
      </c>
      <c r="H132" s="795" t="s">
        <v>574</v>
      </c>
    </row>
    <row r="133" spans="1:8">
      <c r="A133" s="53"/>
      <c r="B133" s="216" t="str">
        <f>Expenses!C133</f>
        <v>-</v>
      </c>
      <c r="C133" s="61">
        <f>Expenses!I133</f>
        <v>0</v>
      </c>
      <c r="D133" s="242" t="s">
        <v>473</v>
      </c>
      <c r="E133" s="452">
        <f>VLOOKUP(D133,'S-Alloc Met-TY Adj'!$C$8:$D$10,2,FALSE)*C133</f>
        <v>0</v>
      </c>
      <c r="F133" s="452">
        <f>VLOOKUP(D133,'S-Alloc Met-TY Adj'!$C$8:$E$10,3,FALSE)*C133</f>
        <v>0</v>
      </c>
      <c r="G133" s="452">
        <f>VLOOKUP(D133,'S-Alloc Met-TY Adj'!$C$8:$F$10,4,FALSE)*C133</f>
        <v>0</v>
      </c>
      <c r="H133" s="795"/>
    </row>
    <row r="134" spans="1:8">
      <c r="A134" s="53"/>
      <c r="B134" s="216" t="str">
        <f>Expenses!C134</f>
        <v>-</v>
      </c>
      <c r="C134" s="61">
        <f>Expenses!I134</f>
        <v>0</v>
      </c>
      <c r="D134" s="242" t="s">
        <v>473</v>
      </c>
      <c r="E134" s="452">
        <f>VLOOKUP(D134,'S-Alloc Met-TY Adj'!$C$8:$D$10,2,FALSE)*C134</f>
        <v>0</v>
      </c>
      <c r="F134" s="452">
        <f>VLOOKUP(D134,'S-Alloc Met-TY Adj'!$C$8:$E$10,3,FALSE)*C134</f>
        <v>0</v>
      </c>
      <c r="G134" s="452">
        <f>VLOOKUP(D134,'S-Alloc Met-TY Adj'!$C$8:$F$10,4,FALSE)*C134</f>
        <v>0</v>
      </c>
      <c r="H134" s="795"/>
    </row>
    <row r="135" spans="1:8">
      <c r="A135" s="53"/>
      <c r="B135" s="216" t="str">
        <f>Expenses!C135</f>
        <v>-</v>
      </c>
      <c r="C135" s="61">
        <f>Expenses!I135</f>
        <v>0</v>
      </c>
      <c r="D135" s="242" t="s">
        <v>473</v>
      </c>
      <c r="E135" s="452">
        <f>VLOOKUP(D135,'S-Alloc Met-TY Adj'!$C$8:$D$10,2,FALSE)*C135</f>
        <v>0</v>
      </c>
      <c r="F135" s="452">
        <f>VLOOKUP(D135,'S-Alloc Met-TY Adj'!$C$8:$E$10,3,FALSE)*C135</f>
        <v>0</v>
      </c>
      <c r="G135" s="452">
        <f>VLOOKUP(D135,'S-Alloc Met-TY Adj'!$C$8:$F$10,4,FALSE)*C135</f>
        <v>0</v>
      </c>
      <c r="H135" s="795"/>
    </row>
    <row r="136" spans="1:8">
      <c r="A136" s="53"/>
      <c r="B136" s="216" t="str">
        <f>Expenses!C136</f>
        <v>-</v>
      </c>
      <c r="C136" s="61">
        <f>Expenses!I136</f>
        <v>0</v>
      </c>
      <c r="D136" s="242" t="s">
        <v>473</v>
      </c>
      <c r="E136" s="452">
        <f>VLOOKUP(D136,'S-Alloc Met-TY Adj'!$C$8:$D$10,2,FALSE)*C136</f>
        <v>0</v>
      </c>
      <c r="F136" s="452">
        <f>VLOOKUP(D136,'S-Alloc Met-TY Adj'!$C$8:$E$10,3,FALSE)*C136</f>
        <v>0</v>
      </c>
      <c r="G136" s="452">
        <f>VLOOKUP(D136,'S-Alloc Met-TY Adj'!$C$8:$F$10,4,FALSE)*C136</f>
        <v>0</v>
      </c>
      <c r="H136" s="795"/>
    </row>
    <row r="137" spans="1:8">
      <c r="A137" s="53"/>
      <c r="B137" s="216" t="str">
        <f>Expenses!C137</f>
        <v>-</v>
      </c>
      <c r="C137" s="61">
        <f>Expenses!I137</f>
        <v>0</v>
      </c>
      <c r="D137" s="242" t="s">
        <v>473</v>
      </c>
      <c r="E137" s="452">
        <f>VLOOKUP(D137,'S-Alloc Met-TY Adj'!$C$8:$D$10,2,FALSE)*C137</f>
        <v>0</v>
      </c>
      <c r="F137" s="452">
        <f>VLOOKUP(D137,'S-Alloc Met-TY Adj'!$C$8:$E$10,3,FALSE)*C137</f>
        <v>0</v>
      </c>
      <c r="G137" s="452">
        <f>VLOOKUP(D137,'S-Alloc Met-TY Adj'!$C$8:$F$10,4,FALSE)*C137</f>
        <v>0</v>
      </c>
      <c r="H137" s="795"/>
    </row>
    <row r="138" spans="1:8">
      <c r="A138" s="794"/>
      <c r="B138" s="453" t="s">
        <v>30</v>
      </c>
      <c r="C138" s="454">
        <f>SUM(C119:C137)</f>
        <v>16479.599999999999</v>
      </c>
      <c r="D138" s="454"/>
      <c r="E138" s="454">
        <f>SUM(E119:E137)</f>
        <v>16479.599999999999</v>
      </c>
      <c r="F138" s="454">
        <f>SUM(F119:F137)</f>
        <v>0</v>
      </c>
      <c r="G138" s="454">
        <f>SUM(G119:G137)</f>
        <v>0</v>
      </c>
      <c r="H138" s="795"/>
    </row>
    <row r="139" spans="1:8">
      <c r="A139" s="53"/>
      <c r="B139" s="220"/>
      <c r="C139" s="42"/>
      <c r="H139" s="795"/>
    </row>
    <row r="140" spans="1:8">
      <c r="A140" s="53"/>
      <c r="B140" s="217" t="s">
        <v>281</v>
      </c>
      <c r="C140" s="259"/>
      <c r="D140" s="148"/>
      <c r="E140" s="148"/>
      <c r="F140" s="148"/>
      <c r="G140" s="148"/>
      <c r="H140" s="795"/>
    </row>
    <row r="141" spans="1:8">
      <c r="A141" s="53" t="str">
        <f>Expenses!A141</f>
        <v>403-3041-3</v>
      </c>
      <c r="B141" s="216" t="str">
        <f>Expenses!C141</f>
        <v>Improvement (Land)</v>
      </c>
      <c r="C141" s="61">
        <f>Expenses!I141</f>
        <v>1764</v>
      </c>
      <c r="D141" s="242" t="s">
        <v>473</v>
      </c>
      <c r="E141" s="452">
        <f>VLOOKUP(D141,'S-Alloc Met-TY Adj'!$C$8:$D$10,2,FALSE)*C141</f>
        <v>1764</v>
      </c>
      <c r="F141" s="452">
        <f>VLOOKUP(D141,'S-Alloc Met-TY Adj'!$C$8:$E$10,3,FALSE)*C141</f>
        <v>0</v>
      </c>
      <c r="G141" s="452">
        <f>VLOOKUP(D141,'S-Alloc Met-TY Adj'!$C$8:$F$10,4,FALSE)*C141</f>
        <v>0</v>
      </c>
      <c r="H141" s="796"/>
    </row>
    <row r="142" spans="1:8">
      <c r="A142" s="53" t="str">
        <f>Expenses!A142</f>
        <v>403-3043-3</v>
      </c>
      <c r="B142" s="216" t="str">
        <f>Expenses!C142</f>
        <v>Structures</v>
      </c>
      <c r="C142" s="61">
        <f>Expenses!I142</f>
        <v>473530.33</v>
      </c>
      <c r="D142" s="242" t="s">
        <v>473</v>
      </c>
      <c r="E142" s="452">
        <f>VLOOKUP(D142,'S-Alloc Met-TY Adj'!$C$8:$D$10,2,FALSE)*C142</f>
        <v>473530.33</v>
      </c>
      <c r="F142" s="452">
        <f>VLOOKUP(D142,'S-Alloc Met-TY Adj'!$C$8:$E$10,3,FALSE)*C142</f>
        <v>0</v>
      </c>
      <c r="G142" s="452">
        <f>VLOOKUP(D142,'S-Alloc Met-TY Adj'!$C$8:$F$10,4,FALSE)*C142</f>
        <v>0</v>
      </c>
      <c r="H142" s="795" t="s">
        <v>285</v>
      </c>
    </row>
    <row r="143" spans="1:8">
      <c r="A143" s="53" t="str">
        <f>Expenses!A143</f>
        <v>403-3044-3</v>
      </c>
      <c r="B143" s="216" t="str">
        <f>Expenses!C143</f>
        <v>Office Building</v>
      </c>
      <c r="C143" s="61">
        <f>Expenses!I143</f>
        <v>86689</v>
      </c>
      <c r="D143" s="242" t="s">
        <v>473</v>
      </c>
      <c r="E143" s="452">
        <f>VLOOKUP(D143,'S-Alloc Met-TY Adj'!$C$8:$D$10,2,FALSE)*C143</f>
        <v>86689</v>
      </c>
      <c r="F143" s="452">
        <f>VLOOKUP(D143,'S-Alloc Met-TY Adj'!$C$8:$E$10,3,FALSE)*C143</f>
        <v>0</v>
      </c>
      <c r="G143" s="452">
        <f>VLOOKUP(D143,'S-Alloc Met-TY Adj'!$C$8:$F$10,4,FALSE)*C143</f>
        <v>0</v>
      </c>
      <c r="H143" s="795"/>
    </row>
    <row r="144" spans="1:8">
      <c r="A144" s="53" t="str">
        <f>Expenses!A144</f>
        <v>403-3112-3</v>
      </c>
      <c r="B144" s="216" t="str">
        <f>Expenses!C144</f>
        <v>Equip (Elec Plumbing)</v>
      </c>
      <c r="C144" s="61">
        <f>Expenses!I144</f>
        <v>86600</v>
      </c>
      <c r="D144" s="242" t="s">
        <v>473</v>
      </c>
      <c r="E144" s="452">
        <f>VLOOKUP(D144,'S-Alloc Met-TY Adj'!$C$8:$D$10,2,FALSE)*C144</f>
        <v>86600</v>
      </c>
      <c r="F144" s="452">
        <f>VLOOKUP(D144,'S-Alloc Met-TY Adj'!$C$8:$E$10,3,FALSE)*C144</f>
        <v>0</v>
      </c>
      <c r="G144" s="452">
        <f>VLOOKUP(D144,'S-Alloc Met-TY Adj'!$C$8:$F$10,4,FALSE)*C144</f>
        <v>0</v>
      </c>
      <c r="H144" s="795"/>
    </row>
    <row r="145" spans="1:8">
      <c r="A145" s="53" t="str">
        <f>Expenses!A145</f>
        <v>403-3304-3</v>
      </c>
      <c r="B145" s="216" t="str">
        <f>Expenses!C145</f>
        <v>Standpipes</v>
      </c>
      <c r="C145" s="61">
        <f>Expenses!I145</f>
        <v>0</v>
      </c>
      <c r="D145" s="242" t="s">
        <v>473</v>
      </c>
      <c r="E145" s="452">
        <f>VLOOKUP(D145,'S-Alloc Met-TY Adj'!$C$8:$D$10,2,FALSE)*C145</f>
        <v>0</v>
      </c>
      <c r="F145" s="452">
        <f>VLOOKUP(D145,'S-Alloc Met-TY Adj'!$C$8:$E$10,3,FALSE)*C145</f>
        <v>0</v>
      </c>
      <c r="G145" s="452">
        <f>VLOOKUP(D145,'S-Alloc Met-TY Adj'!$C$8:$F$10,4,FALSE)*C145</f>
        <v>0</v>
      </c>
      <c r="H145" s="795"/>
    </row>
    <row r="146" spans="1:8">
      <c r="A146" s="53" t="str">
        <f>Expenses!A146</f>
        <v>403-3314-3</v>
      </c>
      <c r="B146" s="216" t="str">
        <f>Expenses!C146</f>
        <v>Mains (T&amp;D)</v>
      </c>
      <c r="C146" s="61">
        <f>Expenses!I146</f>
        <v>986945.77</v>
      </c>
      <c r="D146" s="242" t="s">
        <v>473</v>
      </c>
      <c r="E146" s="452">
        <f>VLOOKUP(D146,'S-Alloc Met-TY Adj'!$C$8:$D$10,2,FALSE)*C146</f>
        <v>986945.77</v>
      </c>
      <c r="F146" s="452">
        <f>VLOOKUP(D146,'S-Alloc Met-TY Adj'!$C$8:$E$10,3,FALSE)*C146</f>
        <v>0</v>
      </c>
      <c r="G146" s="452">
        <f>VLOOKUP(D146,'S-Alloc Met-TY Adj'!$C$8:$F$10,4,FALSE)*C146</f>
        <v>0</v>
      </c>
      <c r="H146" s="795" t="s">
        <v>293</v>
      </c>
    </row>
    <row r="147" spans="1:8">
      <c r="A147" s="53" t="str">
        <f>Expenses!A147</f>
        <v>403-3324-3</v>
      </c>
      <c r="B147" s="216" t="str">
        <f>Expenses!C147</f>
        <v>SCADA</v>
      </c>
      <c r="C147" s="61">
        <f>Expenses!I147</f>
        <v>135055.47</v>
      </c>
      <c r="D147" s="242" t="s">
        <v>473</v>
      </c>
      <c r="E147" s="452">
        <f>VLOOKUP(D147,'S-Alloc Met-TY Adj'!$C$8:$D$10,2,FALSE)*C147</f>
        <v>135055.47</v>
      </c>
      <c r="F147" s="452">
        <f>VLOOKUP(D147,'S-Alloc Met-TY Adj'!$C$8:$E$10,3,FALSE)*C147</f>
        <v>0</v>
      </c>
      <c r="G147" s="452">
        <f>VLOOKUP(D147,'S-Alloc Met-TY Adj'!$C$8:$F$10,4,FALSE)*C147</f>
        <v>0</v>
      </c>
      <c r="H147" s="795" t="s">
        <v>296</v>
      </c>
    </row>
    <row r="148" spans="1:8">
      <c r="A148" s="53" t="str">
        <f>Expenses!A148</f>
        <v>403-3334-3</v>
      </c>
      <c r="B148" s="216" t="str">
        <f>Expenses!C148</f>
        <v>Meters  (Services)</v>
      </c>
      <c r="C148" s="61">
        <f>Expenses!I148</f>
        <v>278938.39</v>
      </c>
      <c r="D148" s="242" t="s">
        <v>473</v>
      </c>
      <c r="E148" s="452">
        <f>VLOOKUP(D148,'S-Alloc Met-TY Adj'!$C$8:$D$10,2,FALSE)*C148</f>
        <v>278938.39</v>
      </c>
      <c r="F148" s="452">
        <f>VLOOKUP(D148,'S-Alloc Met-TY Adj'!$C$8:$E$10,3,FALSE)*C148</f>
        <v>0</v>
      </c>
      <c r="G148" s="452">
        <f>VLOOKUP(D148,'S-Alloc Met-TY Adj'!$C$8:$F$10,4,FALSE)*C148</f>
        <v>0</v>
      </c>
      <c r="H148" s="795" t="s">
        <v>285</v>
      </c>
    </row>
    <row r="149" spans="1:8">
      <c r="A149" s="53" t="str">
        <f>Expenses!A149</f>
        <v>403-3344-3</v>
      </c>
      <c r="B149" s="216" t="str">
        <f>Expenses!C149</f>
        <v>Meters</v>
      </c>
      <c r="C149" s="61">
        <f>Expenses!I149</f>
        <v>67295</v>
      </c>
      <c r="D149" s="242" t="s">
        <v>473</v>
      </c>
      <c r="E149" s="452">
        <f>VLOOKUP(D149,'S-Alloc Met-TY Adj'!$C$8:$D$10,2,FALSE)*C149</f>
        <v>67295</v>
      </c>
      <c r="F149" s="452">
        <f>VLOOKUP(D149,'S-Alloc Met-TY Adj'!$C$8:$E$10,3,FALSE)*C149</f>
        <v>0</v>
      </c>
      <c r="G149" s="452">
        <f>VLOOKUP(D149,'S-Alloc Met-TY Adj'!$C$8:$F$10,4,FALSE)*C149</f>
        <v>0</v>
      </c>
      <c r="H149" s="795"/>
    </row>
    <row r="150" spans="1:8">
      <c r="A150" s="53" t="str">
        <f>Expenses!A150</f>
        <v>403-3345-3</v>
      </c>
      <c r="B150" s="216" t="str">
        <f>Expenses!C150</f>
        <v>Meters (Installations)</v>
      </c>
      <c r="C150" s="61">
        <f>Expenses!I150</f>
        <v>1661</v>
      </c>
      <c r="D150" s="242" t="s">
        <v>473</v>
      </c>
      <c r="E150" s="452">
        <f>VLOOKUP(D150,'S-Alloc Met-TY Adj'!$C$8:$D$10,2,FALSE)*C150</f>
        <v>1661</v>
      </c>
      <c r="F150" s="452">
        <f>VLOOKUP(D150,'S-Alloc Met-TY Adj'!$C$8:$E$10,3,FALSE)*C150</f>
        <v>0</v>
      </c>
      <c r="G150" s="452">
        <f>VLOOKUP(D150,'S-Alloc Met-TY Adj'!$C$8:$F$10,4,FALSE)*C150</f>
        <v>0</v>
      </c>
      <c r="H150" s="795" t="s">
        <v>303</v>
      </c>
    </row>
    <row r="151" spans="1:8">
      <c r="A151" s="53" t="str">
        <f>Expenses!A151</f>
        <v>403-3354-3</v>
      </c>
      <c r="B151" s="216" t="str">
        <f>Expenses!C151</f>
        <v>Hydrants</v>
      </c>
      <c r="C151" s="61">
        <f>Expenses!I151</f>
        <v>0</v>
      </c>
      <c r="D151" s="242" t="s">
        <v>473</v>
      </c>
      <c r="E151" s="452">
        <f>VLOOKUP(D151,'S-Alloc Met-TY Adj'!$C$8:$D$10,2,FALSE)*C151</f>
        <v>0</v>
      </c>
      <c r="F151" s="452">
        <f>VLOOKUP(D151,'S-Alloc Met-TY Adj'!$C$8:$E$10,3,FALSE)*C151</f>
        <v>0</v>
      </c>
      <c r="G151" s="452">
        <f>VLOOKUP(D151,'S-Alloc Met-TY Adj'!$C$8:$F$10,4,FALSE)*C151</f>
        <v>0</v>
      </c>
      <c r="H151" s="795" t="s">
        <v>293</v>
      </c>
    </row>
    <row r="152" spans="1:8">
      <c r="A152" s="53" t="str">
        <f>Expenses!A152</f>
        <v>403-3392-3</v>
      </c>
      <c r="B152" s="216" t="str">
        <f>Expenses!C152</f>
        <v>Equipment (Plumbing)</v>
      </c>
      <c r="C152" s="61">
        <f>Expenses!I152</f>
        <v>0</v>
      </c>
      <c r="D152" s="242" t="s">
        <v>473</v>
      </c>
      <c r="E152" s="452">
        <f>VLOOKUP(D152,'S-Alloc Met-TY Adj'!$C$8:$D$10,2,FALSE)*C152</f>
        <v>0</v>
      </c>
      <c r="F152" s="452">
        <f>VLOOKUP(D152,'S-Alloc Met-TY Adj'!$C$8:$E$10,3,FALSE)*C152</f>
        <v>0</v>
      </c>
      <c r="G152" s="452">
        <f>VLOOKUP(D152,'S-Alloc Met-TY Adj'!$C$8:$F$10,4,FALSE)*C152</f>
        <v>0</v>
      </c>
      <c r="H152" s="795"/>
    </row>
    <row r="153" spans="1:8">
      <c r="A153" s="53" t="str">
        <f>Expenses!A153</f>
        <v>403-3400-3</v>
      </c>
      <c r="B153" s="216" t="str">
        <f>Expenses!C153</f>
        <v>Software</v>
      </c>
      <c r="C153" s="61">
        <f>Expenses!I153</f>
        <v>37002.339999999997</v>
      </c>
      <c r="D153" s="242" t="s">
        <v>473</v>
      </c>
      <c r="E153" s="452">
        <f>VLOOKUP(D153,'S-Alloc Met-TY Adj'!$C$8:$D$10,2,FALSE)*C153</f>
        <v>37002.339999999997</v>
      </c>
      <c r="F153" s="452">
        <f>VLOOKUP(D153,'S-Alloc Met-TY Adj'!$C$8:$E$10,3,FALSE)*C153</f>
        <v>0</v>
      </c>
      <c r="G153" s="452">
        <f>VLOOKUP(D153,'S-Alloc Met-TY Adj'!$C$8:$F$10,4,FALSE)*C153</f>
        <v>0</v>
      </c>
      <c r="H153" s="795" t="s">
        <v>310</v>
      </c>
    </row>
    <row r="154" spans="1:8">
      <c r="A154" s="53" t="str">
        <f>Expenses!A154</f>
        <v>403-3401-3</v>
      </c>
      <c r="B154" s="216" t="str">
        <f>Expenses!C154</f>
        <v>Hardware</v>
      </c>
      <c r="C154" s="61">
        <f>Expenses!I154</f>
        <v>3278</v>
      </c>
      <c r="D154" s="242" t="s">
        <v>473</v>
      </c>
      <c r="E154" s="452">
        <f>VLOOKUP(D154,'S-Alloc Met-TY Adj'!$C$8:$D$10,2,FALSE)*C154</f>
        <v>3278</v>
      </c>
      <c r="F154" s="452">
        <f>VLOOKUP(D154,'S-Alloc Met-TY Adj'!$C$8:$E$10,3,FALSE)*C154</f>
        <v>0</v>
      </c>
      <c r="G154" s="452">
        <f>VLOOKUP(D154,'S-Alloc Met-TY Adj'!$C$8:$F$10,4,FALSE)*C154</f>
        <v>0</v>
      </c>
      <c r="H154" s="795"/>
    </row>
    <row r="155" spans="1:8">
      <c r="A155" s="53" t="str">
        <f>Expenses!A155</f>
        <v>403-3402-3</v>
      </c>
      <c r="B155" s="216" t="str">
        <f>Expenses!C155</f>
        <v>Datamatic</v>
      </c>
      <c r="C155" s="61">
        <f>Expenses!I155</f>
        <v>0</v>
      </c>
      <c r="D155" s="242" t="s">
        <v>473</v>
      </c>
      <c r="E155" s="452">
        <f>VLOOKUP(D155,'S-Alloc Met-TY Adj'!$C$8:$D$10,2,FALSE)*C155</f>
        <v>0</v>
      </c>
      <c r="F155" s="452">
        <f>VLOOKUP(D155,'S-Alloc Met-TY Adj'!$C$8:$E$10,3,FALSE)*C155</f>
        <v>0</v>
      </c>
      <c r="G155" s="452">
        <f>VLOOKUP(D155,'S-Alloc Met-TY Adj'!$C$8:$F$10,4,FALSE)*C155</f>
        <v>0</v>
      </c>
      <c r="H155" s="795"/>
    </row>
    <row r="156" spans="1:8">
      <c r="A156" s="53" t="str">
        <f>Expenses!A156</f>
        <v>403-3405-3</v>
      </c>
      <c r="B156" s="216" t="str">
        <f>Expenses!C156</f>
        <v xml:space="preserve">Furniture &amp; Equipment </v>
      </c>
      <c r="C156" s="61">
        <f>Expenses!I156</f>
        <v>1092</v>
      </c>
      <c r="D156" s="242" t="s">
        <v>473</v>
      </c>
      <c r="E156" s="452">
        <f>VLOOKUP(D156,'S-Alloc Met-TY Adj'!$C$8:$D$10,2,FALSE)*C156</f>
        <v>1092</v>
      </c>
      <c r="F156" s="452">
        <f>VLOOKUP(D156,'S-Alloc Met-TY Adj'!$C$8:$E$10,3,FALSE)*C156</f>
        <v>0</v>
      </c>
      <c r="G156" s="452">
        <f>VLOOKUP(D156,'S-Alloc Met-TY Adj'!$C$8:$F$10,4,FALSE)*C156</f>
        <v>0</v>
      </c>
      <c r="H156" s="795"/>
    </row>
    <row r="157" spans="1:8">
      <c r="A157" s="53" t="str">
        <f>Expenses!A157</f>
        <v>403-3415-3</v>
      </c>
      <c r="B157" s="216" t="str">
        <f>Expenses!C157</f>
        <v>Trucks &amp; Equipment</v>
      </c>
      <c r="C157" s="61">
        <f>Expenses!I157</f>
        <v>0</v>
      </c>
      <c r="D157" s="242" t="s">
        <v>473</v>
      </c>
      <c r="E157" s="452">
        <f>VLOOKUP(D157,'S-Alloc Met-TY Adj'!$C$8:$D$10,2,FALSE)*C157</f>
        <v>0</v>
      </c>
      <c r="F157" s="452">
        <f>VLOOKUP(D157,'S-Alloc Met-TY Adj'!$C$8:$E$10,3,FALSE)*C157</f>
        <v>0</v>
      </c>
      <c r="G157" s="452">
        <f>VLOOKUP(D157,'S-Alloc Met-TY Adj'!$C$8:$F$10,4,FALSE)*C157</f>
        <v>0</v>
      </c>
      <c r="H157" s="795"/>
    </row>
    <row r="158" spans="1:8">
      <c r="A158" s="53" t="str">
        <f>Expenses!A158</f>
        <v>403-3435-3</v>
      </c>
      <c r="B158" s="216" t="str">
        <f>Expenses!C158</f>
        <v>Equipment (Tools)</v>
      </c>
      <c r="C158" s="61">
        <f>Expenses!I158</f>
        <v>950</v>
      </c>
      <c r="D158" s="242" t="s">
        <v>473</v>
      </c>
      <c r="E158" s="452">
        <f>VLOOKUP(D158,'S-Alloc Met-TY Adj'!$C$8:$D$10,2,FALSE)*C158</f>
        <v>950</v>
      </c>
      <c r="F158" s="452">
        <f>VLOOKUP(D158,'S-Alloc Met-TY Adj'!$C$8:$E$10,3,FALSE)*C158</f>
        <v>0</v>
      </c>
      <c r="G158" s="452">
        <f>VLOOKUP(D158,'S-Alloc Met-TY Adj'!$C$8:$F$10,4,FALSE)*C158</f>
        <v>0</v>
      </c>
      <c r="H158" s="795"/>
    </row>
    <row r="159" spans="1:8">
      <c r="A159" s="53" t="str">
        <f>Expenses!A159</f>
        <v>403-3465-3</v>
      </c>
      <c r="B159" s="216" t="str">
        <f>Expenses!C159</f>
        <v>Equip (Communication)</v>
      </c>
      <c r="C159" s="61">
        <f>Expenses!I159</f>
        <v>2814</v>
      </c>
      <c r="D159" s="242" t="s">
        <v>473</v>
      </c>
      <c r="E159" s="452">
        <f>VLOOKUP(D159,'S-Alloc Met-TY Adj'!$C$8:$D$10,2,FALSE)*C159</f>
        <v>2814</v>
      </c>
      <c r="F159" s="452">
        <f>VLOOKUP(D159,'S-Alloc Met-TY Adj'!$C$8:$E$10,3,FALSE)*C159</f>
        <v>0</v>
      </c>
      <c r="G159" s="452">
        <f>VLOOKUP(D159,'S-Alloc Met-TY Adj'!$C$8:$F$10,4,FALSE)*C159</f>
        <v>0</v>
      </c>
      <c r="H159" s="795"/>
    </row>
    <row r="160" spans="1:8">
      <c r="A160" s="53" t="str">
        <f>Expenses!A160</f>
        <v>403-9000-3</v>
      </c>
      <c r="B160" s="216" t="str">
        <f>Expenses!C160</f>
        <v>Depreciation Expense (Old)</v>
      </c>
      <c r="C160" s="61">
        <f>Expenses!I160</f>
        <v>0</v>
      </c>
      <c r="D160" s="242" t="s">
        <v>473</v>
      </c>
      <c r="E160" s="452">
        <f>VLOOKUP(D160,'S-Alloc Met-TY Adj'!$C$8:$D$10,2,FALSE)*C160</f>
        <v>0</v>
      </c>
      <c r="F160" s="452">
        <f>VLOOKUP(D160,'S-Alloc Met-TY Adj'!$C$8:$E$10,3,FALSE)*C160</f>
        <v>0</v>
      </c>
      <c r="G160" s="452">
        <f>VLOOKUP(D160,'S-Alloc Met-TY Adj'!$C$8:$F$10,4,FALSE)*C160</f>
        <v>0</v>
      </c>
      <c r="H160" s="795"/>
    </row>
    <row r="161" spans="1:8">
      <c r="A161" s="53" t="str">
        <f>Expenses!A161</f>
        <v>-</v>
      </c>
      <c r="B161" s="216" t="str">
        <f>Expenses!C161</f>
        <v>Structures</v>
      </c>
      <c r="C161" s="61">
        <f>Expenses!I161</f>
        <v>0</v>
      </c>
      <c r="D161" s="242" t="s">
        <v>473</v>
      </c>
      <c r="E161" s="452">
        <f>VLOOKUP(D161,'S-Alloc Met-TY Adj'!$C$8:$D$10,2,FALSE)*C161</f>
        <v>0</v>
      </c>
      <c r="F161" s="452">
        <f>VLOOKUP(D161,'S-Alloc Met-TY Adj'!$C$8:$E$10,3,FALSE)*C161</f>
        <v>0</v>
      </c>
      <c r="G161" s="452">
        <f>VLOOKUP(D161,'S-Alloc Met-TY Adj'!$C$8:$F$10,4,FALSE)*C161</f>
        <v>0</v>
      </c>
      <c r="H161" s="795" t="s">
        <v>325</v>
      </c>
    </row>
    <row r="162" spans="1:8">
      <c r="A162" s="53"/>
      <c r="B162" s="216" t="str">
        <f>Expenses!C162</f>
        <v>505 Hwy 31 W (Block Bldg)</v>
      </c>
      <c r="C162" s="61">
        <f>Expenses!I162</f>
        <v>0</v>
      </c>
      <c r="D162" s="242" t="s">
        <v>473</v>
      </c>
      <c r="E162" s="452">
        <f>VLOOKUP(D162,'S-Alloc Met-TY Adj'!$C$8:$D$10,2,FALSE)*C162</f>
        <v>0</v>
      </c>
      <c r="F162" s="452">
        <f>VLOOKUP(D162,'S-Alloc Met-TY Adj'!$C$8:$E$10,3,FALSE)*C162</f>
        <v>0</v>
      </c>
      <c r="G162" s="452">
        <f>VLOOKUP(D162,'S-Alloc Met-TY Adj'!$C$8:$F$10,4,FALSE)*C162</f>
        <v>0</v>
      </c>
      <c r="H162" s="795"/>
    </row>
    <row r="163" spans="1:8">
      <c r="A163" s="53"/>
      <c r="B163" s="216" t="str">
        <f>Expenses!C163</f>
        <v>505 Hwy 31 W (Rental Bldg)</v>
      </c>
      <c r="C163" s="61">
        <f>Expenses!I163</f>
        <v>0</v>
      </c>
      <c r="D163" s="242" t="s">
        <v>473</v>
      </c>
      <c r="E163" s="452">
        <f>VLOOKUP(D163,'S-Alloc Met-TY Adj'!$C$8:$D$10,2,FALSE)*C163</f>
        <v>0</v>
      </c>
      <c r="F163" s="452">
        <f>VLOOKUP(D163,'S-Alloc Met-TY Adj'!$C$8:$E$10,3,FALSE)*C163</f>
        <v>0</v>
      </c>
      <c r="G163" s="452">
        <f>VLOOKUP(D163,'S-Alloc Met-TY Adj'!$C$8:$F$10,4,FALSE)*C163</f>
        <v>0</v>
      </c>
      <c r="H163" s="795"/>
    </row>
    <row r="164" spans="1:8">
      <c r="A164" s="53"/>
      <c r="B164" s="216" t="str">
        <f>Expenses!C164</f>
        <v xml:space="preserve">Equipment </v>
      </c>
      <c r="C164" s="61">
        <f>Expenses!I164</f>
        <v>0</v>
      </c>
      <c r="D164" s="242" t="s">
        <v>473</v>
      </c>
      <c r="E164" s="452">
        <f>VLOOKUP(D164,'S-Alloc Met-TY Adj'!$C$8:$D$10,2,FALSE)*C164</f>
        <v>0</v>
      </c>
      <c r="F164" s="452">
        <f>VLOOKUP(D164,'S-Alloc Met-TY Adj'!$C$8:$E$10,3,FALSE)*C164</f>
        <v>0</v>
      </c>
      <c r="G164" s="452">
        <f>VLOOKUP(D164,'S-Alloc Met-TY Adj'!$C$8:$F$10,4,FALSE)*C164</f>
        <v>0</v>
      </c>
      <c r="H164" s="795"/>
    </row>
    <row r="165" spans="1:8">
      <c r="A165" s="53"/>
      <c r="B165" s="216" t="str">
        <f>Expenses!C165</f>
        <v>Unidentified Assets</v>
      </c>
      <c r="C165" s="61">
        <f>Expenses!I165</f>
        <v>0</v>
      </c>
      <c r="D165" s="242" t="s">
        <v>473</v>
      </c>
      <c r="E165" s="452">
        <f>VLOOKUP(D165,'S-Alloc Met-TY Adj'!$C$8:$D$10,2,FALSE)*C165</f>
        <v>0</v>
      </c>
      <c r="F165" s="452">
        <f>VLOOKUP(D165,'S-Alloc Met-TY Adj'!$C$8:$E$10,3,FALSE)*C165</f>
        <v>0</v>
      </c>
      <c r="G165" s="452">
        <f>VLOOKUP(D165,'S-Alloc Met-TY Adj'!$C$8:$F$10,4,FALSE)*C165</f>
        <v>0</v>
      </c>
      <c r="H165" s="795"/>
    </row>
    <row r="166" spans="1:8">
      <c r="A166" s="53"/>
      <c r="B166" s="216" t="str">
        <f>Expenses!C166</f>
        <v>Equipment (T&amp;D)</v>
      </c>
      <c r="C166" s="61">
        <f>Expenses!I166</f>
        <v>0</v>
      </c>
      <c r="D166" s="242" t="s">
        <v>473</v>
      </c>
      <c r="E166" s="452">
        <f>VLOOKUP(D166,'S-Alloc Met-TY Adj'!$C$8:$D$10,2,FALSE)*C166</f>
        <v>0</v>
      </c>
      <c r="F166" s="452">
        <f>VLOOKUP(D166,'S-Alloc Met-TY Adj'!$C$8:$E$10,3,FALSE)*C166</f>
        <v>0</v>
      </c>
      <c r="G166" s="452">
        <f>VLOOKUP(D166,'S-Alloc Met-TY Adj'!$C$8:$F$10,4,FALSE)*C166</f>
        <v>0</v>
      </c>
      <c r="H166" s="795"/>
    </row>
    <row r="167" spans="1:8">
      <c r="A167" s="53"/>
      <c r="B167" s="216" t="str">
        <f>Expenses!C167</f>
        <v>-</v>
      </c>
      <c r="C167" s="61">
        <f>Expenses!I167</f>
        <v>0</v>
      </c>
      <c r="D167" s="242" t="s">
        <v>473</v>
      </c>
      <c r="E167" s="452">
        <f>VLOOKUP(D167,'S-Alloc Met-TY Adj'!$C$8:$D$10,2,FALSE)*C167</f>
        <v>0</v>
      </c>
      <c r="F167" s="452">
        <f>VLOOKUP(D167,'S-Alloc Met-TY Adj'!$C$8:$E$10,3,FALSE)*C167</f>
        <v>0</v>
      </c>
      <c r="G167" s="452">
        <f>VLOOKUP(D167,'S-Alloc Met-TY Adj'!$C$8:$F$10,4,FALSE)*C167</f>
        <v>0</v>
      </c>
      <c r="H167" s="795"/>
    </row>
    <row r="168" spans="1:8">
      <c r="A168" s="53"/>
      <c r="B168" s="216" t="str">
        <f>Expenses!C168</f>
        <v>-</v>
      </c>
      <c r="C168" s="61">
        <f>Expenses!I168</f>
        <v>0</v>
      </c>
      <c r="D168" s="242" t="s">
        <v>473</v>
      </c>
      <c r="E168" s="452">
        <f>VLOOKUP(D168,'S-Alloc Met-TY Adj'!$C$8:$D$10,2,FALSE)*C168</f>
        <v>0</v>
      </c>
      <c r="F168" s="452">
        <f>VLOOKUP(D168,'S-Alloc Met-TY Adj'!$C$8:$E$10,3,FALSE)*C168</f>
        <v>0</v>
      </c>
      <c r="G168" s="452">
        <f>VLOOKUP(D168,'S-Alloc Met-TY Adj'!$C$8:$F$10,4,FALSE)*C168</f>
        <v>0</v>
      </c>
      <c r="H168" s="795"/>
    </row>
    <row r="169" spans="1:8">
      <c r="A169" s="53"/>
      <c r="B169" s="216" t="str">
        <f>Expenses!C169</f>
        <v>-</v>
      </c>
      <c r="C169" s="61">
        <f>Expenses!I169</f>
        <v>0</v>
      </c>
      <c r="D169" s="242" t="s">
        <v>473</v>
      </c>
      <c r="E169" s="452">
        <f>VLOOKUP(D169,'S-Alloc Met-TY Adj'!$C$8:$D$10,2,FALSE)*C169</f>
        <v>0</v>
      </c>
      <c r="F169" s="452">
        <f>VLOOKUP(D169,'S-Alloc Met-TY Adj'!$C$8:$E$10,3,FALSE)*C169</f>
        <v>0</v>
      </c>
      <c r="G169" s="452">
        <f>VLOOKUP(D169,'S-Alloc Met-TY Adj'!$C$8:$F$10,4,FALSE)*C169</f>
        <v>0</v>
      </c>
      <c r="H169" s="795"/>
    </row>
    <row r="170" spans="1:8">
      <c r="A170" s="53"/>
      <c r="B170" s="216" t="str">
        <f>Expenses!C170</f>
        <v>-</v>
      </c>
      <c r="C170" s="61">
        <f>Expenses!I170</f>
        <v>0</v>
      </c>
      <c r="D170" s="242" t="s">
        <v>473</v>
      </c>
      <c r="E170" s="452">
        <f>VLOOKUP(D170,'S-Alloc Met-TY Adj'!$C$8:$D$10,2,FALSE)*C170</f>
        <v>0</v>
      </c>
      <c r="F170" s="452">
        <f>VLOOKUP(D170,'S-Alloc Met-TY Adj'!$C$8:$E$10,3,FALSE)*C170</f>
        <v>0</v>
      </c>
      <c r="G170" s="452">
        <f>VLOOKUP(D170,'S-Alloc Met-TY Adj'!$C$8:$F$10,4,FALSE)*C170</f>
        <v>0</v>
      </c>
      <c r="H170" s="795"/>
    </row>
    <row r="171" spans="1:8">
      <c r="A171" s="53"/>
      <c r="B171" s="216" t="str">
        <f>Expenses!C171</f>
        <v>-</v>
      </c>
      <c r="C171" s="61">
        <f>Expenses!I171</f>
        <v>0</v>
      </c>
      <c r="D171" s="242" t="s">
        <v>473</v>
      </c>
      <c r="E171" s="452">
        <f>VLOOKUP(D171,'S-Alloc Met-TY Adj'!$C$8:$D$10,2,FALSE)*C171</f>
        <v>0</v>
      </c>
      <c r="F171" s="452">
        <f>VLOOKUP(D171,'S-Alloc Met-TY Adj'!$C$8:$E$10,3,FALSE)*C171</f>
        <v>0</v>
      </c>
      <c r="G171" s="452">
        <f>VLOOKUP(D171,'S-Alloc Met-TY Adj'!$C$8:$F$10,4,FALSE)*C171</f>
        <v>0</v>
      </c>
      <c r="H171" s="795"/>
    </row>
    <row r="172" spans="1:8">
      <c r="A172" s="53"/>
      <c r="B172" s="216" t="str">
        <f>Expenses!C172</f>
        <v>-</v>
      </c>
      <c r="C172" s="61">
        <f>Expenses!I172</f>
        <v>0</v>
      </c>
      <c r="D172" s="241" t="s">
        <v>473</v>
      </c>
      <c r="E172" s="452">
        <f>VLOOKUP(D172,'S-Alloc Met-TY Adj'!$C$8:$D$10,2,FALSE)*C172</f>
        <v>0</v>
      </c>
      <c r="F172" s="452">
        <f>VLOOKUP(D172,'S-Alloc Met-TY Adj'!$C$8:$E$10,3,FALSE)*C172</f>
        <v>0</v>
      </c>
      <c r="G172" s="452">
        <f>VLOOKUP(D172,'S-Alloc Met-TY Adj'!$C$8:$F$10,4,FALSE)*C172</f>
        <v>0</v>
      </c>
      <c r="H172" s="795"/>
    </row>
    <row r="173" spans="1:8">
      <c r="A173" s="794"/>
      <c r="B173" s="453" t="s">
        <v>30</v>
      </c>
      <c r="C173" s="454">
        <f>SUM(C141:C172)</f>
        <v>2163615.2999999998</v>
      </c>
      <c r="D173" s="454"/>
      <c r="E173" s="454">
        <f>SUM(E141:E172)</f>
        <v>2163615.2999999998</v>
      </c>
      <c r="F173" s="454">
        <f>SUM(F141:F172)</f>
        <v>0</v>
      </c>
      <c r="G173" s="454">
        <f>SUM(G141:G172)</f>
        <v>0</v>
      </c>
      <c r="H173" s="795"/>
    </row>
    <row r="174" spans="1:8">
      <c r="A174" s="53"/>
      <c r="B174" s="220"/>
      <c r="C174" s="42"/>
      <c r="H174" s="795"/>
    </row>
    <row r="175" spans="1:8">
      <c r="A175" s="53"/>
      <c r="B175" s="217" t="s">
        <v>35</v>
      </c>
      <c r="C175" s="259"/>
      <c r="D175" s="148"/>
      <c r="E175" s="148"/>
      <c r="F175" s="148"/>
      <c r="G175" s="148"/>
      <c r="H175" s="795"/>
    </row>
    <row r="176" spans="1:8">
      <c r="A176" s="53" t="str">
        <f>Expenses!A176</f>
        <v>427-3000-3</v>
      </c>
      <c r="B176" s="216" t="str">
        <f>Expenses!C176</f>
        <v>Series 1970, USDA</v>
      </c>
      <c r="C176" s="61">
        <f>Expenses!I176</f>
        <v>0</v>
      </c>
      <c r="D176" s="242" t="s">
        <v>473</v>
      </c>
      <c r="E176" s="452">
        <f>VLOOKUP(D176,'S-Alloc Met-TY Adj'!$C$8:$D$10,2,FALSE)*C176</f>
        <v>0</v>
      </c>
      <c r="F176" s="452">
        <f>VLOOKUP(D176,'S-Alloc Met-TY Adj'!$C$8:$E$10,3,FALSE)*C176</f>
        <v>0</v>
      </c>
      <c r="G176" s="452">
        <f>VLOOKUP(D176,'S-Alloc Met-TY Adj'!$C$8:$F$10,4,FALSE)*C176</f>
        <v>0</v>
      </c>
      <c r="H176" s="795" t="s">
        <v>575</v>
      </c>
    </row>
    <row r="177" spans="1:8">
      <c r="A177" s="53" t="str">
        <f>Expenses!A177</f>
        <v>427-3001-3</v>
      </c>
      <c r="B177" s="216" t="str">
        <f>Expenses!C177</f>
        <v>Series 1993, USDA</v>
      </c>
      <c r="C177" s="61">
        <f>Expenses!I177</f>
        <v>0</v>
      </c>
      <c r="D177" s="242" t="s">
        <v>473</v>
      </c>
      <c r="E177" s="452">
        <f>VLOOKUP(D177,'S-Alloc Met-TY Adj'!$C$8:$D$10,2,FALSE)*C177</f>
        <v>0</v>
      </c>
      <c r="F177" s="452">
        <f>VLOOKUP(D177,'S-Alloc Met-TY Adj'!$C$8:$E$10,3,FALSE)*C177</f>
        <v>0</v>
      </c>
      <c r="G177" s="452">
        <f>VLOOKUP(D177,'S-Alloc Met-TY Adj'!$C$8:$F$10,4,FALSE)*C177</f>
        <v>0</v>
      </c>
      <c r="H177" s="795" t="s">
        <v>575</v>
      </c>
    </row>
    <row r="178" spans="1:8">
      <c r="A178" s="53" t="str">
        <f>Expenses!A178</f>
        <v>427-3002-3</v>
      </c>
      <c r="B178" s="216" t="str">
        <f>Expenses!C178</f>
        <v>Series 1995, USDA</v>
      </c>
      <c r="C178" s="61">
        <f>Expenses!I178</f>
        <v>0</v>
      </c>
      <c r="D178" s="242" t="s">
        <v>473</v>
      </c>
      <c r="E178" s="452">
        <f>VLOOKUP(D178,'S-Alloc Met-TY Adj'!$C$8:$D$10,2,FALSE)*C178</f>
        <v>0</v>
      </c>
      <c r="F178" s="452">
        <f>VLOOKUP(D178,'S-Alloc Met-TY Adj'!$C$8:$E$10,3,FALSE)*C178</f>
        <v>0</v>
      </c>
      <c r="G178" s="452">
        <f>VLOOKUP(D178,'S-Alloc Met-TY Adj'!$C$8:$F$10,4,FALSE)*C178</f>
        <v>0</v>
      </c>
      <c r="H178" s="795" t="s">
        <v>575</v>
      </c>
    </row>
    <row r="179" spans="1:8">
      <c r="A179" s="53" t="str">
        <f>Expenses!A179</f>
        <v>427-3003-3</v>
      </c>
      <c r="B179" s="216" t="str">
        <f>Expenses!C179</f>
        <v>KIA Russellville Rd</v>
      </c>
      <c r="C179" s="61">
        <f>Expenses!I179</f>
        <v>0</v>
      </c>
      <c r="D179" s="242" t="s">
        <v>473</v>
      </c>
      <c r="E179" s="452">
        <f>VLOOKUP(D179,'S-Alloc Met-TY Adj'!$C$8:$D$10,2,FALSE)*C179</f>
        <v>0</v>
      </c>
      <c r="F179" s="452">
        <f>VLOOKUP(D179,'S-Alloc Met-TY Adj'!$C$8:$E$10,3,FALSE)*C179</f>
        <v>0</v>
      </c>
      <c r="G179" s="452">
        <f>VLOOKUP(D179,'S-Alloc Met-TY Adj'!$C$8:$F$10,4,FALSE)*C179</f>
        <v>0</v>
      </c>
      <c r="H179" s="795" t="s">
        <v>575</v>
      </c>
    </row>
    <row r="180" spans="1:8">
      <c r="A180" s="53" t="str">
        <f>Expenses!A180</f>
        <v>427-3004-3</v>
      </c>
      <c r="B180" s="216" t="str">
        <f>Expenses!C180</f>
        <v>KIA Barren River Rd (A98-02)</v>
      </c>
      <c r="C180" s="61">
        <f>Expenses!I180</f>
        <v>0</v>
      </c>
      <c r="D180" s="242" t="s">
        <v>473</v>
      </c>
      <c r="E180" s="452">
        <f>VLOOKUP(D180,'S-Alloc Met-TY Adj'!$C$8:$D$10,2,FALSE)*C180</f>
        <v>0</v>
      </c>
      <c r="F180" s="452">
        <f>VLOOKUP(D180,'S-Alloc Met-TY Adj'!$C$8:$E$10,3,FALSE)*C180</f>
        <v>0</v>
      </c>
      <c r="G180" s="452">
        <f>VLOOKUP(D180,'S-Alloc Met-TY Adj'!$C$8:$F$10,4,FALSE)*C180</f>
        <v>0</v>
      </c>
      <c r="H180" s="795" t="s">
        <v>575</v>
      </c>
    </row>
    <row r="181" spans="1:8">
      <c r="A181" s="53" t="str">
        <f>Expenses!A181</f>
        <v>427-3005-3</v>
      </c>
      <c r="B181" s="216" t="str">
        <f>Expenses!C181</f>
        <v>2019 USDA</v>
      </c>
      <c r="C181" s="61">
        <f>Expenses!I181</f>
        <v>17782.8</v>
      </c>
      <c r="D181" s="242" t="s">
        <v>473</v>
      </c>
      <c r="E181" s="452">
        <f>VLOOKUP(D181,'S-Alloc Met-TY Adj'!$C$8:$D$10,2,FALSE)*C181</f>
        <v>17782.8</v>
      </c>
      <c r="F181" s="452">
        <f>VLOOKUP(D181,'S-Alloc Met-TY Adj'!$C$8:$E$10,3,FALSE)*C181</f>
        <v>0</v>
      </c>
      <c r="G181" s="452">
        <f>VLOOKUP(D181,'S-Alloc Met-TY Adj'!$C$8:$F$10,4,FALSE)*C181</f>
        <v>0</v>
      </c>
      <c r="H181" s="795" t="s">
        <v>575</v>
      </c>
    </row>
    <row r="182" spans="1:8">
      <c r="A182" s="53" t="str">
        <f>Expenses!A182</f>
        <v>427-3007-3</v>
      </c>
      <c r="B182" s="216" t="str">
        <f>Expenses!C182</f>
        <v>Series 2003C, KRWFC</v>
      </c>
      <c r="C182" s="61">
        <f>Expenses!I182</f>
        <v>0</v>
      </c>
      <c r="D182" s="242" t="s">
        <v>473</v>
      </c>
      <c r="E182" s="452">
        <f>VLOOKUP(D182,'S-Alloc Met-TY Adj'!$C$8:$D$10,2,FALSE)*C182</f>
        <v>0</v>
      </c>
      <c r="F182" s="452">
        <f>VLOOKUP(D182,'S-Alloc Met-TY Adj'!$C$8:$E$10,3,FALSE)*C182</f>
        <v>0</v>
      </c>
      <c r="G182" s="452">
        <f>VLOOKUP(D182,'S-Alloc Met-TY Adj'!$C$8:$F$10,4,FALSE)*C182</f>
        <v>0</v>
      </c>
      <c r="H182" s="795" t="s">
        <v>575</v>
      </c>
    </row>
    <row r="183" spans="1:8">
      <c r="A183" s="53" t="str">
        <f>Expenses!A183</f>
        <v>427-3008-3</v>
      </c>
      <c r="B183" s="216" t="str">
        <f>Expenses!C183</f>
        <v>KIA, Buchanon Park (C11-02)</v>
      </c>
      <c r="C183" s="61">
        <f>Expenses!I183</f>
        <v>14071.199999999999</v>
      </c>
      <c r="D183" s="242" t="s">
        <v>473</v>
      </c>
      <c r="E183" s="452">
        <f>VLOOKUP(D183,'S-Alloc Met-TY Adj'!$C$8:$D$10,2,FALSE)*C183</f>
        <v>14071.199999999999</v>
      </c>
      <c r="F183" s="452">
        <f>VLOOKUP(D183,'S-Alloc Met-TY Adj'!$C$8:$E$10,3,FALSE)*C183</f>
        <v>0</v>
      </c>
      <c r="G183" s="452">
        <f>VLOOKUP(D183,'S-Alloc Met-TY Adj'!$C$8:$F$10,4,FALSE)*C183</f>
        <v>0</v>
      </c>
      <c r="H183" s="795" t="s">
        <v>575</v>
      </c>
    </row>
    <row r="184" spans="1:8">
      <c r="A184" s="53" t="str">
        <f>Expenses!A184</f>
        <v>427-3009-3</v>
      </c>
      <c r="B184" s="216" t="str">
        <f>Expenses!C184</f>
        <v>Series 2013B, KRWFC</v>
      </c>
      <c r="C184" s="61">
        <f>Expenses!I184</f>
        <v>983.59999999999991</v>
      </c>
      <c r="D184" s="242" t="s">
        <v>473</v>
      </c>
      <c r="E184" s="452">
        <f>VLOOKUP(D184,'S-Alloc Met-TY Adj'!$C$8:$D$10,2,FALSE)*C184</f>
        <v>983.59999999999991</v>
      </c>
      <c r="F184" s="452">
        <f>VLOOKUP(D184,'S-Alloc Met-TY Adj'!$C$8:$E$10,3,FALSE)*C184</f>
        <v>0</v>
      </c>
      <c r="G184" s="452">
        <f>VLOOKUP(D184,'S-Alloc Met-TY Adj'!$C$8:$F$10,4,FALSE)*C184</f>
        <v>0</v>
      </c>
      <c r="H184" s="795" t="s">
        <v>575</v>
      </c>
    </row>
    <row r="185" spans="1:8">
      <c r="A185" s="53" t="str">
        <f>Expenses!A185</f>
        <v>427-3010-3</v>
      </c>
      <c r="B185" s="216" t="str">
        <f>Expenses!C185</f>
        <v>KIA, Alvanton Area Improvement</v>
      </c>
      <c r="C185" s="61">
        <f>Expenses!I185</f>
        <v>0</v>
      </c>
      <c r="D185" s="242" t="s">
        <v>473</v>
      </c>
      <c r="E185" s="452">
        <f>VLOOKUP(D185,'S-Alloc Met-TY Adj'!$C$8:$D$10,2,FALSE)*C185</f>
        <v>0</v>
      </c>
      <c r="F185" s="452">
        <f>VLOOKUP(D185,'S-Alloc Met-TY Adj'!$C$8:$E$10,3,FALSE)*C185</f>
        <v>0</v>
      </c>
      <c r="G185" s="452">
        <f>VLOOKUP(D185,'S-Alloc Met-TY Adj'!$C$8:$F$10,4,FALSE)*C185</f>
        <v>0</v>
      </c>
      <c r="H185" s="795" t="s">
        <v>575</v>
      </c>
    </row>
    <row r="186" spans="1:8">
      <c r="A186" s="53" t="str">
        <f>Expenses!A186</f>
        <v>427-3023-3</v>
      </c>
      <c r="B186" s="216" t="str">
        <f>Expenses!C186</f>
        <v>KIA, Plum Springs Rehab</v>
      </c>
      <c r="C186" s="61">
        <f>Expenses!I186</f>
        <v>39318.800000000003</v>
      </c>
      <c r="D186" s="242" t="s">
        <v>473</v>
      </c>
      <c r="E186" s="452">
        <f>VLOOKUP(D186,'S-Alloc Met-TY Adj'!$C$8:$D$10,2,FALSE)*C186</f>
        <v>39318.800000000003</v>
      </c>
      <c r="F186" s="452">
        <f>VLOOKUP(D186,'S-Alloc Met-TY Adj'!$C$8:$E$10,3,FALSE)*C186</f>
        <v>0</v>
      </c>
      <c r="G186" s="452">
        <f>VLOOKUP(D186,'S-Alloc Met-TY Adj'!$C$8:$F$10,4,FALSE)*C186</f>
        <v>0</v>
      </c>
      <c r="H186" s="795" t="s">
        <v>575</v>
      </c>
    </row>
    <row r="187" spans="1:8">
      <c r="A187" s="53" t="str">
        <f>Expenses!A187</f>
        <v>427-3025-3</v>
      </c>
      <c r="B187" s="216" t="str">
        <f>Expenses!C187</f>
        <v>Series 2021A, KRWFC</v>
      </c>
      <c r="C187" s="61">
        <f>Expenses!I187</f>
        <v>33952.799999999996</v>
      </c>
      <c r="D187" s="242" t="s">
        <v>473</v>
      </c>
      <c r="E187" s="452">
        <f>VLOOKUP(D187,'S-Alloc Met-TY Adj'!$C$8:$D$10,2,FALSE)*C187</f>
        <v>33952.799999999996</v>
      </c>
      <c r="F187" s="452">
        <f>VLOOKUP(D187,'S-Alloc Met-TY Adj'!$C$8:$E$10,3,FALSE)*C187</f>
        <v>0</v>
      </c>
      <c r="G187" s="452">
        <f>VLOOKUP(D187,'S-Alloc Met-TY Adj'!$C$8:$F$10,4,FALSE)*C187</f>
        <v>0</v>
      </c>
      <c r="H187" s="795" t="s">
        <v>575</v>
      </c>
    </row>
    <row r="188" spans="1:8">
      <c r="A188" s="53" t="str">
        <f>Expenses!A188</f>
        <v>427-3040-3</v>
      </c>
      <c r="B188" s="216" t="str">
        <f>Expenses!C188</f>
        <v>Series 2022D, KRWFC</v>
      </c>
      <c r="C188" s="61">
        <f>Expenses!I188</f>
        <v>346694.39999999997</v>
      </c>
      <c r="D188" s="242" t="s">
        <v>473</v>
      </c>
      <c r="E188" s="452">
        <f>VLOOKUP(D188,'S-Alloc Met-TY Adj'!$C$8:$D$10,2,FALSE)*C188</f>
        <v>346694.39999999997</v>
      </c>
      <c r="F188" s="452">
        <f>VLOOKUP(D188,'S-Alloc Met-TY Adj'!$C$8:$E$10,3,FALSE)*C188</f>
        <v>0</v>
      </c>
      <c r="G188" s="452">
        <f>VLOOKUP(D188,'S-Alloc Met-TY Adj'!$C$8:$F$10,4,FALSE)*C188</f>
        <v>0</v>
      </c>
      <c r="H188" s="795" t="s">
        <v>575</v>
      </c>
    </row>
    <row r="189" spans="1:8">
      <c r="A189" s="53" t="str">
        <f>Expenses!A189</f>
        <v>427-4005-3</v>
      </c>
      <c r="B189" s="216" t="str">
        <f>Expenses!C189</f>
        <v>Consumer Deposits</v>
      </c>
      <c r="C189" s="61">
        <f>Expenses!I189</f>
        <v>5911.2</v>
      </c>
      <c r="D189" s="242" t="s">
        <v>473</v>
      </c>
      <c r="E189" s="452">
        <f>VLOOKUP(D189,'S-Alloc Met-TY Adj'!$C$8:$D$10,2,FALSE)*C189</f>
        <v>5911.2</v>
      </c>
      <c r="F189" s="452">
        <f>VLOOKUP(D189,'S-Alloc Met-TY Adj'!$C$8:$E$10,3,FALSE)*C189</f>
        <v>0</v>
      </c>
      <c r="G189" s="452">
        <f>VLOOKUP(D189,'S-Alloc Met-TY Adj'!$C$8:$F$10,4,FALSE)*C189</f>
        <v>0</v>
      </c>
      <c r="H189" s="795" t="s">
        <v>575</v>
      </c>
    </row>
    <row r="190" spans="1:8">
      <c r="A190" s="53" t="str">
        <f>Expenses!A190</f>
        <v>427-5010-3</v>
      </c>
      <c r="B190" s="216" t="str">
        <f>Expenses!C190</f>
        <v>Other</v>
      </c>
      <c r="C190" s="61">
        <f>Expenses!I190</f>
        <v>0</v>
      </c>
      <c r="D190" s="242" t="s">
        <v>473</v>
      </c>
      <c r="E190" s="452">
        <f>VLOOKUP(D190,'S-Alloc Met-TY Adj'!$C$8:$D$10,2,FALSE)*C190</f>
        <v>0</v>
      </c>
      <c r="F190" s="452">
        <f>VLOOKUP(D190,'S-Alloc Met-TY Adj'!$C$8:$E$10,3,FALSE)*C190</f>
        <v>0</v>
      </c>
      <c r="G190" s="452">
        <f>VLOOKUP(D190,'S-Alloc Met-TY Adj'!$C$8:$F$10,4,FALSE)*C190</f>
        <v>0</v>
      </c>
      <c r="H190" s="795" t="s">
        <v>575</v>
      </c>
    </row>
    <row r="191" spans="1:8">
      <c r="A191" s="53" t="str">
        <f>Expenses!A191</f>
        <v>429-1007-3</v>
      </c>
      <c r="B191" s="216" t="str">
        <f>Expenses!C191</f>
        <v>Amortized Debt Expense</v>
      </c>
      <c r="C191" s="61">
        <f>Expenses!I191</f>
        <v>0</v>
      </c>
      <c r="D191" s="242" t="s">
        <v>473</v>
      </c>
      <c r="E191" s="452">
        <f>VLOOKUP(D191,'S-Alloc Met-TY Adj'!$C$8:$D$10,2,FALSE)*C191</f>
        <v>0</v>
      </c>
      <c r="F191" s="452">
        <f>VLOOKUP(D191,'S-Alloc Met-TY Adj'!$C$8:$E$10,3,FALSE)*C191</f>
        <v>0</v>
      </c>
      <c r="G191" s="452">
        <f>VLOOKUP(D191,'S-Alloc Met-TY Adj'!$C$8:$F$10,4,FALSE)*C191</f>
        <v>0</v>
      </c>
      <c r="H191" s="795" t="s">
        <v>575</v>
      </c>
    </row>
    <row r="192" spans="1:8">
      <c r="A192" s="53" t="str">
        <f>Expenses!A192</f>
        <v>429-1025-3</v>
      </c>
      <c r="B192" s="216" t="str">
        <f>Expenses!C192</f>
        <v>Am Prem/Disc-KRWFC, Series 2021A</v>
      </c>
      <c r="C192" s="61">
        <f>Expenses!I192</f>
        <v>-12259</v>
      </c>
      <c r="D192" s="242" t="s">
        <v>473</v>
      </c>
      <c r="E192" s="452">
        <f>VLOOKUP(D192,'S-Alloc Met-TY Adj'!$C$8:$D$10,2,FALSE)*C192</f>
        <v>-12259</v>
      </c>
      <c r="F192" s="452">
        <f>VLOOKUP(D192,'S-Alloc Met-TY Adj'!$C$8:$E$10,3,FALSE)*C192</f>
        <v>0</v>
      </c>
      <c r="G192" s="452">
        <f>VLOOKUP(D192,'S-Alloc Met-TY Adj'!$C$8:$F$10,4,FALSE)*C192</f>
        <v>0</v>
      </c>
      <c r="H192" s="795"/>
    </row>
    <row r="193" spans="1:8">
      <c r="A193" s="53"/>
      <c r="B193" s="216" t="str">
        <f>Expenses!C193</f>
        <v>Series 2004A, Refunding</v>
      </c>
      <c r="C193" s="61">
        <f>Expenses!I193</f>
        <v>0</v>
      </c>
      <c r="D193" s="242" t="s">
        <v>473</v>
      </c>
      <c r="E193" s="452">
        <f>VLOOKUP(D193,'S-Alloc Met-TY Adj'!$C$8:$D$10,2,FALSE)*C193</f>
        <v>0</v>
      </c>
      <c r="F193" s="452">
        <f>VLOOKUP(D193,'S-Alloc Met-TY Adj'!$C$8:$E$10,3,FALSE)*C193</f>
        <v>0</v>
      </c>
      <c r="G193" s="452">
        <f>VLOOKUP(D193,'S-Alloc Met-TY Adj'!$C$8:$F$10,4,FALSE)*C193</f>
        <v>0</v>
      </c>
      <c r="H193" s="795" t="s">
        <v>575</v>
      </c>
    </row>
    <row r="194" spans="1:8">
      <c r="A194" s="53"/>
      <c r="B194" s="216" t="str">
        <f>Expenses!C194</f>
        <v>KIA, So KY Industrial/Hwy 31W</v>
      </c>
      <c r="C194" s="61">
        <f>Expenses!I194</f>
        <v>0</v>
      </c>
      <c r="D194" s="242" t="s">
        <v>473</v>
      </c>
      <c r="E194" s="452">
        <f>VLOOKUP(D194,'S-Alloc Met-TY Adj'!$C$8:$D$10,2,FALSE)*C194</f>
        <v>0</v>
      </c>
      <c r="F194" s="452">
        <f>VLOOKUP(D194,'S-Alloc Met-TY Adj'!$C$8:$E$10,3,FALSE)*C194</f>
        <v>0</v>
      </c>
      <c r="G194" s="452">
        <f>VLOOKUP(D194,'S-Alloc Met-TY Adj'!$C$8:$F$10,4,FALSE)*C194</f>
        <v>0</v>
      </c>
      <c r="H194" s="795" t="s">
        <v>575</v>
      </c>
    </row>
    <row r="195" spans="1:8">
      <c r="A195" s="53"/>
      <c r="B195" s="216" t="str">
        <f>Expenses!C195</f>
        <v>KIA, So KY Industrial Park</v>
      </c>
      <c r="C195" s="61">
        <f>Expenses!I195</f>
        <v>0</v>
      </c>
      <c r="D195" s="242" t="s">
        <v>473</v>
      </c>
      <c r="E195" s="452">
        <f>VLOOKUP(D195,'S-Alloc Met-TY Adj'!$C$8:$D$10,2,FALSE)*C195</f>
        <v>0</v>
      </c>
      <c r="F195" s="452">
        <f>VLOOKUP(D195,'S-Alloc Met-TY Adj'!$C$8:$E$10,3,FALSE)*C195</f>
        <v>0</v>
      </c>
      <c r="G195" s="452">
        <f>VLOOKUP(D195,'S-Alloc Met-TY Adj'!$C$8:$F$10,4,FALSE)*C195</f>
        <v>0</v>
      </c>
      <c r="H195" s="795" t="s">
        <v>575</v>
      </c>
    </row>
    <row r="196" spans="1:8">
      <c r="A196" s="53"/>
      <c r="B196" s="216" t="str">
        <f>Expenses!C196</f>
        <v xml:space="preserve">Series 2005A, USDA </v>
      </c>
      <c r="C196" s="61">
        <f>Expenses!I196</f>
        <v>0</v>
      </c>
      <c r="D196" s="242" t="s">
        <v>473</v>
      </c>
      <c r="E196" s="452">
        <f>VLOOKUP(D196,'S-Alloc Met-TY Adj'!$C$8:$D$10,2,FALSE)*C196</f>
        <v>0</v>
      </c>
      <c r="F196" s="452">
        <f>VLOOKUP(D196,'S-Alloc Met-TY Adj'!$C$8:$E$10,3,FALSE)*C196</f>
        <v>0</v>
      </c>
      <c r="G196" s="452">
        <f>VLOOKUP(D196,'S-Alloc Met-TY Adj'!$C$8:$F$10,4,FALSE)*C196</f>
        <v>0</v>
      </c>
      <c r="H196" s="795" t="s">
        <v>575</v>
      </c>
    </row>
    <row r="197" spans="1:8">
      <c r="A197" s="53"/>
      <c r="B197" s="216" t="str">
        <f>Expenses!C197</f>
        <v>-</v>
      </c>
      <c r="C197" s="61">
        <f>Expenses!I197</f>
        <v>0</v>
      </c>
      <c r="D197" s="242" t="s">
        <v>473</v>
      </c>
      <c r="E197" s="452">
        <f>VLOOKUP(D197,'S-Alloc Met-TY Adj'!$C$8:$D$10,2,FALSE)*C197</f>
        <v>0</v>
      </c>
      <c r="F197" s="452">
        <f>VLOOKUP(D197,'S-Alloc Met-TY Adj'!$C$8:$E$10,3,FALSE)*C197</f>
        <v>0</v>
      </c>
      <c r="G197" s="452">
        <f>VLOOKUP(D197,'S-Alloc Met-TY Adj'!$C$8:$F$10,4,FALSE)*C197</f>
        <v>0</v>
      </c>
      <c r="H197" s="795" t="s">
        <v>575</v>
      </c>
    </row>
    <row r="198" spans="1:8">
      <c r="A198" s="53"/>
      <c r="B198" s="216" t="str">
        <f>Expenses!C198</f>
        <v>Series 1998, Refunding</v>
      </c>
      <c r="C198" s="61">
        <f>Expenses!I198</f>
        <v>0</v>
      </c>
      <c r="D198" s="242" t="s">
        <v>473</v>
      </c>
      <c r="E198" s="452">
        <f>VLOOKUP(D198,'S-Alloc Met-TY Adj'!$C$8:$D$10,2,FALSE)*C198</f>
        <v>0</v>
      </c>
      <c r="F198" s="452">
        <f>VLOOKUP(D198,'S-Alloc Met-TY Adj'!$C$8:$E$10,3,FALSE)*C198</f>
        <v>0</v>
      </c>
      <c r="G198" s="452">
        <f>VLOOKUP(D198,'S-Alloc Met-TY Adj'!$C$8:$F$10,4,FALSE)*C198</f>
        <v>0</v>
      </c>
      <c r="H198" s="795" t="s">
        <v>575</v>
      </c>
    </row>
    <row r="199" spans="1:8">
      <c r="A199" s="53"/>
      <c r="B199" s="216" t="str">
        <f>Expenses!C199</f>
        <v>Series 1998B, Revenue</v>
      </c>
      <c r="C199" s="61">
        <f>Expenses!I199</f>
        <v>0</v>
      </c>
      <c r="D199" s="242" t="s">
        <v>473</v>
      </c>
      <c r="E199" s="452">
        <f>VLOOKUP(D199,'S-Alloc Met-TY Adj'!$C$8:$D$10,2,FALSE)*C199</f>
        <v>0</v>
      </c>
      <c r="F199" s="452">
        <f>VLOOKUP(D199,'S-Alloc Met-TY Adj'!$C$8:$E$10,3,FALSE)*C199</f>
        <v>0</v>
      </c>
      <c r="G199" s="452">
        <f>VLOOKUP(D199,'S-Alloc Met-TY Adj'!$C$8:$F$10,4,FALSE)*C199</f>
        <v>0</v>
      </c>
      <c r="H199" s="795" t="s">
        <v>575</v>
      </c>
    </row>
    <row r="200" spans="1:8">
      <c r="A200" s="53"/>
      <c r="B200" s="216" t="str">
        <f>Expenses!C200</f>
        <v>Series 1999 A, USDA</v>
      </c>
      <c r="C200" s="61">
        <f>Expenses!I200</f>
        <v>0</v>
      </c>
      <c r="D200" s="242" t="s">
        <v>473</v>
      </c>
      <c r="E200" s="452">
        <f>VLOOKUP(D200,'S-Alloc Met-TY Adj'!$C$8:$D$10,2,FALSE)*C200</f>
        <v>0</v>
      </c>
      <c r="F200" s="452">
        <f>VLOOKUP(D200,'S-Alloc Met-TY Adj'!$C$8:$E$10,3,FALSE)*C200</f>
        <v>0</v>
      </c>
      <c r="G200" s="452">
        <f>VLOOKUP(D200,'S-Alloc Met-TY Adj'!$C$8:$F$10,4,FALSE)*C200</f>
        <v>0</v>
      </c>
      <c r="H200" s="795" t="s">
        <v>575</v>
      </c>
    </row>
    <row r="201" spans="1:8">
      <c r="A201" s="53"/>
      <c r="B201" s="216" t="str">
        <f>Expenses!C201</f>
        <v>KRWFC 2003, KRWFC</v>
      </c>
      <c r="C201" s="61">
        <f>Expenses!I201</f>
        <v>0</v>
      </c>
      <c r="D201" s="242" t="s">
        <v>473</v>
      </c>
      <c r="E201" s="452">
        <f>VLOOKUP(D201,'S-Alloc Met-TY Adj'!$C$8:$D$10,2,FALSE)*C201</f>
        <v>0</v>
      </c>
      <c r="F201" s="452">
        <f>VLOOKUP(D201,'S-Alloc Met-TY Adj'!$C$8:$E$10,3,FALSE)*C201</f>
        <v>0</v>
      </c>
      <c r="G201" s="452">
        <f>VLOOKUP(D201,'S-Alloc Met-TY Adj'!$C$8:$F$10,4,FALSE)*C201</f>
        <v>0</v>
      </c>
      <c r="H201" s="795" t="s">
        <v>575</v>
      </c>
    </row>
    <row r="202" spans="1:8">
      <c r="A202" s="53"/>
      <c r="B202" s="216" t="str">
        <f>Expenses!C202</f>
        <v>Series 2003C, KRWFC</v>
      </c>
      <c r="C202" s="61">
        <f>Expenses!I202</f>
        <v>0</v>
      </c>
      <c r="D202" s="242" t="s">
        <v>473</v>
      </c>
      <c r="E202" s="452">
        <f>VLOOKUP(D202,'S-Alloc Met-TY Adj'!$C$8:$D$10,2,FALSE)*C202</f>
        <v>0</v>
      </c>
      <c r="F202" s="452">
        <f>VLOOKUP(D202,'S-Alloc Met-TY Adj'!$C$8:$E$10,3,FALSE)*C202</f>
        <v>0</v>
      </c>
      <c r="G202" s="452">
        <f>VLOOKUP(D202,'S-Alloc Met-TY Adj'!$C$8:$F$10,4,FALSE)*C202</f>
        <v>0</v>
      </c>
      <c r="H202" s="795" t="s">
        <v>575</v>
      </c>
    </row>
    <row r="203" spans="1:8">
      <c r="A203" s="53"/>
      <c r="B203" s="216" t="str">
        <f>Expenses!C203</f>
        <v>Series 2013B, KRWFC</v>
      </c>
      <c r="C203" s="61">
        <f>Expenses!I203</f>
        <v>0</v>
      </c>
      <c r="D203" s="242" t="s">
        <v>473</v>
      </c>
      <c r="E203" s="452">
        <f>VLOOKUP(D203,'S-Alloc Met-TY Adj'!$C$8:$D$10,2,FALSE)*C203</f>
        <v>0</v>
      </c>
      <c r="F203" s="452">
        <f>VLOOKUP(D203,'S-Alloc Met-TY Adj'!$C$8:$E$10,3,FALSE)*C203</f>
        <v>0</v>
      </c>
      <c r="G203" s="452">
        <f>VLOOKUP(D203,'S-Alloc Met-TY Adj'!$C$8:$F$10,4,FALSE)*C203</f>
        <v>0</v>
      </c>
      <c r="H203" s="795" t="s">
        <v>575</v>
      </c>
    </row>
    <row r="204" spans="1:8">
      <c r="A204" s="53"/>
      <c r="B204" s="216" t="str">
        <f>Expenses!C204</f>
        <v>Series 2016B, KRWFC</v>
      </c>
      <c r="C204" s="61">
        <f>Expenses!I204</f>
        <v>0</v>
      </c>
      <c r="D204" s="242" t="s">
        <v>473</v>
      </c>
      <c r="E204" s="452">
        <f>VLOOKUP(D204,'S-Alloc Met-TY Adj'!$C$8:$D$10,2,FALSE)*C204</f>
        <v>0</v>
      </c>
      <c r="F204" s="452">
        <f>VLOOKUP(D204,'S-Alloc Met-TY Adj'!$C$8:$E$10,3,FALSE)*C204</f>
        <v>0</v>
      </c>
      <c r="G204" s="452">
        <f>VLOOKUP(D204,'S-Alloc Met-TY Adj'!$C$8:$F$10,4,FALSE)*C204</f>
        <v>0</v>
      </c>
      <c r="H204" s="795" t="s">
        <v>575</v>
      </c>
    </row>
    <row r="205" spans="1:8">
      <c r="A205" s="53"/>
      <c r="B205" s="216" t="str">
        <f>Expenses!C205</f>
        <v>KIA Morgantown Rd Improvements</v>
      </c>
      <c r="C205" s="61">
        <f>Expenses!I205</f>
        <v>0</v>
      </c>
      <c r="D205" s="242" t="s">
        <v>473</v>
      </c>
      <c r="E205" s="452">
        <f>VLOOKUP(D205,'S-Alloc Met-TY Adj'!$C$8:$D$10,2,FALSE)*C205</f>
        <v>0</v>
      </c>
      <c r="F205" s="452">
        <f>VLOOKUP(D205,'S-Alloc Met-TY Adj'!$C$8:$E$10,3,FALSE)*C205</f>
        <v>0</v>
      </c>
      <c r="G205" s="452">
        <f>VLOOKUP(D205,'S-Alloc Met-TY Adj'!$C$8:$F$10,4,FALSE)*C205</f>
        <v>0</v>
      </c>
      <c r="H205" s="795" t="s">
        <v>575</v>
      </c>
    </row>
    <row r="206" spans="1:8">
      <c r="A206" s="53"/>
      <c r="B206" s="216" t="str">
        <f>Expenses!C206</f>
        <v>Series 2021A, KRWFC</v>
      </c>
      <c r="C206" s="61">
        <f>Expenses!I206</f>
        <v>0</v>
      </c>
      <c r="D206" s="242" t="s">
        <v>473</v>
      </c>
      <c r="E206" s="452">
        <f>VLOOKUP(D206,'S-Alloc Met-TY Adj'!$C$8:$D$10,2,FALSE)*C206</f>
        <v>0</v>
      </c>
      <c r="F206" s="452">
        <f>VLOOKUP(D206,'S-Alloc Met-TY Adj'!$C$8:$E$10,3,FALSE)*C206</f>
        <v>0</v>
      </c>
      <c r="G206" s="452">
        <f>VLOOKUP(D206,'S-Alloc Met-TY Adj'!$C$8:$F$10,4,FALSE)*C206</f>
        <v>0</v>
      </c>
      <c r="H206" s="795" t="s">
        <v>575</v>
      </c>
    </row>
    <row r="207" spans="1:8">
      <c r="A207" s="53"/>
      <c r="B207" s="216" t="str">
        <f>Expenses!C207</f>
        <v>Series 2022D, KRWFC</v>
      </c>
      <c r="C207" s="61">
        <f>Expenses!I207</f>
        <v>0</v>
      </c>
      <c r="D207" s="242" t="s">
        <v>473</v>
      </c>
      <c r="E207" s="452">
        <f>VLOOKUP(D207,'S-Alloc Met-TY Adj'!$C$8:$D$10,2,FALSE)*C207</f>
        <v>0</v>
      </c>
      <c r="F207" s="452">
        <f>VLOOKUP(D207,'S-Alloc Met-TY Adj'!$C$8:$E$10,3,FALSE)*C207</f>
        <v>0</v>
      </c>
      <c r="G207" s="452">
        <f>VLOOKUP(D207,'S-Alloc Met-TY Adj'!$C$8:$F$10,4,FALSE)*C207</f>
        <v>0</v>
      </c>
      <c r="H207" s="795" t="s">
        <v>575</v>
      </c>
    </row>
    <row r="208" spans="1:8">
      <c r="A208" s="53"/>
      <c r="B208" s="216" t="str">
        <f>Expenses!C208</f>
        <v>Consumer Deposits</v>
      </c>
      <c r="C208" s="61">
        <f>Expenses!I208</f>
        <v>0</v>
      </c>
      <c r="D208" s="242" t="s">
        <v>473</v>
      </c>
      <c r="E208" s="452">
        <f>VLOOKUP(D208,'S-Alloc Met-TY Adj'!$C$8:$D$10,2,FALSE)*C208</f>
        <v>0</v>
      </c>
      <c r="F208" s="452">
        <f>VLOOKUP(D208,'S-Alloc Met-TY Adj'!$C$8:$E$10,3,FALSE)*C208</f>
        <v>0</v>
      </c>
      <c r="G208" s="452">
        <f>VLOOKUP(D208,'S-Alloc Met-TY Adj'!$C$8:$F$10,4,FALSE)*C208</f>
        <v>0</v>
      </c>
      <c r="H208" s="795" t="s">
        <v>575</v>
      </c>
    </row>
    <row r="209" spans="1:8">
      <c r="A209" s="53"/>
      <c r="B209" s="216" t="str">
        <f>Expenses!C209</f>
        <v>Other</v>
      </c>
      <c r="C209" s="61">
        <f>Expenses!I209</f>
        <v>0</v>
      </c>
      <c r="D209" s="242" t="s">
        <v>473</v>
      </c>
      <c r="E209" s="452">
        <f>VLOOKUP(D209,'S-Alloc Met-TY Adj'!$C$8:$D$10,2,FALSE)*C209</f>
        <v>0</v>
      </c>
      <c r="F209" s="452">
        <f>VLOOKUP(D209,'S-Alloc Met-TY Adj'!$C$8:$E$10,3,FALSE)*C209</f>
        <v>0</v>
      </c>
      <c r="G209" s="452">
        <f>VLOOKUP(D209,'S-Alloc Met-TY Adj'!$C$8:$F$10,4,FALSE)*C209</f>
        <v>0</v>
      </c>
      <c r="H209" s="795" t="s">
        <v>575</v>
      </c>
    </row>
    <row r="210" spans="1:8">
      <c r="A210" s="53"/>
      <c r="B210" s="216" t="str">
        <f>Expenses!C210</f>
        <v>Amortized Prem/Disc Exp- Rev Bonds, Series 2004A</v>
      </c>
      <c r="C210" s="61">
        <f>Expenses!I210</f>
        <v>0</v>
      </c>
      <c r="D210" s="242" t="s">
        <v>473</v>
      </c>
      <c r="E210" s="452">
        <f>VLOOKUP(D210,'S-Alloc Met-TY Adj'!$C$8:$D$10,2,FALSE)*C210</f>
        <v>0</v>
      </c>
      <c r="F210" s="452">
        <f>VLOOKUP(D210,'S-Alloc Met-TY Adj'!$C$8:$E$10,3,FALSE)*C210</f>
        <v>0</v>
      </c>
      <c r="G210" s="452">
        <f>VLOOKUP(D210,'S-Alloc Met-TY Adj'!$C$8:$F$10,4,FALSE)*C210</f>
        <v>0</v>
      </c>
      <c r="H210" s="795" t="s">
        <v>575</v>
      </c>
    </row>
    <row r="211" spans="1:8">
      <c r="A211" s="53"/>
      <c r="B211" s="216" t="str">
        <f>Expenses!C211</f>
        <v>Amortized Prem/Disc Exp- KRWFC, Series 2006A</v>
      </c>
      <c r="C211" s="61">
        <f>Expenses!I211</f>
        <v>0</v>
      </c>
      <c r="D211" s="242" t="s">
        <v>473</v>
      </c>
      <c r="E211" s="452">
        <f>VLOOKUP(D211,'S-Alloc Met-TY Adj'!$C$8:$D$10,2,FALSE)*C211</f>
        <v>0</v>
      </c>
      <c r="F211" s="452">
        <f>VLOOKUP(D211,'S-Alloc Met-TY Adj'!$C$8:$E$10,3,FALSE)*C211</f>
        <v>0</v>
      </c>
      <c r="G211" s="452">
        <f>VLOOKUP(D211,'S-Alloc Met-TY Adj'!$C$8:$F$10,4,FALSE)*C211</f>
        <v>0</v>
      </c>
      <c r="H211" s="795" t="s">
        <v>575</v>
      </c>
    </row>
    <row r="212" spans="1:8">
      <c r="A212" s="53"/>
      <c r="B212" s="216" t="str">
        <f>Expenses!C212</f>
        <v>Amortized Prem/Disc Exp- KRWFC, Series 2012B</v>
      </c>
      <c r="C212" s="61">
        <f>Expenses!I212</f>
        <v>0</v>
      </c>
      <c r="D212" s="242" t="s">
        <v>473</v>
      </c>
      <c r="E212" s="452">
        <f>VLOOKUP(D212,'S-Alloc Met-TY Adj'!$C$8:$D$10,2,FALSE)*C212</f>
        <v>0</v>
      </c>
      <c r="F212" s="452">
        <f>VLOOKUP(D212,'S-Alloc Met-TY Adj'!$C$8:$E$10,3,FALSE)*C212</f>
        <v>0</v>
      </c>
      <c r="G212" s="452">
        <f>VLOOKUP(D212,'S-Alloc Met-TY Adj'!$C$8:$F$10,4,FALSE)*C212</f>
        <v>0</v>
      </c>
      <c r="H212" s="795" t="s">
        <v>575</v>
      </c>
    </row>
    <row r="213" spans="1:8">
      <c r="A213" s="53"/>
      <c r="B213" s="216" t="str">
        <f>Expenses!C213</f>
        <v>Amortized Prem/Disc Exp- KRWFC, Series 2013B</v>
      </c>
      <c r="C213" s="61">
        <f>Expenses!I213</f>
        <v>0</v>
      </c>
      <c r="D213" s="242" t="s">
        <v>473</v>
      </c>
      <c r="E213" s="452">
        <f>VLOOKUP(D213,'S-Alloc Met-TY Adj'!$C$8:$D$10,2,FALSE)*C213</f>
        <v>0</v>
      </c>
      <c r="F213" s="452">
        <f>VLOOKUP(D213,'S-Alloc Met-TY Adj'!$C$8:$E$10,3,FALSE)*C213</f>
        <v>0</v>
      </c>
      <c r="G213" s="452">
        <f>VLOOKUP(D213,'S-Alloc Met-TY Adj'!$C$8:$F$10,4,FALSE)*C213</f>
        <v>0</v>
      </c>
      <c r="H213" s="795" t="s">
        <v>575</v>
      </c>
    </row>
    <row r="214" spans="1:8">
      <c r="A214" s="53"/>
      <c r="B214" s="216" t="str">
        <f>Expenses!C214</f>
        <v>Amortized Prem/Disc Exp- KRWFC, Series 2016B</v>
      </c>
      <c r="C214" s="61">
        <f>Expenses!I214</f>
        <v>0</v>
      </c>
      <c r="D214" s="242" t="s">
        <v>473</v>
      </c>
      <c r="E214" s="452">
        <f>VLOOKUP(D214,'S-Alloc Met-TY Adj'!$C$8:$D$10,2,FALSE)*C214</f>
        <v>0</v>
      </c>
      <c r="F214" s="452">
        <f>VLOOKUP(D214,'S-Alloc Met-TY Adj'!$C$8:$E$10,3,FALSE)*C214</f>
        <v>0</v>
      </c>
      <c r="G214" s="452">
        <f>VLOOKUP(D214,'S-Alloc Met-TY Adj'!$C$8:$F$10,4,FALSE)*C214</f>
        <v>0</v>
      </c>
      <c r="H214" s="795"/>
    </row>
    <row r="215" spans="1:8">
      <c r="A215" s="53"/>
      <c r="B215" s="216" t="str">
        <f>Expenses!C215</f>
        <v>Amortized Prem/Disc Exp- KRWFC, Series 2021A</v>
      </c>
      <c r="C215" s="61">
        <f>Expenses!I215</f>
        <v>0</v>
      </c>
      <c r="D215" s="242" t="s">
        <v>473</v>
      </c>
      <c r="E215" s="452">
        <f>VLOOKUP(D215,'S-Alloc Met-TY Adj'!$C$8:$D$10,2,FALSE)*C215</f>
        <v>0</v>
      </c>
      <c r="F215" s="452">
        <f>VLOOKUP(D215,'S-Alloc Met-TY Adj'!$C$8:$E$10,3,FALSE)*C215</f>
        <v>0</v>
      </c>
      <c r="G215" s="452">
        <f>VLOOKUP(D215,'S-Alloc Met-TY Adj'!$C$8:$F$10,4,FALSE)*C215</f>
        <v>0</v>
      </c>
      <c r="H215" s="795"/>
    </row>
    <row r="216" spans="1:8">
      <c r="A216" s="53"/>
      <c r="B216" s="216" t="str">
        <f>Expenses!C216</f>
        <v>-</v>
      </c>
      <c r="C216" s="61">
        <f>Expenses!I216</f>
        <v>0</v>
      </c>
      <c r="D216" s="242" t="s">
        <v>473</v>
      </c>
      <c r="E216" s="452">
        <f>VLOOKUP(D216,'S-Alloc Met-TY Adj'!$C$8:$D$10,2,FALSE)*C216</f>
        <v>0</v>
      </c>
      <c r="F216" s="452">
        <f>VLOOKUP(D216,'S-Alloc Met-TY Adj'!$C$8:$E$10,3,FALSE)*C216</f>
        <v>0</v>
      </c>
      <c r="G216" s="452">
        <f>VLOOKUP(D216,'S-Alloc Met-TY Adj'!$C$8:$F$10,4,FALSE)*C216</f>
        <v>0</v>
      </c>
      <c r="H216" s="795"/>
    </row>
    <row r="217" spans="1:8">
      <c r="A217" s="53"/>
      <c r="B217" s="216" t="str">
        <f>Expenses!C217</f>
        <v>-</v>
      </c>
      <c r="C217" s="61">
        <f>Expenses!I217</f>
        <v>0</v>
      </c>
      <c r="D217" s="242" t="s">
        <v>473</v>
      </c>
      <c r="E217" s="452">
        <f>VLOOKUP(D217,'S-Alloc Met-TY Adj'!$C$8:$D$10,2,FALSE)*C217</f>
        <v>0</v>
      </c>
      <c r="F217" s="452">
        <f>VLOOKUP(D217,'S-Alloc Met-TY Adj'!$C$8:$E$10,3,FALSE)*C217</f>
        <v>0</v>
      </c>
      <c r="G217" s="452">
        <f>VLOOKUP(D217,'S-Alloc Met-TY Adj'!$C$8:$F$10,4,FALSE)*C217</f>
        <v>0</v>
      </c>
      <c r="H217" s="795"/>
    </row>
    <row r="218" spans="1:8">
      <c r="A218" s="53"/>
      <c r="B218" s="216" t="str">
        <f>Expenses!C218</f>
        <v>-</v>
      </c>
      <c r="C218" s="61">
        <f>Expenses!I218</f>
        <v>0</v>
      </c>
      <c r="D218" s="242" t="s">
        <v>473</v>
      </c>
      <c r="E218" s="452">
        <f>VLOOKUP(D218,'S-Alloc Met-TY Adj'!$C$8:$D$10,2,FALSE)*C218</f>
        <v>0</v>
      </c>
      <c r="F218" s="452">
        <f>VLOOKUP(D218,'S-Alloc Met-TY Adj'!$C$8:$E$10,3,FALSE)*C218</f>
        <v>0</v>
      </c>
      <c r="G218" s="452">
        <f>VLOOKUP(D218,'S-Alloc Met-TY Adj'!$C$8:$F$10,4,FALSE)*C218</f>
        <v>0</v>
      </c>
      <c r="H218" s="795"/>
    </row>
    <row r="219" spans="1:8">
      <c r="A219" s="53"/>
      <c r="B219" s="216" t="str">
        <f>Expenses!C219</f>
        <v>-</v>
      </c>
      <c r="C219" s="61">
        <f>Expenses!I219</f>
        <v>0</v>
      </c>
      <c r="D219" s="242" t="s">
        <v>473</v>
      </c>
      <c r="E219" s="452">
        <f>VLOOKUP(D219,'S-Alloc Met-TY Adj'!$C$8:$D$10,2,FALSE)*C219</f>
        <v>0</v>
      </c>
      <c r="F219" s="452">
        <f>VLOOKUP(D219,'S-Alloc Met-TY Adj'!$C$8:$E$10,3,FALSE)*C219</f>
        <v>0</v>
      </c>
      <c r="G219" s="452">
        <f>VLOOKUP(D219,'S-Alloc Met-TY Adj'!$C$8:$F$10,4,FALSE)*C219</f>
        <v>0</v>
      </c>
      <c r="H219" s="795"/>
    </row>
    <row r="220" spans="1:8">
      <c r="A220" s="53"/>
      <c r="B220" s="216" t="str">
        <f>Expenses!C220</f>
        <v>-</v>
      </c>
      <c r="C220" s="61">
        <f>Expenses!I220</f>
        <v>0</v>
      </c>
      <c r="D220" s="242" t="s">
        <v>473</v>
      </c>
      <c r="E220" s="452">
        <f>VLOOKUP(D220,'S-Alloc Met-TY Adj'!$C$8:$D$10,2,FALSE)*C220</f>
        <v>0</v>
      </c>
      <c r="F220" s="452">
        <f>VLOOKUP(D220,'S-Alloc Met-TY Adj'!$C$8:$E$10,3,FALSE)*C220</f>
        <v>0</v>
      </c>
      <c r="G220" s="452">
        <f>VLOOKUP(D220,'S-Alloc Met-TY Adj'!$C$8:$F$10,4,FALSE)*C220</f>
        <v>0</v>
      </c>
      <c r="H220" s="795"/>
    </row>
    <row r="221" spans="1:8">
      <c r="A221" s="53"/>
      <c r="B221" s="216" t="str">
        <f>Expenses!C221</f>
        <v>-</v>
      </c>
      <c r="C221" s="61">
        <f>Expenses!I221</f>
        <v>0</v>
      </c>
      <c r="D221" s="241" t="s">
        <v>473</v>
      </c>
      <c r="E221" s="452">
        <f>VLOOKUP(D221,'S-Alloc Met-TY Adj'!$C$8:$D$10,2,FALSE)*C221</f>
        <v>0</v>
      </c>
      <c r="F221" s="452">
        <f>VLOOKUP(D221,'S-Alloc Met-TY Adj'!$C$8:$E$10,3,FALSE)*C221</f>
        <v>0</v>
      </c>
      <c r="G221" s="452">
        <f>VLOOKUP(D221,'S-Alloc Met-TY Adj'!$C$8:$F$10,4,FALSE)*C221</f>
        <v>0</v>
      </c>
      <c r="H221" s="795"/>
    </row>
    <row r="222" spans="1:8">
      <c r="A222" s="794"/>
      <c r="B222" s="453" t="s">
        <v>30</v>
      </c>
      <c r="C222" s="454">
        <f>SUM(C176:C221)</f>
        <v>446455.8</v>
      </c>
      <c r="D222" s="454"/>
      <c r="E222" s="454">
        <f>SUM(E176:E221)</f>
        <v>446455.8</v>
      </c>
      <c r="F222" s="454">
        <f>SUM(F176:F221)</f>
        <v>0</v>
      </c>
      <c r="G222" s="454">
        <f>SUM(G176:G221)</f>
        <v>0</v>
      </c>
      <c r="H222" s="795"/>
    </row>
    <row r="223" spans="1:8">
      <c r="A223" s="53"/>
      <c r="B223" s="220"/>
      <c r="C223" s="42"/>
      <c r="H223" s="795"/>
    </row>
    <row r="224" spans="1:8">
      <c r="A224" s="53"/>
      <c r="B224" s="217" t="s">
        <v>36</v>
      </c>
      <c r="C224" s="259"/>
      <c r="D224" s="148"/>
      <c r="E224" s="148"/>
      <c r="F224" s="148"/>
      <c r="G224" s="148"/>
      <c r="H224" s="795"/>
    </row>
    <row r="225" spans="1:8">
      <c r="A225" s="53" t="str">
        <f>Expenses!A225</f>
        <v>428-0000-3</v>
      </c>
      <c r="B225" s="216" t="str">
        <f>Expenses!C225</f>
        <v>Amortized Debt Expense</v>
      </c>
      <c r="C225" s="61">
        <f>Expenses!I225</f>
        <v>0</v>
      </c>
      <c r="D225" s="242" t="s">
        <v>473</v>
      </c>
      <c r="E225" s="452">
        <f>VLOOKUP(D225,'S-Alloc Met-TY Adj'!$C$8:$D$10,2,FALSE)*C225</f>
        <v>0</v>
      </c>
      <c r="F225" s="452">
        <f>VLOOKUP(D225,'S-Alloc Met-TY Adj'!$C$8:$E$10,3,FALSE)*C225</f>
        <v>0</v>
      </c>
      <c r="G225" s="452">
        <f>VLOOKUP(D225,'S-Alloc Met-TY Adj'!$C$8:$F$10,4,FALSE)*C225</f>
        <v>0</v>
      </c>
      <c r="H225" s="795"/>
    </row>
    <row r="226" spans="1:8">
      <c r="A226" s="53" t="str">
        <f>Expenses!A226</f>
        <v>-</v>
      </c>
      <c r="B226" s="216" t="str">
        <f>Expenses!C226</f>
        <v>Amortized Debt Gain/Loss KRWFC Series 2016B</v>
      </c>
      <c r="C226" s="61">
        <f>Expenses!I226</f>
        <v>0</v>
      </c>
      <c r="D226" s="242" t="s">
        <v>473</v>
      </c>
      <c r="E226" s="452">
        <f>VLOOKUP(D226,'S-Alloc Met-TY Adj'!$C$8:$D$10,2,FALSE)*C226</f>
        <v>0</v>
      </c>
      <c r="F226" s="452">
        <f>VLOOKUP(D226,'S-Alloc Met-TY Adj'!$C$8:$E$10,3,FALSE)*C226</f>
        <v>0</v>
      </c>
      <c r="G226" s="452">
        <f>VLOOKUP(D226,'S-Alloc Met-TY Adj'!$C$8:$F$10,4,FALSE)*C226</f>
        <v>0</v>
      </c>
      <c r="H226" s="795"/>
    </row>
    <row r="227" spans="1:8">
      <c r="A227" s="53" t="str">
        <f>Expenses!A227</f>
        <v>428-1025-3</v>
      </c>
      <c r="B227" s="216" t="str">
        <f>Expenses!C227</f>
        <v>Amortized Debt Gain/Loss KRWFC Series 2021A</v>
      </c>
      <c r="C227" s="61">
        <f>Expenses!I227</f>
        <v>0</v>
      </c>
      <c r="D227" s="242" t="s">
        <v>473</v>
      </c>
      <c r="E227" s="452">
        <f>VLOOKUP(D227,'S-Alloc Met-TY Adj'!$C$8:$D$10,2,FALSE)*C227</f>
        <v>0</v>
      </c>
      <c r="F227" s="452">
        <f>VLOOKUP(D227,'S-Alloc Met-TY Adj'!$C$8:$E$10,3,FALSE)*C227</f>
        <v>0</v>
      </c>
      <c r="G227" s="452">
        <f>VLOOKUP(D227,'S-Alloc Met-TY Adj'!$C$8:$F$10,4,FALSE)*C227</f>
        <v>0</v>
      </c>
      <c r="H227" s="795"/>
    </row>
    <row r="228" spans="1:8">
      <c r="A228" s="53" t="str">
        <f>Expenses!A228</f>
        <v>428-2000-3</v>
      </c>
      <c r="B228" s="216" t="str">
        <f>Expenses!C228</f>
        <v>Amortized Debt Expense</v>
      </c>
      <c r="C228" s="61">
        <f>Expenses!I228</f>
        <v>-7049</v>
      </c>
      <c r="D228" s="242" t="s">
        <v>473</v>
      </c>
      <c r="E228" s="452">
        <f>VLOOKUP(D228,'S-Alloc Met-TY Adj'!$C$8:$D$10,2,FALSE)*C228</f>
        <v>-7049</v>
      </c>
      <c r="F228" s="452">
        <f>VLOOKUP(D228,'S-Alloc Met-TY Adj'!$C$8:$E$10,3,FALSE)*C228</f>
        <v>0</v>
      </c>
      <c r="G228" s="452">
        <f>VLOOKUP(D228,'S-Alloc Met-TY Adj'!$C$8:$F$10,4,FALSE)*C228</f>
        <v>0</v>
      </c>
      <c r="H228" s="795"/>
    </row>
    <row r="229" spans="1:8">
      <c r="A229" s="53" t="str">
        <f>Expenses!A229</f>
        <v>-</v>
      </c>
      <c r="B229" s="216" t="str">
        <f>Expenses!C229</f>
        <v>Debt Issuance Expense</v>
      </c>
      <c r="C229" s="61">
        <f>Expenses!I229</f>
        <v>0</v>
      </c>
      <c r="D229" s="242" t="s">
        <v>473</v>
      </c>
      <c r="E229" s="452">
        <f>VLOOKUP(D229,'S-Alloc Met-TY Adj'!$C$8:$D$10,2,FALSE)*C229</f>
        <v>0</v>
      </c>
      <c r="F229" s="452">
        <f>VLOOKUP(D229,'S-Alloc Met-TY Adj'!$C$8:$E$10,3,FALSE)*C229</f>
        <v>0</v>
      </c>
      <c r="G229" s="452">
        <f>VLOOKUP(D229,'S-Alloc Met-TY Adj'!$C$8:$F$10,4,FALSE)*C229</f>
        <v>0</v>
      </c>
      <c r="H229" s="795"/>
    </row>
    <row r="230" spans="1:8">
      <c r="A230" s="53" t="str">
        <f>Expenses!A230</f>
        <v>604-8300-3</v>
      </c>
      <c r="B230" s="216" t="str">
        <f>Expenses!C230</f>
        <v>OPEB Expense</v>
      </c>
      <c r="C230" s="61">
        <f>Expenses!I230</f>
        <v>8618</v>
      </c>
      <c r="D230" s="242" t="s">
        <v>473</v>
      </c>
      <c r="E230" s="452">
        <f>VLOOKUP(D230,'S-Alloc Met-TY Adj'!$C$8:$D$10,2,FALSE)*C230</f>
        <v>8618</v>
      </c>
      <c r="F230" s="452">
        <f>VLOOKUP(D230,'S-Alloc Met-TY Adj'!$C$8:$E$10,3,FALSE)*C230</f>
        <v>0</v>
      </c>
      <c r="G230" s="452">
        <f>VLOOKUP(D230,'S-Alloc Met-TY Adj'!$C$8:$F$10,4,FALSE)*C230</f>
        <v>0</v>
      </c>
      <c r="H230" s="795" t="s">
        <v>575</v>
      </c>
    </row>
    <row r="231" spans="1:8">
      <c r="A231" s="53"/>
      <c r="B231" s="216" t="str">
        <f>Expenses!C231</f>
        <v xml:space="preserve">Bonds- Series 2020, USDA </v>
      </c>
      <c r="C231" s="61">
        <f>Expenses!I231</f>
        <v>9800</v>
      </c>
      <c r="D231" s="242" t="s">
        <v>473</v>
      </c>
      <c r="E231" s="452">
        <f>VLOOKUP(D231,'S-Alloc Met-TY Adj'!$C$8:$D$10,2,FALSE)*C231</f>
        <v>9800</v>
      </c>
      <c r="F231" s="452">
        <f>VLOOKUP(D231,'S-Alloc Met-TY Adj'!$C$8:$E$10,3,FALSE)*C231</f>
        <v>0</v>
      </c>
      <c r="G231" s="452">
        <f>VLOOKUP(D231,'S-Alloc Met-TY Adj'!$C$8:$F$10,4,FALSE)*C231</f>
        <v>0</v>
      </c>
      <c r="H231" s="795" t="s">
        <v>575</v>
      </c>
    </row>
    <row r="232" spans="1:8">
      <c r="A232" s="53"/>
      <c r="B232" s="216" t="str">
        <f>Expenses!C232</f>
        <v>Loan- KIA, Buchanon Park (C11-02)</v>
      </c>
      <c r="C232" s="61">
        <f>Expenses!I232</f>
        <v>51727.199999999997</v>
      </c>
      <c r="D232" s="242" t="s">
        <v>473</v>
      </c>
      <c r="E232" s="452">
        <f>VLOOKUP(D232,'S-Alloc Met-TY Adj'!$C$8:$D$10,2,FALSE)*C232</f>
        <v>51727.199999999997</v>
      </c>
      <c r="F232" s="452">
        <f>VLOOKUP(D232,'S-Alloc Met-TY Adj'!$C$8:$E$10,3,FALSE)*C232</f>
        <v>0</v>
      </c>
      <c r="G232" s="452">
        <f>VLOOKUP(D232,'S-Alloc Met-TY Adj'!$C$8:$F$10,4,FALSE)*C232</f>
        <v>0</v>
      </c>
      <c r="H232" s="795" t="s">
        <v>575</v>
      </c>
    </row>
    <row r="233" spans="1:8">
      <c r="A233" s="53"/>
      <c r="B233" s="216" t="str">
        <f>Expenses!C233</f>
        <v>Loan- Series 2013B, RWFA</v>
      </c>
      <c r="C233" s="61">
        <f>Expenses!I233</f>
        <v>11845.199999999999</v>
      </c>
      <c r="D233" s="242" t="s">
        <v>473</v>
      </c>
      <c r="E233" s="452">
        <f>VLOOKUP(D233,'S-Alloc Met-TY Adj'!$C$8:$D$10,2,FALSE)*C233</f>
        <v>11845.199999999999</v>
      </c>
      <c r="F233" s="452">
        <f>VLOOKUP(D233,'S-Alloc Met-TY Adj'!$C$8:$E$10,3,FALSE)*C233</f>
        <v>0</v>
      </c>
      <c r="G233" s="452">
        <f>VLOOKUP(D233,'S-Alloc Met-TY Adj'!$C$8:$F$10,4,FALSE)*C233</f>
        <v>0</v>
      </c>
      <c r="H233" s="795" t="s">
        <v>575</v>
      </c>
    </row>
    <row r="234" spans="1:8">
      <c r="A234" s="53"/>
      <c r="B234" s="216" t="str">
        <f>Expenses!C234</f>
        <v>Loan - KIA, Plum Springs Rehab (B19-006)</v>
      </c>
      <c r="C234" s="61">
        <f>Expenses!I234</f>
        <v>106868</v>
      </c>
      <c r="D234" s="242" t="s">
        <v>473</v>
      </c>
      <c r="E234" s="452">
        <f>VLOOKUP(D234,'S-Alloc Met-TY Adj'!$C$8:$D$10,2,FALSE)*C234</f>
        <v>106868</v>
      </c>
      <c r="F234" s="452">
        <f>VLOOKUP(D234,'S-Alloc Met-TY Adj'!$C$8:$E$10,3,FALSE)*C234</f>
        <v>0</v>
      </c>
      <c r="G234" s="452">
        <f>VLOOKUP(D234,'S-Alloc Met-TY Adj'!$C$8:$F$10,4,FALSE)*C234</f>
        <v>0</v>
      </c>
      <c r="H234" s="795" t="s">
        <v>575</v>
      </c>
    </row>
    <row r="235" spans="1:8">
      <c r="A235" s="53"/>
      <c r="B235" s="216" t="str">
        <f>Expenses!C235</f>
        <v>Loan- Series 2021A, KRWFC</v>
      </c>
      <c r="C235" s="61">
        <f>Expenses!I235</f>
        <v>114000</v>
      </c>
      <c r="D235" s="242" t="s">
        <v>473</v>
      </c>
      <c r="E235" s="452">
        <f>VLOOKUP(D235,'S-Alloc Met-TY Adj'!$C$8:$D$10,2,FALSE)*C235</f>
        <v>114000</v>
      </c>
      <c r="F235" s="452">
        <f>VLOOKUP(D235,'S-Alloc Met-TY Adj'!$C$8:$E$10,3,FALSE)*C235</f>
        <v>0</v>
      </c>
      <c r="G235" s="452">
        <f>VLOOKUP(D235,'S-Alloc Met-TY Adj'!$C$8:$F$10,4,FALSE)*C235</f>
        <v>0</v>
      </c>
      <c r="H235" s="795" t="s">
        <v>575</v>
      </c>
    </row>
    <row r="236" spans="1:8">
      <c r="A236" s="53"/>
      <c r="B236" s="216" t="str">
        <f>Expenses!C236</f>
        <v>Loan- Series 2022D, KRWFC</v>
      </c>
      <c r="C236" s="61">
        <f>Expenses!I236</f>
        <v>0</v>
      </c>
      <c r="D236" s="242" t="s">
        <v>473</v>
      </c>
      <c r="E236" s="452">
        <f>VLOOKUP(D236,'S-Alloc Met-TY Adj'!$C$8:$D$10,2,FALSE)*C236</f>
        <v>0</v>
      </c>
      <c r="F236" s="452">
        <f>VLOOKUP(D236,'S-Alloc Met-TY Adj'!$C$8:$E$10,3,FALSE)*C236</f>
        <v>0</v>
      </c>
      <c r="G236" s="452">
        <f>VLOOKUP(D236,'S-Alloc Met-TY Adj'!$C$8:$F$10,4,FALSE)*C236</f>
        <v>0</v>
      </c>
      <c r="H236" s="795" t="s">
        <v>575</v>
      </c>
    </row>
    <row r="237" spans="1:8">
      <c r="A237" s="53"/>
      <c r="B237" s="216" t="str">
        <f>Expenses!C237</f>
        <v>Bond- Series 2005A, USDA (RD)</v>
      </c>
      <c r="C237" s="61">
        <f>Expenses!I237</f>
        <v>0</v>
      </c>
      <c r="D237" s="242" t="s">
        <v>473</v>
      </c>
      <c r="E237" s="452">
        <f>VLOOKUP(D237,'S-Alloc Met-TY Adj'!$C$8:$D$10,2,FALSE)*C237</f>
        <v>0</v>
      </c>
      <c r="F237" s="452">
        <f>VLOOKUP(D237,'S-Alloc Met-TY Adj'!$C$8:$E$10,3,FALSE)*C237</f>
        <v>0</v>
      </c>
      <c r="G237" s="452">
        <f>VLOOKUP(D237,'S-Alloc Met-TY Adj'!$C$8:$F$10,4,FALSE)*C237</f>
        <v>0</v>
      </c>
      <c r="H237" s="795" t="s">
        <v>575</v>
      </c>
    </row>
    <row r="238" spans="1:8">
      <c r="A238" s="53"/>
      <c r="B238" s="216" t="str">
        <f>Expenses!C238</f>
        <v>Loan- Series 2013B, KRWFC</v>
      </c>
      <c r="C238" s="61">
        <f>Expenses!I238</f>
        <v>0</v>
      </c>
      <c r="D238" s="242" t="s">
        <v>473</v>
      </c>
      <c r="E238" s="452">
        <f>VLOOKUP(D238,'S-Alloc Met-TY Adj'!$C$8:$D$10,2,FALSE)*C238</f>
        <v>0</v>
      </c>
      <c r="F238" s="452">
        <f>VLOOKUP(D238,'S-Alloc Met-TY Adj'!$C$8:$E$10,3,FALSE)*C238</f>
        <v>0</v>
      </c>
      <c r="G238" s="452">
        <f>VLOOKUP(D238,'S-Alloc Met-TY Adj'!$C$8:$F$10,4,FALSE)*C238</f>
        <v>0</v>
      </c>
      <c r="H238" s="795" t="s">
        <v>575</v>
      </c>
    </row>
    <row r="239" spans="1:8">
      <c r="A239" s="53"/>
      <c r="B239" s="216" t="str">
        <f>Expenses!C239</f>
        <v>Loan- Series 2016B, KRWFC</v>
      </c>
      <c r="C239" s="61">
        <f>Expenses!I239</f>
        <v>0</v>
      </c>
      <c r="D239" s="242" t="s">
        <v>473</v>
      </c>
      <c r="E239" s="452">
        <f>VLOOKUP(D239,'S-Alloc Met-TY Adj'!$C$8:$D$10,2,FALSE)*C239</f>
        <v>0</v>
      </c>
      <c r="F239" s="452">
        <f>VLOOKUP(D239,'S-Alloc Met-TY Adj'!$C$8:$E$10,3,FALSE)*C239</f>
        <v>0</v>
      </c>
      <c r="G239" s="452">
        <f>VLOOKUP(D239,'S-Alloc Met-TY Adj'!$C$8:$F$10,4,FALSE)*C239</f>
        <v>0</v>
      </c>
      <c r="H239" s="795" t="s">
        <v>575</v>
      </c>
    </row>
    <row r="240" spans="1:8">
      <c r="A240" s="53"/>
      <c r="B240" s="216" t="str">
        <f>Expenses!C240</f>
        <v xml:space="preserve">Loan- Series 2020 KIA </v>
      </c>
      <c r="C240" s="61">
        <f>Expenses!I240</f>
        <v>0</v>
      </c>
      <c r="D240" s="242" t="s">
        <v>473</v>
      </c>
      <c r="E240" s="452">
        <f>VLOOKUP(D240,'S-Alloc Met-TY Adj'!$C$8:$D$10,2,FALSE)*C240</f>
        <v>0</v>
      </c>
      <c r="F240" s="452">
        <f>VLOOKUP(D240,'S-Alloc Met-TY Adj'!$C$8:$E$10,3,FALSE)*C240</f>
        <v>0</v>
      </c>
      <c r="G240" s="452">
        <f>VLOOKUP(D240,'S-Alloc Met-TY Adj'!$C$8:$F$10,4,FALSE)*C240</f>
        <v>0</v>
      </c>
      <c r="H240" s="795" t="s">
        <v>575</v>
      </c>
    </row>
    <row r="241" spans="1:8">
      <c r="A241" s="53"/>
      <c r="B241" s="216" t="str">
        <f>Expenses!C241</f>
        <v>-</v>
      </c>
      <c r="C241" s="61">
        <f>Expenses!I241</f>
        <v>0</v>
      </c>
      <c r="D241" s="242" t="s">
        <v>473</v>
      </c>
      <c r="E241" s="452">
        <f>VLOOKUP(D241,'S-Alloc Met-TY Adj'!$C$8:$D$10,2,FALSE)*C241</f>
        <v>0</v>
      </c>
      <c r="F241" s="452">
        <f>VLOOKUP(D241,'S-Alloc Met-TY Adj'!$C$8:$E$10,3,FALSE)*C241</f>
        <v>0</v>
      </c>
      <c r="G241" s="452">
        <f>VLOOKUP(D241,'S-Alloc Met-TY Adj'!$C$8:$F$10,4,FALSE)*C241</f>
        <v>0</v>
      </c>
      <c r="H241" s="795" t="s">
        <v>575</v>
      </c>
    </row>
    <row r="242" spans="1:8">
      <c r="A242" s="53"/>
      <c r="B242" s="216" t="str">
        <f>Expenses!C242</f>
        <v>-</v>
      </c>
      <c r="C242" s="61">
        <f>Expenses!I242</f>
        <v>0</v>
      </c>
      <c r="D242" s="242" t="s">
        <v>473</v>
      </c>
      <c r="E242" s="452">
        <f>VLOOKUP(D242,'S-Alloc Met-TY Adj'!$C$8:$D$10,2,FALSE)*C242</f>
        <v>0</v>
      </c>
      <c r="F242" s="452">
        <f>VLOOKUP(D242,'S-Alloc Met-TY Adj'!$C$8:$E$10,3,FALSE)*C242</f>
        <v>0</v>
      </c>
      <c r="G242" s="452">
        <f>VLOOKUP(D242,'S-Alloc Met-TY Adj'!$C$8:$F$10,4,FALSE)*C242</f>
        <v>0</v>
      </c>
      <c r="H242" s="795"/>
    </row>
    <row r="243" spans="1:8">
      <c r="A243" s="53"/>
      <c r="B243" s="216" t="str">
        <f>Expenses!C243</f>
        <v>-</v>
      </c>
      <c r="C243" s="61">
        <f>Expenses!I243</f>
        <v>0</v>
      </c>
      <c r="D243" s="242" t="s">
        <v>473</v>
      </c>
      <c r="E243" s="452">
        <f>VLOOKUP(D243,'S-Alloc Met-TY Adj'!$C$8:$D$10,2,FALSE)*C243</f>
        <v>0</v>
      </c>
      <c r="F243" s="452">
        <f>VLOOKUP(D243,'S-Alloc Met-TY Adj'!$C$8:$E$10,3,FALSE)*C243</f>
        <v>0</v>
      </c>
      <c r="G243" s="452">
        <f>VLOOKUP(D243,'S-Alloc Met-TY Adj'!$C$8:$F$10,4,FALSE)*C243</f>
        <v>0</v>
      </c>
      <c r="H243" s="795"/>
    </row>
    <row r="244" spans="1:8">
      <c r="A244" s="794"/>
      <c r="B244" s="453" t="s">
        <v>30</v>
      </c>
      <c r="C244" s="454">
        <f>SUM(C225:C243)</f>
        <v>295809.40000000002</v>
      </c>
      <c r="D244" s="454"/>
      <c r="E244" s="454">
        <f>SUM(E225:E243)</f>
        <v>295809.40000000002</v>
      </c>
      <c r="F244" s="454">
        <f>SUM(F225:F243)</f>
        <v>0</v>
      </c>
      <c r="G244" s="454">
        <f>SUM(G225:G243)</f>
        <v>0</v>
      </c>
      <c r="H244" s="795"/>
    </row>
    <row r="245" spans="1:8">
      <c r="A245" s="53"/>
      <c r="B245" s="222"/>
      <c r="C245" s="42"/>
      <c r="H245" s="795"/>
    </row>
    <row r="246" spans="1:8" ht="15.75" thickBot="1">
      <c r="A246" s="794"/>
      <c r="B246" s="455" t="s">
        <v>38</v>
      </c>
      <c r="C246" s="456">
        <f>SUM(C36,C73,C94,C116,C138,C173,C222,C244)</f>
        <v>7533177.3730030004</v>
      </c>
      <c r="D246" s="456"/>
      <c r="E246" s="456">
        <f>SUM(E36,E73,E94,E116,E138,E173,E222,E244)</f>
        <v>7166215.174586623</v>
      </c>
      <c r="F246" s="456">
        <f>SUM(F36,F73,F94,F116,F138,F173,F222,F244)</f>
        <v>366962.19841637649</v>
      </c>
      <c r="G246" s="456">
        <f>SUM(G36,G73,G94,G116,G138,G173,G222,G244)</f>
        <v>0</v>
      </c>
      <c r="H246" s="797"/>
    </row>
    <row r="249" spans="1:8">
      <c r="A249" s="108" t="s">
        <v>100</v>
      </c>
    </row>
    <row r="250" spans="1:8">
      <c r="A250" s="108" t="s">
        <v>475</v>
      </c>
    </row>
  </sheetData>
  <mergeCells count="7">
    <mergeCell ref="H1:H3"/>
    <mergeCell ref="B1:B2"/>
    <mergeCell ref="C1:C3"/>
    <mergeCell ref="D1:D3"/>
    <mergeCell ref="E1:E3"/>
    <mergeCell ref="F1:F3"/>
    <mergeCell ref="G1:G3"/>
  </mergeCells>
  <pageMargins left="0.7" right="0.7" top="0.75" bottom="0.75" header="0.3" footer="0.3"/>
  <pageSetup paperSize="3" orientation="landscape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E0510-02A4-4219-B5BC-07CAC05C1566}">
  <sheetPr>
    <tabColor rgb="FFC00000"/>
  </sheetPr>
  <dimension ref="A1:N12"/>
  <sheetViews>
    <sheetView workbookViewId="0">
      <selection sqref="A1:A2"/>
    </sheetView>
  </sheetViews>
  <sheetFormatPr defaultRowHeight="15"/>
  <cols>
    <col min="1" max="1" width="13.28515625" customWidth="1"/>
    <col min="2" max="2" width="11.85546875" bestFit="1" customWidth="1"/>
    <col min="3" max="3" width="13.140625" customWidth="1"/>
    <col min="4" max="4" width="10.140625" customWidth="1"/>
    <col min="5" max="5" width="10.28515625" bestFit="1" customWidth="1"/>
    <col min="6" max="6" width="12.42578125" customWidth="1"/>
    <col min="7" max="7" width="12.7109375" customWidth="1"/>
    <col min="8" max="8" width="10.28515625" bestFit="1" customWidth="1"/>
    <col min="9" max="10" width="11.85546875" bestFit="1" customWidth="1"/>
    <col min="11" max="11" width="11.28515625" bestFit="1" customWidth="1"/>
    <col min="12" max="12" width="12.85546875" customWidth="1"/>
    <col min="13" max="13" width="11" customWidth="1"/>
    <col min="14" max="14" width="9.7109375" bestFit="1" customWidth="1"/>
  </cols>
  <sheetData>
    <row r="1" spans="1:14" ht="30" customHeight="1">
      <c r="A1" s="861" t="s">
        <v>573</v>
      </c>
      <c r="B1" s="863" t="s">
        <v>106</v>
      </c>
      <c r="C1" s="863" t="s">
        <v>155</v>
      </c>
      <c r="D1" s="863" t="s">
        <v>202</v>
      </c>
      <c r="E1" s="863" t="s">
        <v>476</v>
      </c>
      <c r="F1" s="863" t="s">
        <v>85</v>
      </c>
      <c r="G1" s="863" t="s">
        <v>281</v>
      </c>
      <c r="H1" s="863" t="s">
        <v>35</v>
      </c>
      <c r="I1" s="863" t="s">
        <v>36</v>
      </c>
      <c r="J1" s="872" t="s">
        <v>477</v>
      </c>
      <c r="K1" s="866" t="s">
        <v>406</v>
      </c>
      <c r="L1" s="869" t="s">
        <v>478</v>
      </c>
      <c r="M1" s="866" t="s">
        <v>408</v>
      </c>
      <c r="N1" s="866" t="s">
        <v>409</v>
      </c>
    </row>
    <row r="2" spans="1:14" ht="55.15" customHeight="1" thickBot="1">
      <c r="A2" s="862"/>
      <c r="B2" s="864"/>
      <c r="C2" s="864"/>
      <c r="D2" s="864"/>
      <c r="E2" s="864"/>
      <c r="F2" s="864"/>
      <c r="G2" s="864"/>
      <c r="H2" s="864"/>
      <c r="I2" s="864"/>
      <c r="J2" s="873"/>
      <c r="K2" s="867"/>
      <c r="L2" s="870"/>
      <c r="M2" s="867"/>
      <c r="N2" s="867"/>
    </row>
    <row r="3" spans="1:14" ht="15.75" thickBot="1">
      <c r="A3" s="143" t="s">
        <v>6</v>
      </c>
      <c r="B3" s="865"/>
      <c r="C3" s="865"/>
      <c r="D3" s="865"/>
      <c r="E3" s="865"/>
      <c r="F3" s="865"/>
      <c r="G3" s="865"/>
      <c r="H3" s="865"/>
      <c r="I3" s="865"/>
      <c r="J3" s="874"/>
      <c r="K3" s="868"/>
      <c r="L3" s="871"/>
      <c r="M3" s="868"/>
      <c r="N3" s="868"/>
    </row>
    <row r="4" spans="1:14">
      <c r="A4" s="144" t="s">
        <v>471</v>
      </c>
      <c r="B4" s="461">
        <f>'S-Exp Alloc-TY Adj'!E36</f>
        <v>3177375.9178335685</v>
      </c>
      <c r="C4" s="461">
        <f>'S-Exp Alloc-TY Adj'!E73</f>
        <v>460083.07559265499</v>
      </c>
      <c r="D4" s="461">
        <f>'S-Exp Alloc-TY Adj'!E94</f>
        <v>272185.1332942</v>
      </c>
      <c r="E4" s="461">
        <f>'S-Exp Alloc-TY Adj'!E116</f>
        <v>334210.9478662</v>
      </c>
      <c r="F4" s="461">
        <f>'S-Exp Alloc-TY Adj'!E138</f>
        <v>16479.599999999999</v>
      </c>
      <c r="G4" s="461">
        <f>'S-Exp Alloc-TY Adj'!E173</f>
        <v>2163615.2999999998</v>
      </c>
      <c r="H4" s="461">
        <f>'S-Exp Alloc-TY Adj'!E222</f>
        <v>446455.8</v>
      </c>
      <c r="I4" s="461">
        <f>'S-Exp Alloc-TY Adj'!E244</f>
        <v>295809.40000000002</v>
      </c>
      <c r="J4" s="535">
        <f>'S-Exp Alloc-TY Adj'!E246</f>
        <v>7166215.174586623</v>
      </c>
      <c r="K4" s="536">
        <f>($B$4*'S-Alloc Met-TY Adj'!C22)+($C$4*'S-Alloc Met-TY Adj'!C22)+($D$4*'S-Alloc Met-TY Adj'!C22)+($E$4*'S-Alloc Met-TY Adj'!C22)+($F$4*'S-Alloc Met-TY Adj'!C22)+($G$4*'S-Alloc Met-TY Adj'!C22)+($H$4*'S-Alloc Met-TY Adj'!C22)+($I$4*'S-Alloc Met-TY Adj'!C22)</f>
        <v>3982116.4653959968</v>
      </c>
      <c r="L4" s="536">
        <f>($B$4*'S-Alloc Met-TY Adj'!D22)+($C$4*'S-Alloc Met-TY Adj'!D22)+($D$4*'S-Alloc Met-TY Adj'!D22)+($E$4*'S-Alloc Met-TY Adj'!D22)+($F$4*'S-Alloc Met-TY Adj'!D22)+($G$4*'S-Alloc Met-TY Adj'!D22)+($H$4*'S-Alloc Met-TY Adj'!D22)+($I$4*'S-Alloc Met-TY Adj'!D22)</f>
        <v>894772.19299403823</v>
      </c>
      <c r="M4" s="536">
        <f>($B$4*'S-Alloc Met-TY Adj'!E22)+($C$4*'S-Alloc Met-TY Adj'!E22)+($D$4*'S-Alloc Met-TY Adj'!E22)+($E$4*'S-Alloc Met-TY Adj'!E22)+($F$4*'S-Alloc Met-TY Adj'!E22)+($G$4*'S-Alloc Met-TY Adj'!E22)+($H$4*'S-Alloc Met-TY Adj'!E22)+($I$4*'S-Alloc Met-TY Adj'!E22)</f>
        <v>2172588.4251936022</v>
      </c>
      <c r="N4" s="536">
        <f>($B$4*'S-Alloc Met-TY Adj'!F22)+($C$4*'S-Alloc Met-TY Adj'!F22)+($D$4*'S-Alloc Met-TY Adj'!F22)+($E$4*'S-Alloc Met-TY Adj'!F22)+($F$4*'S-Alloc Met-TY Adj'!F22)+($G$4*'S-Alloc Met-TY Adj'!F22)+($H$4*'S-Alloc Met-TY Adj'!F22)+($I$4*'S-Alloc Met-TY Adj'!F22)</f>
        <v>116738.0910029862</v>
      </c>
    </row>
    <row r="5" spans="1:14">
      <c r="A5" s="145" t="s">
        <v>458</v>
      </c>
      <c r="B5" s="537">
        <f>'S-Exp Alloc-TY Adj'!F36</f>
        <v>363771.08216643136</v>
      </c>
      <c r="C5" s="537">
        <f>'S-Exp Alloc-TY Adj'!F73</f>
        <v>3191.1162499451552</v>
      </c>
      <c r="D5" s="537">
        <f>'S-Exp Alloc-TY Adj'!F94</f>
        <v>0</v>
      </c>
      <c r="E5" s="537">
        <f>'S-Exp Alloc-TY Adj'!F116</f>
        <v>0</v>
      </c>
      <c r="F5" s="537">
        <f>'S-Exp Alloc-TY Adj'!F138</f>
        <v>0</v>
      </c>
      <c r="G5" s="537">
        <f>'S-Exp Alloc-TY Adj'!F173</f>
        <v>0</v>
      </c>
      <c r="H5" s="537">
        <f>'S-Exp Alloc-TY Adj'!F222</f>
        <v>0</v>
      </c>
      <c r="I5" s="537">
        <f>'S-Exp Alloc-TY Adj'!F244</f>
        <v>0</v>
      </c>
      <c r="J5" s="538">
        <f>'S-Exp Alloc-TY Adj'!F246</f>
        <v>366962.19841637649</v>
      </c>
      <c r="K5" s="536">
        <f>($B$5*'S-Alloc Met-TY Adj'!C23)+($C$5*'S-Alloc Met-TY Adj'!C23)+($D$5*'S-Alloc Met-TY Adj'!C23)+($E$5*'S-Alloc Met-TY Adj'!C23)+($F$5*'S-Alloc Met-TY Adj'!C23)+($G$5*'S-Alloc Met-TY Adj'!C23)+($H$5*'S-Alloc Met-TY Adj'!C23)+($I$5*'S-Alloc Met-TY Adj'!C23)</f>
        <v>184185.15613640906</v>
      </c>
      <c r="L5" s="536">
        <f>($B$5*'S-Alloc Met-TY Adj'!D23)+($C$5*'S-Alloc Met-TY Adj'!D23)+($D$5*'S-Alloc Met-TY Adj'!D23)+($E$5*'S-Alloc Met-TY Adj'!D23)+($F$5*'S-Alloc Met-TY Adj'!D23)+($G$5*'S-Alloc Met-TY Adj'!D23)+($H$5*'S-Alloc Met-TY Adj'!D23)+($I$5*'S-Alloc Met-TY Adj'!D23)</f>
        <v>64403.682005574767</v>
      </c>
      <c r="M5" s="536">
        <f>($B$5*'S-Alloc Met-TY Adj'!E23)+($C$5*'S-Alloc Met-TY Adj'!E23)+($D$5*'S-Alloc Met-TY Adj'!E23)+($E$5*'S-Alloc Met-TY Adj'!E23)+($F$5*'S-Alloc Met-TY Adj'!E23)+($G$5*'S-Alloc Met-TY Adj'!E23)+($H$5*'S-Alloc Met-TY Adj'!E23)+($I$5*'S-Alloc Met-TY Adj'!E23)</f>
        <v>111104.32180857165</v>
      </c>
      <c r="N5" s="536">
        <f>($B$5*'S-Alloc Met-TY Adj'!F23)+($C$5*'S-Alloc Met-TY Adj'!F23)+($D$5*'S-Alloc Met-TY Adj'!F23)+($E$5*'S-Alloc Met-TY Adj'!F23)+($F$5*'S-Alloc Met-TY Adj'!F23)+($G$5*'S-Alloc Met-TY Adj'!F23)+($H$5*'S-Alloc Met-TY Adj'!F23)+($I$5*'S-Alloc Met-TY Adj'!F23)</f>
        <v>7269.0384658210405</v>
      </c>
    </row>
    <row r="6" spans="1:14" ht="15.75" thickBot="1">
      <c r="A6" s="146" t="s">
        <v>472</v>
      </c>
      <c r="B6" s="539">
        <f>'S-Exp Alloc-TY Adj'!G36</f>
        <v>0</v>
      </c>
      <c r="C6" s="539">
        <f>'S-Exp Alloc-TY Adj'!G73</f>
        <v>0</v>
      </c>
      <c r="D6" s="539">
        <f>'S-Exp Alloc-TY Adj'!G94</f>
        <v>0</v>
      </c>
      <c r="E6" s="539">
        <f>'S-Exp Alloc-TY Adj'!G116</f>
        <v>0</v>
      </c>
      <c r="F6" s="539">
        <f>'S-Exp Alloc-TY Adj'!G138</f>
        <v>0</v>
      </c>
      <c r="G6" s="539">
        <f>'S-Exp Alloc-TY Adj'!G173</f>
        <v>0</v>
      </c>
      <c r="H6" s="539">
        <f>'S-Exp Alloc-TY Adj'!G222</f>
        <v>0</v>
      </c>
      <c r="I6" s="539">
        <f>'S-Exp Alloc-TY Adj'!G244</f>
        <v>0</v>
      </c>
      <c r="J6" s="540">
        <f>'S-Exp Alloc-TY Adj'!G246</f>
        <v>0</v>
      </c>
      <c r="K6" s="536">
        <f>($B$6*'S-Alloc Met-TY Adj'!C24)+($C$6*'S-Alloc Met-TY Adj'!C24)+($D$6*'S-Alloc Met-TY Adj'!C24)+($E$6*'S-Alloc Met-TY Adj'!C24)+($F$6*'S-Alloc Met-TY Adj'!C24)+($G$6*'S-Alloc Met-TY Adj'!C24)+($H$6*'S-Alloc Met-TY Adj'!C24)+($I$6*'S-Alloc Met-TY Adj'!C24)</f>
        <v>0</v>
      </c>
      <c r="L6" s="536">
        <f>($B$6*'S-Alloc Met-TY Adj'!D24)+($C$6*'S-Alloc Met-TY Adj'!D24)+($D$6*'S-Alloc Met-TY Adj'!D24)+($E$6*'S-Alloc Met-TY Adj'!D24)+($F$6*'S-Alloc Met-TY Adj'!D24)+($G$6*'S-Alloc Met-TY Adj'!D24)+($H$6*'S-Alloc Met-TY Adj'!D24)+($I$6*'S-Alloc Met-TY Adj'!D24)</f>
        <v>0</v>
      </c>
      <c r="M6" s="536">
        <f>($B$6*'S-Alloc Met-TY Adj'!E24)+($C$6*'S-Alloc Met-TY Adj'!E24)+($D$6*'S-Alloc Met-TY Adj'!E24)+($E$6*'S-Alloc Met-TY Adj'!E24)+($F$6*'S-Alloc Met-TY Adj'!E24)+($G$6*'S-Alloc Met-TY Adj'!E24)+($H$6*'S-Alloc Met-TY Adj'!E24)+($I$6*'S-Alloc Met-TY Adj'!E24)</f>
        <v>0</v>
      </c>
      <c r="N6" s="536">
        <f>($B$6*'S-Alloc Met-TY Adj'!F24)+($C$6*'S-Alloc Met-TY Adj'!F24)+($D$6*'S-Alloc Met-TY Adj'!F24)+($E$6*'S-Alloc Met-TY Adj'!F24)+($F$6*'S-Alloc Met-TY Adj'!F24)+($G$6*'S-Alloc Met-TY Adj'!F24)+($H$6*'S-Alloc Met-TY Adj'!F24)+($I$6*'S-Alloc Met-TY Adj'!F24)</f>
        <v>0</v>
      </c>
    </row>
    <row r="7" spans="1:14" ht="15.75" thickBot="1">
      <c r="A7" s="462" t="s">
        <v>38</v>
      </c>
      <c r="B7" s="463">
        <f>SUM(B4:B6)</f>
        <v>3541147</v>
      </c>
      <c r="C7" s="463">
        <f t="shared" ref="C7:I7" si="0">SUM(C4:C6)</f>
        <v>463274.19184260012</v>
      </c>
      <c r="D7" s="463">
        <f t="shared" si="0"/>
        <v>272185.1332942</v>
      </c>
      <c r="E7" s="463">
        <f t="shared" si="0"/>
        <v>334210.9478662</v>
      </c>
      <c r="F7" s="463">
        <f t="shared" si="0"/>
        <v>16479.599999999999</v>
      </c>
      <c r="G7" s="463">
        <f t="shared" si="0"/>
        <v>2163615.2999999998</v>
      </c>
      <c r="H7" s="463">
        <f t="shared" si="0"/>
        <v>446455.8</v>
      </c>
      <c r="I7" s="463">
        <f t="shared" si="0"/>
        <v>295809.40000000002</v>
      </c>
      <c r="J7" s="464">
        <f>SUM(J4:J6)</f>
        <v>7533177.3730029995</v>
      </c>
      <c r="K7" s="464">
        <f>SUM(K4:K6)</f>
        <v>4166301.6215324057</v>
      </c>
      <c r="L7" s="464">
        <f>SUM(L4:L6)</f>
        <v>959175.87499961304</v>
      </c>
      <c r="M7" s="464">
        <f>SUM(M4:M6)</f>
        <v>2283692.7470021737</v>
      </c>
      <c r="N7" s="464">
        <f>SUM(N4:N6)</f>
        <v>124007.12946880724</v>
      </c>
    </row>
    <row r="8" spans="1:14" ht="15.75" thickBot="1">
      <c r="A8" s="147" t="s">
        <v>479</v>
      </c>
      <c r="B8" s="147"/>
      <c r="C8" s="147"/>
      <c r="D8" s="147"/>
      <c r="E8" s="147"/>
      <c r="F8" s="147"/>
      <c r="G8" s="147"/>
      <c r="H8" s="147"/>
      <c r="I8" s="147"/>
      <c r="J8" s="465">
        <f>SUM(K8:N8)</f>
        <v>1</v>
      </c>
      <c r="K8" s="465">
        <f>K7/$J$7</f>
        <v>0.55306033765557894</v>
      </c>
      <c r="L8" s="465">
        <f>L7/$J$7</f>
        <v>0.12732686720440919</v>
      </c>
      <c r="M8" s="465">
        <f>M7/$J$7</f>
        <v>0.30315133096246349</v>
      </c>
      <c r="N8" s="465">
        <f>N7/$J$7</f>
        <v>1.6461464177548426E-2</v>
      </c>
    </row>
    <row r="11" spans="1:14">
      <c r="A11" s="108" t="s">
        <v>100</v>
      </c>
    </row>
    <row r="12" spans="1:14">
      <c r="A12" s="108" t="s">
        <v>576</v>
      </c>
    </row>
  </sheetData>
  <mergeCells count="14">
    <mergeCell ref="N1:N3"/>
    <mergeCell ref="F1:F3"/>
    <mergeCell ref="A1:A2"/>
    <mergeCell ref="B1:B3"/>
    <mergeCell ref="C1:C3"/>
    <mergeCell ref="D1:D3"/>
    <mergeCell ref="E1:E3"/>
    <mergeCell ref="L1:L3"/>
    <mergeCell ref="M1:M3"/>
    <mergeCell ref="G1:G3"/>
    <mergeCell ref="H1:H3"/>
    <mergeCell ref="I1:I3"/>
    <mergeCell ref="J1:J3"/>
    <mergeCell ref="K1:K3"/>
  </mergeCells>
  <pageMargins left="0.7" right="0.7" top="0.75" bottom="0.75" header="0.3" footer="0.3"/>
  <pageSetup paperSize="3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3EBFE-7295-4EB2-8ADA-64CDB22ECB53}">
  <sheetPr>
    <tabColor rgb="FFC00000"/>
  </sheetPr>
  <dimension ref="A1:U58"/>
  <sheetViews>
    <sheetView tabSelected="1" workbookViewId="0">
      <selection sqref="A1:A2"/>
    </sheetView>
  </sheetViews>
  <sheetFormatPr defaultRowHeight="15"/>
  <cols>
    <col min="1" max="1" width="13.28515625" bestFit="1" customWidth="1"/>
    <col min="2" max="2" width="13.7109375" customWidth="1"/>
    <col min="3" max="3" width="14" bestFit="1" customWidth="1"/>
    <col min="4" max="4" width="13" customWidth="1"/>
    <col min="5" max="5" width="15.5703125" customWidth="1"/>
    <col min="6" max="6" width="14.5703125" bestFit="1" customWidth="1"/>
    <col min="7" max="7" width="11.85546875" bestFit="1" customWidth="1"/>
    <col min="8" max="8" width="12.5703125" customWidth="1"/>
    <col min="9" max="9" width="12.85546875" bestFit="1" customWidth="1"/>
    <col min="11" max="12" width="12.85546875" bestFit="1" customWidth="1"/>
    <col min="13" max="14" width="0" hidden="1" customWidth="1"/>
    <col min="15" max="15" width="11.28515625" hidden="1" customWidth="1"/>
    <col min="16" max="16" width="11.85546875" hidden="1" customWidth="1"/>
    <col min="19" max="19" width="10.5703125" bestFit="1" customWidth="1"/>
    <col min="21" max="21" width="9.5703125" bestFit="1" customWidth="1"/>
  </cols>
  <sheetData>
    <row r="1" spans="1:21" ht="45">
      <c r="A1" s="911" t="s">
        <v>577</v>
      </c>
      <c r="B1" s="913" t="s">
        <v>499</v>
      </c>
      <c r="C1" s="914"/>
      <c r="D1" s="913" t="s">
        <v>500</v>
      </c>
      <c r="E1" s="914"/>
      <c r="F1" s="102" t="s">
        <v>501</v>
      </c>
      <c r="G1" s="102" t="s">
        <v>502</v>
      </c>
      <c r="H1" s="102" t="s">
        <v>503</v>
      </c>
      <c r="I1" s="920" t="s">
        <v>504</v>
      </c>
      <c r="J1" s="921"/>
      <c r="K1" s="799" t="s">
        <v>578</v>
      </c>
      <c r="L1" s="799" t="s">
        <v>503</v>
      </c>
      <c r="M1" s="915" t="s">
        <v>506</v>
      </c>
      <c r="N1" s="916"/>
      <c r="O1" s="916"/>
      <c r="P1" s="917"/>
    </row>
    <row r="2" spans="1:21" ht="39.75" thickBot="1">
      <c r="A2" s="912"/>
      <c r="B2" s="314" t="s">
        <v>507</v>
      </c>
      <c r="C2" s="22" t="s">
        <v>508</v>
      </c>
      <c r="D2" s="104" t="s">
        <v>507</v>
      </c>
      <c r="E2" s="393" t="s">
        <v>508</v>
      </c>
      <c r="F2" s="314" t="s">
        <v>507</v>
      </c>
      <c r="G2" s="314" t="s">
        <v>507</v>
      </c>
      <c r="H2" s="315" t="s">
        <v>507</v>
      </c>
      <c r="I2" s="314" t="s">
        <v>507</v>
      </c>
      <c r="J2" s="479" t="s">
        <v>508</v>
      </c>
      <c r="K2" s="105" t="s">
        <v>507</v>
      </c>
      <c r="L2" s="105" t="s">
        <v>507</v>
      </c>
      <c r="M2" s="106" t="s">
        <v>509</v>
      </c>
      <c r="N2" s="499" t="s">
        <v>510</v>
      </c>
      <c r="O2" s="499" t="s">
        <v>502</v>
      </c>
      <c r="P2" s="500" t="s">
        <v>511</v>
      </c>
    </row>
    <row r="3" spans="1:21">
      <c r="A3" s="484" t="s">
        <v>512</v>
      </c>
      <c r="B3" s="804"/>
      <c r="C3" s="395"/>
      <c r="D3" s="807"/>
      <c r="E3" s="806"/>
      <c r="F3" s="808"/>
      <c r="G3" s="809"/>
      <c r="H3" s="809"/>
      <c r="I3" s="811"/>
      <c r="J3" s="812"/>
      <c r="K3" s="809"/>
      <c r="L3" s="813"/>
      <c r="M3" s="758"/>
      <c r="N3" s="509"/>
      <c r="O3" s="501"/>
      <c r="P3" s="502"/>
    </row>
    <row r="4" spans="1:21">
      <c r="A4" s="317" t="s">
        <v>406</v>
      </c>
      <c r="B4" s="802">
        <f>'S-Alloc %-TY Adj'!K7</f>
        <v>4166301.6215324057</v>
      </c>
      <c r="C4" s="803">
        <f>'S-Alloc %-TY Adj'!K8</f>
        <v>0.55306033765557894</v>
      </c>
      <c r="D4" s="802">
        <f>C54</f>
        <v>2612332.4330496001</v>
      </c>
      <c r="E4" s="805">
        <v>0.42516660000000001</v>
      </c>
      <c r="F4" s="541">
        <f>(Revenues!$I$30+Revenues!$I$41)*E4</f>
        <v>227956.89908940002</v>
      </c>
      <c r="G4" s="810">
        <f>SUM(D4,F4)</f>
        <v>2840289.3321390003</v>
      </c>
      <c r="H4" s="810">
        <f>G4-B4</f>
        <v>-1326012.2893934054</v>
      </c>
      <c r="I4" s="468">
        <f>D4*J4</f>
        <v>362566.07873761689</v>
      </c>
      <c r="J4" s="714">
        <v>0.13879017622361423</v>
      </c>
      <c r="K4" s="810">
        <f>SUM(G4,I4)</f>
        <v>3202855.4108766173</v>
      </c>
      <c r="L4" s="761">
        <f>K4-B4</f>
        <v>-963446.21065578843</v>
      </c>
      <c r="M4" s="759">
        <v>3.42</v>
      </c>
      <c r="N4" s="510">
        <f>M4*(1+J4)</f>
        <v>3.89466240268476</v>
      </c>
      <c r="O4" s="469">
        <f>((N4*'S-Sales By Meter Adj'!K15)/1000)+F4</f>
        <v>3293664.3031165493</v>
      </c>
      <c r="P4" s="470">
        <f>O4-B4</f>
        <v>-872637.31841585645</v>
      </c>
    </row>
    <row r="5" spans="1:21">
      <c r="A5" s="318" t="s">
        <v>407</v>
      </c>
      <c r="B5" s="466">
        <f>'S-Alloc %-TY Adj'!L7</f>
        <v>959175.87499961304</v>
      </c>
      <c r="C5" s="630">
        <f>'S-Alloc %-TY Adj'!L8</f>
        <v>0.12732686720440919</v>
      </c>
      <c r="D5" s="466">
        <f>C55</f>
        <v>823063.64328960003</v>
      </c>
      <c r="E5" s="631">
        <v>0.13395660000000001</v>
      </c>
      <c r="F5" s="541">
        <f>(Revenues!$I$30+Revenues!$I$41)*E5</f>
        <v>71822.036699400007</v>
      </c>
      <c r="G5" s="467">
        <f>SUM(D5,F5)</f>
        <v>894885.67998900008</v>
      </c>
      <c r="H5" s="467">
        <f>G5-B5</f>
        <v>-64290.195010612952</v>
      </c>
      <c r="I5" s="468">
        <f>D5*J5</f>
        <v>114233.14809541355</v>
      </c>
      <c r="J5" s="714">
        <v>0.13879017622361423</v>
      </c>
      <c r="K5" s="467">
        <f>SUM(G5,I5)</f>
        <v>1009118.8280844137</v>
      </c>
      <c r="L5" s="761">
        <f>K5-B5</f>
        <v>49942.953084800625</v>
      </c>
      <c r="M5" s="759">
        <v>4.79</v>
      </c>
      <c r="N5" s="510">
        <f>M5*(1+J5)</f>
        <v>5.4548049441111113</v>
      </c>
      <c r="O5" s="469">
        <f>((N5*'S-Sales By Meter Adj'!AP15)/1000)+F5</f>
        <v>1036625.0058988633</v>
      </c>
      <c r="P5" s="470">
        <f>O5-B5</f>
        <v>77449.130899250275</v>
      </c>
    </row>
    <row r="6" spans="1:21">
      <c r="A6" s="317" t="s">
        <v>408</v>
      </c>
      <c r="B6" s="466">
        <f>'S-Alloc %-TY Adj'!M7</f>
        <v>2283692.7470021737</v>
      </c>
      <c r="C6" s="630">
        <f>'S-Alloc %-TY Adj'!M8</f>
        <v>0.30315133096246349</v>
      </c>
      <c r="D6" s="466">
        <f>C56</f>
        <v>2528833.2228607996</v>
      </c>
      <c r="E6" s="631">
        <v>0.41157679999999996</v>
      </c>
      <c r="F6" s="541">
        <f>(Revenues!$I$30+Revenues!$I$41)*E6</f>
        <v>220670.60551119997</v>
      </c>
      <c r="G6" s="467">
        <f>SUM(D6,F6)</f>
        <v>2749503.8283719998</v>
      </c>
      <c r="H6" s="467">
        <f>G6-B6</f>
        <v>465811.0813698261</v>
      </c>
      <c r="I6" s="468">
        <f>D6*J6</f>
        <v>350977.20864098071</v>
      </c>
      <c r="J6" s="714">
        <v>0.13879017622361423</v>
      </c>
      <c r="K6" s="467">
        <f>SUM(G6,I6)</f>
        <v>3100481.0370129803</v>
      </c>
      <c r="L6" s="761">
        <f>K6-B6</f>
        <v>816788.29001080664</v>
      </c>
      <c r="M6" s="759">
        <v>6.07</v>
      </c>
      <c r="N6" s="510">
        <f>M6*(1+J6)</f>
        <v>6.9124563696773382</v>
      </c>
      <c r="O6" s="469">
        <f>((N6*'S-Sales By Meter Adj'!AX15)/1000)+F6</f>
        <v>3189305.5235858401</v>
      </c>
      <c r="P6" s="470">
        <f>O6-B6</f>
        <v>905612.77658366645</v>
      </c>
    </row>
    <row r="7" spans="1:21" ht="15.75" thickBot="1">
      <c r="A7" s="608" t="s">
        <v>409</v>
      </c>
      <c r="B7" s="466">
        <f>'S-Alloc %-TY Adj'!N7</f>
        <v>124007.12946880724</v>
      </c>
      <c r="C7" s="630">
        <f>'S-Alloc %-TY Adj'!N8</f>
        <v>1.6461464177548426E-2</v>
      </c>
      <c r="D7" s="466">
        <f>C57</f>
        <v>180026.70079999996</v>
      </c>
      <c r="E7" s="631">
        <v>2.9299999999999993E-2</v>
      </c>
      <c r="F7" s="541">
        <f>(Revenues!$I$30+Revenues!$I$41)*E7</f>
        <v>15709.458699999996</v>
      </c>
      <c r="G7" s="467">
        <f>SUM(D7,F7)</f>
        <v>195736.15949999995</v>
      </c>
      <c r="H7" s="467">
        <f>G7-B7</f>
        <v>71729.030031192713</v>
      </c>
      <c r="I7" s="468">
        <f>D7*J7</f>
        <v>24985.937528987866</v>
      </c>
      <c r="J7" s="714">
        <v>0.13879017622361423</v>
      </c>
      <c r="K7" s="467">
        <f>SUM(G7,I7)</f>
        <v>220722.09702898783</v>
      </c>
      <c r="L7" s="761">
        <f>K7-B7</f>
        <v>96714.967560180594</v>
      </c>
      <c r="M7" s="760">
        <v>7.87</v>
      </c>
      <c r="N7" s="510">
        <f>M7*(1+J7)</f>
        <v>8.9622786868798432</v>
      </c>
      <c r="O7" s="469">
        <f>((N7*'S-Sales By Meter Adj'!AX16)/1000)+F7</f>
        <v>15709.461417102742</v>
      </c>
      <c r="P7" s="470">
        <f>O7-B7</f>
        <v>-108297.6680517045</v>
      </c>
    </row>
    <row r="8" spans="1:21" ht="15.75" thickBot="1">
      <c r="A8" s="633" t="s">
        <v>30</v>
      </c>
      <c r="B8" s="611">
        <f>SUM(B4:B7)</f>
        <v>7533177.3730029995</v>
      </c>
      <c r="C8" s="612">
        <f t="shared" ref="C8:H8" si="0">SUM(C4:C7)</f>
        <v>1</v>
      </c>
      <c r="D8" s="613">
        <f t="shared" si="0"/>
        <v>6144256</v>
      </c>
      <c r="E8" s="632">
        <f t="shared" si="0"/>
        <v>1</v>
      </c>
      <c r="F8" s="614">
        <f t="shared" si="0"/>
        <v>536159</v>
      </c>
      <c r="G8" s="615">
        <f t="shared" si="0"/>
        <v>6680415</v>
      </c>
      <c r="H8" s="615">
        <f t="shared" si="0"/>
        <v>-852762.37300299958</v>
      </c>
      <c r="I8" s="615">
        <f>D8*J8</f>
        <v>852762.373002999</v>
      </c>
      <c r="J8" s="715">
        <v>0.13879017622361423</v>
      </c>
      <c r="K8" s="615">
        <f>SUM(G8,I8)</f>
        <v>7533177.3730029985</v>
      </c>
      <c r="L8" s="762">
        <f>K8-B8</f>
        <v>0</v>
      </c>
      <c r="M8" s="616"/>
      <c r="N8" s="616"/>
      <c r="O8" s="617">
        <f>SUM(O3:O7)</f>
        <v>7535304.2940183561</v>
      </c>
      <c r="P8" s="618">
        <f>SUM(P3:P7)</f>
        <v>2126.9210153557651</v>
      </c>
    </row>
    <row r="9" spans="1:21" ht="15.75" thickBot="1"/>
    <row r="10" spans="1:21" ht="51">
      <c r="A10" s="911" t="s">
        <v>513</v>
      </c>
      <c r="B10" s="103" t="s">
        <v>514</v>
      </c>
      <c r="C10" s="102" t="s">
        <v>515</v>
      </c>
      <c r="D10" s="102" t="s">
        <v>516</v>
      </c>
      <c r="E10" s="102" t="s">
        <v>517</v>
      </c>
      <c r="F10" s="102" t="s">
        <v>518</v>
      </c>
      <c r="G10" s="913" t="s">
        <v>519</v>
      </c>
      <c r="H10" s="914"/>
    </row>
    <row r="11" spans="1:21" ht="15.75" thickBot="1">
      <c r="A11" s="912"/>
      <c r="B11" s="104" t="s">
        <v>507</v>
      </c>
      <c r="C11" s="105" t="s">
        <v>507</v>
      </c>
      <c r="D11" s="105" t="s">
        <v>507</v>
      </c>
      <c r="E11" s="105" t="s">
        <v>507</v>
      </c>
      <c r="F11" s="105" t="s">
        <v>507</v>
      </c>
      <c r="G11" s="918" t="s">
        <v>507</v>
      </c>
      <c r="H11" s="919"/>
    </row>
    <row r="12" spans="1:21">
      <c r="A12" s="546" t="s">
        <v>512</v>
      </c>
      <c r="B12" s="547">
        <f>B8/'S-Sales By Meter Adj'!BC15*1000</f>
        <v>5.3179153757701627</v>
      </c>
      <c r="C12" s="547">
        <f>D8/'S-Sales By Meter Adj'!BC15*1000</f>
        <v>4.3374305206413553</v>
      </c>
      <c r="D12" s="548">
        <f>C12-B12</f>
        <v>-0.98048485512880745</v>
      </c>
      <c r="E12" s="548">
        <v>5.4</v>
      </c>
      <c r="F12" s="549">
        <f>(E12*'S-Sales By Meter'!BB15)/1000</f>
        <v>7649455.6494000005</v>
      </c>
      <c r="G12" s="941">
        <f>F12-B8</f>
        <v>116278.276397001</v>
      </c>
      <c r="H12" s="942"/>
    </row>
    <row r="13" spans="1:21">
      <c r="A13" s="317" t="s">
        <v>406</v>
      </c>
      <c r="B13" s="515">
        <f>B4/'S-Sales By Meter Adj'!K15*1000</f>
        <v>5.2928528868448765</v>
      </c>
      <c r="C13" s="515">
        <f>D4/'S-Sales By Meter Adj'!K15*1000</f>
        <v>3.3186966560955535</v>
      </c>
      <c r="D13" s="516">
        <f>C13-B13</f>
        <v>-1.974156230749323</v>
      </c>
      <c r="E13" s="527">
        <f>M4</f>
        <v>3.42</v>
      </c>
      <c r="F13" s="534">
        <f>(E13*'S-Sales By Meter'!J15)/1000</f>
        <v>2692073.9816999999</v>
      </c>
      <c r="G13" s="943">
        <f>F13-B4</f>
        <v>-1474227.6398324058</v>
      </c>
      <c r="H13" s="944"/>
      <c r="S13" s="717"/>
      <c r="U13" s="716"/>
    </row>
    <row r="14" spans="1:21">
      <c r="A14" s="318" t="s">
        <v>407</v>
      </c>
      <c r="B14" s="516">
        <f>B5/'S-Sales By Meter Adj'!AP15*1000</f>
        <v>5.4229904677442002</v>
      </c>
      <c r="C14" s="515">
        <f>D5/'S-Sales By Meter Adj'!AP15*1000</f>
        <v>4.6534388616770768</v>
      </c>
      <c r="D14" s="527">
        <f>C14-B14</f>
        <v>-0.76955160606712347</v>
      </c>
      <c r="E14" s="527">
        <f>M5</f>
        <v>4.79</v>
      </c>
      <c r="F14" s="534">
        <f>(E14*'S-Sales By Meter'!AO15)/1000</f>
        <v>847217.50270000007</v>
      </c>
      <c r="G14" s="943">
        <f>F14-B5</f>
        <v>-111958.37229961297</v>
      </c>
      <c r="H14" s="944"/>
      <c r="S14" s="717"/>
      <c r="T14" s="716"/>
      <c r="U14" s="716"/>
    </row>
    <row r="15" spans="1:21">
      <c r="A15" s="317" t="s">
        <v>408</v>
      </c>
      <c r="B15" s="515">
        <f>B6/'S-Sales By Meter Adj'!AX15*1000</f>
        <v>5.317570840148762</v>
      </c>
      <c r="C15" s="515">
        <f>D6/'S-Sales By Meter Adj'!AX15*1000</f>
        <v>5.8883796093569698</v>
      </c>
      <c r="D15" s="515">
        <f>C15-B15</f>
        <v>0.57080876920820778</v>
      </c>
      <c r="E15" s="515">
        <f>M6</f>
        <v>6.07</v>
      </c>
      <c r="F15" s="609">
        <f>(E15*'S-Sales By Meter'!AW15)/1000</f>
        <v>2606832.2154999999</v>
      </c>
      <c r="G15" s="943">
        <f>F15-B6</f>
        <v>323139.46849782625</v>
      </c>
      <c r="H15" s="944"/>
      <c r="S15" s="717"/>
      <c r="U15" s="716"/>
    </row>
    <row r="16" spans="1:21" ht="15.75" thickBot="1">
      <c r="A16" s="608" t="s">
        <v>409</v>
      </c>
      <c r="B16" s="515">
        <f>B7/'S-Sales By Meter Adj'!BB15*1000</f>
        <v>5.3738698066292594</v>
      </c>
      <c r="C16" s="515">
        <f>D7/'S-Sales By Meter Adj'!BB15*1000</f>
        <v>7.8014873496410493</v>
      </c>
      <c r="D16" s="527">
        <f>C16-B16</f>
        <v>2.4276175430117899</v>
      </c>
      <c r="E16" s="515">
        <f>M7</f>
        <v>7.87</v>
      </c>
      <c r="F16" s="609">
        <f>(E16*'S-Sales By Meter Adj'!BB15)/1000</f>
        <v>181607.69502000001</v>
      </c>
      <c r="G16" s="943">
        <f>F16-B7</f>
        <v>57600.565551192776</v>
      </c>
      <c r="H16" s="944"/>
      <c r="S16" s="717"/>
      <c r="U16" s="716"/>
    </row>
    <row r="17" spans="1:21" ht="15.75" thickBot="1">
      <c r="A17" s="801"/>
      <c r="B17" s="471"/>
      <c r="C17" s="472"/>
      <c r="D17" s="610"/>
      <c r="E17" s="471"/>
      <c r="F17" s="473"/>
      <c r="G17" s="939"/>
      <c r="H17" s="940"/>
      <c r="S17" s="717"/>
      <c r="U17" s="716"/>
    </row>
    <row r="20" spans="1:21">
      <c r="G20" s="757"/>
    </row>
    <row r="21" spans="1:21">
      <c r="H21" s="99"/>
    </row>
    <row r="22" spans="1:21">
      <c r="F22" s="108"/>
    </row>
    <row r="38" spans="2:5">
      <c r="B38" s="108" t="s">
        <v>520</v>
      </c>
      <c r="C38" s="108"/>
      <c r="D38" s="108"/>
      <c r="E38" s="108"/>
    </row>
    <row r="39" spans="2:5">
      <c r="B39" s="108"/>
      <c r="C39" s="108"/>
      <c r="D39" s="108"/>
      <c r="E39" s="108"/>
    </row>
    <row r="40" spans="2:5">
      <c r="B40" s="750"/>
      <c r="C40" s="750" t="s">
        <v>521</v>
      </c>
      <c r="D40" s="750"/>
      <c r="E40" s="750" t="s">
        <v>522</v>
      </c>
    </row>
    <row r="41" spans="2:5">
      <c r="B41" s="620" t="s">
        <v>523</v>
      </c>
      <c r="C41" s="626">
        <v>6012294.0790399825</v>
      </c>
      <c r="D41" s="627">
        <f>C41/C43</f>
        <v>0.97066466160833609</v>
      </c>
      <c r="E41" s="629">
        <f>E43*D41</f>
        <v>5964012.1710749883</v>
      </c>
    </row>
    <row r="42" spans="2:5">
      <c r="B42" s="620" t="s">
        <v>524</v>
      </c>
      <c r="C42" s="626">
        <v>181703.00032000328</v>
      </c>
      <c r="D42" s="627">
        <f>C42/C43</f>
        <v>2.9335338391663936E-2</v>
      </c>
      <c r="E42" s="629">
        <f>E43*D42</f>
        <v>180243.8289250115</v>
      </c>
    </row>
    <row r="43" spans="2:5">
      <c r="B43" s="620" t="s">
        <v>38</v>
      </c>
      <c r="C43" s="626">
        <v>6193997.0793599859</v>
      </c>
      <c r="D43" s="628">
        <f>SUM(D41:D42)</f>
        <v>1</v>
      </c>
      <c r="E43" s="626">
        <f>Revenues!I18</f>
        <v>6144256</v>
      </c>
    </row>
    <row r="44" spans="2:5">
      <c r="B44" s="108"/>
      <c r="C44" s="108"/>
      <c r="D44" s="108"/>
      <c r="E44" s="108"/>
    </row>
    <row r="45" spans="2:5">
      <c r="B45" s="108"/>
      <c r="C45" s="622"/>
      <c r="D45" s="622"/>
      <c r="E45" s="108"/>
    </row>
    <row r="46" spans="2:5">
      <c r="B46" s="750"/>
      <c r="C46" s="751" t="s">
        <v>525</v>
      </c>
      <c r="D46" s="751" t="s">
        <v>526</v>
      </c>
      <c r="E46" s="108"/>
    </row>
    <row r="47" spans="2:5">
      <c r="B47" s="620" t="s">
        <v>406</v>
      </c>
      <c r="C47" s="621">
        <v>0.438</v>
      </c>
      <c r="D47" s="623">
        <f>C47*D50/C50</f>
        <v>0.42516660000000001</v>
      </c>
      <c r="E47" s="108"/>
    </row>
    <row r="48" spans="2:5">
      <c r="B48" s="620" t="s">
        <v>407</v>
      </c>
      <c r="C48" s="621">
        <v>0.13800000000000001</v>
      </c>
      <c r="D48" s="623">
        <f>C48*D50/C50</f>
        <v>0.13395660000000001</v>
      </c>
      <c r="E48" s="108"/>
    </row>
    <row r="49" spans="2:5">
      <c r="B49" s="620" t="s">
        <v>408</v>
      </c>
      <c r="C49" s="621">
        <v>0.42399999999999999</v>
      </c>
      <c r="D49" s="623">
        <f>C49*D50/C50</f>
        <v>0.41157679999999996</v>
      </c>
      <c r="E49" s="108"/>
    </row>
    <row r="50" spans="2:5">
      <c r="B50" s="620" t="s">
        <v>38</v>
      </c>
      <c r="C50" s="621">
        <v>1</v>
      </c>
      <c r="D50" s="621">
        <v>0.97070000000000001</v>
      </c>
      <c r="E50" s="108"/>
    </row>
    <row r="51" spans="2:5">
      <c r="B51" s="607"/>
      <c r="C51" s="108"/>
      <c r="D51" s="619"/>
      <c r="E51" s="108"/>
    </row>
    <row r="52" spans="2:5">
      <c r="B52" s="108"/>
      <c r="C52" s="108"/>
      <c r="D52" s="108"/>
      <c r="E52" s="108"/>
    </row>
    <row r="53" spans="2:5">
      <c r="B53" s="752"/>
      <c r="C53" s="753" t="s">
        <v>527</v>
      </c>
      <c r="D53" s="754" t="s">
        <v>508</v>
      </c>
      <c r="E53" s="108"/>
    </row>
    <row r="54" spans="2:5">
      <c r="B54" s="620" t="s">
        <v>406</v>
      </c>
      <c r="C54" s="624">
        <f>$C$58*D54</f>
        <v>2612332.4330496001</v>
      </c>
      <c r="D54" s="621">
        <v>0.42516660000000001</v>
      </c>
      <c r="E54" s="108"/>
    </row>
    <row r="55" spans="2:5">
      <c r="B55" s="620" t="s">
        <v>407</v>
      </c>
      <c r="C55" s="624">
        <f>$C$58*D55</f>
        <v>823063.64328960003</v>
      </c>
      <c r="D55" s="621">
        <v>0.13395660000000001</v>
      </c>
      <c r="E55" s="108"/>
    </row>
    <row r="56" spans="2:5">
      <c r="B56" s="620" t="s">
        <v>408</v>
      </c>
      <c r="C56" s="624">
        <f>$C$58*D56</f>
        <v>2528833.2228607996</v>
      </c>
      <c r="D56" s="621">
        <v>0.41157679999999996</v>
      </c>
      <c r="E56" s="108"/>
    </row>
    <row r="57" spans="2:5">
      <c r="B57" s="620" t="s">
        <v>409</v>
      </c>
      <c r="C57" s="624">
        <f>$C$58*D57</f>
        <v>180026.70079999996</v>
      </c>
      <c r="D57" s="621">
        <v>2.9299999999999993E-2</v>
      </c>
      <c r="E57" s="108"/>
    </row>
    <row r="58" spans="2:5">
      <c r="B58" s="620" t="s">
        <v>38</v>
      </c>
      <c r="C58" s="624">
        <f>E43</f>
        <v>6144256</v>
      </c>
      <c r="D58" s="625">
        <f>SUM(D54:D57)</f>
        <v>1</v>
      </c>
      <c r="E58" s="108"/>
    </row>
  </sheetData>
  <mergeCells count="14">
    <mergeCell ref="G17:H17"/>
    <mergeCell ref="A1:A2"/>
    <mergeCell ref="B1:C1"/>
    <mergeCell ref="D1:E1"/>
    <mergeCell ref="M1:P1"/>
    <mergeCell ref="A10:A11"/>
    <mergeCell ref="G10:H10"/>
    <mergeCell ref="G11:H11"/>
    <mergeCell ref="G12:H12"/>
    <mergeCell ref="G13:H13"/>
    <mergeCell ref="G14:H14"/>
    <mergeCell ref="G15:H15"/>
    <mergeCell ref="G16:H16"/>
    <mergeCell ref="I1:J1"/>
  </mergeCells>
  <pageMargins left="0.7" right="0.7" top="0.75" bottom="0.75" header="0.3" footer="0.3"/>
  <pageSetup paperSize="3" orientation="landscape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ACB3D-7FF6-4276-8425-38F5D12D9B2F}">
  <sheetPr>
    <tabColor rgb="FFC00000"/>
  </sheetPr>
  <dimension ref="A1:L68"/>
  <sheetViews>
    <sheetView workbookViewId="0">
      <selection sqref="A1:A2"/>
    </sheetView>
  </sheetViews>
  <sheetFormatPr defaultRowHeight="15"/>
  <cols>
    <col min="1" max="1" width="41.5703125" customWidth="1"/>
    <col min="2" max="2" width="12.7109375" bestFit="1" customWidth="1"/>
    <col min="3" max="3" width="12.42578125" bestFit="1" customWidth="1"/>
    <col min="4" max="4" width="9.140625" style="22"/>
    <col min="5" max="5" width="13.5703125" bestFit="1" customWidth="1"/>
    <col min="7" max="7" width="11.28515625" bestFit="1" customWidth="1"/>
    <col min="12" max="12" width="11.5703125" bestFit="1" customWidth="1"/>
  </cols>
  <sheetData>
    <row r="1" spans="1:5">
      <c r="A1" s="720"/>
      <c r="B1" s="721"/>
      <c r="C1" s="720"/>
      <c r="D1" s="722"/>
      <c r="E1" s="721"/>
    </row>
    <row r="2" spans="1:5">
      <c r="A2" s="743" t="s">
        <v>579</v>
      </c>
      <c r="B2" s="745" t="s">
        <v>104</v>
      </c>
      <c r="C2" s="746" t="s">
        <v>580</v>
      </c>
      <c r="D2" s="746" t="s">
        <v>581</v>
      </c>
      <c r="E2" s="745" t="s">
        <v>582</v>
      </c>
    </row>
    <row r="3" spans="1:5">
      <c r="A3" s="724" t="s">
        <v>41</v>
      </c>
      <c r="B3" s="721">
        <f>SUM(Revenues!D6:D8)</f>
        <v>6144256</v>
      </c>
      <c r="C3" s="725">
        <f>B3-E3</f>
        <v>0</v>
      </c>
      <c r="D3" s="722"/>
      <c r="E3" s="721">
        <f>SUM(Revenues!I6:I8)</f>
        <v>6144256</v>
      </c>
    </row>
    <row r="4" spans="1:5">
      <c r="A4" s="724" t="s">
        <v>583</v>
      </c>
      <c r="B4" s="726"/>
      <c r="C4" s="726"/>
      <c r="D4" s="727"/>
      <c r="E4" s="726"/>
    </row>
    <row r="5" spans="1:5">
      <c r="A5" s="728" t="s">
        <v>584</v>
      </c>
      <c r="B5" s="726">
        <f>Revenues!D33</f>
        <v>84207</v>
      </c>
      <c r="C5" s="726">
        <f t="shared" ref="C5:C39" si="0">B5-E5</f>
        <v>0</v>
      </c>
      <c r="D5" s="727"/>
      <c r="E5" s="726">
        <f>Revenues!I33</f>
        <v>84207</v>
      </c>
    </row>
    <row r="6" spans="1:5">
      <c r="A6" s="728" t="s">
        <v>45</v>
      </c>
      <c r="B6" s="726">
        <f>Revenues!D30</f>
        <v>432358</v>
      </c>
      <c r="C6" s="726">
        <f t="shared" si="0"/>
        <v>0</v>
      </c>
      <c r="D6" s="727"/>
      <c r="E6" s="726">
        <f>Revenues!I30</f>
        <v>432358</v>
      </c>
    </row>
    <row r="7" spans="1:5">
      <c r="A7" s="728" t="s">
        <v>585</v>
      </c>
      <c r="B7" s="726">
        <f>Revenues!D34</f>
        <v>33870</v>
      </c>
      <c r="C7" s="726">
        <f t="shared" si="0"/>
        <v>0</v>
      </c>
      <c r="D7" s="727"/>
      <c r="E7" s="726">
        <f>Revenues!I34</f>
        <v>33870</v>
      </c>
    </row>
    <row r="8" spans="1:5">
      <c r="A8" s="728" t="s">
        <v>583</v>
      </c>
      <c r="B8" s="726">
        <f>SUM(Revenues!D35:D40)</f>
        <v>-14276</v>
      </c>
      <c r="C8" s="726">
        <f t="shared" si="0"/>
        <v>0</v>
      </c>
      <c r="D8" s="727"/>
      <c r="E8" s="726">
        <f>SUM(Revenues!I35:I40)</f>
        <v>-14276</v>
      </c>
    </row>
    <row r="9" spans="1:5">
      <c r="A9" s="729" t="s">
        <v>586</v>
      </c>
      <c r="B9" s="730">
        <f>SUM(B3:B8)</f>
        <v>6680415</v>
      </c>
      <c r="C9" s="730">
        <f>SUM(C3:C8)</f>
        <v>0</v>
      </c>
      <c r="D9" s="731"/>
      <c r="E9" s="730">
        <f>SUM(E3:E8)</f>
        <v>6680415</v>
      </c>
    </row>
    <row r="10" spans="1:5">
      <c r="A10" s="720"/>
      <c r="B10" s="726"/>
      <c r="C10" s="726"/>
      <c r="D10" s="727"/>
      <c r="E10" s="726"/>
    </row>
    <row r="11" spans="1:5">
      <c r="A11" s="743" t="s">
        <v>10</v>
      </c>
      <c r="B11" s="732"/>
      <c r="C11" s="732"/>
      <c r="D11" s="733"/>
      <c r="E11" s="732"/>
    </row>
    <row r="12" spans="1:5">
      <c r="A12" s="720" t="s">
        <v>587</v>
      </c>
      <c r="B12" s="726">
        <f>SUM(Expenses!D5:D6,Expenses!D39:D40,Expenses!D76,Expenses!D97)</f>
        <v>317554</v>
      </c>
      <c r="C12" s="726">
        <f>E12-B12</f>
        <v>102011.80514000007</v>
      </c>
      <c r="D12" s="727" t="s">
        <v>588</v>
      </c>
      <c r="E12" s="726">
        <f>SUM(Expenses!I5:I6,Expenses!I39:I40,Expenses!I76,Expenses!I97)</f>
        <v>419565.80514000007</v>
      </c>
    </row>
    <row r="13" spans="1:5">
      <c r="A13" s="728" t="s">
        <v>589</v>
      </c>
      <c r="B13" s="726"/>
      <c r="C13" s="726">
        <f>B12*0.03241</f>
        <v>10291.925140000001</v>
      </c>
      <c r="D13" s="727" t="s">
        <v>588</v>
      </c>
      <c r="E13" s="747">
        <f>SUM(Expenses!I6:I7,Expenses!I40:I41,Expenses!I77,Expenses!I98)</f>
        <v>77070.089120000004</v>
      </c>
    </row>
    <row r="14" spans="1:5">
      <c r="A14" s="728" t="s">
        <v>590</v>
      </c>
      <c r="B14" s="726"/>
      <c r="C14" s="726">
        <f>B12*0.02</f>
        <v>6351.08</v>
      </c>
      <c r="D14" s="727" t="s">
        <v>588</v>
      </c>
      <c r="E14" s="747">
        <f>SUM(Expenses!I7:I8,Expenses!I41:I42,Expenses!I78,Expenses!I99)</f>
        <v>165366</v>
      </c>
    </row>
    <row r="15" spans="1:5">
      <c r="A15" s="728" t="s">
        <v>591</v>
      </c>
      <c r="B15" s="726"/>
      <c r="C15" s="726">
        <f>46045.66+39323.13</f>
        <v>85368.790000000008</v>
      </c>
      <c r="D15" s="727" t="s">
        <v>588</v>
      </c>
      <c r="E15" s="747">
        <f>SUM(Expenses!I8:I9,Expenses!I42:I43,Expenses!I79,Expenses!I100)</f>
        <v>161390</v>
      </c>
    </row>
    <row r="16" spans="1:5">
      <c r="A16" s="720" t="s">
        <v>592</v>
      </c>
      <c r="B16" s="726">
        <f>[2]Expenses!E108</f>
        <v>15000</v>
      </c>
      <c r="C16" s="726">
        <f t="shared" si="0"/>
        <v>0</v>
      </c>
      <c r="D16" s="727"/>
      <c r="E16" s="726">
        <f>[2]Expenses!J108</f>
        <v>15000</v>
      </c>
    </row>
    <row r="17" spans="1:8">
      <c r="A17" s="720" t="s">
        <v>13</v>
      </c>
      <c r="B17" s="726">
        <f>SUM(Expenses!D63:D72,Expenses!D88:D92,Expenses!D110:D114)</f>
        <v>179639</v>
      </c>
      <c r="C17" s="726">
        <f>E17-B17</f>
        <v>54590.467862999998</v>
      </c>
      <c r="D17" s="727" t="s">
        <v>593</v>
      </c>
      <c r="E17" s="747">
        <f>SUM(Expenses!I63:I72,Expenses!I88:I92,Expenses!I110:I114)</f>
        <v>234229.467863</v>
      </c>
      <c r="H17" s="526"/>
    </row>
    <row r="18" spans="1:8">
      <c r="A18" s="728" t="s">
        <v>594</v>
      </c>
      <c r="B18" s="726">
        <v>27368</v>
      </c>
      <c r="C18" s="726">
        <f>-B18</f>
        <v>-27368</v>
      </c>
      <c r="D18" s="727" t="s">
        <v>593</v>
      </c>
      <c r="E18" s="726">
        <f>C18+B18</f>
        <v>0</v>
      </c>
    </row>
    <row r="19" spans="1:8">
      <c r="A19" s="728" t="s">
        <v>595</v>
      </c>
      <c r="B19" s="726">
        <v>48522</v>
      </c>
      <c r="C19" s="726">
        <f>6773.42+5972.36</f>
        <v>12745.779999999999</v>
      </c>
      <c r="D19" s="727" t="s">
        <v>593</v>
      </c>
      <c r="E19" s="726">
        <f t="shared" ref="E19:E24" si="1">C19+B19</f>
        <v>61267.78</v>
      </c>
    </row>
    <row r="20" spans="1:8">
      <c r="A20" s="728" t="s">
        <v>596</v>
      </c>
      <c r="B20" s="726">
        <v>1779</v>
      </c>
      <c r="C20" s="726">
        <f>248.4+219.02</f>
        <v>467.42</v>
      </c>
      <c r="D20" s="727" t="s">
        <v>593</v>
      </c>
      <c r="E20" s="726">
        <f t="shared" si="1"/>
        <v>2246.42</v>
      </c>
    </row>
    <row r="21" spans="1:8">
      <c r="A21" s="728" t="s">
        <v>597</v>
      </c>
      <c r="B21" s="726">
        <v>38385</v>
      </c>
      <c r="C21" s="726">
        <f>5358.27+4724.57</f>
        <v>10082.84</v>
      </c>
      <c r="D21" s="727" t="s">
        <v>593</v>
      </c>
      <c r="E21" s="726">
        <f t="shared" si="1"/>
        <v>48467.839999999997</v>
      </c>
    </row>
    <row r="22" spans="1:8">
      <c r="A22" s="728" t="s">
        <v>598</v>
      </c>
      <c r="B22" s="726">
        <v>63585</v>
      </c>
      <c r="C22" s="726">
        <f>8876.04+7826.31</f>
        <v>16702.350000000002</v>
      </c>
      <c r="D22" s="727" t="s">
        <v>593</v>
      </c>
      <c r="E22" s="726">
        <f t="shared" si="1"/>
        <v>80287.350000000006</v>
      </c>
    </row>
    <row r="23" spans="1:8">
      <c r="A23" s="728" t="s">
        <v>589</v>
      </c>
      <c r="B23" s="726"/>
      <c r="C23" s="726">
        <f>(B18+B19+B20+B22)*0.03241</f>
        <v>4578.0421400000005</v>
      </c>
      <c r="D23" s="727" t="s">
        <v>599</v>
      </c>
      <c r="E23" s="726">
        <f t="shared" si="1"/>
        <v>4578.0421400000005</v>
      </c>
    </row>
    <row r="24" spans="1:8">
      <c r="A24" s="728" t="s">
        <v>590</v>
      </c>
      <c r="B24" s="726"/>
      <c r="C24" s="726">
        <f>(B18+B19+B20+B22)*0.02</f>
        <v>2825.08</v>
      </c>
      <c r="D24" s="727" t="s">
        <v>599</v>
      </c>
      <c r="E24" s="726">
        <f t="shared" si="1"/>
        <v>2825.08</v>
      </c>
    </row>
    <row r="25" spans="1:8">
      <c r="A25" s="720" t="s">
        <v>15</v>
      </c>
      <c r="B25" s="726">
        <f>SUM(Expenses!D27:D28)</f>
        <v>3374015</v>
      </c>
      <c r="C25" s="726">
        <f t="shared" si="0"/>
        <v>0</v>
      </c>
      <c r="D25" s="727"/>
      <c r="E25" s="726">
        <f>SUM(Expenses!I27:I28)</f>
        <v>3374015</v>
      </c>
    </row>
    <row r="26" spans="1:8">
      <c r="A26" s="720" t="s">
        <v>16</v>
      </c>
      <c r="B26" s="726">
        <f>(Expenses!D8)</f>
        <v>157890</v>
      </c>
      <c r="C26" s="726">
        <f t="shared" si="0"/>
        <v>0</v>
      </c>
      <c r="D26" s="727"/>
      <c r="E26" s="726">
        <f>Expenses!I8</f>
        <v>157890</v>
      </c>
    </row>
    <row r="27" spans="1:8">
      <c r="A27" s="720" t="s">
        <v>600</v>
      </c>
      <c r="B27" s="726">
        <f>SUM(Expenses!D10:D11,Expenses!D45:D46,Expenses!D78,Expenses!D99)</f>
        <v>59604</v>
      </c>
      <c r="C27" s="726">
        <f t="shared" si="0"/>
        <v>0</v>
      </c>
      <c r="D27" s="727"/>
      <c r="E27" s="726">
        <f>SUM(Expenses!I10:I11,Expenses!I45:I46,Expenses!I78,Expenses!I99)</f>
        <v>59604</v>
      </c>
    </row>
    <row r="28" spans="1:8">
      <c r="A28" s="720" t="s">
        <v>601</v>
      </c>
      <c r="B28" s="726">
        <f>SUM(Expenses!D13:D14,Expenses!D47:D48,Expenses!D80,Expenses!D100)</f>
        <v>14000</v>
      </c>
      <c r="C28" s="726">
        <f t="shared" si="0"/>
        <v>0</v>
      </c>
      <c r="D28" s="727"/>
      <c r="E28" s="726">
        <f>SUM(Expenses!I13:I14,Expenses!I47:I48,Expenses!I80,Expenses!I100)</f>
        <v>14000</v>
      </c>
    </row>
    <row r="29" spans="1:8">
      <c r="A29" s="720" t="s">
        <v>602</v>
      </c>
      <c r="B29" s="726">
        <f>SUM(Expenses!D15:D16,Expenses!D49:D50,Expenses!D81,Expenses!D101)</f>
        <v>5136</v>
      </c>
      <c r="C29" s="726">
        <f t="shared" si="0"/>
        <v>0</v>
      </c>
      <c r="D29" s="727"/>
      <c r="E29" s="726">
        <f>SUM(Expenses!I15:I16,Expenses!I49:I50,Expenses!I81,Expenses!I101)</f>
        <v>5136</v>
      </c>
    </row>
    <row r="30" spans="1:8">
      <c r="A30" s="720" t="s">
        <v>603</v>
      </c>
      <c r="B30" s="726">
        <f>SUM(Expenses!D17:D19,Expenses!D51:D52,Expenses!D82,Expenses!D102)</f>
        <v>226678</v>
      </c>
      <c r="C30" s="726">
        <f t="shared" si="0"/>
        <v>0</v>
      </c>
      <c r="D30" s="727"/>
      <c r="E30" s="726">
        <f>SUM(Expenses!I17:I19,Expenses!I51:I52,Expenses!I82,Expenses!I102)</f>
        <v>226678</v>
      </c>
    </row>
    <row r="31" spans="1:8">
      <c r="A31" s="720" t="s">
        <v>604</v>
      </c>
      <c r="B31" s="726">
        <f>SUM(Expenses!D20,Expenses!D53:D54,Expenses!D83:D84,Expenses!D103)</f>
        <v>0</v>
      </c>
      <c r="C31" s="726">
        <f t="shared" si="0"/>
        <v>0</v>
      </c>
      <c r="D31" s="727"/>
      <c r="E31" s="726">
        <f>SUM(Expenses!I20,Expenses!I53:I54,Expenses!I83:I84,Expenses!I103)</f>
        <v>0</v>
      </c>
    </row>
    <row r="32" spans="1:8">
      <c r="A32" s="720" t="s">
        <v>605</v>
      </c>
      <c r="B32" s="726">
        <f>SUM(Expenses!D21:D22,Expenses!D55:D56,Expenses!D85,Expenses!D104)</f>
        <v>37620</v>
      </c>
      <c r="C32" s="726">
        <f t="shared" si="0"/>
        <v>0</v>
      </c>
      <c r="D32" s="727"/>
      <c r="E32" s="726">
        <f>SUM(Expenses!I21:I22,Expenses!I55:I56,Expenses!I85,Expenses!I104)</f>
        <v>37620</v>
      </c>
    </row>
    <row r="33" spans="1:5">
      <c r="A33" s="720" t="s">
        <v>606</v>
      </c>
      <c r="B33" s="726">
        <f>SUM(Expenses!D23,Expenses!D57,Expenses!D86,Expenses!D105)</f>
        <v>15774</v>
      </c>
      <c r="C33" s="726">
        <f t="shared" si="0"/>
        <v>0</v>
      </c>
      <c r="D33" s="727"/>
      <c r="E33" s="726">
        <f>SUM(Expenses!I23,Expenses!I57,Expenses!I86,Expenses!I105)</f>
        <v>15774</v>
      </c>
    </row>
    <row r="34" spans="1:5">
      <c r="A34" s="720" t="s">
        <v>26</v>
      </c>
      <c r="B34" s="726">
        <f>SUM(Expenses!D24,Expenses!D58,Expenses!D106)</f>
        <v>2545</v>
      </c>
      <c r="C34" s="726">
        <f t="shared" si="0"/>
        <v>0</v>
      </c>
      <c r="D34" s="727"/>
      <c r="E34" s="726">
        <f>SUM(Expenses!I24,Expenses!I58,Expenses!I106)</f>
        <v>2545</v>
      </c>
    </row>
    <row r="35" spans="1:5">
      <c r="A35" s="720" t="s">
        <v>27</v>
      </c>
      <c r="B35" s="726">
        <f>SUM(Expenses!D124)</f>
        <v>8006</v>
      </c>
      <c r="C35" s="726">
        <f t="shared" si="0"/>
        <v>0</v>
      </c>
      <c r="D35" s="727"/>
      <c r="E35" s="726">
        <f>Expenses!I124</f>
        <v>8006</v>
      </c>
    </row>
    <row r="36" spans="1:5">
      <c r="A36" s="720" t="s">
        <v>607</v>
      </c>
      <c r="B36" s="726">
        <f>SUM(Expenses!D125:D126)</f>
        <v>4466</v>
      </c>
      <c r="C36" s="726">
        <f t="shared" si="0"/>
        <v>0</v>
      </c>
      <c r="D36" s="727"/>
      <c r="E36" s="726">
        <f>SUM(Expenses!I125:I126)</f>
        <v>4466</v>
      </c>
    </row>
    <row r="37" spans="1:5">
      <c r="A37" s="720" t="s">
        <v>608</v>
      </c>
      <c r="B37" s="726">
        <f>SUM(Expenses!D25:D26,Expenses!D59:D60,Expenses!D87,Expenses!D107,Expenses!D127:D128)</f>
        <v>17777</v>
      </c>
      <c r="C37" s="726">
        <f t="shared" si="0"/>
        <v>0</v>
      </c>
      <c r="D37" s="727"/>
      <c r="E37" s="726">
        <f>SUM(Expenses!I25:I26,Expenses!I59:I60,Expenses!I87,Expenses!I107,Expenses!I127:I128)</f>
        <v>17777</v>
      </c>
    </row>
    <row r="38" spans="1:5">
      <c r="A38" s="720" t="s">
        <v>609</v>
      </c>
      <c r="B38" s="726">
        <f>Expenses!D61</f>
        <v>30983</v>
      </c>
      <c r="C38" s="726">
        <f t="shared" si="0"/>
        <v>0</v>
      </c>
      <c r="D38" s="727"/>
      <c r="E38" s="726">
        <f>Expenses!I61</f>
        <v>30983</v>
      </c>
    </row>
    <row r="39" spans="1:5">
      <c r="A39" s="720" t="s">
        <v>610</v>
      </c>
      <c r="B39" s="726">
        <f>Expenses!D129</f>
        <v>-4</v>
      </c>
      <c r="C39" s="726">
        <f t="shared" si="0"/>
        <v>-4</v>
      </c>
      <c r="D39" s="727"/>
      <c r="E39" s="726">
        <f>Expenses!I129*0</f>
        <v>0</v>
      </c>
    </row>
    <row r="40" spans="1:5">
      <c r="A40" s="720" t="s">
        <v>611</v>
      </c>
      <c r="B40" s="726">
        <f>SUM(Expenses!D131)</f>
        <v>-39712</v>
      </c>
      <c r="C40" s="726">
        <f>B40-E40</f>
        <v>0</v>
      </c>
      <c r="D40" s="722"/>
      <c r="E40" s="726">
        <f>Expenses!I131</f>
        <v>-39712</v>
      </c>
    </row>
    <row r="41" spans="1:5">
      <c r="A41" s="735" t="s">
        <v>612</v>
      </c>
      <c r="B41" s="730">
        <f>SUM(B18:B40,B16,B12)</f>
        <v>4426971</v>
      </c>
      <c r="C41" s="726">
        <f>E41-B41</f>
        <v>122049.31728000008</v>
      </c>
      <c r="D41" s="727"/>
      <c r="E41" s="730">
        <f>SUM(E18:E40,E16,E12)</f>
        <v>4549020.3172800001</v>
      </c>
    </row>
    <row r="42" spans="1:5">
      <c r="A42" s="720" t="s">
        <v>613</v>
      </c>
      <c r="B42" s="726">
        <f>Expenses!D173</f>
        <v>1918276</v>
      </c>
      <c r="C42" s="726">
        <f>E42-B42</f>
        <v>245339.29999999981</v>
      </c>
      <c r="D42" s="727" t="s">
        <v>614</v>
      </c>
      <c r="E42" s="726">
        <f>Expenses!I173</f>
        <v>2163615.2999999998</v>
      </c>
    </row>
    <row r="43" spans="1:5">
      <c r="A43" s="728" t="s">
        <v>615</v>
      </c>
      <c r="B43" s="726"/>
      <c r="C43" s="726">
        <v>7433.33</v>
      </c>
      <c r="D43" s="727" t="s">
        <v>616</v>
      </c>
      <c r="E43" s="726"/>
    </row>
    <row r="44" spans="1:5">
      <c r="A44" s="728" t="s">
        <v>617</v>
      </c>
      <c r="B44" s="726"/>
      <c r="C44" s="726">
        <v>55215.77</v>
      </c>
      <c r="D44" s="727" t="s">
        <v>616</v>
      </c>
      <c r="E44" s="726"/>
    </row>
    <row r="45" spans="1:5">
      <c r="A45" s="728" t="s">
        <v>618</v>
      </c>
      <c r="B45" s="726"/>
      <c r="C45" s="726">
        <v>37845.39</v>
      </c>
      <c r="D45" s="727" t="s">
        <v>616</v>
      </c>
      <c r="E45" s="726"/>
    </row>
    <row r="46" spans="1:5">
      <c r="A46" s="728" t="s">
        <v>619</v>
      </c>
      <c r="B46" s="726"/>
      <c r="C46" s="726">
        <v>122614.47</v>
      </c>
      <c r="D46" s="727" t="s">
        <v>620</v>
      </c>
      <c r="E46" s="726"/>
    </row>
    <row r="47" spans="1:5">
      <c r="A47" s="728" t="s">
        <v>621</v>
      </c>
      <c r="B47" s="726"/>
      <c r="C47" s="726">
        <v>22230.34</v>
      </c>
      <c r="D47" s="727" t="s">
        <v>622</v>
      </c>
      <c r="E47" s="726"/>
    </row>
    <row r="48" spans="1:5">
      <c r="A48" s="734"/>
      <c r="B48" s="726"/>
      <c r="C48" s="726"/>
      <c r="D48" s="727"/>
      <c r="E48" s="726"/>
    </row>
    <row r="49" spans="1:7">
      <c r="A49" s="720" t="s">
        <v>623</v>
      </c>
      <c r="B49" s="736">
        <v>0</v>
      </c>
      <c r="C49" s="732">
        <f>3820.38+3368.56+B18</f>
        <v>34556.94</v>
      </c>
      <c r="D49" s="727" t="s">
        <v>624</v>
      </c>
      <c r="E49" s="736">
        <f>C49+B49</f>
        <v>34556.94</v>
      </c>
    </row>
    <row r="50" spans="1:7">
      <c r="A50" s="720" t="s">
        <v>625</v>
      </c>
      <c r="B50" s="737">
        <f>B42+B41+B49</f>
        <v>6345247</v>
      </c>
      <c r="C50" s="738">
        <f>SUM(C41:C49)</f>
        <v>647284.85727999988</v>
      </c>
      <c r="D50" s="727"/>
      <c r="E50" s="737">
        <f>SUM(E41:E49)</f>
        <v>6747192.5572800003</v>
      </c>
      <c r="G50" s="526"/>
    </row>
    <row r="51" spans="1:7">
      <c r="A51" s="720" t="s">
        <v>626</v>
      </c>
      <c r="B51" s="738">
        <f>B9-B50</f>
        <v>335168</v>
      </c>
      <c r="C51" s="738">
        <f>C9-C50</f>
        <v>-647284.85727999988</v>
      </c>
      <c r="D51" s="727"/>
      <c r="E51" s="738">
        <f>E9-E50</f>
        <v>-66777.557280000299</v>
      </c>
    </row>
    <row r="52" spans="1:7">
      <c r="A52" s="720"/>
      <c r="B52" s="721"/>
      <c r="C52" s="720"/>
      <c r="D52" s="722"/>
      <c r="E52" s="721"/>
    </row>
    <row r="53" spans="1:7">
      <c r="A53" s="743" t="s">
        <v>627</v>
      </c>
      <c r="B53" s="739"/>
      <c r="C53" s="740"/>
      <c r="D53" s="723"/>
      <c r="E53" s="739"/>
    </row>
    <row r="54" spans="1:7">
      <c r="A54" s="720" t="s">
        <v>628</v>
      </c>
      <c r="B54" s="721"/>
      <c r="C54" s="720"/>
      <c r="D54" s="722"/>
      <c r="E54" s="721">
        <f>E50</f>
        <v>6747192.5572800003</v>
      </c>
    </row>
    <row r="55" spans="1:7">
      <c r="A55" s="720" t="s">
        <v>629</v>
      </c>
      <c r="B55" s="721"/>
      <c r="C55" s="720"/>
      <c r="D55" s="722" t="s">
        <v>630</v>
      </c>
      <c r="E55" s="721">
        <f>Expenses!I222+Expenses!I245</f>
        <v>742265.2</v>
      </c>
    </row>
    <row r="56" spans="1:7">
      <c r="A56" s="728" t="s">
        <v>631</v>
      </c>
      <c r="B56" s="721"/>
      <c r="C56" s="720"/>
      <c r="D56" s="722" t="s">
        <v>632</v>
      </c>
      <c r="E56" s="741"/>
    </row>
    <row r="57" spans="1:7">
      <c r="A57" s="728" t="s">
        <v>633</v>
      </c>
      <c r="B57" s="721"/>
      <c r="C57" s="720"/>
      <c r="D57" s="722" t="s">
        <v>634</v>
      </c>
      <c r="E57" s="739">
        <f>Expenses!I132</f>
        <v>43723.6</v>
      </c>
    </row>
    <row r="58" spans="1:7">
      <c r="A58" s="720" t="s">
        <v>635</v>
      </c>
      <c r="B58" s="721"/>
      <c r="C58" s="720"/>
      <c r="D58" s="722"/>
      <c r="E58" s="721">
        <f>SUM(E54:E57)</f>
        <v>7533181.3572800001</v>
      </c>
    </row>
    <row r="59" spans="1:7">
      <c r="A59" s="728" t="s">
        <v>636</v>
      </c>
      <c r="B59" s="721"/>
      <c r="C59" s="720"/>
      <c r="D59" s="722"/>
      <c r="E59" s="721">
        <f>SUM(E5,E7,E8)*-1</f>
        <v>-103801</v>
      </c>
    </row>
    <row r="60" spans="1:7">
      <c r="A60" s="728" t="s">
        <v>637</v>
      </c>
      <c r="B60" s="721"/>
      <c r="C60" s="720"/>
      <c r="D60" s="722"/>
      <c r="E60" s="721">
        <f>-E6</f>
        <v>-432358</v>
      </c>
    </row>
    <row r="61" spans="1:7">
      <c r="A61" s="728" t="s">
        <v>638</v>
      </c>
      <c r="B61" s="721"/>
      <c r="C61" s="720"/>
      <c r="D61" s="722"/>
      <c r="E61" s="739">
        <f>C39</f>
        <v>-4</v>
      </c>
    </row>
    <row r="62" spans="1:7">
      <c r="A62" s="720" t="s">
        <v>639</v>
      </c>
      <c r="B62" s="721"/>
      <c r="C62" s="720"/>
      <c r="D62" s="722"/>
      <c r="E62" s="721">
        <f>SUM(E58:E61)</f>
        <v>6997018.3572800001</v>
      </c>
    </row>
    <row r="63" spans="1:7">
      <c r="A63" s="728" t="s">
        <v>640</v>
      </c>
      <c r="B63" s="721"/>
      <c r="C63" s="720"/>
      <c r="D63" s="722"/>
      <c r="E63" s="739">
        <f>-E3</f>
        <v>-6144256</v>
      </c>
    </row>
    <row r="64" spans="1:7">
      <c r="A64" s="720" t="s">
        <v>641</v>
      </c>
      <c r="B64" s="721"/>
      <c r="C64" s="720"/>
      <c r="D64" s="722"/>
      <c r="E64" s="742">
        <f>SUM(E62:E63)</f>
        <v>852762.35728000011</v>
      </c>
    </row>
    <row r="65" spans="1:12">
      <c r="A65" s="720"/>
      <c r="B65" s="720"/>
      <c r="C65" s="720"/>
      <c r="D65" s="722"/>
      <c r="E65" s="744">
        <f>E64/(-1*E63)</f>
        <v>0.138790173664639</v>
      </c>
    </row>
    <row r="68" spans="1:12">
      <c r="L68" s="99">
        <f>-E63+E64</f>
        <v>6997018.3572800001</v>
      </c>
    </row>
  </sheetData>
  <pageMargins left="0.75" right="0.75" top="1.5" bottom="0.85" header="0.75" footer="0.75"/>
  <pageSetup paperSize="256" orientation="portrait" horizontalDpi="1200" verticalDpi="1200" r:id="rId1"/>
  <headerFooter scaleWithDoc="0">
    <oddHeader>&amp;L&amp;G&amp;C&amp;"Arial,Bold"Schedule of Adjusted Operations- Sewer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D46A3-45AD-4A92-B880-9972E05DD269}">
  <sheetPr>
    <tabColor rgb="FFE87722"/>
  </sheetPr>
  <dimension ref="A1:J22"/>
  <sheetViews>
    <sheetView workbookViewId="0">
      <selection sqref="A1:A2"/>
    </sheetView>
  </sheetViews>
  <sheetFormatPr defaultRowHeight="15"/>
  <cols>
    <col min="1" max="1" width="28.28515625" customWidth="1"/>
    <col min="2" max="2" width="11.28515625" bestFit="1" customWidth="1"/>
    <col min="3" max="3" width="12.28515625" bestFit="1" customWidth="1"/>
    <col min="6" max="6" width="14" bestFit="1" customWidth="1"/>
    <col min="7" max="7" width="11.28515625" bestFit="1" customWidth="1"/>
    <col min="8" max="8" width="12.28515625" bestFit="1" customWidth="1"/>
    <col min="9" max="9" width="13.7109375" customWidth="1"/>
    <col min="10" max="10" width="11.5703125" bestFit="1" customWidth="1"/>
  </cols>
  <sheetData>
    <row r="1" spans="1:9" ht="15.75" thickBot="1">
      <c r="A1" s="836" t="s">
        <v>39</v>
      </c>
      <c r="B1" s="828" t="s">
        <v>40</v>
      </c>
      <c r="C1" s="829"/>
      <c r="D1" s="832" t="s">
        <v>2</v>
      </c>
      <c r="E1" s="832"/>
      <c r="F1" s="833" t="s">
        <v>3</v>
      </c>
      <c r="G1" s="833" t="s">
        <v>4</v>
      </c>
      <c r="H1" s="833"/>
      <c r="I1" s="824" t="s">
        <v>5</v>
      </c>
    </row>
    <row r="2" spans="1:9" ht="15.75" thickBot="1">
      <c r="A2" s="836"/>
      <c r="B2" s="830"/>
      <c r="C2" s="831"/>
      <c r="D2" s="832"/>
      <c r="E2" s="832"/>
      <c r="F2" s="833"/>
      <c r="G2" s="833"/>
      <c r="H2" s="833"/>
      <c r="I2" s="824"/>
    </row>
    <row r="3" spans="1:9" ht="15.75" thickBot="1">
      <c r="A3" s="6" t="s">
        <v>6</v>
      </c>
      <c r="B3" s="25" t="s">
        <v>7</v>
      </c>
      <c r="C3" s="25" t="s">
        <v>8</v>
      </c>
      <c r="D3" s="1" t="s">
        <v>7</v>
      </c>
      <c r="E3" s="1" t="s">
        <v>8</v>
      </c>
      <c r="F3" s="2" t="s">
        <v>9</v>
      </c>
      <c r="G3" s="2" t="s">
        <v>7</v>
      </c>
      <c r="H3" s="2" t="s">
        <v>8</v>
      </c>
      <c r="I3" s="824"/>
    </row>
    <row r="4" spans="1:9">
      <c r="A4" s="57"/>
      <c r="B4" s="35"/>
      <c r="C4" s="38"/>
      <c r="D4" s="21"/>
      <c r="E4" s="20"/>
      <c r="F4" s="21"/>
      <c r="G4" s="834"/>
      <c r="H4" s="835"/>
      <c r="I4" s="19"/>
    </row>
    <row r="5" spans="1:9">
      <c r="A5" s="67" t="s">
        <v>41</v>
      </c>
      <c r="B5" s="61">
        <v>6144511</v>
      </c>
      <c r="C5" s="39">
        <v>16082902</v>
      </c>
      <c r="D5" s="225">
        <f>B5/(C5+B5)</f>
        <v>0.27643842313093298</v>
      </c>
      <c r="E5" s="225">
        <f t="shared" ref="E5:E13" si="0">C5/(B5+C5)</f>
        <v>0.72356157686906708</v>
      </c>
      <c r="F5" s="227">
        <f>B5+C5</f>
        <v>22227413</v>
      </c>
      <c r="G5" s="235">
        <f>B5</f>
        <v>6144511</v>
      </c>
      <c r="H5" s="236">
        <f>C5</f>
        <v>16082902</v>
      </c>
      <c r="I5" s="63"/>
    </row>
    <row r="6" spans="1:9">
      <c r="A6" s="67" t="s">
        <v>42</v>
      </c>
      <c r="B6" s="61">
        <v>84207</v>
      </c>
      <c r="C6" s="65">
        <v>207919</v>
      </c>
      <c r="D6" s="225">
        <f t="shared" ref="D6:D13" si="1">B6/(C6+B6)</f>
        <v>0.2882557526546764</v>
      </c>
      <c r="E6" s="225">
        <f t="shared" si="0"/>
        <v>0.7117442473453236</v>
      </c>
      <c r="F6" s="227">
        <f t="shared" ref="F6:F13" si="2">B6+C6</f>
        <v>292126</v>
      </c>
      <c r="G6" s="235">
        <f t="shared" ref="G6:G13" si="3">B6</f>
        <v>84207</v>
      </c>
      <c r="H6" s="236">
        <f t="shared" ref="H6:H13" si="4">C6</f>
        <v>207919</v>
      </c>
      <c r="I6" s="64"/>
    </row>
    <row r="7" spans="1:9">
      <c r="A7" s="67" t="s">
        <v>43</v>
      </c>
      <c r="B7" s="61">
        <v>33870</v>
      </c>
      <c r="C7" s="65">
        <v>267538</v>
      </c>
      <c r="D7" s="225">
        <f t="shared" si="1"/>
        <v>0.11237259794033337</v>
      </c>
      <c r="E7" s="225">
        <f t="shared" si="0"/>
        <v>0.88762740205966661</v>
      </c>
      <c r="F7" s="227">
        <f t="shared" si="2"/>
        <v>301408</v>
      </c>
      <c r="G7" s="235">
        <f t="shared" si="3"/>
        <v>33870</v>
      </c>
      <c r="H7" s="236">
        <f t="shared" si="4"/>
        <v>267538</v>
      </c>
      <c r="I7" s="64"/>
    </row>
    <row r="8" spans="1:9">
      <c r="A8" s="67" t="s">
        <v>44</v>
      </c>
      <c r="B8" s="61">
        <v>600</v>
      </c>
      <c r="C8" s="65">
        <v>600</v>
      </c>
      <c r="D8" s="225">
        <f t="shared" si="1"/>
        <v>0.5</v>
      </c>
      <c r="E8" s="225">
        <f t="shared" si="0"/>
        <v>0.5</v>
      </c>
      <c r="F8" s="227">
        <f t="shared" si="2"/>
        <v>1200</v>
      </c>
      <c r="G8" s="235">
        <f t="shared" si="3"/>
        <v>600</v>
      </c>
      <c r="H8" s="236">
        <f t="shared" si="4"/>
        <v>600</v>
      </c>
      <c r="I8" s="64"/>
    </row>
    <row r="9" spans="1:9">
      <c r="A9" s="67" t="s">
        <v>45</v>
      </c>
      <c r="B9" s="61">
        <v>459199</v>
      </c>
      <c r="C9" s="65">
        <v>261254</v>
      </c>
      <c r="D9" s="225">
        <f t="shared" si="1"/>
        <v>0.6373753735496972</v>
      </c>
      <c r="E9" s="225">
        <f t="shared" si="0"/>
        <v>0.3626246264503028</v>
      </c>
      <c r="F9" s="227">
        <f t="shared" si="2"/>
        <v>720453</v>
      </c>
      <c r="G9" s="235">
        <f t="shared" si="3"/>
        <v>459199</v>
      </c>
      <c r="H9" s="236">
        <f t="shared" si="4"/>
        <v>261254</v>
      </c>
      <c r="I9" s="64"/>
    </row>
    <row r="10" spans="1:9">
      <c r="A10" s="67" t="s">
        <v>46</v>
      </c>
      <c r="B10" s="61">
        <v>-14876</v>
      </c>
      <c r="C10" s="65">
        <v>136825</v>
      </c>
      <c r="D10" s="225">
        <f t="shared" si="1"/>
        <v>-0.12198542013464644</v>
      </c>
      <c r="E10" s="225">
        <f t="shared" si="0"/>
        <v>1.1219854201346464</v>
      </c>
      <c r="F10" s="227">
        <f t="shared" si="2"/>
        <v>121949</v>
      </c>
      <c r="G10" s="235">
        <f t="shared" si="3"/>
        <v>-14876</v>
      </c>
      <c r="H10" s="236">
        <f t="shared" si="4"/>
        <v>136825</v>
      </c>
      <c r="I10" s="64"/>
    </row>
    <row r="11" spans="1:9">
      <c r="A11" s="67" t="s">
        <v>47</v>
      </c>
      <c r="B11" s="61">
        <v>0</v>
      </c>
      <c r="C11" s="65">
        <v>0</v>
      </c>
      <c r="D11" s="225"/>
      <c r="E11" s="230"/>
      <c r="F11" s="227">
        <f t="shared" si="2"/>
        <v>0</v>
      </c>
      <c r="G11" s="235">
        <f t="shared" si="3"/>
        <v>0</v>
      </c>
      <c r="H11" s="236">
        <f t="shared" si="4"/>
        <v>0</v>
      </c>
      <c r="I11" s="64"/>
    </row>
    <row r="12" spans="1:9">
      <c r="A12" s="67" t="s">
        <v>48</v>
      </c>
      <c r="B12" s="61">
        <v>0</v>
      </c>
      <c r="C12" s="65">
        <v>70351</v>
      </c>
      <c r="D12" s="225">
        <f t="shared" si="1"/>
        <v>0</v>
      </c>
      <c r="E12" s="225">
        <f t="shared" si="0"/>
        <v>1</v>
      </c>
      <c r="F12" s="227">
        <f t="shared" si="2"/>
        <v>70351</v>
      </c>
      <c r="G12" s="235">
        <f t="shared" si="3"/>
        <v>0</v>
      </c>
      <c r="H12" s="236">
        <f t="shared" si="4"/>
        <v>70351</v>
      </c>
      <c r="I12" s="64"/>
    </row>
    <row r="13" spans="1:9">
      <c r="A13" s="67" t="s">
        <v>49</v>
      </c>
      <c r="B13" s="62">
        <v>0</v>
      </c>
      <c r="C13" s="66">
        <v>32445</v>
      </c>
      <c r="D13" s="225">
        <f t="shared" si="1"/>
        <v>0</v>
      </c>
      <c r="E13" s="225">
        <f t="shared" si="0"/>
        <v>1</v>
      </c>
      <c r="F13" s="227">
        <f t="shared" si="2"/>
        <v>32445</v>
      </c>
      <c r="G13" s="235">
        <f t="shared" si="3"/>
        <v>0</v>
      </c>
      <c r="H13" s="236">
        <f t="shared" si="4"/>
        <v>32445</v>
      </c>
      <c r="I13" s="64"/>
    </row>
    <row r="14" spans="1:9" ht="15.75" thickBot="1">
      <c r="A14" s="163" t="s">
        <v>38</v>
      </c>
      <c r="B14" s="164">
        <f>SUM(B5:B13)</f>
        <v>6707511</v>
      </c>
      <c r="C14" s="165">
        <f>SUM(C5:C13)</f>
        <v>17059834</v>
      </c>
      <c r="D14" s="166"/>
      <c r="E14" s="166"/>
      <c r="F14" s="167">
        <f>SUM(F5:F13)</f>
        <v>23767345</v>
      </c>
      <c r="G14" s="168"/>
      <c r="H14" s="169"/>
      <c r="I14" s="170"/>
    </row>
    <row r="22" spans="6:10">
      <c r="F22" s="99"/>
      <c r="H22" s="101"/>
      <c r="I22" s="100"/>
      <c r="J22" s="99"/>
    </row>
  </sheetData>
  <mergeCells count="7">
    <mergeCell ref="G1:H2"/>
    <mergeCell ref="I1:I3"/>
    <mergeCell ref="G4:H4"/>
    <mergeCell ref="A1:A2"/>
    <mergeCell ref="B1:C2"/>
    <mergeCell ref="D1:E2"/>
    <mergeCell ref="F1:F2"/>
  </mergeCells>
  <pageMargins left="0.7" right="0.7" top="0.75" bottom="0.75" header="0.3" footer="0.3"/>
  <pageSetup paperSize="256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0C807-947A-4E9E-88C1-48B48F60BF5E}">
  <sheetPr>
    <tabColor rgb="FFE87722"/>
  </sheetPr>
  <dimension ref="A1:L47"/>
  <sheetViews>
    <sheetView topLeftCell="A15" workbookViewId="0">
      <selection sqref="A1:A2"/>
    </sheetView>
  </sheetViews>
  <sheetFormatPr defaultRowHeight="15"/>
  <cols>
    <col min="1" max="2" width="10.42578125" style="22" bestFit="1" customWidth="1"/>
    <col min="3" max="3" width="43.140625" customWidth="1"/>
    <col min="4" max="4" width="12.7109375" style="37" bestFit="1" customWidth="1"/>
    <col min="5" max="5" width="12.85546875" style="37" bestFit="1" customWidth="1"/>
    <col min="6" max="7" width="8.5703125" customWidth="1"/>
    <col min="8" max="8" width="12.42578125" bestFit="1" customWidth="1"/>
    <col min="9" max="9" width="12.28515625" customWidth="1"/>
    <col min="10" max="10" width="14" bestFit="1" customWidth="1"/>
    <col min="11" max="11" width="30" customWidth="1"/>
  </cols>
  <sheetData>
    <row r="1" spans="1:11" ht="15" customHeight="1" thickBot="1">
      <c r="A1" s="150"/>
      <c r="B1" s="94"/>
      <c r="C1" s="836" t="s">
        <v>50</v>
      </c>
      <c r="D1" s="828" t="s">
        <v>40</v>
      </c>
      <c r="E1" s="829"/>
      <c r="F1" s="832" t="s">
        <v>2</v>
      </c>
      <c r="G1" s="832"/>
      <c r="H1" s="833" t="s">
        <v>3</v>
      </c>
      <c r="I1" s="833" t="s">
        <v>4</v>
      </c>
      <c r="J1" s="833"/>
      <c r="K1" s="824" t="s">
        <v>5</v>
      </c>
    </row>
    <row r="2" spans="1:11" ht="22.15" customHeight="1" thickBot="1">
      <c r="A2" s="247"/>
      <c r="B2" s="46"/>
      <c r="C2" s="836"/>
      <c r="D2" s="830"/>
      <c r="E2" s="831"/>
      <c r="F2" s="832"/>
      <c r="G2" s="832"/>
      <c r="H2" s="833"/>
      <c r="I2" s="833"/>
      <c r="J2" s="833"/>
      <c r="K2" s="824"/>
    </row>
    <row r="3" spans="1:11" ht="15.75" thickBot="1">
      <c r="A3" s="837" t="s">
        <v>51</v>
      </c>
      <c r="B3" s="838"/>
      <c r="C3" s="1" t="s">
        <v>6</v>
      </c>
      <c r="D3" s="25" t="s">
        <v>7</v>
      </c>
      <c r="E3" s="25" t="s">
        <v>8</v>
      </c>
      <c r="F3" s="1" t="s">
        <v>7</v>
      </c>
      <c r="G3" s="1" t="s">
        <v>8</v>
      </c>
      <c r="H3" s="2" t="s">
        <v>9</v>
      </c>
      <c r="I3" s="2" t="s">
        <v>7</v>
      </c>
      <c r="J3" s="2" t="s">
        <v>8</v>
      </c>
      <c r="K3" s="824"/>
    </row>
    <row r="4" spans="1:11">
      <c r="A4" s="93" t="s">
        <v>7</v>
      </c>
      <c r="B4" s="94" t="s">
        <v>8</v>
      </c>
      <c r="C4" s="90" t="s">
        <v>52</v>
      </c>
      <c r="D4" s="35"/>
      <c r="E4" s="38"/>
      <c r="F4" s="21"/>
      <c r="G4" s="20"/>
      <c r="H4" s="21"/>
      <c r="I4" s="834"/>
      <c r="J4" s="835"/>
      <c r="K4" s="19"/>
    </row>
    <row r="5" spans="1:11">
      <c r="A5" s="248" t="s">
        <v>53</v>
      </c>
      <c r="B5" s="59" t="s">
        <v>54</v>
      </c>
      <c r="C5" s="60" t="str">
        <f>[1]Revenues!$C$5</f>
        <v>Unmetered Revenue-Check Valves</v>
      </c>
      <c r="D5" s="36">
        <f>[2]Revenues!D5</f>
        <v>0</v>
      </c>
      <c r="E5" s="39">
        <f>[2]Revenues!E5</f>
        <v>0</v>
      </c>
      <c r="F5" s="225"/>
      <c r="G5" s="225"/>
      <c r="H5" s="227">
        <f>SUM(D5:E5)</f>
        <v>0</v>
      </c>
      <c r="I5" s="235">
        <f>D5</f>
        <v>0</v>
      </c>
      <c r="J5" s="236">
        <f>E5</f>
        <v>0</v>
      </c>
      <c r="K5" s="64"/>
    </row>
    <row r="6" spans="1:11">
      <c r="A6" s="248" t="s">
        <v>55</v>
      </c>
      <c r="B6" s="88" t="s">
        <v>56</v>
      </c>
      <c r="C6" s="60" t="str">
        <f>[1]Revenues!C6</f>
        <v>Metered Revenue-Residential</v>
      </c>
      <c r="D6" s="36">
        <f>[2]Revenues!D6</f>
        <v>2606013</v>
      </c>
      <c r="E6" s="65">
        <f>[2]Revenues!E6</f>
        <v>10121995</v>
      </c>
      <c r="F6" s="225">
        <f t="shared" ref="F6:F17" si="0">D6/(E6+D6)</f>
        <v>0.20474633579740051</v>
      </c>
      <c r="G6" s="225">
        <f t="shared" ref="G6:G17" si="1">E6/(D6+E6)</f>
        <v>0.79525366420259946</v>
      </c>
      <c r="H6" s="227">
        <f t="shared" ref="H6:H17" si="2">SUM(D6:E6)</f>
        <v>12728008</v>
      </c>
      <c r="I6" s="235">
        <f t="shared" ref="I6:J21" si="3">D6</f>
        <v>2606013</v>
      </c>
      <c r="J6" s="236">
        <f t="shared" si="3"/>
        <v>10121995</v>
      </c>
      <c r="K6" s="17"/>
    </row>
    <row r="7" spans="1:11">
      <c r="A7" s="248" t="s">
        <v>57</v>
      </c>
      <c r="B7" s="88" t="s">
        <v>58</v>
      </c>
      <c r="C7" s="60" t="str">
        <f>[1]Revenues!C7</f>
        <v>Metered Revenue-Commercial</v>
      </c>
      <c r="D7" s="36">
        <f>[2]Revenues!D7</f>
        <v>847443</v>
      </c>
      <c r="E7" s="65">
        <f>[2]Revenues!E7</f>
        <v>2805185</v>
      </c>
      <c r="F7" s="225">
        <f t="shared" si="0"/>
        <v>0.23200911781873215</v>
      </c>
      <c r="G7" s="225">
        <f t="shared" si="1"/>
        <v>0.76799088218126788</v>
      </c>
      <c r="H7" s="227">
        <f t="shared" si="2"/>
        <v>3652628</v>
      </c>
      <c r="I7" s="235">
        <f t="shared" si="3"/>
        <v>847443</v>
      </c>
      <c r="J7" s="236">
        <f t="shared" si="3"/>
        <v>2805185</v>
      </c>
      <c r="K7" s="17"/>
    </row>
    <row r="8" spans="1:11">
      <c r="A8" s="248" t="s">
        <v>59</v>
      </c>
      <c r="B8" s="88" t="s">
        <v>60</v>
      </c>
      <c r="C8" s="60" t="str">
        <f>[1]Revenues!C8</f>
        <v>Metered Revenue-Industrial</v>
      </c>
      <c r="D8" s="36">
        <f>[2]Revenues!D8</f>
        <v>2690800</v>
      </c>
      <c r="E8" s="65">
        <f>[2]Revenues!E8</f>
        <v>2971463</v>
      </c>
      <c r="F8" s="226">
        <f t="shared" si="0"/>
        <v>0.47521635784137894</v>
      </c>
      <c r="G8" s="225">
        <f t="shared" si="1"/>
        <v>0.52478364215862106</v>
      </c>
      <c r="H8" s="227">
        <f t="shared" si="2"/>
        <v>5662263</v>
      </c>
      <c r="I8" s="235">
        <f t="shared" si="3"/>
        <v>2690800</v>
      </c>
      <c r="J8" s="236">
        <f t="shared" si="3"/>
        <v>2971463</v>
      </c>
      <c r="K8" s="17"/>
    </row>
    <row r="9" spans="1:11">
      <c r="A9" s="248" t="s">
        <v>61</v>
      </c>
      <c r="B9" s="88" t="s">
        <v>62</v>
      </c>
      <c r="C9" s="60" t="str">
        <f>[1]Revenues!C9</f>
        <v>Metered Revenue-City/County/State/Fed</v>
      </c>
      <c r="D9" s="36">
        <f>[2]Revenues!D9</f>
        <v>0</v>
      </c>
      <c r="E9" s="65">
        <f>[2]Revenues!E9</f>
        <v>0</v>
      </c>
      <c r="F9" s="225"/>
      <c r="G9" s="225"/>
      <c r="H9" s="227">
        <f t="shared" si="2"/>
        <v>0</v>
      </c>
      <c r="I9" s="235">
        <f t="shared" si="3"/>
        <v>0</v>
      </c>
      <c r="J9" s="236">
        <f t="shared" si="3"/>
        <v>0</v>
      </c>
      <c r="K9" s="17"/>
    </row>
    <row r="10" spans="1:11">
      <c r="A10" s="248" t="s">
        <v>63</v>
      </c>
      <c r="B10" s="88" t="s">
        <v>64</v>
      </c>
      <c r="C10" s="60" t="str">
        <f>[1]Revenues!C10</f>
        <v>Metered Revenue-Mult Family</v>
      </c>
      <c r="D10" s="36">
        <f>[2]Revenues!D10</f>
        <v>0</v>
      </c>
      <c r="E10" s="65">
        <f>[2]Revenues!E10</f>
        <v>0</v>
      </c>
      <c r="F10" s="225"/>
      <c r="G10" s="225"/>
      <c r="H10" s="227">
        <f t="shared" si="2"/>
        <v>0</v>
      </c>
      <c r="I10" s="235">
        <f t="shared" si="3"/>
        <v>0</v>
      </c>
      <c r="J10" s="236">
        <f t="shared" si="3"/>
        <v>0</v>
      </c>
      <c r="K10" s="17"/>
    </row>
    <row r="11" spans="1:11">
      <c r="A11" s="248" t="s">
        <v>65</v>
      </c>
      <c r="B11" s="88" t="s">
        <v>66</v>
      </c>
      <c r="C11" s="60" t="str">
        <f>[1]Revenues!C11</f>
        <v>Metered Revenue-Bulk Loading</v>
      </c>
      <c r="D11" s="36">
        <f>[2]Revenues!D11</f>
        <v>0</v>
      </c>
      <c r="E11" s="65">
        <f>[2]Revenues!E11</f>
        <v>0</v>
      </c>
      <c r="F11" s="225"/>
      <c r="G11" s="225"/>
      <c r="H11" s="227">
        <f t="shared" si="2"/>
        <v>0</v>
      </c>
      <c r="I11" s="235">
        <f t="shared" si="3"/>
        <v>0</v>
      </c>
      <c r="J11" s="236">
        <f t="shared" si="3"/>
        <v>0</v>
      </c>
      <c r="K11" s="17"/>
    </row>
    <row r="12" spans="1:11">
      <c r="A12" s="248" t="s">
        <v>67</v>
      </c>
      <c r="B12" s="88" t="s">
        <v>68</v>
      </c>
      <c r="C12" s="60" t="str">
        <f>[1]Revenues!C12</f>
        <v>Metered Revenue-Agricultural</v>
      </c>
      <c r="D12" s="36">
        <f>[2]Revenues!D12</f>
        <v>0</v>
      </c>
      <c r="E12" s="65">
        <f>[2]Revenues!E12</f>
        <v>20811</v>
      </c>
      <c r="F12" s="225">
        <f t="shared" si="0"/>
        <v>0</v>
      </c>
      <c r="G12" s="225">
        <f t="shared" si="1"/>
        <v>1</v>
      </c>
      <c r="H12" s="227">
        <f t="shared" si="2"/>
        <v>20811</v>
      </c>
      <c r="I12" s="235">
        <f t="shared" si="3"/>
        <v>0</v>
      </c>
      <c r="J12" s="236">
        <f t="shared" si="3"/>
        <v>20811</v>
      </c>
      <c r="K12" s="8"/>
    </row>
    <row r="13" spans="1:11">
      <c r="A13" s="248" t="s">
        <v>69</v>
      </c>
      <c r="B13" s="88" t="s">
        <v>70</v>
      </c>
      <c r="C13" s="60" t="str">
        <f>[1]Revenues!C13</f>
        <v>Unbilled Revenue-Residential</v>
      </c>
      <c r="D13" s="36">
        <f>[2]Revenues!D13</f>
        <v>0</v>
      </c>
      <c r="E13" s="65">
        <f>[2]Revenues!E13</f>
        <v>0</v>
      </c>
      <c r="F13" s="225"/>
      <c r="G13" s="225"/>
      <c r="H13" s="227">
        <f t="shared" si="2"/>
        <v>0</v>
      </c>
      <c r="I13" s="235">
        <f t="shared" si="3"/>
        <v>0</v>
      </c>
      <c r="J13" s="236">
        <f t="shared" si="3"/>
        <v>0</v>
      </c>
      <c r="K13" s="8"/>
    </row>
    <row r="14" spans="1:11">
      <c r="A14" s="248" t="s">
        <v>71</v>
      </c>
      <c r="B14" s="88" t="s">
        <v>72</v>
      </c>
      <c r="C14" s="60" t="str">
        <f>[1]Revenues!C14</f>
        <v>Unbilled Revenue-Commercial &amp; Industrial</v>
      </c>
      <c r="D14" s="36">
        <f>[2]Revenues!D14</f>
        <v>0</v>
      </c>
      <c r="E14" s="65">
        <f>[2]Revenues!E14</f>
        <v>0</v>
      </c>
      <c r="F14" s="225"/>
      <c r="G14" s="225"/>
      <c r="H14" s="227">
        <f t="shared" si="2"/>
        <v>0</v>
      </c>
      <c r="I14" s="235">
        <f t="shared" si="3"/>
        <v>0</v>
      </c>
      <c r="J14" s="236">
        <f t="shared" si="3"/>
        <v>0</v>
      </c>
      <c r="K14" s="8"/>
    </row>
    <row r="15" spans="1:11">
      <c r="A15" s="248" t="s">
        <v>73</v>
      </c>
      <c r="B15" s="88" t="s">
        <v>74</v>
      </c>
      <c r="C15" s="60" t="str">
        <f>[1]Revenues!C15</f>
        <v>Metered Revenue-Fire Protect</v>
      </c>
      <c r="D15" s="36">
        <f>[2]Revenues!D15</f>
        <v>0</v>
      </c>
      <c r="E15" s="65">
        <f>[2]Revenues!E15</f>
        <v>161466</v>
      </c>
      <c r="F15" s="225">
        <f t="shared" si="0"/>
        <v>0</v>
      </c>
      <c r="G15" s="225">
        <f t="shared" si="1"/>
        <v>1</v>
      </c>
      <c r="H15" s="227">
        <f t="shared" si="2"/>
        <v>161466</v>
      </c>
      <c r="I15" s="235">
        <f t="shared" si="3"/>
        <v>0</v>
      </c>
      <c r="J15" s="236">
        <f t="shared" si="3"/>
        <v>161466</v>
      </c>
      <c r="K15" s="8"/>
    </row>
    <row r="16" spans="1:11">
      <c r="A16" s="248" t="s">
        <v>73</v>
      </c>
      <c r="B16" s="88" t="s">
        <v>74</v>
      </c>
      <c r="C16" s="60" t="str">
        <f>[1]Revenues!C16</f>
        <v>Metered Revenue-Irrigation</v>
      </c>
      <c r="D16" s="36">
        <f>[2]Revenues!D16</f>
        <v>0</v>
      </c>
      <c r="E16" s="65">
        <f>[2]Revenues!E16</f>
        <v>0</v>
      </c>
      <c r="F16" s="225"/>
      <c r="G16" s="225"/>
      <c r="H16" s="227">
        <f t="shared" si="2"/>
        <v>0</v>
      </c>
      <c r="I16" s="235">
        <f t="shared" si="3"/>
        <v>0</v>
      </c>
      <c r="J16" s="236">
        <f t="shared" si="3"/>
        <v>0</v>
      </c>
      <c r="K16" s="8"/>
    </row>
    <row r="17" spans="1:12" ht="15" customHeight="1">
      <c r="A17" s="248" t="s">
        <v>73</v>
      </c>
      <c r="B17" s="88" t="s">
        <v>74</v>
      </c>
      <c r="C17" s="60" t="str">
        <f>[1]Revenues!C17</f>
        <v>Metered Revenue-Leak Adjusts</v>
      </c>
      <c r="D17" s="36">
        <f>[2]Revenues!D17</f>
        <v>0</v>
      </c>
      <c r="E17" s="65">
        <f>[2]Revenues!E17</f>
        <v>1981</v>
      </c>
      <c r="F17" s="264">
        <f t="shared" si="0"/>
        <v>0</v>
      </c>
      <c r="G17" s="264">
        <f t="shared" si="1"/>
        <v>1</v>
      </c>
      <c r="H17" s="268">
        <f t="shared" si="2"/>
        <v>1981</v>
      </c>
      <c r="I17" s="270">
        <f t="shared" si="3"/>
        <v>0</v>
      </c>
      <c r="J17" s="272">
        <f t="shared" si="3"/>
        <v>1981</v>
      </c>
      <c r="K17" s="9"/>
    </row>
    <row r="18" spans="1:12">
      <c r="A18" s="251"/>
      <c r="B18" s="152"/>
      <c r="C18" s="173" t="s">
        <v>30</v>
      </c>
      <c r="D18" s="481">
        <f>SUM(D5:D17)</f>
        <v>6144256</v>
      </c>
      <c r="E18" s="480">
        <f>SUM(E5:E17)</f>
        <v>16082901</v>
      </c>
      <c r="F18" s="151"/>
      <c r="G18" s="151"/>
      <c r="H18" s="172">
        <f>SUM(H5:H17)</f>
        <v>22227157</v>
      </c>
      <c r="I18" s="158">
        <f>SUM(I5:I17)</f>
        <v>6144256</v>
      </c>
      <c r="J18" s="485">
        <f>SUM(J5:J17)</f>
        <v>16082901</v>
      </c>
      <c r="K18" s="151"/>
      <c r="L18" s="7"/>
    </row>
    <row r="19" spans="1:12" ht="10.5" customHeight="1">
      <c r="A19" s="247"/>
      <c r="B19" s="46"/>
      <c r="C19" s="70"/>
      <c r="D19" s="28"/>
      <c r="E19" s="32"/>
      <c r="F19" s="3"/>
      <c r="G19" s="3"/>
      <c r="H19" s="23"/>
      <c r="I19" s="13"/>
      <c r="J19" s="10"/>
      <c r="K19" s="8"/>
    </row>
    <row r="20" spans="1:12">
      <c r="A20" s="273"/>
      <c r="B20" s="89"/>
      <c r="C20" s="91" t="s">
        <v>45</v>
      </c>
      <c r="D20" s="35"/>
      <c r="E20" s="40"/>
      <c r="F20" s="4"/>
      <c r="G20" s="4"/>
      <c r="H20" s="24"/>
      <c r="I20" s="13"/>
      <c r="J20" s="10"/>
      <c r="K20" s="17"/>
    </row>
    <row r="21" spans="1:12">
      <c r="A21" s="274" t="s">
        <v>75</v>
      </c>
      <c r="B21" s="89" t="s">
        <v>76</v>
      </c>
      <c r="C21" s="52" t="str">
        <f>[1]Revenues!C21</f>
        <v>Interest Income-Sinking/Misc</v>
      </c>
      <c r="D21" s="27">
        <f>[2]Revenues!D21</f>
        <v>101016</v>
      </c>
      <c r="E21" s="39">
        <f>[2]Revenues!E21</f>
        <v>54565</v>
      </c>
      <c r="F21" s="225">
        <f>D21/(E21+D21)</f>
        <v>0.6492823673841922</v>
      </c>
      <c r="G21" s="225">
        <f>E21/(D21+E21)</f>
        <v>0.35071763261580785</v>
      </c>
      <c r="H21" s="227">
        <f t="shared" ref="H21:H29" si="4">SUM(D21:E21)</f>
        <v>155581</v>
      </c>
      <c r="I21" s="238">
        <f t="shared" ref="I21:J35" si="5">D21</f>
        <v>101016</v>
      </c>
      <c r="J21" s="237">
        <f t="shared" si="3"/>
        <v>54565</v>
      </c>
      <c r="K21" s="8"/>
    </row>
    <row r="22" spans="1:12">
      <c r="A22" s="248" t="s">
        <v>77</v>
      </c>
      <c r="B22" s="88" t="s">
        <v>78</v>
      </c>
      <c r="C22" s="52" t="str">
        <f>[1]Revenues!C22</f>
        <v>Interest Income-Depreciation Reserve</v>
      </c>
      <c r="D22" s="28">
        <f>[2]Revenues!D22</f>
        <v>0</v>
      </c>
      <c r="E22" s="65">
        <f>[2]Revenues!E22</f>
        <v>-102</v>
      </c>
      <c r="F22" s="225">
        <f t="shared" ref="F22:F29" si="6">D22/(E22+D22)</f>
        <v>0</v>
      </c>
      <c r="G22" s="225">
        <f t="shared" ref="G22:G29" si="7">E22/(D22+E22)</f>
        <v>1</v>
      </c>
      <c r="H22" s="227">
        <f t="shared" si="4"/>
        <v>-102</v>
      </c>
      <c r="I22" s="235">
        <f t="shared" si="5"/>
        <v>0</v>
      </c>
      <c r="J22" s="236">
        <f t="shared" si="5"/>
        <v>-102</v>
      </c>
      <c r="K22" s="8"/>
    </row>
    <row r="23" spans="1:12">
      <c r="A23" s="248" t="s">
        <v>79</v>
      </c>
      <c r="B23" s="88" t="s">
        <v>80</v>
      </c>
      <c r="C23" s="52" t="str">
        <f>[1]Revenues!C23</f>
        <v>Interest Income-DSR (SC Bank)</v>
      </c>
      <c r="D23" s="28">
        <f>[2]Revenues!D23</f>
        <v>0</v>
      </c>
      <c r="E23" s="65">
        <f>[2]Revenues!E23</f>
        <v>0</v>
      </c>
      <c r="F23" s="225"/>
      <c r="G23" s="225"/>
      <c r="H23" s="227">
        <f t="shared" si="4"/>
        <v>0</v>
      </c>
      <c r="I23" s="235">
        <f t="shared" si="5"/>
        <v>0</v>
      </c>
      <c r="J23" s="236">
        <f t="shared" si="5"/>
        <v>0</v>
      </c>
      <c r="K23" s="8"/>
    </row>
    <row r="24" spans="1:12">
      <c r="A24" s="248" t="s">
        <v>79</v>
      </c>
      <c r="B24" s="88" t="s">
        <v>81</v>
      </c>
      <c r="C24" s="52" t="str">
        <f>[1]Revenues!C24</f>
        <v>Interest Income-Depreciation Reserve</v>
      </c>
      <c r="D24" s="28">
        <f>[2]Revenues!D24</f>
        <v>0</v>
      </c>
      <c r="E24" s="65">
        <f>[2]Revenues!E24</f>
        <v>48048</v>
      </c>
      <c r="F24" s="225">
        <f t="shared" si="6"/>
        <v>0</v>
      </c>
      <c r="G24" s="225">
        <f t="shared" si="7"/>
        <v>1</v>
      </c>
      <c r="H24" s="227">
        <f t="shared" si="4"/>
        <v>48048</v>
      </c>
      <c r="I24" s="235">
        <f t="shared" si="5"/>
        <v>0</v>
      </c>
      <c r="J24" s="236">
        <f t="shared" si="5"/>
        <v>48048</v>
      </c>
      <c r="K24" s="8"/>
    </row>
    <row r="25" spans="1:12">
      <c r="A25" s="248" t="s">
        <v>82</v>
      </c>
      <c r="B25" s="88" t="s">
        <v>81</v>
      </c>
      <c r="C25" s="52" t="str">
        <f>[1]Revenues!C25</f>
        <v>Interest Income-Depreciation Reserve</v>
      </c>
      <c r="D25" s="28">
        <f>[2]Revenues!D25</f>
        <v>204033</v>
      </c>
      <c r="E25" s="65">
        <f>[2]Revenues!E25</f>
        <v>156561</v>
      </c>
      <c r="F25" s="225">
        <f t="shared" si="6"/>
        <v>0.56582472254114047</v>
      </c>
      <c r="G25" s="225">
        <f t="shared" si="7"/>
        <v>0.43417527745885953</v>
      </c>
      <c r="H25" s="227">
        <f t="shared" si="4"/>
        <v>360594</v>
      </c>
      <c r="I25" s="235">
        <f t="shared" si="5"/>
        <v>204033</v>
      </c>
      <c r="J25" s="236">
        <f t="shared" si="5"/>
        <v>156561</v>
      </c>
      <c r="K25" s="8"/>
    </row>
    <row r="26" spans="1:12">
      <c r="A26" s="248" t="s">
        <v>79</v>
      </c>
      <c r="B26" s="88" t="s">
        <v>83</v>
      </c>
      <c r="C26" s="52" t="str">
        <f>[1]Revenues!C26</f>
        <v>Interest Income-Customer Deposits</v>
      </c>
      <c r="D26" s="28">
        <f>[2]Revenues!D26</f>
        <v>0</v>
      </c>
      <c r="E26" s="65">
        <f>[2]Revenues!E26</f>
        <v>0</v>
      </c>
      <c r="F26" s="225"/>
      <c r="G26" s="225"/>
      <c r="H26" s="227">
        <f t="shared" si="4"/>
        <v>0</v>
      </c>
      <c r="I26" s="235">
        <f t="shared" si="5"/>
        <v>0</v>
      </c>
      <c r="J26" s="236">
        <f t="shared" si="5"/>
        <v>0</v>
      </c>
      <c r="K26" s="8"/>
    </row>
    <row r="27" spans="1:12">
      <c r="A27" s="248" t="s">
        <v>79</v>
      </c>
      <c r="B27" s="88" t="s">
        <v>84</v>
      </c>
      <c r="C27" s="52" t="str">
        <f>[1]Revenues!C27</f>
        <v>Interest Income-Depreciation Reserve Fund</v>
      </c>
      <c r="D27" s="28">
        <f>[2]Revenues!D27</f>
        <v>0</v>
      </c>
      <c r="E27" s="65">
        <f>[2]Revenues!E27</f>
        <v>0</v>
      </c>
      <c r="F27" s="225"/>
      <c r="G27" s="225"/>
      <c r="H27" s="227">
        <f t="shared" si="4"/>
        <v>0</v>
      </c>
      <c r="I27" s="235">
        <f t="shared" si="5"/>
        <v>0</v>
      </c>
      <c r="J27" s="236">
        <f t="shared" si="5"/>
        <v>0</v>
      </c>
      <c r="K27" s="8"/>
    </row>
    <row r="28" spans="1:12">
      <c r="A28" s="248" t="s">
        <v>77</v>
      </c>
      <c r="B28" s="88" t="s">
        <v>79</v>
      </c>
      <c r="C28" s="52" t="str">
        <f>[1]Revenues!C28</f>
        <v>Interest Income-Customer Deposits</v>
      </c>
      <c r="D28" s="28">
        <f>[2]Revenues!D28</f>
        <v>0</v>
      </c>
      <c r="E28" s="65">
        <f>[2]Revenues!E28</f>
        <v>0</v>
      </c>
      <c r="F28" s="225"/>
      <c r="G28" s="225"/>
      <c r="H28" s="227">
        <f t="shared" si="4"/>
        <v>0</v>
      </c>
      <c r="I28" s="235">
        <f t="shared" si="5"/>
        <v>0</v>
      </c>
      <c r="J28" s="236">
        <f t="shared" si="5"/>
        <v>0</v>
      </c>
      <c r="K28" s="17"/>
    </row>
    <row r="29" spans="1:12">
      <c r="A29" s="248" t="s">
        <v>77</v>
      </c>
      <c r="B29" s="92" t="s">
        <v>79</v>
      </c>
      <c r="C29" s="52" t="str">
        <f>[1]Revenues!C29</f>
        <v>Interest Income-Customer Deposits</v>
      </c>
      <c r="D29" s="28">
        <f>[2]Revenues!D29</f>
        <v>127309</v>
      </c>
      <c r="E29" s="65">
        <f>[2]Revenues!E29</f>
        <v>0</v>
      </c>
      <c r="F29" s="264">
        <f t="shared" si="6"/>
        <v>1</v>
      </c>
      <c r="G29" s="264">
        <f t="shared" si="7"/>
        <v>0</v>
      </c>
      <c r="H29" s="268">
        <f t="shared" si="4"/>
        <v>127309</v>
      </c>
      <c r="I29" s="270">
        <f t="shared" si="5"/>
        <v>127309</v>
      </c>
      <c r="J29" s="272">
        <f t="shared" si="5"/>
        <v>0</v>
      </c>
      <c r="K29" s="9"/>
    </row>
    <row r="30" spans="1:12">
      <c r="A30" s="275"/>
      <c r="B30" s="171"/>
      <c r="C30" s="156" t="s">
        <v>30</v>
      </c>
      <c r="D30" s="481">
        <f>SUM(D21:D29)</f>
        <v>432358</v>
      </c>
      <c r="E30" s="482">
        <f>SUM(E21:E29)</f>
        <v>259072</v>
      </c>
      <c r="F30" s="157"/>
      <c r="G30" s="151"/>
      <c r="H30" s="172">
        <f>SUM(H21:H29)</f>
        <v>691430</v>
      </c>
      <c r="I30" s="158">
        <f>SUM(I21:I29)</f>
        <v>432358</v>
      </c>
      <c r="J30" s="485">
        <f>SUM(J21:J29)</f>
        <v>259072</v>
      </c>
      <c r="K30" s="160"/>
    </row>
    <row r="31" spans="1:12" ht="10.5" customHeight="1">
      <c r="A31" s="247"/>
      <c r="B31" s="46"/>
      <c r="C31" s="70"/>
      <c r="D31" s="28"/>
      <c r="E31" s="41"/>
      <c r="F31" s="3"/>
      <c r="G31" s="3"/>
      <c r="H31" s="23"/>
      <c r="I31" s="13"/>
      <c r="J31" s="10"/>
      <c r="K31" s="15"/>
    </row>
    <row r="32" spans="1:12">
      <c r="A32" s="273"/>
      <c r="B32" s="89"/>
      <c r="C32" s="14" t="s">
        <v>85</v>
      </c>
      <c r="D32" s="35"/>
      <c r="E32" s="40"/>
      <c r="F32" s="4"/>
      <c r="G32" s="4"/>
      <c r="H32" s="24"/>
      <c r="I32" s="18"/>
      <c r="J32" s="10"/>
      <c r="K32" s="15"/>
    </row>
    <row r="33" spans="1:11">
      <c r="A33" s="248" t="s">
        <v>86</v>
      </c>
      <c r="B33" s="89" t="s">
        <v>87</v>
      </c>
      <c r="C33" s="55" t="str">
        <f>[1]Revenues!C34</f>
        <v>Fortified Discounts</v>
      </c>
      <c r="D33" s="27">
        <f>[2]Revenues!D34</f>
        <v>84207</v>
      </c>
      <c r="E33" s="39">
        <f>[2]Revenues!E34</f>
        <v>207919</v>
      </c>
      <c r="F33" s="225">
        <f>D33/(E33+D33)</f>
        <v>0.2882557526546764</v>
      </c>
      <c r="G33" s="225">
        <f>E33/(D33+E33)</f>
        <v>0.7117442473453236</v>
      </c>
      <c r="H33" s="227">
        <f t="shared" ref="H33:H40" si="8">SUM(D33:E33)</f>
        <v>292126</v>
      </c>
      <c r="I33" s="235">
        <f t="shared" ref="I33:J40" si="9">D33</f>
        <v>84207</v>
      </c>
      <c r="J33" s="237">
        <f t="shared" si="5"/>
        <v>207919</v>
      </c>
      <c r="K33" s="15"/>
    </row>
    <row r="34" spans="1:11">
      <c r="A34" s="248" t="s">
        <v>88</v>
      </c>
      <c r="B34" s="88" t="s">
        <v>89</v>
      </c>
      <c r="C34" s="55" t="str">
        <f>[1]Revenues!C35</f>
        <v>Misc Service Revenue</v>
      </c>
      <c r="D34" s="28">
        <f>[2]Revenues!D35</f>
        <v>33870</v>
      </c>
      <c r="E34" s="65">
        <f>[2]Revenues!E35</f>
        <v>267538</v>
      </c>
      <c r="F34" s="225">
        <f t="shared" ref="F34:F40" si="10">D34/(E34+D34)</f>
        <v>0.11237259794033337</v>
      </c>
      <c r="G34" s="225">
        <f t="shared" ref="G34:G40" si="11">E34/(D34+E34)</f>
        <v>0.88762740205966661</v>
      </c>
      <c r="H34" s="227">
        <f t="shared" si="8"/>
        <v>301408</v>
      </c>
      <c r="I34" s="235">
        <f t="shared" si="9"/>
        <v>33870</v>
      </c>
      <c r="J34" s="236">
        <f t="shared" si="5"/>
        <v>267538</v>
      </c>
      <c r="K34" s="15"/>
    </row>
    <row r="35" spans="1:11">
      <c r="A35" s="248" t="s">
        <v>90</v>
      </c>
      <c r="B35" s="88" t="s">
        <v>91</v>
      </c>
      <c r="C35" s="55" t="str">
        <f>[1]Revenues!C36</f>
        <v>Other Water Revenue</v>
      </c>
      <c r="D35" s="28">
        <f>[2]Revenues!D36</f>
        <v>600</v>
      </c>
      <c r="E35" s="65">
        <f>[2]Revenues!E36</f>
        <v>600</v>
      </c>
      <c r="F35" s="225">
        <f t="shared" si="10"/>
        <v>0.5</v>
      </c>
      <c r="G35" s="225">
        <f>E35/(D35+E35)</f>
        <v>0.5</v>
      </c>
      <c r="H35" s="227">
        <f t="shared" si="8"/>
        <v>1200</v>
      </c>
      <c r="I35" s="235">
        <f t="shared" si="9"/>
        <v>600</v>
      </c>
      <c r="J35" s="236">
        <f t="shared" si="5"/>
        <v>600</v>
      </c>
      <c r="K35" s="15"/>
    </row>
    <row r="36" spans="1:11">
      <c r="A36" s="248" t="s">
        <v>92</v>
      </c>
      <c r="B36" s="88" t="s">
        <v>93</v>
      </c>
      <c r="C36" s="55" t="str">
        <f>[1]Revenues!C37</f>
        <v>Other Water Revenue-Meter Reading</v>
      </c>
      <c r="D36" s="28">
        <f>[2]Revenues!D37</f>
        <v>0</v>
      </c>
      <c r="E36" s="65">
        <f>[2]Revenues!E37</f>
        <v>0</v>
      </c>
      <c r="F36" s="225"/>
      <c r="G36" s="225"/>
      <c r="H36" s="227">
        <f t="shared" si="8"/>
        <v>0</v>
      </c>
      <c r="I36" s="235">
        <f t="shared" si="9"/>
        <v>0</v>
      </c>
      <c r="J36" s="236">
        <f t="shared" si="9"/>
        <v>0</v>
      </c>
      <c r="K36" s="15"/>
    </row>
    <row r="37" spans="1:11">
      <c r="A37" s="248" t="s">
        <v>94</v>
      </c>
      <c r="B37" s="88" t="s">
        <v>95</v>
      </c>
      <c r="C37" s="55" t="str">
        <f>[1]Revenues!C38</f>
        <v>Rental Revenue-District Property</v>
      </c>
      <c r="D37" s="28">
        <f>[2]Revenues!D38</f>
        <v>-14876</v>
      </c>
      <c r="E37" s="65">
        <f>[2]Revenues!E38</f>
        <v>136825</v>
      </c>
      <c r="F37" s="225">
        <f t="shared" si="10"/>
        <v>-0.12198542013464644</v>
      </c>
      <c r="G37" s="225">
        <f t="shared" si="11"/>
        <v>1.1219854201346464</v>
      </c>
      <c r="H37" s="227">
        <f t="shared" si="8"/>
        <v>121949</v>
      </c>
      <c r="I37" s="235">
        <f t="shared" si="9"/>
        <v>-14876</v>
      </c>
      <c r="J37" s="236">
        <f t="shared" si="9"/>
        <v>136825</v>
      </c>
      <c r="K37" s="8"/>
    </row>
    <row r="38" spans="1:11">
      <c r="A38" s="248"/>
      <c r="B38" s="88" t="s">
        <v>96</v>
      </c>
      <c r="C38" s="55" t="str">
        <f>[1]Revenues!C39</f>
        <v>Non-Utility Income-Southern Recycling</v>
      </c>
      <c r="D38" s="28">
        <f>[2]Revenues!D39</f>
        <v>0</v>
      </c>
      <c r="E38" s="65">
        <f>[2]Revenues!E39</f>
        <v>0</v>
      </c>
      <c r="F38" s="225"/>
      <c r="G38" s="225"/>
      <c r="H38" s="227">
        <f t="shared" si="8"/>
        <v>0</v>
      </c>
      <c r="I38" s="235">
        <f t="shared" si="9"/>
        <v>0</v>
      </c>
      <c r="J38" s="236">
        <f t="shared" si="9"/>
        <v>0</v>
      </c>
      <c r="K38" s="8"/>
    </row>
    <row r="39" spans="1:11">
      <c r="A39" s="248"/>
      <c r="B39" s="88" t="s">
        <v>97</v>
      </c>
      <c r="C39" s="55" t="str">
        <f>[1]Revenues!C40</f>
        <v>Non-Utility Income-Storm Water Agency</v>
      </c>
      <c r="D39" s="28">
        <f>[2]Revenues!D40</f>
        <v>0</v>
      </c>
      <c r="E39" s="65">
        <f>[2]Revenues!E40</f>
        <v>70540</v>
      </c>
      <c r="F39" s="225">
        <f t="shared" si="10"/>
        <v>0</v>
      </c>
      <c r="G39" s="225">
        <f t="shared" si="11"/>
        <v>1</v>
      </c>
      <c r="H39" s="227">
        <f t="shared" si="8"/>
        <v>70540</v>
      </c>
      <c r="I39" s="235">
        <f t="shared" si="9"/>
        <v>0</v>
      </c>
      <c r="J39" s="236">
        <f t="shared" si="9"/>
        <v>70540</v>
      </c>
      <c r="K39" s="8"/>
    </row>
    <row r="40" spans="1:11">
      <c r="A40" s="248" t="s">
        <v>98</v>
      </c>
      <c r="B40" s="88" t="s">
        <v>99</v>
      </c>
      <c r="C40" s="54" t="str">
        <f>[1]Revenues!C41</f>
        <v>Disposition - Gains / (Losses)</v>
      </c>
      <c r="D40" s="28">
        <f>[2]Revenues!D41</f>
        <v>0</v>
      </c>
      <c r="E40" s="65">
        <f>[2]Revenues!E41</f>
        <v>32445</v>
      </c>
      <c r="F40" s="264">
        <f t="shared" si="10"/>
        <v>0</v>
      </c>
      <c r="G40" s="264">
        <f t="shared" si="11"/>
        <v>1</v>
      </c>
      <c r="H40" s="268">
        <f t="shared" si="8"/>
        <v>32445</v>
      </c>
      <c r="I40" s="270">
        <f t="shared" si="9"/>
        <v>0</v>
      </c>
      <c r="J40" s="272">
        <f t="shared" si="9"/>
        <v>32445</v>
      </c>
      <c r="K40" s="98"/>
    </row>
    <row r="41" spans="1:11">
      <c r="A41" s="251"/>
      <c r="B41" s="152"/>
      <c r="C41" s="156" t="s">
        <v>30</v>
      </c>
      <c r="D41" s="481">
        <f>SUM(D33:D40)</f>
        <v>103801</v>
      </c>
      <c r="E41" s="480">
        <f>SUM(E33:E40)</f>
        <v>715867</v>
      </c>
      <c r="F41" s="151"/>
      <c r="G41" s="160"/>
      <c r="H41" s="276">
        <f>SUM(H33:H40)</f>
        <v>819668</v>
      </c>
      <c r="I41" s="158">
        <f>SUM(I33:I40)</f>
        <v>103801</v>
      </c>
      <c r="J41" s="485">
        <f>SUM(J33:J40)</f>
        <v>715867</v>
      </c>
      <c r="K41" s="160"/>
    </row>
    <row r="42" spans="1:11">
      <c r="A42" s="247"/>
      <c r="B42" s="46"/>
      <c r="C42" s="64"/>
      <c r="D42" s="28"/>
      <c r="E42" s="41"/>
      <c r="F42" s="16"/>
      <c r="G42" s="16"/>
      <c r="H42" s="7"/>
      <c r="I42" s="7"/>
      <c r="J42" s="10"/>
      <c r="K42" s="15"/>
    </row>
    <row r="43" spans="1:11" ht="15.75" thickBot="1">
      <c r="A43" s="252"/>
      <c r="B43" s="181"/>
      <c r="C43" s="182" t="s">
        <v>38</v>
      </c>
      <c r="D43" s="183">
        <f>SUM(D18,D30,D41)</f>
        <v>6680415</v>
      </c>
      <c r="E43" s="184">
        <f>SUM(E18,E30,E41)</f>
        <v>17057840</v>
      </c>
      <c r="F43" s="185"/>
      <c r="G43" s="185"/>
      <c r="H43" s="187">
        <f>SUM(H41,H30,H18)</f>
        <v>23738255</v>
      </c>
      <c r="I43" s="186">
        <f>SUM(I18,I30,I41)</f>
        <v>6680415</v>
      </c>
      <c r="J43" s="175">
        <f>SUM(J18,J30,J41)</f>
        <v>17057840</v>
      </c>
      <c r="K43" s="180"/>
    </row>
    <row r="44" spans="1:11">
      <c r="J44" s="86"/>
    </row>
    <row r="45" spans="1:11">
      <c r="A45" s="313" t="s">
        <v>100</v>
      </c>
      <c r="B45" s="313"/>
      <c r="C45" s="313"/>
    </row>
    <row r="46" spans="1:11">
      <c r="A46" s="839" t="s">
        <v>101</v>
      </c>
      <c r="B46" s="839"/>
      <c r="C46" s="839"/>
    </row>
    <row r="47" spans="1:11">
      <c r="A47" s="839" t="s">
        <v>102</v>
      </c>
      <c r="B47" s="839"/>
      <c r="C47" s="839"/>
    </row>
  </sheetData>
  <mergeCells count="10">
    <mergeCell ref="K1:K3"/>
    <mergeCell ref="A3:B3"/>
    <mergeCell ref="I4:J4"/>
    <mergeCell ref="A46:C46"/>
    <mergeCell ref="A47:C47"/>
    <mergeCell ref="C1:C2"/>
    <mergeCell ref="D1:E2"/>
    <mergeCell ref="F1:G2"/>
    <mergeCell ref="H1:H2"/>
    <mergeCell ref="I1:J2"/>
  </mergeCells>
  <pageMargins left="0.7" right="0.7" top="0.75" bottom="0.75" header="0.3" footer="0.3"/>
  <pageSetup paperSize="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AC100-7272-4518-8E89-71F7D622F11F}">
  <sheetPr>
    <tabColor rgb="FFE87722"/>
  </sheetPr>
  <dimension ref="A1:O2120"/>
  <sheetViews>
    <sheetView topLeftCell="A222" workbookViewId="0">
      <selection sqref="A1:A2"/>
    </sheetView>
  </sheetViews>
  <sheetFormatPr defaultRowHeight="15"/>
  <cols>
    <col min="1" max="1" width="10.42578125" style="22" customWidth="1"/>
    <col min="2" max="2" width="10.42578125" style="46" bestFit="1" customWidth="1"/>
    <col min="3" max="3" width="49.42578125" bestFit="1" customWidth="1"/>
    <col min="4" max="4" width="12.28515625" style="31" bestFit="1" customWidth="1"/>
    <col min="5" max="5" width="12.85546875" style="50" bestFit="1" customWidth="1"/>
    <col min="6" max="7" width="8.5703125" bestFit="1" customWidth="1"/>
    <col min="8" max="8" width="12.5703125" bestFit="1" customWidth="1"/>
    <col min="9" max="9" width="12.28515625" customWidth="1"/>
    <col min="10" max="10" width="13.5703125" customWidth="1"/>
    <col min="11" max="11" width="38.140625" style="22" customWidth="1"/>
    <col min="13" max="13" width="12.5703125" bestFit="1" customWidth="1"/>
    <col min="14" max="14" width="10" bestFit="1" customWidth="1"/>
    <col min="15" max="15" width="11.5703125" bestFit="1" customWidth="1"/>
  </cols>
  <sheetData>
    <row r="1" spans="1:15" ht="15.75" customHeight="1" thickBot="1">
      <c r="A1" s="150"/>
      <c r="B1" s="94"/>
      <c r="C1" s="827" t="s">
        <v>103</v>
      </c>
      <c r="D1" s="828" t="s">
        <v>40</v>
      </c>
      <c r="E1" s="829"/>
      <c r="F1" s="832" t="s">
        <v>2</v>
      </c>
      <c r="G1" s="832"/>
      <c r="H1" s="833" t="s">
        <v>104</v>
      </c>
      <c r="I1" s="833" t="s">
        <v>4</v>
      </c>
      <c r="J1" s="833"/>
      <c r="K1" s="824" t="s">
        <v>5</v>
      </c>
    </row>
    <row r="2" spans="1:15" ht="15.75" customHeight="1" thickBot="1">
      <c r="A2" s="247"/>
      <c r="C2" s="827"/>
      <c r="D2" s="830"/>
      <c r="E2" s="831"/>
      <c r="F2" s="832"/>
      <c r="G2" s="832"/>
      <c r="H2" s="833"/>
      <c r="I2" s="833"/>
      <c r="J2" s="833"/>
      <c r="K2" s="824"/>
    </row>
    <row r="3" spans="1:15" ht="15.75" thickBot="1">
      <c r="A3" s="838" t="s">
        <v>105</v>
      </c>
      <c r="B3" s="838"/>
      <c r="C3" s="223" t="s">
        <v>6</v>
      </c>
      <c r="D3" s="25" t="s">
        <v>7</v>
      </c>
      <c r="E3" s="25" t="s">
        <v>8</v>
      </c>
      <c r="F3" s="1" t="s">
        <v>7</v>
      </c>
      <c r="G3" s="1" t="s">
        <v>8</v>
      </c>
      <c r="H3" s="2" t="s">
        <v>9</v>
      </c>
      <c r="I3" s="2" t="s">
        <v>7</v>
      </c>
      <c r="J3" s="2" t="s">
        <v>8</v>
      </c>
      <c r="K3" s="824"/>
    </row>
    <row r="4" spans="1:15">
      <c r="A4" s="244" t="s">
        <v>7</v>
      </c>
      <c r="B4" s="245" t="s">
        <v>8</v>
      </c>
      <c r="C4" s="224" t="s">
        <v>106</v>
      </c>
      <c r="D4" s="254"/>
      <c r="E4" s="214"/>
      <c r="F4" s="255"/>
      <c r="G4" s="256"/>
      <c r="H4" s="257"/>
      <c r="I4" s="324"/>
      <c r="J4" s="256"/>
      <c r="K4" s="521"/>
    </row>
    <row r="5" spans="1:15" ht="14.45" customHeight="1">
      <c r="A5" s="248" t="s">
        <v>107</v>
      </c>
      <c r="B5" s="59" t="s">
        <v>108</v>
      </c>
      <c r="C5" s="55" t="str">
        <f>[2]Expenses!C5</f>
        <v>Wages- Source (Oper)</v>
      </c>
      <c r="D5" s="30">
        <f>[2]Expenses!D5</f>
        <v>0</v>
      </c>
      <c r="E5" s="65">
        <f>[2]Expenses!E5</f>
        <v>0</v>
      </c>
      <c r="F5" s="225" t="str">
        <f>IFERROR(D5/(E5+D5),"-")</f>
        <v>-</v>
      </c>
      <c r="G5" s="225" t="str">
        <f>IFERROR(E5/(D5+E5),"-")</f>
        <v>-</v>
      </c>
      <c r="H5" s="231">
        <f>SUM(D5:E5)</f>
        <v>0</v>
      </c>
      <c r="I5" s="240">
        <f>[2]Expenses!I5</f>
        <v>0</v>
      </c>
      <c r="J5" s="234">
        <f>[2]Expenses!J5</f>
        <v>0</v>
      </c>
      <c r="K5" s="17" t="str">
        <f>[2]Expenses!K5</f>
        <v>COLA 3.241% + 2% Merit increase</v>
      </c>
    </row>
    <row r="6" spans="1:15" ht="15" customHeight="1">
      <c r="A6" s="248" t="s">
        <v>109</v>
      </c>
      <c r="B6" s="59" t="s">
        <v>110</v>
      </c>
      <c r="C6" s="55" t="str">
        <f>[2]Expenses!C6</f>
        <v>Wages- Source (Maint)</v>
      </c>
      <c r="D6" s="30">
        <f>[2]Expenses!D6</f>
        <v>0</v>
      </c>
      <c r="E6" s="65">
        <f>[2]Expenses!E6</f>
        <v>0</v>
      </c>
      <c r="F6" s="225" t="str">
        <f t="shared" ref="F6:F35" si="0">IFERROR(D6/(E6+D6),"-")</f>
        <v>-</v>
      </c>
      <c r="G6" s="225" t="str">
        <f t="shared" ref="G6:G35" si="1">IFERROR(E6/(D6+E6),"-")</f>
        <v>-</v>
      </c>
      <c r="H6" s="231">
        <f>SUM(D6:E6)</f>
        <v>0</v>
      </c>
      <c r="I6" s="240">
        <f>[2]Expenses!I6</f>
        <v>0</v>
      </c>
      <c r="J6" s="234">
        <f>[2]Expenses!J6</f>
        <v>0</v>
      </c>
      <c r="K6" s="17" t="str">
        <f>[2]Expenses!K6</f>
        <v>COLA 3.241% + 2% Merit increase</v>
      </c>
    </row>
    <row r="7" spans="1:15">
      <c r="A7" s="248" t="s">
        <v>111</v>
      </c>
      <c r="B7" s="59" t="s">
        <v>112</v>
      </c>
      <c r="C7" s="55" t="str">
        <f>[2]Expenses!C7</f>
        <v>Employee Overhead- Source (Oper)</v>
      </c>
      <c r="D7" s="30">
        <f>[2]Expenses!D7</f>
        <v>0</v>
      </c>
      <c r="E7" s="65">
        <f>[2]Expenses!E7</f>
        <v>0</v>
      </c>
      <c r="F7" s="225" t="str">
        <f t="shared" si="0"/>
        <v>-</v>
      </c>
      <c r="G7" s="225" t="str">
        <f t="shared" si="1"/>
        <v>-</v>
      </c>
      <c r="H7" s="231">
        <f>(E7+D7)</f>
        <v>0</v>
      </c>
      <c r="I7" s="240">
        <f>[2]Expenses!I7</f>
        <v>0</v>
      </c>
      <c r="J7" s="234">
        <f>[2]Expenses!J7</f>
        <v>0</v>
      </c>
      <c r="K7" s="17" t="str">
        <f>[2]Expenses!K7</f>
        <v>COLA 3.241% + 2% Merit increase</v>
      </c>
      <c r="O7" s="99"/>
    </row>
    <row r="8" spans="1:15">
      <c r="A8" s="248" t="s">
        <v>113</v>
      </c>
      <c r="B8" s="59" t="s">
        <v>114</v>
      </c>
      <c r="C8" s="55" t="str">
        <f>[2]Expenses!C8</f>
        <v>Purchased Power- Source</v>
      </c>
      <c r="D8" s="30">
        <f>[2]Expenses!D8</f>
        <v>157890</v>
      </c>
      <c r="E8" s="65">
        <f>[2]Expenses!E8</f>
        <v>535575</v>
      </c>
      <c r="F8" s="225">
        <f t="shared" si="0"/>
        <v>0.22768272371352555</v>
      </c>
      <c r="G8" s="225">
        <f t="shared" si="1"/>
        <v>0.7723172762864744</v>
      </c>
      <c r="H8" s="231">
        <f t="shared" ref="H8:H26" si="2">(E8+D8)</f>
        <v>693465</v>
      </c>
      <c r="I8" s="240">
        <f>[2]Expenses!I8</f>
        <v>157890</v>
      </c>
      <c r="J8" s="234">
        <f>[2]Expenses!J8</f>
        <v>535575</v>
      </c>
      <c r="K8" s="17"/>
      <c r="O8" s="99"/>
    </row>
    <row r="9" spans="1:15">
      <c r="A9" s="248" t="s">
        <v>79</v>
      </c>
      <c r="B9" s="59" t="s">
        <v>115</v>
      </c>
      <c r="C9" s="55" t="str">
        <f>[2]Expenses!C9</f>
        <v>Purchased Power- Source (ENERNOC)</v>
      </c>
      <c r="D9" s="30">
        <f>[2]Expenses!D9</f>
        <v>0</v>
      </c>
      <c r="E9" s="65">
        <f>[2]Expenses!E9</f>
        <v>-7959</v>
      </c>
      <c r="F9" s="225">
        <f t="shared" si="0"/>
        <v>0</v>
      </c>
      <c r="G9" s="225">
        <f t="shared" si="1"/>
        <v>1</v>
      </c>
      <c r="H9" s="231">
        <f t="shared" si="2"/>
        <v>-7959</v>
      </c>
      <c r="I9" s="240">
        <f>[2]Expenses!I9</f>
        <v>0</v>
      </c>
      <c r="J9" s="234">
        <f>[2]Expenses!J9</f>
        <v>-7959</v>
      </c>
      <c r="K9" s="17"/>
      <c r="O9" s="99"/>
    </row>
    <row r="10" spans="1:15">
      <c r="A10" s="248" t="s">
        <v>116</v>
      </c>
      <c r="B10" s="59" t="s">
        <v>117</v>
      </c>
      <c r="C10" s="55" t="str">
        <f>[2]Expenses!C10</f>
        <v>Materials &amp; Supplies- Source (Oper)</v>
      </c>
      <c r="D10" s="30">
        <f>[2]Expenses!D10</f>
        <v>0</v>
      </c>
      <c r="E10" s="65">
        <f>[2]Expenses!E10</f>
        <v>0</v>
      </c>
      <c r="F10" s="225" t="str">
        <f t="shared" si="0"/>
        <v>-</v>
      </c>
      <c r="G10" s="225" t="str">
        <f t="shared" si="1"/>
        <v>-</v>
      </c>
      <c r="H10" s="231">
        <f t="shared" si="2"/>
        <v>0</v>
      </c>
      <c r="I10" s="240">
        <f>[2]Expenses!I10</f>
        <v>0</v>
      </c>
      <c r="J10" s="234">
        <f>[2]Expenses!J10</f>
        <v>0</v>
      </c>
      <c r="K10" s="17"/>
    </row>
    <row r="11" spans="1:15">
      <c r="A11" s="248" t="s">
        <v>118</v>
      </c>
      <c r="B11" s="59" t="s">
        <v>119</v>
      </c>
      <c r="C11" s="55" t="str">
        <f>[2]Expenses!C11</f>
        <v>Materials &amp; Supplies- Source (Maint)</v>
      </c>
      <c r="D11" s="30">
        <f>[2]Expenses!D11</f>
        <v>0</v>
      </c>
      <c r="E11" s="65">
        <f>[2]Expenses!E11</f>
        <v>0</v>
      </c>
      <c r="F11" s="225" t="str">
        <f t="shared" si="0"/>
        <v>-</v>
      </c>
      <c r="G11" s="225" t="str">
        <f t="shared" si="1"/>
        <v>-</v>
      </c>
      <c r="H11" s="231">
        <f t="shared" si="2"/>
        <v>0</v>
      </c>
      <c r="I11" s="240">
        <f>[2]Expenses!I11</f>
        <v>0</v>
      </c>
      <c r="J11" s="234">
        <f>[2]Expenses!J11</f>
        <v>0</v>
      </c>
      <c r="K11" s="17"/>
    </row>
    <row r="12" spans="1:15">
      <c r="A12" s="248" t="s">
        <v>120</v>
      </c>
      <c r="B12" s="149" t="s">
        <v>121</v>
      </c>
      <c r="C12" s="55" t="str">
        <f>[2]Expenses!C12</f>
        <v>Contract Engineering- Source (Oper)</v>
      </c>
      <c r="D12" s="30">
        <f>[2]Expenses!D12</f>
        <v>0</v>
      </c>
      <c r="E12" s="65">
        <f>[2]Expenses!E12</f>
        <v>0</v>
      </c>
      <c r="F12" s="225" t="str">
        <f t="shared" si="0"/>
        <v>-</v>
      </c>
      <c r="G12" s="225" t="str">
        <f t="shared" si="1"/>
        <v>-</v>
      </c>
      <c r="H12" s="231">
        <f t="shared" si="2"/>
        <v>0</v>
      </c>
      <c r="I12" s="240">
        <f>[2]Expenses!I12</f>
        <v>0</v>
      </c>
      <c r="J12" s="234">
        <f>[2]Expenses!J12</f>
        <v>0</v>
      </c>
      <c r="K12" s="17"/>
    </row>
    <row r="13" spans="1:15">
      <c r="A13" s="248" t="s">
        <v>122</v>
      </c>
      <c r="B13" s="59" t="s">
        <v>123</v>
      </c>
      <c r="C13" s="55" t="str">
        <f>[2]Expenses!C13</f>
        <v>Contract Accounting- Source (Oper)</v>
      </c>
      <c r="D13" s="30">
        <f>[2]Expenses!D13</f>
        <v>1750</v>
      </c>
      <c r="E13" s="65">
        <f>[2]Expenses!E13</f>
        <v>1817</v>
      </c>
      <c r="F13" s="225">
        <f t="shared" si="0"/>
        <v>0.49060835435940564</v>
      </c>
      <c r="G13" s="225">
        <f t="shared" si="1"/>
        <v>0.50939164564059436</v>
      </c>
      <c r="H13" s="231">
        <f t="shared" si="2"/>
        <v>3567</v>
      </c>
      <c r="I13" s="240">
        <f>[2]Expenses!I13</f>
        <v>1750</v>
      </c>
      <c r="J13" s="234">
        <f>[2]Expenses!J13</f>
        <v>1817</v>
      </c>
      <c r="K13" s="17"/>
    </row>
    <row r="14" spans="1:15">
      <c r="A14" s="248" t="s">
        <v>124</v>
      </c>
      <c r="B14" s="59" t="s">
        <v>125</v>
      </c>
      <c r="C14" s="55" t="str">
        <f>[2]Expenses!C14</f>
        <v>Contract Accounting- Source (Maint)</v>
      </c>
      <c r="D14" s="30">
        <f>[2]Expenses!D14</f>
        <v>1750</v>
      </c>
      <c r="E14" s="65">
        <f>[2]Expenses!E14</f>
        <v>1817</v>
      </c>
      <c r="F14" s="225">
        <f t="shared" si="0"/>
        <v>0.49060835435940564</v>
      </c>
      <c r="G14" s="225">
        <f t="shared" si="1"/>
        <v>0.50939164564059436</v>
      </c>
      <c r="H14" s="231">
        <f t="shared" si="2"/>
        <v>3567</v>
      </c>
      <c r="I14" s="240">
        <f>[2]Expenses!I14</f>
        <v>1750</v>
      </c>
      <c r="J14" s="234">
        <f>[2]Expenses!J14</f>
        <v>1817</v>
      </c>
      <c r="K14" s="17"/>
    </row>
    <row r="15" spans="1:15">
      <c r="A15" s="248" t="s">
        <v>126</v>
      </c>
      <c r="B15" s="59" t="s">
        <v>127</v>
      </c>
      <c r="C15" s="55" t="str">
        <f>[2]Expenses!C15</f>
        <v>Contract Legal- Source (Oper)</v>
      </c>
      <c r="D15" s="30">
        <f>[2]Expenses!D15</f>
        <v>0</v>
      </c>
      <c r="E15" s="65">
        <f>[2]Expenses!E15</f>
        <v>0</v>
      </c>
      <c r="F15" s="225" t="str">
        <f t="shared" si="0"/>
        <v>-</v>
      </c>
      <c r="G15" s="225" t="str">
        <f t="shared" si="1"/>
        <v>-</v>
      </c>
      <c r="H15" s="231">
        <f t="shared" si="2"/>
        <v>0</v>
      </c>
      <c r="I15" s="240">
        <f>[2]Expenses!I15</f>
        <v>0</v>
      </c>
      <c r="J15" s="234">
        <f>[2]Expenses!J15</f>
        <v>0</v>
      </c>
      <c r="K15" s="17"/>
    </row>
    <row r="16" spans="1:15">
      <c r="A16" s="248" t="s">
        <v>128</v>
      </c>
      <c r="B16" s="59" t="s">
        <v>129</v>
      </c>
      <c r="C16" s="55" t="str">
        <f>[2]Expenses!C16</f>
        <v>Contract Legal- Source (Maint)</v>
      </c>
      <c r="D16" s="30">
        <f>[2]Expenses!D16</f>
        <v>0</v>
      </c>
      <c r="E16" s="65">
        <f>[2]Expenses!E16</f>
        <v>0</v>
      </c>
      <c r="F16" s="225" t="str">
        <f t="shared" si="0"/>
        <v>-</v>
      </c>
      <c r="G16" s="225" t="str">
        <f t="shared" si="1"/>
        <v>-</v>
      </c>
      <c r="H16" s="231">
        <f t="shared" si="2"/>
        <v>0</v>
      </c>
      <c r="I16" s="240">
        <f>[2]Expenses!I16</f>
        <v>0</v>
      </c>
      <c r="J16" s="234">
        <f>[2]Expenses!J16</f>
        <v>0</v>
      </c>
      <c r="K16" s="17"/>
    </row>
    <row r="17" spans="1:11">
      <c r="A17" s="248" t="s">
        <v>130</v>
      </c>
      <c r="B17" s="59" t="s">
        <v>131</v>
      </c>
      <c r="C17" s="55" t="str">
        <f>[2]Expenses!C17</f>
        <v>Contract Other- Source (Oper)</v>
      </c>
      <c r="D17" s="30">
        <f>[2]Expenses!D17</f>
        <v>0</v>
      </c>
      <c r="E17" s="65">
        <f>[2]Expenses!E17</f>
        <v>0</v>
      </c>
      <c r="F17" s="225" t="str">
        <f t="shared" si="0"/>
        <v>-</v>
      </c>
      <c r="G17" s="225" t="str">
        <f t="shared" si="1"/>
        <v>-</v>
      </c>
      <c r="H17" s="231">
        <f t="shared" si="2"/>
        <v>0</v>
      </c>
      <c r="I17" s="240">
        <f>[2]Expenses!I17</f>
        <v>0</v>
      </c>
      <c r="J17" s="234">
        <f>[2]Expenses!J17</f>
        <v>0</v>
      </c>
      <c r="K17" s="17"/>
    </row>
    <row r="18" spans="1:11">
      <c r="A18" s="248" t="s">
        <v>132</v>
      </c>
      <c r="B18" s="59" t="s">
        <v>133</v>
      </c>
      <c r="C18" s="55" t="str">
        <f>[2]Expenses!C18</f>
        <v>Contract Other- Source (Alarm)</v>
      </c>
      <c r="D18" s="30">
        <f>[2]Expenses!D18</f>
        <v>0</v>
      </c>
      <c r="E18" s="65">
        <f>[2]Expenses!E18</f>
        <v>0</v>
      </c>
      <c r="F18" s="225" t="str">
        <f t="shared" si="0"/>
        <v>-</v>
      </c>
      <c r="G18" s="225" t="str">
        <f t="shared" si="1"/>
        <v>-</v>
      </c>
      <c r="H18" s="231">
        <f t="shared" si="2"/>
        <v>0</v>
      </c>
      <c r="I18" s="240">
        <f>[2]Expenses!I18</f>
        <v>0</v>
      </c>
      <c r="J18" s="234">
        <f>[2]Expenses!J18</f>
        <v>0</v>
      </c>
      <c r="K18" s="17"/>
    </row>
    <row r="19" spans="1:11">
      <c r="A19" s="248" t="s">
        <v>134</v>
      </c>
      <c r="B19" s="59" t="s">
        <v>135</v>
      </c>
      <c r="C19" s="55" t="str">
        <f>[2]Expenses!C19</f>
        <v>Contract Other- Source (Maint)</v>
      </c>
      <c r="D19" s="30">
        <f>[2]Expenses!D19</f>
        <v>0</v>
      </c>
      <c r="E19" s="65">
        <f>[2]Expenses!E19</f>
        <v>0</v>
      </c>
      <c r="F19" s="225" t="str">
        <f t="shared" si="0"/>
        <v>-</v>
      </c>
      <c r="G19" s="225" t="str">
        <f t="shared" si="1"/>
        <v>-</v>
      </c>
      <c r="H19" s="231">
        <f t="shared" si="2"/>
        <v>0</v>
      </c>
      <c r="I19" s="240">
        <f>[2]Expenses!I19</f>
        <v>0</v>
      </c>
      <c r="J19" s="234">
        <f>[2]Expenses!J19</f>
        <v>0</v>
      </c>
      <c r="K19" s="17"/>
    </row>
    <row r="20" spans="1:11">
      <c r="A20" s="248" t="s">
        <v>136</v>
      </c>
      <c r="B20" s="59" t="s">
        <v>137</v>
      </c>
      <c r="C20" s="55" t="str">
        <f>[2]Expenses!C20</f>
        <v>Rent &amp; Utilities- Source (Oper)</v>
      </c>
      <c r="D20" s="30">
        <f>[2]Expenses!D20</f>
        <v>0</v>
      </c>
      <c r="E20" s="65">
        <f>[2]Expenses!E20</f>
        <v>4924</v>
      </c>
      <c r="F20" s="225">
        <f t="shared" si="0"/>
        <v>0</v>
      </c>
      <c r="G20" s="225">
        <f t="shared" si="1"/>
        <v>1</v>
      </c>
      <c r="H20" s="231">
        <f t="shared" si="2"/>
        <v>4924</v>
      </c>
      <c r="I20" s="240">
        <f>[2]Expenses!I20</f>
        <v>0</v>
      </c>
      <c r="J20" s="234">
        <f>[2]Expenses!J20</f>
        <v>4924</v>
      </c>
      <c r="K20" s="17"/>
    </row>
    <row r="21" spans="1:11">
      <c r="A21" s="248" t="s">
        <v>138</v>
      </c>
      <c r="B21" s="59" t="s">
        <v>139</v>
      </c>
      <c r="C21" s="55" t="str">
        <f>[2]Expenses!C21</f>
        <v>Equipment Expense- Source (Oper)</v>
      </c>
      <c r="D21" s="30">
        <f>[2]Expenses!D21</f>
        <v>0</v>
      </c>
      <c r="E21" s="65">
        <f>[2]Expenses!E21</f>
        <v>81</v>
      </c>
      <c r="F21" s="225">
        <f t="shared" si="0"/>
        <v>0</v>
      </c>
      <c r="G21" s="225">
        <f t="shared" si="1"/>
        <v>1</v>
      </c>
      <c r="H21" s="231">
        <f t="shared" si="2"/>
        <v>81</v>
      </c>
      <c r="I21" s="240">
        <f>[2]Expenses!I21</f>
        <v>0</v>
      </c>
      <c r="J21" s="234">
        <f>[2]Expenses!J21</f>
        <v>81</v>
      </c>
      <c r="K21" s="17"/>
    </row>
    <row r="22" spans="1:11">
      <c r="A22" s="248" t="s">
        <v>140</v>
      </c>
      <c r="B22" s="59" t="s">
        <v>141</v>
      </c>
      <c r="C22" s="55" t="str">
        <f>[2]Expenses!C22</f>
        <v>Equipment Expense- Source (Maint)</v>
      </c>
      <c r="D22" s="30">
        <f>[2]Expenses!D22</f>
        <v>0</v>
      </c>
      <c r="E22" s="65">
        <f>[2]Expenses!E22</f>
        <v>0</v>
      </c>
      <c r="F22" s="225" t="str">
        <f t="shared" si="0"/>
        <v>-</v>
      </c>
      <c r="G22" s="225" t="str">
        <f t="shared" si="1"/>
        <v>-</v>
      </c>
      <c r="H22" s="231">
        <f t="shared" si="2"/>
        <v>0</v>
      </c>
      <c r="I22" s="240">
        <f>[2]Expenses!I22</f>
        <v>0</v>
      </c>
      <c r="J22" s="234">
        <f>[2]Expenses!J22</f>
        <v>0</v>
      </c>
      <c r="K22" s="17"/>
    </row>
    <row r="23" spans="1:11">
      <c r="A23" s="248" t="s">
        <v>142</v>
      </c>
      <c r="B23" s="59" t="s">
        <v>143</v>
      </c>
      <c r="C23" s="55" t="str">
        <f>[2]Expenses!C23</f>
        <v>Insurance G/L- Source (Oper)</v>
      </c>
      <c r="D23" s="30">
        <f>[2]Expenses!D23</f>
        <v>5742</v>
      </c>
      <c r="E23" s="65">
        <f>[2]Expenses!E23</f>
        <v>11569</v>
      </c>
      <c r="F23" s="225">
        <f t="shared" si="0"/>
        <v>0.33169660909248455</v>
      </c>
      <c r="G23" s="225">
        <f t="shared" si="1"/>
        <v>0.66830339090751545</v>
      </c>
      <c r="H23" s="231">
        <f t="shared" si="2"/>
        <v>17311</v>
      </c>
      <c r="I23" s="240">
        <f>[2]Expenses!I23</f>
        <v>5742</v>
      </c>
      <c r="J23" s="234">
        <f>[2]Expenses!J23</f>
        <v>11569</v>
      </c>
      <c r="K23" s="17"/>
    </row>
    <row r="24" spans="1:11">
      <c r="A24" s="248" t="s">
        <v>144</v>
      </c>
      <c r="B24" s="59" t="s">
        <v>145</v>
      </c>
      <c r="C24" s="55" t="str">
        <f>[2]Expenses!C24</f>
        <v>Insurance Other- Source (Oper)</v>
      </c>
      <c r="D24" s="30">
        <f>[2]Expenses!D24</f>
        <v>0</v>
      </c>
      <c r="E24" s="65">
        <f>[2]Expenses!E24</f>
        <v>0</v>
      </c>
      <c r="F24" s="225" t="str">
        <f t="shared" si="0"/>
        <v>-</v>
      </c>
      <c r="G24" s="225" t="str">
        <f t="shared" si="1"/>
        <v>-</v>
      </c>
      <c r="H24" s="231">
        <f t="shared" si="2"/>
        <v>0</v>
      </c>
      <c r="I24" s="240">
        <f>[2]Expenses!I24</f>
        <v>0</v>
      </c>
      <c r="J24" s="234">
        <f>[2]Expenses!J24</f>
        <v>0</v>
      </c>
      <c r="K24" s="17"/>
    </row>
    <row r="25" spans="1:11">
      <c r="A25" s="248" t="s">
        <v>146</v>
      </c>
      <c r="B25" s="59" t="s">
        <v>147</v>
      </c>
      <c r="C25" s="55" t="str">
        <f>[2]Expenses!C25</f>
        <v>Misc Expense- Source (Oper)</v>
      </c>
      <c r="D25" s="30">
        <f>[2]Expenses!D25</f>
        <v>0</v>
      </c>
      <c r="E25" s="65">
        <f>[2]Expenses!E25</f>
        <v>0</v>
      </c>
      <c r="F25" s="225" t="str">
        <f t="shared" si="0"/>
        <v>-</v>
      </c>
      <c r="G25" s="225" t="str">
        <f t="shared" si="1"/>
        <v>-</v>
      </c>
      <c r="H25" s="231">
        <f t="shared" si="2"/>
        <v>0</v>
      </c>
      <c r="I25" s="240">
        <f>[2]Expenses!I25</f>
        <v>0</v>
      </c>
      <c r="J25" s="234">
        <f>[2]Expenses!J25</f>
        <v>0</v>
      </c>
      <c r="K25" s="17"/>
    </row>
    <row r="26" spans="1:11">
      <c r="A26" s="248" t="s">
        <v>148</v>
      </c>
      <c r="B26" s="59" t="s">
        <v>149</v>
      </c>
      <c r="C26" s="55" t="str">
        <f>[2]Expenses!C26</f>
        <v>Misc Expense- Source (Maint)</v>
      </c>
      <c r="D26" s="30">
        <f>[2]Expenses!D26</f>
        <v>0</v>
      </c>
      <c r="E26" s="65">
        <f>[2]Expenses!E26</f>
        <v>0</v>
      </c>
      <c r="F26" s="225" t="str">
        <f t="shared" si="0"/>
        <v>-</v>
      </c>
      <c r="G26" s="225" t="str">
        <f t="shared" si="1"/>
        <v>-</v>
      </c>
      <c r="H26" s="231">
        <f t="shared" si="2"/>
        <v>0</v>
      </c>
      <c r="I26" s="240">
        <f>[2]Expenses!I26</f>
        <v>0</v>
      </c>
      <c r="J26" s="234">
        <f>[2]Expenses!J26</f>
        <v>0</v>
      </c>
      <c r="K26" s="17"/>
    </row>
    <row r="27" spans="1:11">
      <c r="A27" s="248" t="s">
        <v>150</v>
      </c>
      <c r="B27" s="59" t="s">
        <v>151</v>
      </c>
      <c r="C27" s="55" t="str">
        <f>[2]Expenses!C27</f>
        <v xml:space="preserve">Purchased Water </v>
      </c>
      <c r="D27" s="30">
        <f>[2]Expenses!D27</f>
        <v>3377072</v>
      </c>
      <c r="E27" s="65">
        <f>[2]Expenses!E27</f>
        <v>8221642</v>
      </c>
      <c r="F27" s="225">
        <f t="shared" si="0"/>
        <v>0.29115917506026961</v>
      </c>
      <c r="G27" s="225">
        <f t="shared" si="1"/>
        <v>0.70884082493973044</v>
      </c>
      <c r="H27" s="231">
        <f>(E27+D27)</f>
        <v>11598714</v>
      </c>
      <c r="I27" s="240">
        <f>[2]Expenses!I27</f>
        <v>3377072</v>
      </c>
      <c r="J27" s="234">
        <f>[2]Expenses!J27</f>
        <v>8221642</v>
      </c>
      <c r="K27" s="17"/>
    </row>
    <row r="28" spans="1:11">
      <c r="A28" s="248" t="s">
        <v>152</v>
      </c>
      <c r="B28" s="59" t="s">
        <v>153</v>
      </c>
      <c r="C28" s="55" t="str">
        <f>[2]Expenses!C28</f>
        <v>Purchased Water - Unbilled (BGMU)</v>
      </c>
      <c r="D28" s="30">
        <f>[2]Expenses!D28</f>
        <v>-3057</v>
      </c>
      <c r="E28" s="65">
        <f>[2]Expenses!E28</f>
        <v>-72033</v>
      </c>
      <c r="F28" s="225">
        <f t="shared" si="0"/>
        <v>4.0711146624051141E-2</v>
      </c>
      <c r="G28" s="225">
        <f t="shared" si="1"/>
        <v>0.95928885337594882</v>
      </c>
      <c r="H28" s="231">
        <f>(E28+D28)</f>
        <v>-75090</v>
      </c>
      <c r="I28" s="240">
        <f>[2]Expenses!I28</f>
        <v>-3057</v>
      </c>
      <c r="J28" s="234">
        <f>[2]Expenses!J28</f>
        <v>-72033</v>
      </c>
      <c r="K28" s="17"/>
    </row>
    <row r="29" spans="1:11">
      <c r="A29" s="248" t="s">
        <v>79</v>
      </c>
      <c r="B29" s="59" t="s">
        <v>154</v>
      </c>
      <c r="C29" s="55" t="str">
        <f>[2]Expenses!C29</f>
        <v>Purchased Power Water Treat</v>
      </c>
      <c r="D29" s="30">
        <f>[2]Expenses!D29</f>
        <v>0</v>
      </c>
      <c r="E29" s="65">
        <f>[2]Expenses!E29</f>
        <v>0</v>
      </c>
      <c r="F29" s="225" t="str">
        <f t="shared" si="0"/>
        <v>-</v>
      </c>
      <c r="G29" s="225" t="str">
        <f t="shared" si="1"/>
        <v>-</v>
      </c>
      <c r="H29" s="231">
        <f>(E29+D29)</f>
        <v>0</v>
      </c>
      <c r="I29" s="240">
        <f>[2]Expenses!I29</f>
        <v>0</v>
      </c>
      <c r="J29" s="234">
        <f>[2]Expenses!J29</f>
        <v>0</v>
      </c>
      <c r="K29" s="17"/>
    </row>
    <row r="30" spans="1:11">
      <c r="A30" s="249"/>
      <c r="B30" s="246"/>
      <c r="C30" s="55" t="str">
        <f>[2]Expenses!C30</f>
        <v>-</v>
      </c>
      <c r="D30" s="30">
        <f>[2]Expenses!D30</f>
        <v>0</v>
      </c>
      <c r="E30" s="65">
        <f>[2]Expenses!E30</f>
        <v>0</v>
      </c>
      <c r="F30" s="225" t="str">
        <f t="shared" si="0"/>
        <v>-</v>
      </c>
      <c r="G30" s="225" t="str">
        <f t="shared" si="1"/>
        <v>-</v>
      </c>
      <c r="H30" s="231">
        <f t="shared" ref="H30:H35" si="3">(E30+D30)</f>
        <v>0</v>
      </c>
      <c r="I30" s="240">
        <f>[2]Expenses!I30</f>
        <v>0</v>
      </c>
      <c r="J30" s="234">
        <f>[2]Expenses!J30</f>
        <v>0</v>
      </c>
      <c r="K30" s="17"/>
    </row>
    <row r="31" spans="1:11">
      <c r="A31" s="249"/>
      <c r="B31" s="246"/>
      <c r="C31" s="55" t="str">
        <f>[2]Expenses!C31</f>
        <v>-</v>
      </c>
      <c r="D31" s="30">
        <f>[2]Expenses!D31</f>
        <v>0</v>
      </c>
      <c r="E31" s="65">
        <f>[2]Expenses!E31</f>
        <v>0</v>
      </c>
      <c r="F31" s="225" t="str">
        <f t="shared" si="0"/>
        <v>-</v>
      </c>
      <c r="G31" s="225" t="str">
        <f t="shared" si="1"/>
        <v>-</v>
      </c>
      <c r="H31" s="231">
        <f>(E31+D31)</f>
        <v>0</v>
      </c>
      <c r="I31" s="240">
        <f>[2]Expenses!I31</f>
        <v>0</v>
      </c>
      <c r="J31" s="234">
        <f>[2]Expenses!J31</f>
        <v>0</v>
      </c>
      <c r="K31" s="17"/>
    </row>
    <row r="32" spans="1:11">
      <c r="A32" s="249"/>
      <c r="B32" s="246"/>
      <c r="C32" s="55" t="str">
        <f>[2]Expenses!C32</f>
        <v>-</v>
      </c>
      <c r="D32" s="30">
        <f>[2]Expenses!D32</f>
        <v>0</v>
      </c>
      <c r="E32" s="65">
        <f>[2]Expenses!E32</f>
        <v>0</v>
      </c>
      <c r="F32" s="225" t="str">
        <f t="shared" si="0"/>
        <v>-</v>
      </c>
      <c r="G32" s="225" t="str">
        <f t="shared" si="1"/>
        <v>-</v>
      </c>
      <c r="H32" s="231">
        <f>(E32+D32)</f>
        <v>0</v>
      </c>
      <c r="I32" s="240">
        <f>[2]Expenses!I32</f>
        <v>0</v>
      </c>
      <c r="J32" s="234">
        <f>[2]Expenses!J32</f>
        <v>0</v>
      </c>
      <c r="K32" s="17"/>
    </row>
    <row r="33" spans="1:11">
      <c r="A33" s="249"/>
      <c r="B33" s="246"/>
      <c r="C33" s="55" t="str">
        <f>[2]Expenses!C33</f>
        <v>-</v>
      </c>
      <c r="D33" s="30">
        <f>[2]Expenses!D33</f>
        <v>0</v>
      </c>
      <c r="E33" s="65">
        <f>[2]Expenses!E33</f>
        <v>0</v>
      </c>
      <c r="F33" s="225" t="str">
        <f t="shared" si="0"/>
        <v>-</v>
      </c>
      <c r="G33" s="225" t="str">
        <f t="shared" si="1"/>
        <v>-</v>
      </c>
      <c r="H33" s="231">
        <f>(E33+D33)</f>
        <v>0</v>
      </c>
      <c r="I33" s="240">
        <f>[2]Expenses!I33</f>
        <v>0</v>
      </c>
      <c r="J33" s="234">
        <f>[2]Expenses!J33</f>
        <v>0</v>
      </c>
      <c r="K33" s="17"/>
    </row>
    <row r="34" spans="1:11">
      <c r="A34" s="250"/>
      <c r="B34" s="246"/>
      <c r="C34" s="55" t="str">
        <f>[2]Expenses!C34</f>
        <v>-</v>
      </c>
      <c r="D34" s="30">
        <f>[2]Expenses!D34</f>
        <v>0</v>
      </c>
      <c r="E34" s="65">
        <f>[2]Expenses!E34</f>
        <v>0</v>
      </c>
      <c r="F34" s="225" t="str">
        <f t="shared" si="0"/>
        <v>-</v>
      </c>
      <c r="G34" s="225" t="str">
        <f t="shared" si="1"/>
        <v>-</v>
      </c>
      <c r="H34" s="231">
        <f t="shared" si="3"/>
        <v>0</v>
      </c>
      <c r="I34" s="240">
        <f>[2]Expenses!I34</f>
        <v>0</v>
      </c>
      <c r="J34" s="234">
        <f>[2]Expenses!J34</f>
        <v>0</v>
      </c>
      <c r="K34" s="17"/>
    </row>
    <row r="35" spans="1:11">
      <c r="A35" s="248"/>
      <c r="B35" s="59"/>
      <c r="C35" s="55" t="str">
        <f>[2]Expenses!C35</f>
        <v>-</v>
      </c>
      <c r="D35" s="30">
        <f>[2]Expenses!D35</f>
        <v>0</v>
      </c>
      <c r="E35" s="65">
        <f>[2]Expenses!E35</f>
        <v>0</v>
      </c>
      <c r="F35" s="269" t="str">
        <f t="shared" si="0"/>
        <v>-</v>
      </c>
      <c r="G35" s="265" t="str">
        <f t="shared" si="1"/>
        <v>-</v>
      </c>
      <c r="H35" s="266">
        <f t="shared" si="3"/>
        <v>0</v>
      </c>
      <c r="I35" s="240">
        <f>[2]Expenses!I35</f>
        <v>0</v>
      </c>
      <c r="J35" s="234">
        <f>[2]Expenses!J35</f>
        <v>0</v>
      </c>
      <c r="K35" s="17"/>
    </row>
    <row r="36" spans="1:11">
      <c r="A36" s="251"/>
      <c r="B36" s="152"/>
      <c r="C36" s="156" t="s">
        <v>30</v>
      </c>
      <c r="D36" s="481">
        <f>SUM(D5:D35)</f>
        <v>3541147</v>
      </c>
      <c r="E36" s="482">
        <f>SUM(E5:E35)</f>
        <v>8697433</v>
      </c>
      <c r="F36" s="151"/>
      <c r="G36" s="151"/>
      <c r="H36" s="155">
        <f>SUM(H5:H35)</f>
        <v>12238580</v>
      </c>
      <c r="I36" s="153">
        <f>SUM(I5:I35)</f>
        <v>3541147</v>
      </c>
      <c r="J36" s="154">
        <f>SUM(J5:J35)</f>
        <v>8697433</v>
      </c>
      <c r="K36" s="522"/>
    </row>
    <row r="37" spans="1:11">
      <c r="A37" s="247"/>
      <c r="C37" s="70"/>
      <c r="D37" s="30"/>
      <c r="E37" s="32"/>
      <c r="F37" s="3"/>
      <c r="G37" s="3"/>
      <c r="H37" s="23"/>
      <c r="I37" s="13"/>
      <c r="J37" s="11"/>
      <c r="K37" s="8"/>
    </row>
    <row r="38" spans="1:11">
      <c r="A38" s="247"/>
      <c r="C38" s="14" t="s">
        <v>155</v>
      </c>
      <c r="D38" s="26"/>
      <c r="E38" s="49"/>
      <c r="F38" s="3"/>
      <c r="G38" s="3"/>
      <c r="H38" s="23"/>
      <c r="I38" s="13"/>
      <c r="J38" s="11"/>
      <c r="K38" s="17"/>
    </row>
    <row r="39" spans="1:11" ht="26.25">
      <c r="A39" s="248" t="s">
        <v>156</v>
      </c>
      <c r="B39" s="59" t="s">
        <v>157</v>
      </c>
      <c r="C39" s="107" t="str">
        <f>[2]Expenses!C39</f>
        <v>Wages- T&amp;D (Oper)</v>
      </c>
      <c r="D39" s="30">
        <f>[2]Expenses!D39</f>
        <v>63630</v>
      </c>
      <c r="E39" s="39">
        <f>[2]Expenses!E39</f>
        <v>399953</v>
      </c>
      <c r="F39" s="389">
        <f>IFERROR(D39/(E39+D39),"-")</f>
        <v>0.13725697447921947</v>
      </c>
      <c r="G39" s="229">
        <f>IFERROR(E39/(D39+E39),"-")</f>
        <v>0.86274302552078053</v>
      </c>
      <c r="H39" s="390">
        <f>SUM(D39:E39)</f>
        <v>463583</v>
      </c>
      <c r="I39" s="392">
        <f>[2]Expenses!I39</f>
        <v>77312.898300000001</v>
      </c>
      <c r="J39" s="391">
        <f>[2]Expenses!J39</f>
        <v>455105.75673000008</v>
      </c>
      <c r="K39" s="8" t="str">
        <f>[2]Expenses!K39</f>
        <v>COLA 3.241% + 2% Merit increase, New Employee Salaries</v>
      </c>
    </row>
    <row r="40" spans="1:11" ht="26.25">
      <c r="A40" s="248" t="s">
        <v>158</v>
      </c>
      <c r="B40" s="59" t="s">
        <v>159</v>
      </c>
      <c r="C40" s="107" t="str">
        <f>[2]Expenses!C40</f>
        <v>Wages- T&amp;D (Maint)</v>
      </c>
      <c r="D40" s="30">
        <f>[2]Expenses!D40</f>
        <v>73232</v>
      </c>
      <c r="E40" s="65">
        <f>[2]Expenses!E40</f>
        <v>351392</v>
      </c>
      <c r="F40" s="225">
        <f t="shared" ref="F40:F72" si="4">IFERROR(D40/(E40+D40),"-")</f>
        <v>0.17246316741399451</v>
      </c>
      <c r="G40" s="230">
        <f t="shared" ref="G40:G72" si="5">IFERROR(E40/(D40+E40),"-")</f>
        <v>0.82753683258600552</v>
      </c>
      <c r="H40" s="231">
        <f>SUM(D40:E40)</f>
        <v>424624</v>
      </c>
      <c r="I40" s="232">
        <f>[2]Expenses!I40</f>
        <v>77070.089120000004</v>
      </c>
      <c r="J40" s="233">
        <f>[2]Expenses!J40</f>
        <v>406742.85472000006</v>
      </c>
      <c r="K40" s="8" t="str">
        <f>[2]Expenses!K40</f>
        <v>COLA 3.241% + 2% Merit increase, New Employee Salaries</v>
      </c>
    </row>
    <row r="41" spans="1:11">
      <c r="A41" s="248" t="s">
        <v>160</v>
      </c>
      <c r="B41" s="59" t="s">
        <v>161</v>
      </c>
      <c r="C41" s="107" t="str">
        <f>[2]Expenses!C41</f>
        <v>Employee Overhead T&amp;D (Oper)</v>
      </c>
      <c r="D41" s="30">
        <f>[2]Expenses!D41</f>
        <v>0</v>
      </c>
      <c r="E41" s="65">
        <f>[2]Expenses!E41</f>
        <v>0</v>
      </c>
      <c r="F41" s="225" t="str">
        <f t="shared" si="4"/>
        <v>-</v>
      </c>
      <c r="G41" s="230" t="str">
        <f t="shared" si="5"/>
        <v>-</v>
      </c>
      <c r="H41" s="231">
        <f t="shared" ref="H41:H60" si="6">SUM(D41:E41)</f>
        <v>0</v>
      </c>
      <c r="I41" s="232">
        <f>[2]Expenses!I41</f>
        <v>0</v>
      </c>
      <c r="J41" s="233">
        <f>[2]Expenses!J41</f>
        <v>0</v>
      </c>
      <c r="K41" s="8" t="str">
        <f>[2]Expenses!K41</f>
        <v>COLA 3.241% + 2% Merit increase</v>
      </c>
    </row>
    <row r="42" spans="1:11">
      <c r="A42" s="248" t="s">
        <v>162</v>
      </c>
      <c r="B42" s="59" t="s">
        <v>163</v>
      </c>
      <c r="C42" s="107" t="str">
        <f>[2]Expenses!C42</f>
        <v>Employee Overhead- T&amp;D (Maint)</v>
      </c>
      <c r="D42" s="30">
        <f>[2]Expenses!D42</f>
        <v>0</v>
      </c>
      <c r="E42" s="65">
        <f>[2]Expenses!E42</f>
        <v>0</v>
      </c>
      <c r="F42" s="225" t="str">
        <f t="shared" si="4"/>
        <v>-</v>
      </c>
      <c r="G42" s="230" t="str">
        <f t="shared" si="5"/>
        <v>-</v>
      </c>
      <c r="H42" s="231">
        <f t="shared" si="6"/>
        <v>0</v>
      </c>
      <c r="I42" s="232">
        <f>[2]Expenses!I42</f>
        <v>0</v>
      </c>
      <c r="J42" s="233">
        <f>[2]Expenses!J42</f>
        <v>0</v>
      </c>
      <c r="K42" s="8" t="str">
        <f>[2]Expenses!K42</f>
        <v>COLA 3.241% + 2% Merit increase</v>
      </c>
    </row>
    <row r="43" spans="1:11">
      <c r="A43" s="248" t="s">
        <v>113</v>
      </c>
      <c r="B43" s="59" t="s">
        <v>114</v>
      </c>
      <c r="C43" s="107" t="str">
        <f>[2]Expenses!C43</f>
        <v>Purchased Power- T&amp;D</v>
      </c>
      <c r="D43" s="30">
        <f>[2]Expenses!D43</f>
        <v>0</v>
      </c>
      <c r="E43" s="65">
        <f>[2]Expenses!E43</f>
        <v>7616</v>
      </c>
      <c r="F43" s="225">
        <f t="shared" si="4"/>
        <v>0</v>
      </c>
      <c r="G43" s="230">
        <f t="shared" si="5"/>
        <v>1</v>
      </c>
      <c r="H43" s="231">
        <f t="shared" si="6"/>
        <v>7616</v>
      </c>
      <c r="I43" s="232">
        <f>[2]Expenses!I43</f>
        <v>0</v>
      </c>
      <c r="J43" s="233">
        <f>[2]Expenses!J43</f>
        <v>7616</v>
      </c>
      <c r="K43" s="8"/>
    </row>
    <row r="44" spans="1:11">
      <c r="A44" s="248" t="s">
        <v>79</v>
      </c>
      <c r="B44" s="59" t="s">
        <v>164</v>
      </c>
      <c r="C44" s="107" t="str">
        <f>[2]Expenses!C44</f>
        <v>Purchased Power- T&amp;D (ENERNOC)</v>
      </c>
      <c r="D44" s="30">
        <f>[2]Expenses!D44</f>
        <v>0</v>
      </c>
      <c r="E44" s="65">
        <f>[2]Expenses!E44</f>
        <v>0</v>
      </c>
      <c r="F44" s="225" t="str">
        <f t="shared" si="4"/>
        <v>-</v>
      </c>
      <c r="G44" s="230" t="str">
        <f t="shared" si="5"/>
        <v>-</v>
      </c>
      <c r="H44" s="231">
        <f>SUM(D44:E44)</f>
        <v>0</v>
      </c>
      <c r="I44" s="232">
        <f>[2]Expenses!I44</f>
        <v>0</v>
      </c>
      <c r="J44" s="233">
        <f>[2]Expenses!J44</f>
        <v>0</v>
      </c>
      <c r="K44" s="8"/>
    </row>
    <row r="45" spans="1:11">
      <c r="A45" s="248" t="s">
        <v>165</v>
      </c>
      <c r="B45" s="59" t="s">
        <v>166</v>
      </c>
      <c r="C45" s="107" t="str">
        <f>[2]Expenses!C45</f>
        <v>Materials &amp; Supplies- T&amp;D (Oper)</v>
      </c>
      <c r="D45" s="30">
        <f>[2]Expenses!D45</f>
        <v>6445</v>
      </c>
      <c r="E45" s="65">
        <f>[2]Expenses!E45</f>
        <v>37130</v>
      </c>
      <c r="F45" s="225">
        <f t="shared" si="4"/>
        <v>0.14790590935169248</v>
      </c>
      <c r="G45" s="230">
        <f t="shared" si="5"/>
        <v>0.85209409064830754</v>
      </c>
      <c r="H45" s="231">
        <f t="shared" si="6"/>
        <v>43575</v>
      </c>
      <c r="I45" s="232">
        <f>[2]Expenses!I45</f>
        <v>6445</v>
      </c>
      <c r="J45" s="233">
        <f>[2]Expenses!J45</f>
        <v>37130</v>
      </c>
      <c r="K45" s="8"/>
    </row>
    <row r="46" spans="1:11">
      <c r="A46" s="248" t="s">
        <v>167</v>
      </c>
      <c r="B46" s="59" t="s">
        <v>168</v>
      </c>
      <c r="C46" s="107" t="str">
        <f>[2]Expenses!C46</f>
        <v>Materials &amp; Supplies- T&amp;D (Maint)</v>
      </c>
      <c r="D46" s="30">
        <f>[2]Expenses!D46</f>
        <v>45683</v>
      </c>
      <c r="E46" s="65">
        <f>[2]Expenses!E46</f>
        <v>261520</v>
      </c>
      <c r="F46" s="225">
        <f t="shared" si="4"/>
        <v>0.14870623008238851</v>
      </c>
      <c r="G46" s="230">
        <f t="shared" si="5"/>
        <v>0.85129376991761152</v>
      </c>
      <c r="H46" s="231">
        <f t="shared" si="6"/>
        <v>307203</v>
      </c>
      <c r="I46" s="232">
        <f>[2]Expenses!I46</f>
        <v>45683</v>
      </c>
      <c r="J46" s="233">
        <f>[2]Expenses!J46</f>
        <v>261520</v>
      </c>
      <c r="K46" s="8"/>
    </row>
    <row r="47" spans="1:11">
      <c r="A47" s="248" t="s">
        <v>169</v>
      </c>
      <c r="B47" s="59" t="s">
        <v>170</v>
      </c>
      <c r="C47" s="107" t="str">
        <f>[2]Expenses!C47</f>
        <v>Contract Accounting- T&amp;D (Oper)</v>
      </c>
      <c r="D47" s="30">
        <f>[2]Expenses!D47</f>
        <v>1750</v>
      </c>
      <c r="E47" s="65">
        <f>[2]Expenses!E47</f>
        <v>1817</v>
      </c>
      <c r="F47" s="225">
        <f t="shared" si="4"/>
        <v>0.49060835435940564</v>
      </c>
      <c r="G47" s="230">
        <f t="shared" si="5"/>
        <v>0.50939164564059436</v>
      </c>
      <c r="H47" s="231">
        <f t="shared" si="6"/>
        <v>3567</v>
      </c>
      <c r="I47" s="232">
        <f>[2]Expenses!I47</f>
        <v>1750</v>
      </c>
      <c r="J47" s="233">
        <f>[2]Expenses!J47</f>
        <v>1817</v>
      </c>
      <c r="K47" s="8"/>
    </row>
    <row r="48" spans="1:11">
      <c r="A48" s="248" t="s">
        <v>171</v>
      </c>
      <c r="B48" s="59" t="s">
        <v>172</v>
      </c>
      <c r="C48" s="107" t="str">
        <f>[2]Expenses!C48</f>
        <v>Contract Accounting- T&amp;D (Maint)</v>
      </c>
      <c r="D48" s="30">
        <f>[2]Expenses!D48</f>
        <v>1750</v>
      </c>
      <c r="E48" s="65">
        <f>[2]Expenses!E48</f>
        <v>1817</v>
      </c>
      <c r="F48" s="225">
        <f t="shared" si="4"/>
        <v>0.49060835435940564</v>
      </c>
      <c r="G48" s="230">
        <f t="shared" si="5"/>
        <v>0.50939164564059436</v>
      </c>
      <c r="H48" s="231">
        <f t="shared" si="6"/>
        <v>3567</v>
      </c>
      <c r="I48" s="232">
        <f>[2]Expenses!I48</f>
        <v>1750</v>
      </c>
      <c r="J48" s="233">
        <f>[2]Expenses!J48</f>
        <v>1817</v>
      </c>
      <c r="K48" s="8"/>
    </row>
    <row r="49" spans="1:11">
      <c r="A49" s="248" t="s">
        <v>173</v>
      </c>
      <c r="B49" s="59" t="s">
        <v>174</v>
      </c>
      <c r="C49" s="107" t="str">
        <f>[2]Expenses!C49</f>
        <v>Contract Legal- T&amp;D (Oper)</v>
      </c>
      <c r="D49" s="30">
        <f>[2]Expenses!D49</f>
        <v>0</v>
      </c>
      <c r="E49" s="65">
        <f>[2]Expenses!E49</f>
        <v>0</v>
      </c>
      <c r="F49" s="225" t="str">
        <f t="shared" si="4"/>
        <v>-</v>
      </c>
      <c r="G49" s="230" t="str">
        <f t="shared" si="5"/>
        <v>-</v>
      </c>
      <c r="H49" s="231">
        <f t="shared" si="6"/>
        <v>0</v>
      </c>
      <c r="I49" s="232">
        <f>[2]Expenses!I49</f>
        <v>0</v>
      </c>
      <c r="J49" s="233">
        <f>[2]Expenses!J49</f>
        <v>0</v>
      </c>
      <c r="K49" s="8"/>
    </row>
    <row r="50" spans="1:11">
      <c r="A50" s="248" t="s">
        <v>175</v>
      </c>
      <c r="B50" s="59" t="s">
        <v>176</v>
      </c>
      <c r="C50" s="107" t="str">
        <f>[2]Expenses!C50</f>
        <v>Contract Legal- T&amp;D (Maint)</v>
      </c>
      <c r="D50" s="30">
        <f>[2]Expenses!D50</f>
        <v>0</v>
      </c>
      <c r="E50" s="65">
        <f>[2]Expenses!E50</f>
        <v>0</v>
      </c>
      <c r="F50" s="225" t="str">
        <f t="shared" si="4"/>
        <v>-</v>
      </c>
      <c r="G50" s="230" t="str">
        <f t="shared" si="5"/>
        <v>-</v>
      </c>
      <c r="H50" s="231">
        <f t="shared" si="6"/>
        <v>0</v>
      </c>
      <c r="I50" s="232">
        <f>[2]Expenses!I50</f>
        <v>0</v>
      </c>
      <c r="J50" s="233">
        <f>[2]Expenses!J50</f>
        <v>0</v>
      </c>
      <c r="K50" s="8"/>
    </row>
    <row r="51" spans="1:11">
      <c r="A51" s="248" t="s">
        <v>177</v>
      </c>
      <c r="B51" s="59" t="s">
        <v>178</v>
      </c>
      <c r="C51" s="107" t="str">
        <f>[2]Expenses!C51</f>
        <v>Contract Other- T&amp;D (Oper)</v>
      </c>
      <c r="D51" s="30">
        <f>[2]Expenses!D51</f>
        <v>1637</v>
      </c>
      <c r="E51" s="65">
        <f>[2]Expenses!E51</f>
        <v>50543</v>
      </c>
      <c r="F51" s="225">
        <f t="shared" si="4"/>
        <v>3.1372173246454582E-2</v>
      </c>
      <c r="G51" s="230">
        <f t="shared" si="5"/>
        <v>0.96862782675354542</v>
      </c>
      <c r="H51" s="231">
        <f t="shared" si="6"/>
        <v>52180</v>
      </c>
      <c r="I51" s="232">
        <f>[2]Expenses!I51</f>
        <v>1637</v>
      </c>
      <c r="J51" s="233">
        <f>[2]Expenses!J51</f>
        <v>50543</v>
      </c>
      <c r="K51" s="8"/>
    </row>
    <row r="52" spans="1:11">
      <c r="A52" s="248" t="s">
        <v>179</v>
      </c>
      <c r="B52" s="59" t="s">
        <v>180</v>
      </c>
      <c r="C52" s="107" t="str">
        <f>[2]Expenses!C52</f>
        <v>Contract Other- T&amp;D (Maint)</v>
      </c>
      <c r="D52" s="30">
        <f>[2]Expenses!D52</f>
        <v>94158</v>
      </c>
      <c r="E52" s="65">
        <f>[2]Expenses!E52</f>
        <v>178649</v>
      </c>
      <c r="F52" s="225">
        <f t="shared" si="4"/>
        <v>0.34514510258167863</v>
      </c>
      <c r="G52" s="230">
        <f t="shared" si="5"/>
        <v>0.65485489741832137</v>
      </c>
      <c r="H52" s="231">
        <f t="shared" si="6"/>
        <v>272807</v>
      </c>
      <c r="I52" s="232">
        <f>[2]Expenses!I52</f>
        <v>94158</v>
      </c>
      <c r="J52" s="233">
        <f>[2]Expenses!J52</f>
        <v>178649</v>
      </c>
      <c r="K52" s="8"/>
    </row>
    <row r="53" spans="1:11">
      <c r="A53" s="248" t="s">
        <v>181</v>
      </c>
      <c r="B53" s="59" t="s">
        <v>182</v>
      </c>
      <c r="C53" s="107" t="str">
        <f>[2]Expenses!C53</f>
        <v>Rent &amp; Utilities- T&amp;D (Oper)</v>
      </c>
      <c r="D53" s="30">
        <f>[2]Expenses!D53</f>
        <v>0</v>
      </c>
      <c r="E53" s="65">
        <f>[2]Expenses!E53</f>
        <v>18877</v>
      </c>
      <c r="F53" s="225">
        <f t="shared" si="4"/>
        <v>0</v>
      </c>
      <c r="G53" s="230">
        <f t="shared" si="5"/>
        <v>1</v>
      </c>
      <c r="H53" s="231">
        <f t="shared" si="6"/>
        <v>18877</v>
      </c>
      <c r="I53" s="232">
        <f>[2]Expenses!I53</f>
        <v>0</v>
      </c>
      <c r="J53" s="233">
        <f>[2]Expenses!J53</f>
        <v>18877</v>
      </c>
      <c r="K53" s="8"/>
    </row>
    <row r="54" spans="1:11">
      <c r="A54" s="248" t="s">
        <v>183</v>
      </c>
      <c r="B54" s="59" t="s">
        <v>184</v>
      </c>
      <c r="C54" s="107" t="str">
        <f>[2]Expenses!C54</f>
        <v>Rent &amp; Utilities- T&amp;D (Oper)</v>
      </c>
      <c r="D54" s="30">
        <f>[2]Expenses!D54</f>
        <v>0</v>
      </c>
      <c r="E54" s="65">
        <f>[2]Expenses!E54</f>
        <v>0</v>
      </c>
      <c r="F54" s="225" t="str">
        <f t="shared" si="4"/>
        <v>-</v>
      </c>
      <c r="G54" s="230" t="str">
        <f t="shared" si="5"/>
        <v>-</v>
      </c>
      <c r="H54" s="231">
        <f t="shared" si="6"/>
        <v>0</v>
      </c>
      <c r="I54" s="232">
        <f>[2]Expenses!I54</f>
        <v>0</v>
      </c>
      <c r="J54" s="233">
        <f>[2]Expenses!J54</f>
        <v>0</v>
      </c>
      <c r="K54" s="8"/>
    </row>
    <row r="55" spans="1:11">
      <c r="A55" s="248" t="s">
        <v>185</v>
      </c>
      <c r="B55" s="59" t="s">
        <v>186</v>
      </c>
      <c r="C55" s="107" t="str">
        <f>[2]Expenses!C55</f>
        <v>Equipment Expense- T&amp;D (Oper)</v>
      </c>
      <c r="D55" s="30">
        <f>[2]Expenses!D55</f>
        <v>19707</v>
      </c>
      <c r="E55" s="65">
        <f>[2]Expenses!E55</f>
        <v>108465</v>
      </c>
      <c r="F55" s="225">
        <f t="shared" si="4"/>
        <v>0.15375433011890272</v>
      </c>
      <c r="G55" s="230">
        <f t="shared" si="5"/>
        <v>0.84624566988109728</v>
      </c>
      <c r="H55" s="231">
        <f t="shared" si="6"/>
        <v>128172</v>
      </c>
      <c r="I55" s="232">
        <f>[2]Expenses!I55</f>
        <v>19707</v>
      </c>
      <c r="J55" s="233">
        <f>[2]Expenses!J55</f>
        <v>108465</v>
      </c>
      <c r="K55" s="8"/>
    </row>
    <row r="56" spans="1:11">
      <c r="A56" s="248" t="s">
        <v>187</v>
      </c>
      <c r="B56" s="59" t="s">
        <v>188</v>
      </c>
      <c r="C56" s="107" t="str">
        <f>[2]Expenses!C56</f>
        <v>Equipment Expense- T&amp;D (Maint)</v>
      </c>
      <c r="D56" s="30">
        <f>[2]Expenses!D56</f>
        <v>17668</v>
      </c>
      <c r="E56" s="65">
        <f>[2]Expenses!E56</f>
        <v>98814</v>
      </c>
      <c r="F56" s="225">
        <f t="shared" si="4"/>
        <v>0.15168008791057846</v>
      </c>
      <c r="G56" s="230">
        <f t="shared" si="5"/>
        <v>0.84831991208942159</v>
      </c>
      <c r="H56" s="231">
        <f t="shared" si="6"/>
        <v>116482</v>
      </c>
      <c r="I56" s="232">
        <f>[2]Expenses!I56</f>
        <v>17668</v>
      </c>
      <c r="J56" s="233">
        <f>[2]Expenses!J56</f>
        <v>98814</v>
      </c>
      <c r="K56" s="8"/>
    </row>
    <row r="57" spans="1:11">
      <c r="A57" s="248" t="s">
        <v>189</v>
      </c>
      <c r="B57" s="59" t="s">
        <v>190</v>
      </c>
      <c r="C57" s="107" t="str">
        <f>[2]Expenses!C57</f>
        <v>Insurance G/L- T&amp;D (Oper)</v>
      </c>
      <c r="D57" s="30">
        <f>[2]Expenses!D57</f>
        <v>3344</v>
      </c>
      <c r="E57" s="65">
        <f>[2]Expenses!E57</f>
        <v>49168</v>
      </c>
      <c r="F57" s="225">
        <f t="shared" si="4"/>
        <v>6.3680682510664235E-2</v>
      </c>
      <c r="G57" s="230">
        <f t="shared" si="5"/>
        <v>0.93631931748933572</v>
      </c>
      <c r="H57" s="231">
        <f t="shared" si="6"/>
        <v>52512</v>
      </c>
      <c r="I57" s="232">
        <f>[2]Expenses!I57</f>
        <v>3344</v>
      </c>
      <c r="J57" s="233">
        <f>[2]Expenses!J57</f>
        <v>49168</v>
      </c>
      <c r="K57" s="8"/>
    </row>
    <row r="58" spans="1:11">
      <c r="A58" s="248" t="s">
        <v>191</v>
      </c>
      <c r="B58" s="59" t="s">
        <v>192</v>
      </c>
      <c r="C58" s="107" t="str">
        <f>[2]Expenses!C58</f>
        <v>Insurance Other- T&amp;D (Oper)</v>
      </c>
      <c r="D58" s="30">
        <f>[2]Expenses!D58</f>
        <v>0</v>
      </c>
      <c r="E58" s="65">
        <f>[2]Expenses!E58</f>
        <v>0</v>
      </c>
      <c r="F58" s="225" t="str">
        <f t="shared" si="4"/>
        <v>-</v>
      </c>
      <c r="G58" s="230" t="str">
        <f t="shared" si="5"/>
        <v>-</v>
      </c>
      <c r="H58" s="231">
        <f t="shared" si="6"/>
        <v>0</v>
      </c>
      <c r="I58" s="232">
        <f>[2]Expenses!I58</f>
        <v>0</v>
      </c>
      <c r="J58" s="233">
        <f>[2]Expenses!J58</f>
        <v>0</v>
      </c>
      <c r="K58" s="8"/>
    </row>
    <row r="59" spans="1:11">
      <c r="A59" s="248" t="s">
        <v>193</v>
      </c>
      <c r="B59" s="59" t="s">
        <v>194</v>
      </c>
      <c r="C59" s="107" t="str">
        <f>[2]Expenses!C59</f>
        <v>Misc Expense- T&amp;D (Oper)</v>
      </c>
      <c r="D59" s="30">
        <f>[2]Expenses!D59</f>
        <v>0</v>
      </c>
      <c r="E59" s="65">
        <f>[2]Expenses!E59</f>
        <v>0</v>
      </c>
      <c r="F59" s="225" t="str">
        <f t="shared" si="4"/>
        <v>-</v>
      </c>
      <c r="G59" s="230" t="str">
        <f t="shared" si="5"/>
        <v>-</v>
      </c>
      <c r="H59" s="231">
        <f t="shared" si="6"/>
        <v>0</v>
      </c>
      <c r="I59" s="232">
        <f>[2]Expenses!I59</f>
        <v>0</v>
      </c>
      <c r="J59" s="233">
        <f>[2]Expenses!J59</f>
        <v>0</v>
      </c>
      <c r="K59" s="8"/>
    </row>
    <row r="60" spans="1:11">
      <c r="A60" s="248" t="s">
        <v>195</v>
      </c>
      <c r="B60" s="59" t="s">
        <v>196</v>
      </c>
      <c r="C60" s="107" t="str">
        <f>[2]Expenses!C60</f>
        <v>Misc Expense- T&amp;D (Maint)</v>
      </c>
      <c r="D60" s="30">
        <f>[2]Expenses!D60</f>
        <v>0</v>
      </c>
      <c r="E60" s="65">
        <f>[2]Expenses!E60</f>
        <v>0</v>
      </c>
      <c r="F60" s="225" t="str">
        <f t="shared" si="4"/>
        <v>-</v>
      </c>
      <c r="G60" s="230" t="str">
        <f t="shared" si="5"/>
        <v>-</v>
      </c>
      <c r="H60" s="231">
        <f t="shared" si="6"/>
        <v>0</v>
      </c>
      <c r="I60" s="232">
        <f>[2]Expenses!I60</f>
        <v>0</v>
      </c>
      <c r="J60" s="233">
        <f>[2]Expenses!J60</f>
        <v>0</v>
      </c>
      <c r="K60" s="8"/>
    </row>
    <row r="61" spans="1:11">
      <c r="A61" s="248" t="s">
        <v>197</v>
      </c>
      <c r="B61" s="59" t="s">
        <v>79</v>
      </c>
      <c r="C61" s="107" t="str">
        <f>[2]Expenses!C61</f>
        <v>Chemicals</v>
      </c>
      <c r="D61" s="30">
        <f>[2]Expenses!D61</f>
        <v>30983</v>
      </c>
      <c r="E61" s="65">
        <f>[2]Expenses!E61</f>
        <v>0</v>
      </c>
      <c r="F61" s="225">
        <f t="shared" si="4"/>
        <v>1</v>
      </c>
      <c r="G61" s="230">
        <f t="shared" si="5"/>
        <v>0</v>
      </c>
      <c r="H61" s="227">
        <f>(E61+D61)</f>
        <v>30983</v>
      </c>
      <c r="I61" s="232">
        <f>[2]Expenses!I61</f>
        <v>30983</v>
      </c>
      <c r="J61" s="233">
        <f>[2]Expenses!J61</f>
        <v>0</v>
      </c>
      <c r="K61" s="8"/>
    </row>
    <row r="62" spans="1:11">
      <c r="A62" s="248" t="s">
        <v>198</v>
      </c>
      <c r="B62" s="59" t="s">
        <v>199</v>
      </c>
      <c r="C62" s="107" t="str">
        <f>[2]Expenses!C62</f>
        <v xml:space="preserve">Contract Other- Water (Maint) </v>
      </c>
      <c r="D62" s="30">
        <f>[2]Expenses!D62</f>
        <v>0</v>
      </c>
      <c r="E62" s="65">
        <f>[2]Expenses!E62</f>
        <v>0</v>
      </c>
      <c r="F62" s="225" t="str">
        <f t="shared" si="4"/>
        <v>-</v>
      </c>
      <c r="G62" s="230" t="str">
        <f t="shared" si="5"/>
        <v>-</v>
      </c>
      <c r="H62" s="227">
        <f>(E62+D62)</f>
        <v>0</v>
      </c>
      <c r="I62" s="232">
        <f>[2]Expenses!I62</f>
        <v>0</v>
      </c>
      <c r="J62" s="233">
        <f>[2]Expenses!J62</f>
        <v>0</v>
      </c>
      <c r="K62" s="8"/>
    </row>
    <row r="63" spans="1:11" ht="26.25">
      <c r="A63" s="248"/>
      <c r="B63" s="59"/>
      <c r="C63" s="107" t="str">
        <f>[2]Expenses!C63</f>
        <v>Payroll Taxes- T&amp;D (Oper)</v>
      </c>
      <c r="D63" s="30">
        <f>[2]Expenses!D63</f>
        <v>5468.1</v>
      </c>
      <c r="E63" s="65">
        <f>[2]Expenses!E63</f>
        <v>34386.35</v>
      </c>
      <c r="F63" s="225">
        <f t="shared" si="4"/>
        <v>0.13720174284176551</v>
      </c>
      <c r="G63" s="230">
        <f t="shared" si="5"/>
        <v>0.86279825715823455</v>
      </c>
      <c r="H63" s="231">
        <f t="shared" ref="H63:H72" si="7">SUM(D63:E63)</f>
        <v>39854.449999999997</v>
      </c>
      <c r="I63" s="232">
        <f>[2]Expenses!I63</f>
        <v>6608.9831210000011</v>
      </c>
      <c r="J63" s="233">
        <f>[2]Expenses!J63</f>
        <v>39011.248603499997</v>
      </c>
      <c r="K63" s="17" t="s">
        <v>200</v>
      </c>
    </row>
    <row r="64" spans="1:11" ht="26.25">
      <c r="A64" s="248"/>
      <c r="B64" s="59"/>
      <c r="C64" s="107" t="str">
        <f>[2]Expenses!C64</f>
        <v>Wages (OH)- T&amp;D (Oper)</v>
      </c>
      <c r="D64" s="30">
        <f>[2]Expenses!D64</f>
        <v>9694.7999999999993</v>
      </c>
      <c r="E64" s="65">
        <f>[2]Expenses!E64</f>
        <v>60966.07</v>
      </c>
      <c r="F64" s="225">
        <f t="shared" si="4"/>
        <v>0.13720182047008478</v>
      </c>
      <c r="G64" s="230">
        <f t="shared" si="5"/>
        <v>0.86279817952991522</v>
      </c>
      <c r="H64" s="231">
        <f t="shared" si="7"/>
        <v>70660.87</v>
      </c>
      <c r="I64" s="232">
        <f>[2]Expenses!I64</f>
        <v>11717.554468</v>
      </c>
      <c r="J64" s="233">
        <f>[2]Expenses!J64</f>
        <v>69165.891728700008</v>
      </c>
      <c r="K64" s="17" t="s">
        <v>200</v>
      </c>
    </row>
    <row r="65" spans="1:11" ht="26.25">
      <c r="A65" s="248"/>
      <c r="B65" s="59"/>
      <c r="C65" s="107" t="str">
        <f>[2]Expenses!C65</f>
        <v>Worker's Compensation- T&amp;D (Oper)</v>
      </c>
      <c r="D65" s="30">
        <f>[2]Expenses!D65</f>
        <v>355.53</v>
      </c>
      <c r="E65" s="65">
        <f>[2]Expenses!E65</f>
        <v>2235.79</v>
      </c>
      <c r="F65" s="225">
        <f t="shared" si="4"/>
        <v>0.13720034576972354</v>
      </c>
      <c r="G65" s="230">
        <f t="shared" si="5"/>
        <v>0.86279965423027649</v>
      </c>
      <c r="H65" s="231">
        <f t="shared" si="7"/>
        <v>2591.3199999999997</v>
      </c>
      <c r="I65" s="232">
        <f>[2]Expenses!I65</f>
        <v>429.7133273</v>
      </c>
      <c r="J65" s="233">
        <f>[2]Expenses!J65</f>
        <v>2536.4977539000001</v>
      </c>
      <c r="K65" s="17" t="s">
        <v>200</v>
      </c>
    </row>
    <row r="66" spans="1:11">
      <c r="A66" s="248"/>
      <c r="B66" s="59"/>
      <c r="C66" s="107" t="str">
        <f>[2]Expenses!C66</f>
        <v>Fringe Benefits- Insurance- T&amp;D (Oper)</v>
      </c>
      <c r="D66" s="30">
        <f>[2]Expenses!D66</f>
        <v>7669.29</v>
      </c>
      <c r="E66" s="65">
        <f>[2]Expenses!E66</f>
        <v>48228.58</v>
      </c>
      <c r="F66" s="225">
        <f t="shared" si="4"/>
        <v>0.13720182897845659</v>
      </c>
      <c r="G66" s="230">
        <f t="shared" si="5"/>
        <v>0.86279817102154344</v>
      </c>
      <c r="H66" s="231">
        <f t="shared" si="7"/>
        <v>55897.87</v>
      </c>
      <c r="I66" s="232">
        <f>[2]Expenses!I66</f>
        <v>8867.49</v>
      </c>
      <c r="J66" s="233">
        <f>[2]Expenses!J66</f>
        <v>52187.57</v>
      </c>
      <c r="K66" s="17"/>
    </row>
    <row r="67" spans="1:11" ht="26.25">
      <c r="A67" s="248"/>
      <c r="B67" s="59"/>
      <c r="C67" s="107" t="str">
        <f>[2]Expenses!C67</f>
        <v>Retirement- T&amp;D (Oper)</v>
      </c>
      <c r="D67" s="30">
        <f>[2]Expenses!D67</f>
        <v>12704.27</v>
      </c>
      <c r="E67" s="65">
        <f>[2]Expenses!E67</f>
        <v>79891.210000000006</v>
      </c>
      <c r="F67" s="225">
        <f t="shared" si="4"/>
        <v>0.13720183749789946</v>
      </c>
      <c r="G67" s="230">
        <f t="shared" si="5"/>
        <v>0.86279816250210051</v>
      </c>
      <c r="H67" s="231">
        <f t="shared" si="7"/>
        <v>92595.48000000001</v>
      </c>
      <c r="I67" s="232">
        <f>[2]Expenses!I67</f>
        <v>15354.930790700002</v>
      </c>
      <c r="J67" s="233">
        <f>[2]Expenses!J67</f>
        <v>90636.428316100006</v>
      </c>
      <c r="K67" s="17" t="s">
        <v>200</v>
      </c>
    </row>
    <row r="68" spans="1:11" ht="26.25">
      <c r="A68" s="250"/>
      <c r="B68" s="246"/>
      <c r="C68" s="107" t="str">
        <f>[2]Expenses!C68</f>
        <v>Payroll Taxes- T&amp;D (Maint)</v>
      </c>
      <c r="D68" s="30">
        <f>[2]Expenses!D68</f>
        <v>6260.62</v>
      </c>
      <c r="E68" s="65">
        <f>[2]Expenses!E68</f>
        <v>30319.7</v>
      </c>
      <c r="F68" s="225">
        <f t="shared" si="4"/>
        <v>0.17114721795763405</v>
      </c>
      <c r="G68" s="230">
        <f t="shared" si="5"/>
        <v>0.82885278204236601</v>
      </c>
      <c r="H68" s="231">
        <f t="shared" si="7"/>
        <v>36580.32</v>
      </c>
      <c r="I68" s="232">
        <f>[2]Expenses!I68</f>
        <v>6588.7390942000002</v>
      </c>
      <c r="J68" s="233">
        <f>[2]Expenses!J68</f>
        <v>35044.795477</v>
      </c>
      <c r="K68" s="17" t="s">
        <v>200</v>
      </c>
    </row>
    <row r="69" spans="1:11" ht="26.25">
      <c r="A69" s="250"/>
      <c r="B69" s="92"/>
      <c r="C69" s="107" t="str">
        <f>[2]Expenses!C69</f>
        <v>Wages (OH)- T&amp;D (Maint)</v>
      </c>
      <c r="D69" s="30">
        <f>[2]Expenses!D69</f>
        <v>11099.92</v>
      </c>
      <c r="E69" s="65">
        <f>[2]Expenses!E69</f>
        <v>53756.01</v>
      </c>
      <c r="F69" s="225">
        <f t="shared" si="4"/>
        <v>0.17114734149984434</v>
      </c>
      <c r="G69" s="230">
        <f t="shared" si="5"/>
        <v>0.82885265850015566</v>
      </c>
      <c r="H69" s="231">
        <f t="shared" si="7"/>
        <v>64855.93</v>
      </c>
      <c r="I69" s="232">
        <f>[2]Expenses!I69</f>
        <v>11681.666807200001</v>
      </c>
      <c r="J69" s="233">
        <f>[2]Expenses!J69</f>
        <v>62133.472484100006</v>
      </c>
      <c r="K69" s="17" t="s">
        <v>200</v>
      </c>
    </row>
    <row r="70" spans="1:11" ht="26.25">
      <c r="A70" s="248"/>
      <c r="B70" s="88"/>
      <c r="C70" s="107" t="str">
        <f>[2]Expenses!C70</f>
        <v>Worker's Compensation- T&amp;D (Maint)</v>
      </c>
      <c r="D70" s="30">
        <f>[2]Expenses!D70</f>
        <v>407.06</v>
      </c>
      <c r="E70" s="65">
        <f>[2]Expenses!E70</f>
        <v>1971.38</v>
      </c>
      <c r="F70" s="225">
        <f t="shared" si="4"/>
        <v>0.17114579304081667</v>
      </c>
      <c r="G70" s="230">
        <f t="shared" si="5"/>
        <v>0.82885420695918333</v>
      </c>
      <c r="H70" s="231">
        <f t="shared" si="7"/>
        <v>2378.44</v>
      </c>
      <c r="I70" s="232">
        <f>[2]Expenses!I70</f>
        <v>428.39401460000005</v>
      </c>
      <c r="J70" s="233">
        <f>[2]Expenses!J70</f>
        <v>2278.6000258000004</v>
      </c>
      <c r="K70" s="17" t="s">
        <v>200</v>
      </c>
    </row>
    <row r="71" spans="1:11">
      <c r="A71" s="274"/>
      <c r="B71" s="89"/>
      <c r="C71" s="107" t="str">
        <f>[2]Expenses!C71</f>
        <v>Fringe Benefits- Insurance- T&amp;D (Maint)</v>
      </c>
      <c r="D71" s="30">
        <f>[2]Expenses!D71</f>
        <v>8780.84</v>
      </c>
      <c r="E71" s="65">
        <f>[2]Expenses!E71</f>
        <v>42524.9</v>
      </c>
      <c r="F71" s="225">
        <f t="shared" si="4"/>
        <v>0.17114732191758658</v>
      </c>
      <c r="G71" s="230">
        <f t="shared" si="5"/>
        <v>0.82885267808241336</v>
      </c>
      <c r="H71" s="231">
        <f t="shared" si="7"/>
        <v>51305.740000000005</v>
      </c>
      <c r="I71" s="232">
        <f>[2]Expenses!I71</f>
        <v>8780.84</v>
      </c>
      <c r="J71" s="233">
        <f>[2]Expenses!J71</f>
        <v>46923.35</v>
      </c>
      <c r="K71" s="17" t="s">
        <v>201</v>
      </c>
    </row>
    <row r="72" spans="1:11" ht="26.25">
      <c r="A72" s="274"/>
      <c r="B72" s="89"/>
      <c r="C72" s="107" t="str">
        <f>[2]Expenses!C72</f>
        <v>Retirement- T&amp;D (Maint)</v>
      </c>
      <c r="D72" s="30">
        <f>[2]Expenses!D72</f>
        <v>14545.56</v>
      </c>
      <c r="E72" s="65">
        <f>[2]Expenses!E72</f>
        <v>70443</v>
      </c>
      <c r="F72" s="269">
        <f t="shared" si="4"/>
        <v>0.17114726970312238</v>
      </c>
      <c r="G72" s="265">
        <f t="shared" si="5"/>
        <v>0.82885273029687767</v>
      </c>
      <c r="H72" s="266">
        <f t="shared" si="7"/>
        <v>84988.56</v>
      </c>
      <c r="I72" s="232">
        <f>[2]Expenses!I72</f>
        <v>15307.8927996</v>
      </c>
      <c r="J72" s="233">
        <f>[2]Expenses!J72</f>
        <v>81421.007630000007</v>
      </c>
      <c r="K72" s="17" t="s">
        <v>200</v>
      </c>
    </row>
    <row r="73" spans="1:11">
      <c r="A73" s="251"/>
      <c r="B73" s="152"/>
      <c r="C73" s="161" t="s">
        <v>30</v>
      </c>
      <c r="D73" s="481">
        <f>SUM(D39:D72)</f>
        <v>436972.99</v>
      </c>
      <c r="E73" s="482">
        <f>SUM(E39:E72)</f>
        <v>1990483.99</v>
      </c>
      <c r="F73" s="151"/>
      <c r="G73" s="151"/>
      <c r="H73" s="158">
        <f>SUM(H39:H72)</f>
        <v>2427456.9800000004</v>
      </c>
      <c r="I73" s="159">
        <f>SUM(I39:I72)</f>
        <v>463274.19184260012</v>
      </c>
      <c r="J73" s="154">
        <f>SUM(J39:J72)</f>
        <v>2157603.4734691004</v>
      </c>
      <c r="K73" s="522"/>
    </row>
    <row r="74" spans="1:11">
      <c r="A74" s="247"/>
      <c r="C74" s="70"/>
      <c r="D74" s="29"/>
      <c r="E74" s="49"/>
      <c r="F74" s="3"/>
      <c r="G74" s="3"/>
      <c r="H74" s="23"/>
      <c r="I74" s="13"/>
      <c r="J74" s="11"/>
      <c r="K74" s="523"/>
    </row>
    <row r="75" spans="1:11">
      <c r="A75" s="247"/>
      <c r="C75" s="58" t="s">
        <v>202</v>
      </c>
      <c r="D75" s="26"/>
      <c r="E75" s="48"/>
      <c r="F75" s="4"/>
      <c r="G75" s="4"/>
      <c r="H75" s="24"/>
      <c r="I75" s="18"/>
      <c r="J75" s="12"/>
      <c r="K75" s="8"/>
    </row>
    <row r="76" spans="1:11" ht="26.25">
      <c r="A76" s="248" t="s">
        <v>203</v>
      </c>
      <c r="B76" s="59" t="s">
        <v>204</v>
      </c>
      <c r="C76" s="107" t="str">
        <f>[2]Expenses!C76</f>
        <v>Wages</v>
      </c>
      <c r="D76" s="28">
        <f>[2]Expenses!D76</f>
        <v>85005</v>
      </c>
      <c r="E76" s="39">
        <f>[2]Expenses!E76</f>
        <v>528041</v>
      </c>
      <c r="F76" s="389">
        <f>IFERROR(D76/(E76+D76),"-")</f>
        <v>0.13866006792312485</v>
      </c>
      <c r="G76" s="229">
        <f>IFERROR(E76/(D76+E76),"-")</f>
        <v>0.86133993207687509</v>
      </c>
      <c r="H76" s="227">
        <f>(E76+D76)</f>
        <v>613046</v>
      </c>
      <c r="I76" s="232">
        <f>[2]Expenses!I76</f>
        <v>128783.24205</v>
      </c>
      <c r="J76" s="233">
        <f>[2]Expenses!J76</f>
        <v>623912.12881000002</v>
      </c>
      <c r="K76" s="17" t="s">
        <v>205</v>
      </c>
    </row>
    <row r="77" spans="1:11" ht="26.25">
      <c r="A77" s="248" t="s">
        <v>206</v>
      </c>
      <c r="B77" s="59" t="s">
        <v>207</v>
      </c>
      <c r="C77" s="107" t="str">
        <f>[2]Expenses!C77</f>
        <v>Employee Overhead</v>
      </c>
      <c r="D77" s="28">
        <f>[2]Expenses!D77</f>
        <v>0</v>
      </c>
      <c r="E77" s="65">
        <f>[2]Expenses!E77</f>
        <v>0</v>
      </c>
      <c r="F77" s="225" t="str">
        <f t="shared" ref="F77:F93" si="8">IFERROR(D77/(E77+D77),"-")</f>
        <v>-</v>
      </c>
      <c r="G77" s="230" t="str">
        <f t="shared" ref="G77:G93" si="9">IFERROR(E77/(D77+E77),"-")</f>
        <v>-</v>
      </c>
      <c r="H77" s="227">
        <f t="shared" ref="H77:H88" si="10">(E77+D77)</f>
        <v>0</v>
      </c>
      <c r="I77" s="232">
        <f>[2]Expenses!I77</f>
        <v>0</v>
      </c>
      <c r="J77" s="233">
        <f>[2]Expenses!J77</f>
        <v>0</v>
      </c>
      <c r="K77" s="17" t="s">
        <v>205</v>
      </c>
    </row>
    <row r="78" spans="1:11">
      <c r="A78" s="248" t="s">
        <v>208</v>
      </c>
      <c r="B78" s="59" t="s">
        <v>209</v>
      </c>
      <c r="C78" s="107" t="str">
        <f>[2]Expenses!C78</f>
        <v xml:space="preserve">Materials &amp; Supplies </v>
      </c>
      <c r="D78" s="28">
        <f>[2]Expenses!D78</f>
        <v>454</v>
      </c>
      <c r="E78" s="65">
        <f>[2]Expenses!E78</f>
        <v>17514</v>
      </c>
      <c r="F78" s="225">
        <f t="shared" si="8"/>
        <v>2.5267141585040072E-2</v>
      </c>
      <c r="G78" s="230">
        <f t="shared" si="9"/>
        <v>0.97473285841495994</v>
      </c>
      <c r="H78" s="227">
        <f t="shared" si="10"/>
        <v>17968</v>
      </c>
      <c r="I78" s="232">
        <f>[2]Expenses!I78</f>
        <v>454</v>
      </c>
      <c r="J78" s="233">
        <f>[2]Expenses!J78</f>
        <v>17514</v>
      </c>
      <c r="K78" s="8"/>
    </row>
    <row r="79" spans="1:11">
      <c r="A79" s="248" t="s">
        <v>210</v>
      </c>
      <c r="B79" s="59" t="s">
        <v>211</v>
      </c>
      <c r="C79" s="107" t="str">
        <f>[2]Expenses!C79</f>
        <v xml:space="preserve">Contract Engineering </v>
      </c>
      <c r="D79" s="28">
        <f>[2]Expenses!D79</f>
        <v>0</v>
      </c>
      <c r="E79" s="65">
        <f>[2]Expenses!E79</f>
        <v>0</v>
      </c>
      <c r="F79" s="225" t="str">
        <f t="shared" si="8"/>
        <v>-</v>
      </c>
      <c r="G79" s="230" t="str">
        <f t="shared" si="9"/>
        <v>-</v>
      </c>
      <c r="H79" s="227">
        <f t="shared" si="10"/>
        <v>0</v>
      </c>
      <c r="I79" s="232">
        <f>[2]Expenses!I79</f>
        <v>0</v>
      </c>
      <c r="J79" s="233">
        <f>[2]Expenses!J79</f>
        <v>0</v>
      </c>
      <c r="K79" s="8"/>
    </row>
    <row r="80" spans="1:11">
      <c r="A80" s="248" t="s">
        <v>212</v>
      </c>
      <c r="B80" s="59" t="s">
        <v>213</v>
      </c>
      <c r="C80" s="107" t="str">
        <f>[2]Expenses!C80</f>
        <v>Contract Accounting</v>
      </c>
      <c r="D80" s="28">
        <f>[2]Expenses!D80</f>
        <v>3500</v>
      </c>
      <c r="E80" s="65">
        <f>[2]Expenses!E80</f>
        <v>3633</v>
      </c>
      <c r="F80" s="225">
        <f t="shared" si="8"/>
        <v>0.49067713444553485</v>
      </c>
      <c r="G80" s="230">
        <f t="shared" si="9"/>
        <v>0.50932286555446515</v>
      </c>
      <c r="H80" s="227">
        <f t="shared" si="10"/>
        <v>7133</v>
      </c>
      <c r="I80" s="232">
        <f>[2]Expenses!I80</f>
        <v>3500</v>
      </c>
      <c r="J80" s="233">
        <f>[2]Expenses!J80</f>
        <v>3633</v>
      </c>
      <c r="K80" s="8"/>
    </row>
    <row r="81" spans="1:11">
      <c r="A81" s="248" t="s">
        <v>214</v>
      </c>
      <c r="B81" s="59" t="s">
        <v>215</v>
      </c>
      <c r="C81" s="107" t="str">
        <f>[2]Expenses!C81</f>
        <v>Contract Legal</v>
      </c>
      <c r="D81" s="28">
        <f>[2]Expenses!D81</f>
        <v>0</v>
      </c>
      <c r="E81" s="65">
        <f>[2]Expenses!E81</f>
        <v>0</v>
      </c>
      <c r="F81" s="225" t="str">
        <f t="shared" si="8"/>
        <v>-</v>
      </c>
      <c r="G81" s="230" t="str">
        <f t="shared" si="9"/>
        <v>-</v>
      </c>
      <c r="H81" s="227">
        <f t="shared" si="10"/>
        <v>0</v>
      </c>
      <c r="I81" s="232">
        <f>[2]Expenses!I81</f>
        <v>0</v>
      </c>
      <c r="J81" s="233">
        <f>[2]Expenses!J81</f>
        <v>0</v>
      </c>
      <c r="K81" s="8"/>
    </row>
    <row r="82" spans="1:11">
      <c r="A82" s="248" t="s">
        <v>216</v>
      </c>
      <c r="B82" s="59" t="s">
        <v>217</v>
      </c>
      <c r="C82" s="107" t="str">
        <f>[2]Expenses!C82</f>
        <v>Contract Other</v>
      </c>
      <c r="D82" s="28">
        <f>[2]Expenses!D82</f>
        <v>63808</v>
      </c>
      <c r="E82" s="65">
        <f>[2]Expenses!E82</f>
        <v>224862</v>
      </c>
      <c r="F82" s="225">
        <f t="shared" si="8"/>
        <v>0.22104132746735025</v>
      </c>
      <c r="G82" s="230">
        <f t="shared" si="9"/>
        <v>0.77895867253264972</v>
      </c>
      <c r="H82" s="227">
        <f t="shared" si="10"/>
        <v>288670</v>
      </c>
      <c r="I82" s="232">
        <f>[2]Expenses!I82</f>
        <v>63808</v>
      </c>
      <c r="J82" s="233">
        <f>[2]Expenses!J82</f>
        <v>224862</v>
      </c>
      <c r="K82" s="8"/>
    </row>
    <row r="83" spans="1:11">
      <c r="A83" s="248" t="s">
        <v>218</v>
      </c>
      <c r="B83" s="59" t="s">
        <v>219</v>
      </c>
      <c r="C83" s="107" t="str">
        <f>[2]Expenses!C83</f>
        <v xml:space="preserve">Rent &amp; Utilities </v>
      </c>
      <c r="D83" s="28">
        <f>[2]Expenses!D83</f>
        <v>0</v>
      </c>
      <c r="E83" s="65">
        <f>[2]Expenses!E83</f>
        <v>28725</v>
      </c>
      <c r="F83" s="225">
        <f t="shared" si="8"/>
        <v>0</v>
      </c>
      <c r="G83" s="230">
        <f t="shared" si="9"/>
        <v>1</v>
      </c>
      <c r="H83" s="227">
        <f t="shared" si="10"/>
        <v>28725</v>
      </c>
      <c r="I83" s="232">
        <f>[2]Expenses!I83</f>
        <v>0</v>
      </c>
      <c r="J83" s="233">
        <f>[2]Expenses!J83</f>
        <v>28725</v>
      </c>
      <c r="K83" s="8"/>
    </row>
    <row r="84" spans="1:11">
      <c r="A84" s="248" t="s">
        <v>220</v>
      </c>
      <c r="B84" s="59" t="s">
        <v>221</v>
      </c>
      <c r="C84" s="107" t="str">
        <f>[2]Expenses!C84</f>
        <v xml:space="preserve">Rent &amp; Utilities </v>
      </c>
      <c r="D84" s="28">
        <f>[2]Expenses!D84</f>
        <v>0</v>
      </c>
      <c r="E84" s="65">
        <f>[2]Expenses!E84</f>
        <v>0</v>
      </c>
      <c r="F84" s="225" t="str">
        <f t="shared" si="8"/>
        <v>-</v>
      </c>
      <c r="G84" s="230" t="str">
        <f t="shared" si="9"/>
        <v>-</v>
      </c>
      <c r="H84" s="227">
        <f t="shared" si="10"/>
        <v>0</v>
      </c>
      <c r="I84" s="232">
        <f>[2]Expenses!I84</f>
        <v>0</v>
      </c>
      <c r="J84" s="233">
        <f>[2]Expenses!J84</f>
        <v>0</v>
      </c>
      <c r="K84" s="8"/>
    </row>
    <row r="85" spans="1:11">
      <c r="A85" s="248" t="s">
        <v>222</v>
      </c>
      <c r="B85" s="59" t="s">
        <v>223</v>
      </c>
      <c r="C85" s="107" t="str">
        <f>[2]Expenses!C85</f>
        <v>Equipment Expenses</v>
      </c>
      <c r="D85" s="28">
        <f>[2]Expenses!D85</f>
        <v>32</v>
      </c>
      <c r="E85" s="65">
        <f>[2]Expenses!E85</f>
        <v>79805</v>
      </c>
      <c r="F85" s="225">
        <f t="shared" si="8"/>
        <v>4.0081666395280383E-4</v>
      </c>
      <c r="G85" s="230">
        <f t="shared" si="9"/>
        <v>0.99959918333604725</v>
      </c>
      <c r="H85" s="227">
        <f t="shared" si="10"/>
        <v>79837</v>
      </c>
      <c r="I85" s="232">
        <f>[2]Expenses!I85</f>
        <v>32</v>
      </c>
      <c r="J85" s="233">
        <f>[2]Expenses!J85</f>
        <v>79805</v>
      </c>
      <c r="K85" s="8"/>
    </row>
    <row r="86" spans="1:11">
      <c r="A86" s="248" t="s">
        <v>224</v>
      </c>
      <c r="B86" s="59" t="s">
        <v>225</v>
      </c>
      <c r="C86" s="107" t="str">
        <f>[2]Expenses!C86</f>
        <v>Insurance G/L</v>
      </c>
      <c r="D86" s="28">
        <f>[2]Expenses!D86</f>
        <v>3344</v>
      </c>
      <c r="E86" s="65">
        <f>[2]Expenses!E86</f>
        <v>5784</v>
      </c>
      <c r="F86" s="225">
        <f t="shared" si="8"/>
        <v>0.36634531113058721</v>
      </c>
      <c r="G86" s="230">
        <f t="shared" si="9"/>
        <v>0.63365468886941279</v>
      </c>
      <c r="H86" s="227">
        <f t="shared" si="10"/>
        <v>9128</v>
      </c>
      <c r="I86" s="232">
        <f>[2]Expenses!I86</f>
        <v>3344</v>
      </c>
      <c r="J86" s="233">
        <f>[2]Expenses!J86</f>
        <v>5784</v>
      </c>
      <c r="K86" s="8"/>
    </row>
    <row r="87" spans="1:11">
      <c r="A87" s="248" t="s">
        <v>226</v>
      </c>
      <c r="B87" s="59" t="s">
        <v>227</v>
      </c>
      <c r="C87" s="107" t="str">
        <f>[2]Expenses!C87</f>
        <v>Misc Expense</v>
      </c>
      <c r="D87" s="28">
        <f>[2]Expenses!D87</f>
        <v>0</v>
      </c>
      <c r="E87" s="65">
        <f>[2]Expenses!E87</f>
        <v>5246</v>
      </c>
      <c r="F87" s="225">
        <f t="shared" si="8"/>
        <v>0</v>
      </c>
      <c r="G87" s="225">
        <f t="shared" si="9"/>
        <v>1</v>
      </c>
      <c r="H87" s="227">
        <f t="shared" si="10"/>
        <v>5246</v>
      </c>
      <c r="I87" s="232">
        <f>[2]Expenses!I87</f>
        <v>0</v>
      </c>
      <c r="J87" s="233">
        <f>[2]Expenses!J87</f>
        <v>5246</v>
      </c>
      <c r="K87" s="8"/>
    </row>
    <row r="88" spans="1:11" ht="26.25">
      <c r="A88" s="248"/>
      <c r="B88" s="59"/>
      <c r="C88" s="107" t="str">
        <f>[2]Expenses!C88</f>
        <v>Payroll Taxes</v>
      </c>
      <c r="D88" s="28">
        <f>[2]Expenses!D88</f>
        <v>7338.34</v>
      </c>
      <c r="E88" s="65">
        <f>[2]Expenses!E88</f>
        <v>45539.96</v>
      </c>
      <c r="F88" s="225">
        <f t="shared" si="8"/>
        <v>0.13877791078760096</v>
      </c>
      <c r="G88" s="225">
        <f t="shared" si="9"/>
        <v>0.86122208921239896</v>
      </c>
      <c r="H88" s="227">
        <f t="shared" si="10"/>
        <v>52878.3</v>
      </c>
      <c r="I88" s="232">
        <f>[2]Expenses!I88</f>
        <v>11091.5023994</v>
      </c>
      <c r="J88" s="233">
        <f>[2]Expenses!J88</f>
        <v>53768.659303599998</v>
      </c>
      <c r="K88" s="17" t="s">
        <v>228</v>
      </c>
    </row>
    <row r="89" spans="1:11" ht="26.25">
      <c r="A89" s="248"/>
      <c r="B89" s="59"/>
      <c r="C89" s="107" t="str">
        <f>[2]Expenses!C89</f>
        <v>Wages</v>
      </c>
      <c r="D89" s="28">
        <f>[2]Expenses!D89</f>
        <v>13010.68</v>
      </c>
      <c r="E89" s="65">
        <f>[2]Expenses!E89</f>
        <v>80741.119999999995</v>
      </c>
      <c r="F89" s="225">
        <f t="shared" si="8"/>
        <v>0.13877792213056178</v>
      </c>
      <c r="G89" s="225">
        <f t="shared" si="9"/>
        <v>0.86122207786943827</v>
      </c>
      <c r="H89" s="227">
        <f>(E89+D89)</f>
        <v>93751.799999999988</v>
      </c>
      <c r="I89" s="232">
        <f>[2]Expenses!I89</f>
        <v>19664.929738800001</v>
      </c>
      <c r="J89" s="233">
        <f>[2]Expenses!J89</f>
        <v>95330.392099200006</v>
      </c>
      <c r="K89" s="17" t="s">
        <v>228</v>
      </c>
    </row>
    <row r="90" spans="1:11" ht="26.25">
      <c r="A90" s="248"/>
      <c r="B90" s="59"/>
      <c r="C90" s="107" t="str">
        <f>[2]Expenses!C90</f>
        <v>Worker's Compensation</v>
      </c>
      <c r="D90" s="28">
        <f>[2]Expenses!D90</f>
        <v>477.14</v>
      </c>
      <c r="E90" s="65">
        <f>[2]Expenses!E90</f>
        <v>2961</v>
      </c>
      <c r="F90" s="225">
        <f t="shared" si="8"/>
        <v>0.13877852559814319</v>
      </c>
      <c r="G90" s="225">
        <f t="shared" si="9"/>
        <v>0.86122147440185681</v>
      </c>
      <c r="H90" s="227">
        <f>(E90+D90)</f>
        <v>3438.14</v>
      </c>
      <c r="I90" s="232">
        <f>[2]Expenses!I90</f>
        <v>721.16690740000001</v>
      </c>
      <c r="J90" s="233">
        <f>[2]Expenses!J90</f>
        <v>3496.0260100000005</v>
      </c>
      <c r="K90" s="17" t="s">
        <v>228</v>
      </c>
    </row>
    <row r="91" spans="1:11">
      <c r="A91" s="248"/>
      <c r="B91" s="59"/>
      <c r="C91" s="107" t="str">
        <f>[2]Expenses!C91</f>
        <v xml:space="preserve">Fringe Benefits- Insurance </v>
      </c>
      <c r="D91" s="28">
        <f>[2]Expenses!D91</f>
        <v>10292.39</v>
      </c>
      <c r="E91" s="65">
        <f>[2]Expenses!E91</f>
        <v>63872.08</v>
      </c>
      <c r="F91" s="225">
        <f t="shared" si="8"/>
        <v>0.13877790807377172</v>
      </c>
      <c r="G91" s="225">
        <f t="shared" si="9"/>
        <v>0.86122209192622834</v>
      </c>
      <c r="H91" s="227">
        <f>(E91+D91)</f>
        <v>74164.47</v>
      </c>
      <c r="I91" s="232">
        <f>[2]Expenses!I91</f>
        <v>15016.96</v>
      </c>
      <c r="J91" s="233">
        <f>[2]Expenses!J91</f>
        <v>72065.72</v>
      </c>
      <c r="K91" s="17" t="s">
        <v>229</v>
      </c>
    </row>
    <row r="92" spans="1:11" ht="26.25">
      <c r="A92" s="248"/>
      <c r="B92" s="59"/>
      <c r="C92" s="107" t="str">
        <f>[2]Expenses!C92</f>
        <v xml:space="preserve">Retirement </v>
      </c>
      <c r="D92" s="28">
        <f>[2]Expenses!D92</f>
        <v>17049.46</v>
      </c>
      <c r="E92" s="65">
        <f>[2]Expenses!E92</f>
        <v>105804.85</v>
      </c>
      <c r="F92" s="225">
        <f t="shared" si="8"/>
        <v>0.13877787437819641</v>
      </c>
      <c r="G92" s="225">
        <f t="shared" si="9"/>
        <v>0.86122212562180367</v>
      </c>
      <c r="H92" s="227">
        <f>(E92+D92)</f>
        <v>122854.31</v>
      </c>
      <c r="I92" s="232">
        <f>[2]Expenses!I92</f>
        <v>25769.332198600001</v>
      </c>
      <c r="J92" s="233">
        <f>[2]Expenses!J92</f>
        <v>124922.93218850002</v>
      </c>
      <c r="K92" s="17" t="s">
        <v>228</v>
      </c>
    </row>
    <row r="93" spans="1:11">
      <c r="A93" s="248"/>
      <c r="B93" s="59"/>
      <c r="C93" s="107" t="str">
        <f>[2]Expenses!C93</f>
        <v>-</v>
      </c>
      <c r="D93" s="28">
        <f>[2]Expenses!D93</f>
        <v>0</v>
      </c>
      <c r="E93" s="65">
        <f>[2]Expenses!E93</f>
        <v>0</v>
      </c>
      <c r="F93" s="264" t="str">
        <f t="shared" si="8"/>
        <v>-</v>
      </c>
      <c r="G93" s="264" t="str">
        <f t="shared" si="9"/>
        <v>-</v>
      </c>
      <c r="H93" s="268">
        <f>(E93+D93)</f>
        <v>0</v>
      </c>
      <c r="I93" s="232">
        <f>[2]Expenses!I93</f>
        <v>0</v>
      </c>
      <c r="J93" s="233">
        <f>[2]Expenses!J93</f>
        <v>0</v>
      </c>
      <c r="K93" s="9"/>
    </row>
    <row r="94" spans="1:11">
      <c r="A94" s="251"/>
      <c r="B94" s="152"/>
      <c r="C94" s="161" t="s">
        <v>30</v>
      </c>
      <c r="D94" s="153">
        <f>SUM(D76:D93)</f>
        <v>204311.00999999998</v>
      </c>
      <c r="E94" s="154">
        <f>SUM(E76:E93)</f>
        <v>1192529.01</v>
      </c>
      <c r="F94" s="151"/>
      <c r="G94" s="151"/>
      <c r="H94" s="158">
        <f>SUM(H76:H93)</f>
        <v>1396840.02</v>
      </c>
      <c r="I94" s="159">
        <f>SUM(I76:I93)</f>
        <v>272185.1332942</v>
      </c>
      <c r="J94" s="154">
        <f>SUM(J76:J93)</f>
        <v>1339064.8584112998</v>
      </c>
      <c r="K94" s="152"/>
    </row>
    <row r="95" spans="1:11">
      <c r="A95" s="247"/>
      <c r="C95" s="98"/>
      <c r="D95" s="82"/>
      <c r="E95" s="49"/>
      <c r="F95" s="3"/>
      <c r="G95" s="3"/>
      <c r="H95" s="23"/>
      <c r="I95" s="13"/>
      <c r="J95" s="11"/>
      <c r="K95" s="46"/>
    </row>
    <row r="96" spans="1:11">
      <c r="A96" s="247"/>
      <c r="C96" s="58" t="s">
        <v>230</v>
      </c>
      <c r="D96" s="26"/>
      <c r="E96" s="48"/>
      <c r="F96" s="4"/>
      <c r="G96" s="4"/>
      <c r="H96" s="24"/>
      <c r="I96" s="18"/>
      <c r="J96" s="12"/>
      <c r="K96" s="46"/>
    </row>
    <row r="97" spans="1:11" ht="26.25">
      <c r="A97" s="248" t="s">
        <v>231</v>
      </c>
      <c r="B97" s="59" t="s">
        <v>232</v>
      </c>
      <c r="C97" s="107" t="str">
        <f>[2]Expenses!C97</f>
        <v>Wages</v>
      </c>
      <c r="D97" s="719">
        <f>[2]Expenses!D97</f>
        <v>95687</v>
      </c>
      <c r="E97" s="39">
        <f>[2]Expenses!E97</f>
        <v>482363</v>
      </c>
      <c r="F97" s="225">
        <f>IFERROR(D97/(E97+D97),"-")</f>
        <v>0.16553412334573134</v>
      </c>
      <c r="G97" s="225">
        <f>IFERROR(E97/(D97+E97),"-")</f>
        <v>0.83446587665426863</v>
      </c>
      <c r="H97" s="227">
        <f>(E97+D97)</f>
        <v>578050</v>
      </c>
      <c r="I97" s="232">
        <f>[2]Expenses!I97</f>
        <v>136399.57567000002</v>
      </c>
      <c r="J97" s="233">
        <f>[2]Expenses!J97</f>
        <v>625592.99482999998</v>
      </c>
      <c r="K97" s="17" t="s">
        <v>233</v>
      </c>
    </row>
    <row r="98" spans="1:11">
      <c r="A98" s="248" t="s">
        <v>234</v>
      </c>
      <c r="B98" s="59" t="s">
        <v>235</v>
      </c>
      <c r="C98" s="107" t="str">
        <f>[2]Expenses!C98</f>
        <v>Employee Overhead</v>
      </c>
      <c r="D98" s="719">
        <f>[2]Expenses!D98</f>
        <v>0</v>
      </c>
      <c r="E98" s="65">
        <f>[2]Expenses!E98</f>
        <v>0</v>
      </c>
      <c r="F98" s="225" t="str">
        <f t="shared" ref="F98:F115" si="11">IFERROR(D98/(E98+D98),"-")</f>
        <v>-</v>
      </c>
      <c r="G98" s="225" t="str">
        <f t="shared" ref="G98:G115" si="12">IFERROR(E98/(D98+E98),"-")</f>
        <v>-</v>
      </c>
      <c r="H98" s="227">
        <f t="shared" ref="H98:H107" si="13">(E98+D98)</f>
        <v>0</v>
      </c>
      <c r="I98" s="232">
        <f>[2]Expenses!I98</f>
        <v>0</v>
      </c>
      <c r="J98" s="233">
        <f>[2]Expenses!J98</f>
        <v>0</v>
      </c>
      <c r="K98" s="17" t="s">
        <v>236</v>
      </c>
    </row>
    <row r="99" spans="1:11">
      <c r="A99" s="248" t="s">
        <v>237</v>
      </c>
      <c r="B99" s="59" t="s">
        <v>238</v>
      </c>
      <c r="C99" s="107" t="str">
        <f>[2]Expenses!C99</f>
        <v xml:space="preserve">Materials &amp; Supplies </v>
      </c>
      <c r="D99" s="719">
        <f>[2]Expenses!D99</f>
        <v>7022</v>
      </c>
      <c r="E99" s="65">
        <f>[2]Expenses!E99</f>
        <v>31108</v>
      </c>
      <c r="F99" s="225">
        <f t="shared" si="11"/>
        <v>0.1841594544977708</v>
      </c>
      <c r="G99" s="225">
        <f t="shared" si="12"/>
        <v>0.81584054550222918</v>
      </c>
      <c r="H99" s="227">
        <f t="shared" si="13"/>
        <v>38130</v>
      </c>
      <c r="I99" s="232">
        <f>[2]Expenses!I99</f>
        <v>7022</v>
      </c>
      <c r="J99" s="233">
        <f>[2]Expenses!J99</f>
        <v>31108</v>
      </c>
      <c r="K99" s="8"/>
    </row>
    <row r="100" spans="1:11">
      <c r="A100" s="248" t="s">
        <v>239</v>
      </c>
      <c r="B100" s="59" t="s">
        <v>240</v>
      </c>
      <c r="C100" s="107" t="str">
        <f>[2]Expenses!C100</f>
        <v>Contract Accounting</v>
      </c>
      <c r="D100" s="719">
        <f>[2]Expenses!D100</f>
        <v>3500</v>
      </c>
      <c r="E100" s="65">
        <f>[2]Expenses!E100</f>
        <v>3633</v>
      </c>
      <c r="F100" s="225">
        <f t="shared" si="11"/>
        <v>0.49067713444553485</v>
      </c>
      <c r="G100" s="225">
        <f t="shared" si="12"/>
        <v>0.50932286555446515</v>
      </c>
      <c r="H100" s="227">
        <f t="shared" si="13"/>
        <v>7133</v>
      </c>
      <c r="I100" s="232">
        <f>[2]Expenses!I100</f>
        <v>3500</v>
      </c>
      <c r="J100" s="233">
        <f>[2]Expenses!J100</f>
        <v>3633</v>
      </c>
      <c r="K100" s="8"/>
    </row>
    <row r="101" spans="1:11">
      <c r="A101" s="248" t="s">
        <v>241</v>
      </c>
      <c r="B101" s="59" t="s">
        <v>242</v>
      </c>
      <c r="C101" s="107" t="str">
        <f>[2]Expenses!C101</f>
        <v>Contract Legal</v>
      </c>
      <c r="D101" s="719">
        <f>[2]Expenses!D101</f>
        <v>5136</v>
      </c>
      <c r="E101" s="65">
        <f>[2]Expenses!E101</f>
        <v>16922</v>
      </c>
      <c r="F101" s="225">
        <f t="shared" si="11"/>
        <v>0.23284069271919486</v>
      </c>
      <c r="G101" s="225">
        <f t="shared" si="12"/>
        <v>0.76715930728080517</v>
      </c>
      <c r="H101" s="227">
        <f t="shared" si="13"/>
        <v>22058</v>
      </c>
      <c r="I101" s="232">
        <f>[2]Expenses!I101</f>
        <v>5136</v>
      </c>
      <c r="J101" s="233">
        <f>[2]Expenses!J101</f>
        <v>16922</v>
      </c>
      <c r="K101" s="8"/>
    </row>
    <row r="102" spans="1:11">
      <c r="A102" s="248" t="s">
        <v>243</v>
      </c>
      <c r="B102" s="59" t="s">
        <v>244</v>
      </c>
      <c r="C102" s="107" t="str">
        <f>[2]Expenses!C102</f>
        <v>Contract Other</v>
      </c>
      <c r="D102" s="719">
        <f>[2]Expenses!D102</f>
        <v>67075</v>
      </c>
      <c r="E102" s="65">
        <f>[2]Expenses!E102</f>
        <v>318815</v>
      </c>
      <c r="F102" s="225">
        <f t="shared" si="11"/>
        <v>0.17381896395345825</v>
      </c>
      <c r="G102" s="225">
        <f t="shared" si="12"/>
        <v>0.82618103604654181</v>
      </c>
      <c r="H102" s="227">
        <f t="shared" si="13"/>
        <v>385890</v>
      </c>
      <c r="I102" s="232">
        <f>[2]Expenses!I102</f>
        <v>67075</v>
      </c>
      <c r="J102" s="233">
        <f>[2]Expenses!J102</f>
        <v>318815</v>
      </c>
      <c r="K102" s="8"/>
    </row>
    <row r="103" spans="1:11">
      <c r="A103" s="248" t="s">
        <v>245</v>
      </c>
      <c r="B103" s="59" t="s">
        <v>246</v>
      </c>
      <c r="C103" s="107" t="str">
        <f>[2]Expenses!C103</f>
        <v xml:space="preserve">Rent &amp; Utilities </v>
      </c>
      <c r="D103" s="719">
        <f>[2]Expenses!D103</f>
        <v>0</v>
      </c>
      <c r="E103" s="65">
        <f>[2]Expenses!E103</f>
        <v>4924</v>
      </c>
      <c r="F103" s="225">
        <f t="shared" si="11"/>
        <v>0</v>
      </c>
      <c r="G103" s="225">
        <f t="shared" si="12"/>
        <v>1</v>
      </c>
      <c r="H103" s="227">
        <f t="shared" si="13"/>
        <v>4924</v>
      </c>
      <c r="I103" s="232">
        <f>[2]Expenses!I103</f>
        <v>0</v>
      </c>
      <c r="J103" s="233">
        <f>[2]Expenses!J103</f>
        <v>4924</v>
      </c>
      <c r="K103" s="8"/>
    </row>
    <row r="104" spans="1:11">
      <c r="A104" s="248" t="s">
        <v>247</v>
      </c>
      <c r="B104" s="59" t="s">
        <v>248</v>
      </c>
      <c r="C104" s="107" t="str">
        <f>[2]Expenses!C104</f>
        <v>Equipment Expenses</v>
      </c>
      <c r="D104" s="719">
        <f>[2]Expenses!D104</f>
        <v>213</v>
      </c>
      <c r="E104" s="65">
        <f>[2]Expenses!E104</f>
        <v>9716</v>
      </c>
      <c r="F104" s="225">
        <f t="shared" si="11"/>
        <v>2.1452311411018228E-2</v>
      </c>
      <c r="G104" s="225">
        <f t="shared" si="12"/>
        <v>0.97854768858898178</v>
      </c>
      <c r="H104" s="227">
        <f t="shared" si="13"/>
        <v>9929</v>
      </c>
      <c r="I104" s="232">
        <f>[2]Expenses!I104</f>
        <v>213</v>
      </c>
      <c r="J104" s="233">
        <f>[2]Expenses!J104</f>
        <v>9716</v>
      </c>
      <c r="K104" s="8"/>
    </row>
    <row r="105" spans="1:11">
      <c r="A105" s="248" t="s">
        <v>249</v>
      </c>
      <c r="B105" s="59" t="s">
        <v>250</v>
      </c>
      <c r="C105" s="107" t="str">
        <f>[2]Expenses!C105</f>
        <v>Insurance G/L</v>
      </c>
      <c r="D105" s="719">
        <f>[2]Expenses!D105</f>
        <v>3344</v>
      </c>
      <c r="E105" s="65">
        <f>[2]Expenses!E105</f>
        <v>5784</v>
      </c>
      <c r="F105" s="225">
        <f t="shared" si="11"/>
        <v>0.36634531113058721</v>
      </c>
      <c r="G105" s="225">
        <f t="shared" si="12"/>
        <v>0.63365468886941279</v>
      </c>
      <c r="H105" s="227">
        <f t="shared" si="13"/>
        <v>9128</v>
      </c>
      <c r="I105" s="232">
        <f>[2]Expenses!I105</f>
        <v>3344</v>
      </c>
      <c r="J105" s="233">
        <f>[2]Expenses!J105</f>
        <v>5784</v>
      </c>
      <c r="K105" s="8"/>
    </row>
    <row r="106" spans="1:11">
      <c r="A106" s="248" t="s">
        <v>251</v>
      </c>
      <c r="B106" s="59" t="s">
        <v>252</v>
      </c>
      <c r="C106" s="107" t="str">
        <f>[2]Expenses!C106</f>
        <v xml:space="preserve">Insurance Other </v>
      </c>
      <c r="D106" s="719">
        <f>[2]Expenses!D106</f>
        <v>2545</v>
      </c>
      <c r="E106" s="65">
        <f>[2]Expenses!E106</f>
        <v>2843</v>
      </c>
      <c r="F106" s="225">
        <f t="shared" si="11"/>
        <v>0.47234595397178913</v>
      </c>
      <c r="G106" s="225">
        <f t="shared" si="12"/>
        <v>0.52765404602821087</v>
      </c>
      <c r="H106" s="227">
        <f t="shared" si="13"/>
        <v>5388</v>
      </c>
      <c r="I106" s="232">
        <f>[2]Expenses!I106</f>
        <v>2545</v>
      </c>
      <c r="J106" s="233">
        <f>[2]Expenses!J106</f>
        <v>2843</v>
      </c>
      <c r="K106" s="8"/>
    </row>
    <row r="107" spans="1:11">
      <c r="A107" s="248" t="s">
        <v>253</v>
      </c>
      <c r="B107" s="59" t="s">
        <v>254</v>
      </c>
      <c r="C107" s="107" t="str">
        <f>[2]Expenses!C107</f>
        <v>Misc Expesne</v>
      </c>
      <c r="D107" s="719">
        <f>[2]Expenses!D107</f>
        <v>17777</v>
      </c>
      <c r="E107" s="65">
        <f>[2]Expenses!E107</f>
        <v>50260</v>
      </c>
      <c r="F107" s="225">
        <f t="shared" si="11"/>
        <v>0.26128430118905888</v>
      </c>
      <c r="G107" s="225">
        <f t="shared" si="12"/>
        <v>0.73871569881094112</v>
      </c>
      <c r="H107" s="227">
        <f t="shared" si="13"/>
        <v>68037</v>
      </c>
      <c r="I107" s="232">
        <f>[2]Expenses!I107</f>
        <v>17777</v>
      </c>
      <c r="J107" s="233">
        <f>[2]Expenses!J107</f>
        <v>50260</v>
      </c>
      <c r="K107" s="8"/>
    </row>
    <row r="108" spans="1:11">
      <c r="A108" s="248" t="s">
        <v>255</v>
      </c>
      <c r="B108" s="59" t="s">
        <v>256</v>
      </c>
      <c r="C108" s="107" t="str">
        <f>[2]Expenses!C108</f>
        <v>Misc Expense- Commissioner Fee</v>
      </c>
      <c r="D108" s="719">
        <f>[2]Expenses!D108</f>
        <v>15000</v>
      </c>
      <c r="E108" s="65">
        <f>[2]Expenses!E108</f>
        <v>15000</v>
      </c>
      <c r="F108" s="225">
        <f t="shared" si="11"/>
        <v>0.5</v>
      </c>
      <c r="G108" s="225">
        <f t="shared" si="12"/>
        <v>0.5</v>
      </c>
      <c r="H108" s="227">
        <f t="shared" ref="H108:H115" si="14">(E108+D108)</f>
        <v>30000</v>
      </c>
      <c r="I108" s="232">
        <f>[2]Expenses!I108</f>
        <v>15000</v>
      </c>
      <c r="J108" s="233">
        <f>[2]Expenses!J108</f>
        <v>15000</v>
      </c>
      <c r="K108" s="17"/>
    </row>
    <row r="109" spans="1:11">
      <c r="A109" s="248" t="s">
        <v>257</v>
      </c>
      <c r="B109" s="59" t="s">
        <v>258</v>
      </c>
      <c r="C109" s="107" t="str">
        <f>[2]Expenses!C109</f>
        <v>Commissioner SS &amp; Medicare</v>
      </c>
      <c r="D109" s="719">
        <f>[2]Expenses!D109</f>
        <v>0</v>
      </c>
      <c r="E109" s="65">
        <f>[2]Expenses!E109</f>
        <v>2295</v>
      </c>
      <c r="F109" s="225">
        <f t="shared" si="11"/>
        <v>0</v>
      </c>
      <c r="G109" s="225">
        <f t="shared" si="12"/>
        <v>1</v>
      </c>
      <c r="H109" s="227">
        <f t="shared" si="14"/>
        <v>2295</v>
      </c>
      <c r="I109" s="232">
        <f>[2]Expenses!I109</f>
        <v>0</v>
      </c>
      <c r="J109" s="233">
        <f>[2]Expenses!J109</f>
        <v>2295</v>
      </c>
      <c r="K109" s="17" t="s">
        <v>236</v>
      </c>
    </row>
    <row r="110" spans="1:11" ht="26.25">
      <c r="A110" s="248"/>
      <c r="B110" s="59"/>
      <c r="C110" s="107" t="str">
        <f>[2]Expenses!C110</f>
        <v>Payroll Taxes</v>
      </c>
      <c r="D110" s="719">
        <f>[2]Expenses!D110</f>
        <v>8300.73</v>
      </c>
      <c r="E110" s="65">
        <f>[2]Expenses!E110</f>
        <v>41724.53</v>
      </c>
      <c r="F110" s="225">
        <f t="shared" si="11"/>
        <v>0.16593077177409973</v>
      </c>
      <c r="G110" s="225">
        <f t="shared" si="12"/>
        <v>0.83406922822590035</v>
      </c>
      <c r="H110" s="227">
        <f t="shared" si="14"/>
        <v>50025.259999999995</v>
      </c>
      <c r="I110" s="232">
        <f>[2]Expenses!I110</f>
        <v>11701.8512593</v>
      </c>
      <c r="J110" s="233">
        <f>[2]Expenses!J110</f>
        <v>53711.592617299997</v>
      </c>
      <c r="K110" s="17" t="s">
        <v>233</v>
      </c>
    </row>
    <row r="111" spans="1:11" ht="26.25">
      <c r="A111" s="248"/>
      <c r="B111" s="59"/>
      <c r="C111" s="107" t="str">
        <f>[2]Expenses!C111</f>
        <v>Wages</v>
      </c>
      <c r="D111" s="719">
        <f>[2]Expenses!D111</f>
        <v>14716.96</v>
      </c>
      <c r="E111" s="65">
        <f>[2]Expenses!E111</f>
        <v>73976.479999999996</v>
      </c>
      <c r="F111" s="225">
        <f t="shared" si="11"/>
        <v>0.16593064830950291</v>
      </c>
      <c r="G111" s="225">
        <f t="shared" si="12"/>
        <v>0.83406935169049701</v>
      </c>
      <c r="H111" s="227">
        <f t="shared" si="14"/>
        <v>88693.440000000002</v>
      </c>
      <c r="I111" s="232">
        <f>[2]Expenses!I111</f>
        <v>20747.0458736</v>
      </c>
      <c r="J111" s="233">
        <f>[2]Expenses!J111</f>
        <v>95229.227316799996</v>
      </c>
      <c r="K111" s="17" t="s">
        <v>233</v>
      </c>
    </row>
    <row r="112" spans="1:11" ht="26.25">
      <c r="A112" s="248"/>
      <c r="B112" s="59"/>
      <c r="C112" s="107" t="str">
        <f>[2]Expenses!C112</f>
        <v>Worker's Compensation</v>
      </c>
      <c r="D112" s="719">
        <f>[2]Expenses!D112</f>
        <v>539.71</v>
      </c>
      <c r="E112" s="65">
        <f>[2]Expenses!E112</f>
        <v>2712.92</v>
      </c>
      <c r="F112" s="225">
        <f t="shared" si="11"/>
        <v>0.16593033944838484</v>
      </c>
      <c r="G112" s="225">
        <f t="shared" si="12"/>
        <v>0.83406966055161513</v>
      </c>
      <c r="H112" s="227">
        <f t="shared" si="14"/>
        <v>3252.63</v>
      </c>
      <c r="I112" s="232">
        <f>[2]Expenses!I112</f>
        <v>760.84620110000014</v>
      </c>
      <c r="J112" s="233">
        <f>[2]Expenses!J112</f>
        <v>3492.3141372000005</v>
      </c>
      <c r="K112" s="17" t="s">
        <v>233</v>
      </c>
    </row>
    <row r="113" spans="1:11">
      <c r="A113" s="248"/>
      <c r="B113" s="59"/>
      <c r="C113" s="107" t="str">
        <f>[2]Expenses!C113</f>
        <v xml:space="preserve">Fringe Benefits- Insurance </v>
      </c>
      <c r="D113" s="719">
        <f>[2]Expenses!D113</f>
        <v>11642.18</v>
      </c>
      <c r="E113" s="65">
        <f>[2]Expenses!E113</f>
        <v>58520.75</v>
      </c>
      <c r="F113" s="225">
        <f t="shared" si="11"/>
        <v>0.16593064172206037</v>
      </c>
      <c r="G113" s="225">
        <f t="shared" si="12"/>
        <v>0.83406935827793971</v>
      </c>
      <c r="H113" s="227">
        <f t="shared" si="14"/>
        <v>70162.929999999993</v>
      </c>
      <c r="I113" s="232">
        <f>[2]Expenses!I113</f>
        <v>15802.25</v>
      </c>
      <c r="J113" s="233">
        <f>[2]Expenses!J113</f>
        <v>72266.14</v>
      </c>
      <c r="K113" s="17" t="s">
        <v>259</v>
      </c>
    </row>
    <row r="114" spans="1:11" ht="26.25">
      <c r="A114" s="248"/>
      <c r="B114" s="59"/>
      <c r="C114" s="107" t="str">
        <f>[2]Expenses!C114</f>
        <v xml:space="preserve">Retirement </v>
      </c>
      <c r="D114" s="719">
        <f>[2]Expenses!D114</f>
        <v>19285.419999999998</v>
      </c>
      <c r="E114" s="65">
        <f>[2]Expenses!E114</f>
        <v>96940.32</v>
      </c>
      <c r="F114" s="225">
        <f t="shared" si="11"/>
        <v>0.16593071379885382</v>
      </c>
      <c r="G114" s="225">
        <f t="shared" si="12"/>
        <v>0.83406928620114618</v>
      </c>
      <c r="H114" s="227">
        <f t="shared" si="14"/>
        <v>116225.74</v>
      </c>
      <c r="I114" s="232">
        <f>[2]Expenses!I114</f>
        <v>27187.378862199999</v>
      </c>
      <c r="J114" s="233">
        <f>[2]Expenses!J114</f>
        <v>124790.36217120002</v>
      </c>
      <c r="K114" s="17" t="s">
        <v>233</v>
      </c>
    </row>
    <row r="115" spans="1:11">
      <c r="A115" s="248"/>
      <c r="B115" s="59"/>
      <c r="C115" s="107" t="str">
        <f>[2]Expenses!C115</f>
        <v>-</v>
      </c>
      <c r="D115" s="719">
        <f>[2]Expenses!D115</f>
        <v>0</v>
      </c>
      <c r="E115" s="65">
        <f>[2]Expenses!E115</f>
        <v>0</v>
      </c>
      <c r="F115" s="269" t="str">
        <f t="shared" si="11"/>
        <v>-</v>
      </c>
      <c r="G115" s="264" t="str">
        <f t="shared" si="12"/>
        <v>-</v>
      </c>
      <c r="H115" s="268">
        <f t="shared" si="14"/>
        <v>0</v>
      </c>
      <c r="I115" s="232">
        <f>[2]Expenses!I115</f>
        <v>0</v>
      </c>
      <c r="J115" s="233">
        <f>[2]Expenses!J115</f>
        <v>0</v>
      </c>
      <c r="K115" s="8"/>
    </row>
    <row r="116" spans="1:11">
      <c r="A116" s="251"/>
      <c r="B116" s="152"/>
      <c r="C116" s="161" t="s">
        <v>30</v>
      </c>
      <c r="D116" s="481">
        <f>SUM(D97:D115)</f>
        <v>271784</v>
      </c>
      <c r="E116" s="482">
        <f>SUM(E97:E115)</f>
        <v>1217538</v>
      </c>
      <c r="F116" s="157"/>
      <c r="G116" s="151"/>
      <c r="H116" s="158">
        <f>SUM(H97:H115)</f>
        <v>1489321.9999999998</v>
      </c>
      <c r="I116" s="159">
        <f>SUM(I97:I115)</f>
        <v>334210.9478662</v>
      </c>
      <c r="J116" s="154">
        <f>SUM(J97:J115)</f>
        <v>1436382.6310725</v>
      </c>
      <c r="K116" s="522"/>
    </row>
    <row r="117" spans="1:11">
      <c r="A117" s="247"/>
      <c r="C117" s="70"/>
      <c r="D117" s="28"/>
      <c r="E117" s="49"/>
      <c r="F117" s="3"/>
      <c r="G117" s="3"/>
      <c r="H117" s="23"/>
      <c r="I117" s="13"/>
      <c r="J117" s="11"/>
      <c r="K117" s="46"/>
    </row>
    <row r="118" spans="1:11">
      <c r="A118" s="247"/>
      <c r="C118" s="58" t="s">
        <v>85</v>
      </c>
      <c r="D118" s="26"/>
      <c r="E118" s="48"/>
      <c r="F118" s="4"/>
      <c r="G118" s="4"/>
      <c r="H118" s="24"/>
      <c r="I118" s="18"/>
      <c r="J118" s="12"/>
      <c r="K118" s="46"/>
    </row>
    <row r="119" spans="1:11">
      <c r="A119" s="248" t="s">
        <v>260</v>
      </c>
      <c r="B119" s="59" t="s">
        <v>261</v>
      </c>
      <c r="C119" s="107" t="str">
        <f>[2]Expenses!C119</f>
        <v>Employee Overhead- Reimbursement Acct</v>
      </c>
      <c r="D119" s="719">
        <f>[2]Expenses!D119</f>
        <v>0</v>
      </c>
      <c r="E119" s="39">
        <f>[2]Expenses!E119</f>
        <v>0</v>
      </c>
      <c r="F119" s="225" t="str">
        <f>IFERROR(D119/(E119+D119),"-")</f>
        <v>-</v>
      </c>
      <c r="G119" s="225" t="str">
        <f>IFERROR(E119/(D119+E119),"-")</f>
        <v>-</v>
      </c>
      <c r="H119" s="227">
        <f t="shared" ref="H119:H131" si="15">(E119+D119)</f>
        <v>0</v>
      </c>
      <c r="I119" s="232">
        <f>[2]Expenses!I119</f>
        <v>0</v>
      </c>
      <c r="J119" s="233">
        <f>[2]Expenses!J119</f>
        <v>0</v>
      </c>
      <c r="K119" s="520" t="s">
        <v>236</v>
      </c>
    </row>
    <row r="120" spans="1:11">
      <c r="A120" s="248" t="s">
        <v>262</v>
      </c>
      <c r="B120" s="59" t="s">
        <v>263</v>
      </c>
      <c r="C120" s="107" t="str">
        <f>[2]Expenses!C120</f>
        <v>Purchased Power- Master Mtrs</v>
      </c>
      <c r="D120" s="719">
        <f>[2]Expenses!D120</f>
        <v>0</v>
      </c>
      <c r="E120" s="65">
        <f>[2]Expenses!E120</f>
        <v>4902</v>
      </c>
      <c r="F120" s="225">
        <f t="shared" ref="F120:F137" si="16">IFERROR(D120/(E120+D120),"-")</f>
        <v>0</v>
      </c>
      <c r="G120" s="225">
        <f t="shared" ref="G120:G137" si="17">IFERROR(E120/(D120+E120),"-")</f>
        <v>1</v>
      </c>
      <c r="H120" s="227">
        <f t="shared" si="15"/>
        <v>4902</v>
      </c>
      <c r="I120" s="232">
        <f>[2]Expenses!I120</f>
        <v>0</v>
      </c>
      <c r="J120" s="233">
        <f>[2]Expenses!J120</f>
        <v>4902</v>
      </c>
      <c r="K120" s="520"/>
    </row>
    <row r="121" spans="1:11">
      <c r="A121" s="248" t="s">
        <v>79</v>
      </c>
      <c r="B121" s="59" t="s">
        <v>264</v>
      </c>
      <c r="C121" s="107" t="str">
        <f>[2]Expenses!C121</f>
        <v>Purchased Power- Property</v>
      </c>
      <c r="D121" s="719">
        <f>[2]Expenses!D121</f>
        <v>0</v>
      </c>
      <c r="E121" s="65">
        <f>[2]Expenses!E121</f>
        <v>2376</v>
      </c>
      <c r="F121" s="225">
        <f t="shared" si="16"/>
        <v>0</v>
      </c>
      <c r="G121" s="225">
        <f t="shared" si="17"/>
        <v>1</v>
      </c>
      <c r="H121" s="227">
        <f t="shared" si="15"/>
        <v>2376</v>
      </c>
      <c r="I121" s="232">
        <f>[2]Expenses!I121</f>
        <v>0</v>
      </c>
      <c r="J121" s="233">
        <f>[2]Expenses!J121</f>
        <v>2376</v>
      </c>
      <c r="K121" s="520"/>
    </row>
    <row r="122" spans="1:11">
      <c r="A122" s="248" t="s">
        <v>79</v>
      </c>
      <c r="B122" s="59" t="s">
        <v>265</v>
      </c>
      <c r="C122" s="107" t="str">
        <f>[2]Expenses!C122</f>
        <v xml:space="preserve">Reimbursement- Trucks &amp; Equipment </v>
      </c>
      <c r="D122" s="719">
        <f>[2]Expenses!D122</f>
        <v>0</v>
      </c>
      <c r="E122" s="65">
        <f>[2]Expenses!E122</f>
        <v>0</v>
      </c>
      <c r="F122" s="225" t="str">
        <f t="shared" si="16"/>
        <v>-</v>
      </c>
      <c r="G122" s="225" t="str">
        <f t="shared" si="17"/>
        <v>-</v>
      </c>
      <c r="H122" s="227">
        <f t="shared" si="15"/>
        <v>0</v>
      </c>
      <c r="I122" s="232">
        <f>[2]Expenses!I122</f>
        <v>0</v>
      </c>
      <c r="J122" s="233">
        <f>[2]Expenses!J122</f>
        <v>0</v>
      </c>
      <c r="K122" s="520"/>
    </row>
    <row r="123" spans="1:11">
      <c r="A123" s="248" t="s">
        <v>79</v>
      </c>
      <c r="B123" s="59" t="s">
        <v>266</v>
      </c>
      <c r="C123" s="107" t="str">
        <f>[2]Expenses!C123</f>
        <v xml:space="preserve">Expense - Trucks &amp; Equipment </v>
      </c>
      <c r="D123" s="719">
        <f>[2]Expenses!D123</f>
        <v>0</v>
      </c>
      <c r="E123" s="65">
        <f>[2]Expenses!E123</f>
        <v>0</v>
      </c>
      <c r="F123" s="225" t="str">
        <f t="shared" si="16"/>
        <v>-</v>
      </c>
      <c r="G123" s="225" t="str">
        <f t="shared" si="17"/>
        <v>-</v>
      </c>
      <c r="H123" s="227">
        <f t="shared" si="15"/>
        <v>0</v>
      </c>
      <c r="I123" s="232">
        <f>[2]Expenses!I123</f>
        <v>0</v>
      </c>
      <c r="J123" s="233">
        <f>[2]Expenses!J123</f>
        <v>0</v>
      </c>
      <c r="K123" s="520"/>
    </row>
    <row r="124" spans="1:11">
      <c r="A124" s="248" t="s">
        <v>267</v>
      </c>
      <c r="B124" s="59" t="s">
        <v>268</v>
      </c>
      <c r="C124" s="107" t="str">
        <f>[2]Expenses!C124</f>
        <v>PSC Assessment</v>
      </c>
      <c r="D124" s="719">
        <f>[2]Expenses!D124</f>
        <v>8006</v>
      </c>
      <c r="E124" s="65">
        <f>[2]Expenses!E124</f>
        <v>20980</v>
      </c>
      <c r="F124" s="225">
        <f t="shared" si="16"/>
        <v>0.27620230456082245</v>
      </c>
      <c r="G124" s="225">
        <f t="shared" si="17"/>
        <v>0.72379769543917749</v>
      </c>
      <c r="H124" s="227">
        <f t="shared" si="15"/>
        <v>28986</v>
      </c>
      <c r="I124" s="232">
        <f>[2]Expenses!I124</f>
        <v>8006</v>
      </c>
      <c r="J124" s="233">
        <f>[2]Expenses!J124</f>
        <v>20980</v>
      </c>
      <c r="K124" s="520"/>
    </row>
    <row r="125" spans="1:11">
      <c r="A125" s="248" t="s">
        <v>269</v>
      </c>
      <c r="B125" s="59" t="s">
        <v>270</v>
      </c>
      <c r="C125" s="107" t="str">
        <f>[2]Expenses!C125</f>
        <v>Bad Debt Expense</v>
      </c>
      <c r="D125" s="719">
        <f>[2]Expenses!D125</f>
        <v>4466</v>
      </c>
      <c r="E125" s="65">
        <f>[2]Expenses!E125</f>
        <v>20960</v>
      </c>
      <c r="F125" s="225">
        <f t="shared" si="16"/>
        <v>0.17564697553685205</v>
      </c>
      <c r="G125" s="225">
        <f t="shared" si="17"/>
        <v>0.82435302446314795</v>
      </c>
      <c r="H125" s="227">
        <f t="shared" si="15"/>
        <v>25426</v>
      </c>
      <c r="I125" s="232">
        <f>[2]Expenses!I125</f>
        <v>4466</v>
      </c>
      <c r="J125" s="233">
        <f>[2]Expenses!J125</f>
        <v>20960</v>
      </c>
      <c r="K125" s="8"/>
    </row>
    <row r="126" spans="1:11">
      <c r="A126" s="248" t="s">
        <v>271</v>
      </c>
      <c r="B126" s="59" t="s">
        <v>79</v>
      </c>
      <c r="C126" s="107" t="str">
        <f>[2]Expenses!C126</f>
        <v>Bad Debt Expense</v>
      </c>
      <c r="D126" s="719">
        <f>[2]Expenses!D126</f>
        <v>0</v>
      </c>
      <c r="E126" s="65">
        <f>[2]Expenses!E126</f>
        <v>0</v>
      </c>
      <c r="F126" s="225" t="str">
        <f t="shared" si="16"/>
        <v>-</v>
      </c>
      <c r="G126" s="225" t="str">
        <f t="shared" si="17"/>
        <v>-</v>
      </c>
      <c r="H126" s="227">
        <f t="shared" si="15"/>
        <v>0</v>
      </c>
      <c r="I126" s="232">
        <f>[2]Expenses!I126</f>
        <v>0</v>
      </c>
      <c r="J126" s="233">
        <f>[2]Expenses!J126</f>
        <v>0</v>
      </c>
      <c r="K126" s="17"/>
    </row>
    <row r="127" spans="1:11">
      <c r="A127" s="248" t="s">
        <v>272</v>
      </c>
      <c r="B127" s="59" t="s">
        <v>273</v>
      </c>
      <c r="C127" s="107" t="str">
        <f>[2]Expenses!C127</f>
        <v>Misc Expense- Cash Over/Short (CIS)</v>
      </c>
      <c r="D127" s="719">
        <f>[2]Expenses!D127</f>
        <v>0</v>
      </c>
      <c r="E127" s="65">
        <f>[2]Expenses!E127</f>
        <v>-3</v>
      </c>
      <c r="F127" s="225">
        <f t="shared" si="16"/>
        <v>0</v>
      </c>
      <c r="G127" s="225">
        <f t="shared" si="17"/>
        <v>1</v>
      </c>
      <c r="H127" s="227">
        <f t="shared" si="15"/>
        <v>-3</v>
      </c>
      <c r="I127" s="232">
        <f>[2]Expenses!I127</f>
        <v>0</v>
      </c>
      <c r="J127" s="233">
        <f>[2]Expenses!J127</f>
        <v>-3</v>
      </c>
      <c r="K127" s="8"/>
    </row>
    <row r="128" spans="1:11">
      <c r="A128" s="248" t="s">
        <v>274</v>
      </c>
      <c r="B128" s="59" t="s">
        <v>275</v>
      </c>
      <c r="C128" s="107" t="str">
        <f>[2]Expenses!C128</f>
        <v>Misc Expense- Customer FB (CIS)</v>
      </c>
      <c r="D128" s="719">
        <f>[2]Expenses!D128</f>
        <v>0</v>
      </c>
      <c r="E128" s="65">
        <f>[2]Expenses!E128</f>
        <v>0</v>
      </c>
      <c r="F128" s="225" t="str">
        <f t="shared" si="16"/>
        <v>-</v>
      </c>
      <c r="G128" s="225" t="str">
        <f t="shared" si="17"/>
        <v>-</v>
      </c>
      <c r="H128" s="227">
        <f t="shared" si="15"/>
        <v>0</v>
      </c>
      <c r="I128" s="232">
        <f>[2]Expenses!I128</f>
        <v>0</v>
      </c>
      <c r="J128" s="233">
        <f>[2]Expenses!J128</f>
        <v>0</v>
      </c>
      <c r="K128" s="8"/>
    </row>
    <row r="129" spans="1:11">
      <c r="A129" s="248" t="s">
        <v>276</v>
      </c>
      <c r="B129" s="59" t="s">
        <v>79</v>
      </c>
      <c r="C129" s="107" t="str">
        <f>[2]Expenses!C129</f>
        <v>Non-Utility Income</v>
      </c>
      <c r="D129" s="719">
        <f>[2]Expenses!D129</f>
        <v>-4</v>
      </c>
      <c r="E129" s="65">
        <f>[2]Expenses!E129</f>
        <v>0</v>
      </c>
      <c r="F129" s="225">
        <f t="shared" si="16"/>
        <v>1</v>
      </c>
      <c r="G129" s="225">
        <f t="shared" si="17"/>
        <v>0</v>
      </c>
      <c r="H129" s="227">
        <f t="shared" si="15"/>
        <v>-4</v>
      </c>
      <c r="I129" s="232">
        <f>[2]Expenses!I129</f>
        <v>-4</v>
      </c>
      <c r="J129" s="233">
        <f>[2]Expenses!J129</f>
        <v>0</v>
      </c>
      <c r="K129" s="8"/>
    </row>
    <row r="130" spans="1:11">
      <c r="A130" s="248" t="s">
        <v>277</v>
      </c>
      <c r="B130" s="59" t="s">
        <v>278</v>
      </c>
      <c r="C130" s="107" t="str">
        <f>[2]Expenses!C130</f>
        <v>Non-Utility Income- Miscellaneous</v>
      </c>
      <c r="D130" s="719">
        <f>[2]Expenses!D130</f>
        <v>0</v>
      </c>
      <c r="E130" s="65">
        <f>[2]Expenses!E130</f>
        <v>-11001</v>
      </c>
      <c r="F130" s="225">
        <f t="shared" si="16"/>
        <v>0</v>
      </c>
      <c r="G130" s="225">
        <f t="shared" si="17"/>
        <v>1</v>
      </c>
      <c r="H130" s="227">
        <f t="shared" si="15"/>
        <v>-11001</v>
      </c>
      <c r="I130" s="232">
        <f>[2]Expenses!I130</f>
        <v>0</v>
      </c>
      <c r="J130" s="233">
        <f>[2]Expenses!J130</f>
        <v>-11001</v>
      </c>
      <c r="K130" s="8"/>
    </row>
    <row r="131" spans="1:11">
      <c r="A131" s="248" t="s">
        <v>279</v>
      </c>
      <c r="B131" s="59" t="s">
        <v>280</v>
      </c>
      <c r="C131" s="107" t="str">
        <f>[2]Expenses!C131</f>
        <v>Unrealized (Gain)/Loss on Investments</v>
      </c>
      <c r="D131" s="719">
        <f>[2]Expenses!D131</f>
        <v>-39712</v>
      </c>
      <c r="E131" s="65">
        <f>[2]Expenses!E131</f>
        <v>3996</v>
      </c>
      <c r="F131" s="225">
        <f t="shared" si="16"/>
        <v>1.1118826296337776</v>
      </c>
      <c r="G131" s="225">
        <f t="shared" si="17"/>
        <v>-0.11188262963377758</v>
      </c>
      <c r="H131" s="227">
        <f t="shared" si="15"/>
        <v>-35716</v>
      </c>
      <c r="I131" s="232">
        <f>[2]Expenses!I131</f>
        <v>-39712</v>
      </c>
      <c r="J131" s="233">
        <f>[2]Expenses!J131</f>
        <v>3996</v>
      </c>
      <c r="K131" s="524"/>
    </row>
    <row r="132" spans="1:11" ht="26.25">
      <c r="A132" s="248"/>
      <c r="B132" s="59"/>
      <c r="C132" s="107" t="str">
        <f>[2]Expenses!C132</f>
        <v>Rate Case Expenses</v>
      </c>
      <c r="D132" s="719">
        <f>[2]Expenses!D132</f>
        <v>0</v>
      </c>
      <c r="E132" s="65">
        <f>[2]Expenses!E132</f>
        <v>0</v>
      </c>
      <c r="F132" s="225" t="str">
        <f t="shared" si="16"/>
        <v>-</v>
      </c>
      <c r="G132" s="225" t="str">
        <f t="shared" si="17"/>
        <v>-</v>
      </c>
      <c r="H132" s="227">
        <f t="shared" ref="H132:H137" si="18">(E132+D132)</f>
        <v>0</v>
      </c>
      <c r="I132" s="232">
        <f>[2]Expenses!I132</f>
        <v>43723.6</v>
      </c>
      <c r="J132" s="233">
        <f>[2]Expenses!J132</f>
        <v>64495.4</v>
      </c>
      <c r="K132" s="718" t="str">
        <f>[2]Expenses!$K$132</f>
        <v>Legal fee, HDR fees, Publication Costs (Distributed over 3 years)</v>
      </c>
    </row>
    <row r="133" spans="1:11">
      <c r="A133" s="248"/>
      <c r="B133" s="59"/>
      <c r="C133" s="107" t="str">
        <f>[2]Expenses!C133</f>
        <v>-</v>
      </c>
      <c r="D133" s="719">
        <f>[2]Expenses!D133</f>
        <v>0</v>
      </c>
      <c r="E133" s="65">
        <f>[2]Expenses!E133</f>
        <v>0</v>
      </c>
      <c r="F133" s="225" t="str">
        <f t="shared" si="16"/>
        <v>-</v>
      </c>
      <c r="G133" s="225" t="str">
        <f t="shared" si="17"/>
        <v>-</v>
      </c>
      <c r="H133" s="227">
        <f t="shared" si="18"/>
        <v>0</v>
      </c>
      <c r="I133" s="232">
        <f>[2]Expenses!I133</f>
        <v>0</v>
      </c>
      <c r="J133" s="233">
        <f>[2]Expenses!J133</f>
        <v>0</v>
      </c>
      <c r="K133" s="520"/>
    </row>
    <row r="134" spans="1:11">
      <c r="A134" s="248"/>
      <c r="B134" s="59"/>
      <c r="C134" s="107" t="str">
        <f>[2]Expenses!C134</f>
        <v>-</v>
      </c>
      <c r="D134" s="719">
        <f>[2]Expenses!D134</f>
        <v>0</v>
      </c>
      <c r="E134" s="65">
        <f>[2]Expenses!E134</f>
        <v>0</v>
      </c>
      <c r="F134" s="225" t="str">
        <f t="shared" si="16"/>
        <v>-</v>
      </c>
      <c r="G134" s="225" t="str">
        <f t="shared" si="17"/>
        <v>-</v>
      </c>
      <c r="H134" s="227">
        <f t="shared" si="18"/>
        <v>0</v>
      </c>
      <c r="I134" s="232">
        <f>[2]Expenses!I134</f>
        <v>0</v>
      </c>
      <c r="J134" s="233">
        <f>[2]Expenses!J134</f>
        <v>0</v>
      </c>
      <c r="K134" s="520"/>
    </row>
    <row r="135" spans="1:11">
      <c r="A135" s="248"/>
      <c r="B135" s="59"/>
      <c r="C135" s="107" t="str">
        <f>[2]Expenses!C135</f>
        <v>-</v>
      </c>
      <c r="D135" s="719">
        <f>[2]Expenses!D135</f>
        <v>0</v>
      </c>
      <c r="E135" s="65">
        <f>[2]Expenses!E135</f>
        <v>0</v>
      </c>
      <c r="F135" s="225" t="str">
        <f t="shared" si="16"/>
        <v>-</v>
      </c>
      <c r="G135" s="225" t="str">
        <f t="shared" si="17"/>
        <v>-</v>
      </c>
      <c r="H135" s="227">
        <f t="shared" si="18"/>
        <v>0</v>
      </c>
      <c r="I135" s="232">
        <f>[2]Expenses!I135</f>
        <v>0</v>
      </c>
      <c r="J135" s="233">
        <f>[2]Expenses!J135</f>
        <v>0</v>
      </c>
      <c r="K135" s="46"/>
    </row>
    <row r="136" spans="1:11">
      <c r="A136" s="248"/>
      <c r="B136" s="59"/>
      <c r="C136" s="107" t="str">
        <f>[2]Expenses!C136</f>
        <v>-</v>
      </c>
      <c r="D136" s="719">
        <f>[2]Expenses!D136</f>
        <v>0</v>
      </c>
      <c r="E136" s="65">
        <f>[2]Expenses!E136</f>
        <v>0</v>
      </c>
      <c r="F136" s="225" t="str">
        <f t="shared" si="16"/>
        <v>-</v>
      </c>
      <c r="G136" s="225" t="str">
        <f t="shared" si="17"/>
        <v>-</v>
      </c>
      <c r="H136" s="227">
        <f t="shared" si="18"/>
        <v>0</v>
      </c>
      <c r="I136" s="232">
        <f>[2]Expenses!I136</f>
        <v>0</v>
      </c>
      <c r="J136" s="233">
        <f>[2]Expenses!J136</f>
        <v>0</v>
      </c>
      <c r="K136" s="46"/>
    </row>
    <row r="137" spans="1:11">
      <c r="A137" s="248"/>
      <c r="B137" s="59"/>
      <c r="C137" s="107" t="str">
        <f>[2]Expenses!C137</f>
        <v>-</v>
      </c>
      <c r="D137" s="719">
        <f>[2]Expenses!D137</f>
        <v>0</v>
      </c>
      <c r="E137" s="65">
        <f>[2]Expenses!E137</f>
        <v>0</v>
      </c>
      <c r="F137" s="264" t="str">
        <f t="shared" si="16"/>
        <v>-</v>
      </c>
      <c r="G137" s="264" t="str">
        <f t="shared" si="17"/>
        <v>-</v>
      </c>
      <c r="H137" s="268">
        <f t="shared" si="18"/>
        <v>0</v>
      </c>
      <c r="I137" s="232">
        <f>[2]Expenses!I137</f>
        <v>0</v>
      </c>
      <c r="J137" s="233">
        <f>[2]Expenses!J137</f>
        <v>0</v>
      </c>
      <c r="K137" s="89"/>
    </row>
    <row r="138" spans="1:11">
      <c r="A138" s="251"/>
      <c r="B138" s="152"/>
      <c r="C138" s="161" t="s">
        <v>30</v>
      </c>
      <c r="D138" s="481">
        <f>SUM(D119:D137)</f>
        <v>-27244</v>
      </c>
      <c r="E138" s="153">
        <f>SUM(E119:E137)</f>
        <v>42210</v>
      </c>
      <c r="F138" s="157"/>
      <c r="G138" s="151"/>
      <c r="H138" s="158">
        <f>SUM(H119:H137)</f>
        <v>14966</v>
      </c>
      <c r="I138" s="159">
        <f>SUM(I119:I137)</f>
        <v>16479.599999999999</v>
      </c>
      <c r="J138" s="154">
        <f>SUM(J119:J137)</f>
        <v>106705.4</v>
      </c>
      <c r="K138" s="152"/>
    </row>
    <row r="139" spans="1:11">
      <c r="A139" s="247"/>
      <c r="C139" s="97"/>
      <c r="D139" s="42"/>
      <c r="E139" s="42"/>
      <c r="F139" s="7"/>
      <c r="H139" s="43"/>
      <c r="I139" s="44"/>
      <c r="J139" s="45"/>
      <c r="K139" s="46"/>
    </row>
    <row r="140" spans="1:11">
      <c r="A140" s="247"/>
      <c r="C140" s="58" t="s">
        <v>281</v>
      </c>
      <c r="D140" s="26"/>
      <c r="E140" s="48"/>
      <c r="F140" s="4"/>
      <c r="G140" s="4"/>
      <c r="H140" s="24"/>
      <c r="I140" s="18"/>
      <c r="J140" s="12"/>
      <c r="K140" s="46"/>
    </row>
    <row r="141" spans="1:11">
      <c r="A141" s="248" t="s">
        <v>282</v>
      </c>
      <c r="B141" s="59"/>
      <c r="C141" s="107" t="str">
        <f>[2]Expenses!C141</f>
        <v>Improvement (Land)</v>
      </c>
      <c r="D141" s="33">
        <f>[2]Expenses!D141</f>
        <v>1764</v>
      </c>
      <c r="E141" s="33">
        <f>[2]Expenses!E141</f>
        <v>0</v>
      </c>
      <c r="F141" s="228">
        <f>IFERROR(D141/(E141+D141),"-")</f>
        <v>1</v>
      </c>
      <c r="G141" s="225">
        <f>IFERROR(E141/(D141+E141),"-")</f>
        <v>0</v>
      </c>
      <c r="H141" s="227">
        <f>(E141+D141)</f>
        <v>1764</v>
      </c>
      <c r="I141" s="232">
        <f>[2]Expenses!I141</f>
        <v>1764</v>
      </c>
      <c r="J141" s="233">
        <f>[2]Expenses!J141</f>
        <v>0</v>
      </c>
      <c r="K141" s="520"/>
    </row>
    <row r="142" spans="1:11">
      <c r="A142" s="248" t="s">
        <v>283</v>
      </c>
      <c r="B142" s="59" t="s">
        <v>284</v>
      </c>
      <c r="C142" s="107" t="str">
        <f>[2]Expenses!C142</f>
        <v>Structures</v>
      </c>
      <c r="D142" s="33">
        <f>[2]Expenses!D142</f>
        <v>466097</v>
      </c>
      <c r="E142" s="68">
        <f>[2]Expenses!E142</f>
        <v>205951</v>
      </c>
      <c r="F142" s="225">
        <f t="shared" ref="F142:F172" si="19">IFERROR(D142/(E142+D142),"-")</f>
        <v>0.69354718710568297</v>
      </c>
      <c r="G142" s="225">
        <f t="shared" ref="G142:G172" si="20">IFERROR(E142/(D142+E142),"-")</f>
        <v>0.30645281289431708</v>
      </c>
      <c r="H142" s="227">
        <f t="shared" ref="H142:H166" si="21">(E142+D142)</f>
        <v>672048</v>
      </c>
      <c r="I142" s="232">
        <f>[2]Expenses!I142</f>
        <v>473530.33</v>
      </c>
      <c r="J142" s="233">
        <f>[2]Expenses!J142</f>
        <v>205951</v>
      </c>
      <c r="K142" s="520" t="s">
        <v>285</v>
      </c>
    </row>
    <row r="143" spans="1:11">
      <c r="A143" s="248" t="s">
        <v>286</v>
      </c>
      <c r="B143" s="59"/>
      <c r="C143" s="107" t="str">
        <f>[2]Expenses!C143</f>
        <v>Office Building</v>
      </c>
      <c r="D143" s="33">
        <f>[2]Expenses!D143</f>
        <v>86689</v>
      </c>
      <c r="E143" s="68">
        <f>[2]Expenses!E143</f>
        <v>0</v>
      </c>
      <c r="F143" s="225">
        <f t="shared" si="19"/>
        <v>1</v>
      </c>
      <c r="G143" s="225">
        <f t="shared" si="20"/>
        <v>0</v>
      </c>
      <c r="H143" s="227">
        <f t="shared" si="21"/>
        <v>86689</v>
      </c>
      <c r="I143" s="232">
        <f>[2]Expenses!I143</f>
        <v>86689</v>
      </c>
      <c r="J143" s="233">
        <f>[2]Expenses!J143</f>
        <v>0</v>
      </c>
      <c r="K143" s="520"/>
    </row>
    <row r="144" spans="1:11">
      <c r="A144" s="248" t="s">
        <v>287</v>
      </c>
      <c r="B144" s="59" t="s">
        <v>288</v>
      </c>
      <c r="C144" s="107" t="str">
        <f>[2]Expenses!C144</f>
        <v>Equip (Elec Plumbing)</v>
      </c>
      <c r="D144" s="33">
        <f>[2]Expenses!D144</f>
        <v>86600</v>
      </c>
      <c r="E144" s="68">
        <f>[2]Expenses!E144</f>
        <v>133962</v>
      </c>
      <c r="F144" s="225">
        <f t="shared" si="19"/>
        <v>0.39263336386140857</v>
      </c>
      <c r="G144" s="225">
        <f t="shared" si="20"/>
        <v>0.60736663613859143</v>
      </c>
      <c r="H144" s="227">
        <f t="shared" si="21"/>
        <v>220562</v>
      </c>
      <c r="I144" s="232">
        <f>[2]Expenses!I144</f>
        <v>86600</v>
      </c>
      <c r="J144" s="233">
        <f>[2]Expenses!J144</f>
        <v>133962</v>
      </c>
      <c r="K144" s="524"/>
    </row>
    <row r="145" spans="1:11">
      <c r="A145" s="248" t="s">
        <v>289</v>
      </c>
      <c r="B145" s="59" t="s">
        <v>290</v>
      </c>
      <c r="C145" s="107" t="str">
        <f>[2]Expenses!C145</f>
        <v>Standpipes</v>
      </c>
      <c r="D145" s="33">
        <f>[2]Expenses!D145</f>
        <v>0</v>
      </c>
      <c r="E145" s="68">
        <f>[2]Expenses!E145</f>
        <v>420299</v>
      </c>
      <c r="F145" s="225">
        <f t="shared" si="19"/>
        <v>0</v>
      </c>
      <c r="G145" s="225">
        <f t="shared" si="20"/>
        <v>1</v>
      </c>
      <c r="H145" s="227">
        <f t="shared" si="21"/>
        <v>420299</v>
      </c>
      <c r="I145" s="232">
        <f>[2]Expenses!I145</f>
        <v>0</v>
      </c>
      <c r="J145" s="233">
        <f>[2]Expenses!J145</f>
        <v>420299</v>
      </c>
      <c r="K145" s="524"/>
    </row>
    <row r="146" spans="1:11" ht="26.25">
      <c r="A146" s="248" t="s">
        <v>291</v>
      </c>
      <c r="B146" s="59" t="s">
        <v>292</v>
      </c>
      <c r="C146" s="107" t="str">
        <f>[2]Expenses!C146</f>
        <v>Mains (T&amp;D)</v>
      </c>
      <c r="D146" s="33">
        <f>[2]Expenses!D146</f>
        <v>931730</v>
      </c>
      <c r="E146" s="68">
        <f>[2]Expenses!E146</f>
        <v>1112300</v>
      </c>
      <c r="F146" s="225">
        <f t="shared" si="19"/>
        <v>0.45582990464914896</v>
      </c>
      <c r="G146" s="225">
        <f t="shared" si="20"/>
        <v>0.54417009535085104</v>
      </c>
      <c r="H146" s="227">
        <f t="shared" si="21"/>
        <v>2044030</v>
      </c>
      <c r="I146" s="232">
        <f>[2]Expenses!I146</f>
        <v>986945.77</v>
      </c>
      <c r="J146" s="233">
        <f>[2]Expenses!J146</f>
        <v>1224338.8800000001</v>
      </c>
      <c r="K146" s="718" t="s">
        <v>293</v>
      </c>
    </row>
    <row r="147" spans="1:11">
      <c r="A147" s="248" t="s">
        <v>294</v>
      </c>
      <c r="B147" s="59" t="s">
        <v>295</v>
      </c>
      <c r="C147" s="107" t="str">
        <f>[2]Expenses!C147</f>
        <v>SCADA</v>
      </c>
      <c r="D147" s="33">
        <f>[2]Expenses!D147</f>
        <v>12441</v>
      </c>
      <c r="E147" s="68">
        <f>[2]Expenses!E147</f>
        <v>62241</v>
      </c>
      <c r="F147" s="225">
        <f t="shared" si="19"/>
        <v>0.1665863260223347</v>
      </c>
      <c r="G147" s="225">
        <f t="shared" si="20"/>
        <v>0.8334136739776653</v>
      </c>
      <c r="H147" s="227">
        <f t="shared" si="21"/>
        <v>74682</v>
      </c>
      <c r="I147" s="232">
        <f>[2]Expenses!I147</f>
        <v>135055.47</v>
      </c>
      <c r="J147" s="233">
        <f>[2]Expenses!J147</f>
        <v>250510.07999999999</v>
      </c>
      <c r="K147" s="524" t="s">
        <v>296</v>
      </c>
    </row>
    <row r="148" spans="1:11">
      <c r="A148" s="248" t="s">
        <v>297</v>
      </c>
      <c r="B148" s="59" t="s">
        <v>298</v>
      </c>
      <c r="C148" s="107" t="str">
        <f>[2]Expenses!C148</f>
        <v>Meters  (Services)</v>
      </c>
      <c r="D148" s="33">
        <f>[2]Expenses!D148</f>
        <v>241093</v>
      </c>
      <c r="E148" s="68">
        <f>[2]Expenses!E148</f>
        <v>337967</v>
      </c>
      <c r="F148" s="225">
        <f t="shared" si="19"/>
        <v>0.41635236417642385</v>
      </c>
      <c r="G148" s="225">
        <f t="shared" si="20"/>
        <v>0.58364763582357615</v>
      </c>
      <c r="H148" s="227">
        <f t="shared" si="21"/>
        <v>579060</v>
      </c>
      <c r="I148" s="232">
        <f>[2]Expenses!I148</f>
        <v>278938.39</v>
      </c>
      <c r="J148" s="233">
        <f>[2]Expenses!J148</f>
        <v>337967</v>
      </c>
      <c r="K148" s="520" t="s">
        <v>285</v>
      </c>
    </row>
    <row r="149" spans="1:11">
      <c r="A149" s="248" t="s">
        <v>299</v>
      </c>
      <c r="B149" s="59" t="s">
        <v>300</v>
      </c>
      <c r="C149" s="107" t="str">
        <f>[2]Expenses!C149</f>
        <v>Meters</v>
      </c>
      <c r="D149" s="33">
        <f>[2]Expenses!D149</f>
        <v>67295</v>
      </c>
      <c r="E149" s="68">
        <f>[2]Expenses!E149</f>
        <v>973066</v>
      </c>
      <c r="F149" s="225">
        <f t="shared" si="19"/>
        <v>6.4684277861242395E-2</v>
      </c>
      <c r="G149" s="225">
        <f t="shared" si="20"/>
        <v>0.93531572213875758</v>
      </c>
      <c r="H149" s="227">
        <f t="shared" si="21"/>
        <v>1040361</v>
      </c>
      <c r="I149" s="232">
        <f>[2]Expenses!I149</f>
        <v>67295</v>
      </c>
      <c r="J149" s="233">
        <f>[2]Expenses!J149</f>
        <v>973066</v>
      </c>
      <c r="K149" s="524"/>
    </row>
    <row r="150" spans="1:11">
      <c r="A150" s="248" t="s">
        <v>301</v>
      </c>
      <c r="B150" s="59" t="s">
        <v>302</v>
      </c>
      <c r="C150" s="107" t="str">
        <f>[2]Expenses!C150</f>
        <v>Meters (Installations)</v>
      </c>
      <c r="D150" s="33">
        <f>[2]Expenses!D150</f>
        <v>1661</v>
      </c>
      <c r="E150" s="68">
        <f>[2]Expenses!E150</f>
        <v>179775</v>
      </c>
      <c r="F150" s="225">
        <f t="shared" si="19"/>
        <v>9.154743270354284E-3</v>
      </c>
      <c r="G150" s="225">
        <f t="shared" si="20"/>
        <v>0.99084525672964574</v>
      </c>
      <c r="H150" s="227">
        <f t="shared" si="21"/>
        <v>181436</v>
      </c>
      <c r="I150" s="232">
        <f>[2]Expenses!I150</f>
        <v>1661</v>
      </c>
      <c r="J150" s="233">
        <f>[2]Expenses!J150</f>
        <v>342155</v>
      </c>
      <c r="K150" s="524" t="s">
        <v>303</v>
      </c>
    </row>
    <row r="151" spans="1:11" ht="26.25">
      <c r="A151" s="248" t="s">
        <v>304</v>
      </c>
      <c r="B151" s="59" t="s">
        <v>305</v>
      </c>
      <c r="C151" s="107" t="str">
        <f>[2]Expenses!C151</f>
        <v>Hydrants</v>
      </c>
      <c r="D151" s="33">
        <f>[2]Expenses!D151</f>
        <v>0</v>
      </c>
      <c r="E151" s="68">
        <f>[2]Expenses!E151</f>
        <v>114119</v>
      </c>
      <c r="F151" s="225">
        <f t="shared" si="19"/>
        <v>0</v>
      </c>
      <c r="G151" s="225">
        <f t="shared" si="20"/>
        <v>1</v>
      </c>
      <c r="H151" s="227">
        <f t="shared" si="21"/>
        <v>114119</v>
      </c>
      <c r="I151" s="232">
        <f>[2]Expenses!I151</f>
        <v>0</v>
      </c>
      <c r="J151" s="233">
        <f>[2]Expenses!J151</f>
        <v>127100.94</v>
      </c>
      <c r="K151" s="718" t="s">
        <v>293</v>
      </c>
    </row>
    <row r="152" spans="1:11">
      <c r="A152" s="248" t="s">
        <v>306</v>
      </c>
      <c r="B152" s="59" t="s">
        <v>307</v>
      </c>
      <c r="C152" s="107" t="str">
        <f>[2]Expenses!C152</f>
        <v>Equipment (Plumbing)</v>
      </c>
      <c r="D152" s="33">
        <f>[2]Expenses!D152</f>
        <v>0</v>
      </c>
      <c r="E152" s="68">
        <f>[2]Expenses!E152</f>
        <v>12</v>
      </c>
      <c r="F152" s="225">
        <f t="shared" si="19"/>
        <v>0</v>
      </c>
      <c r="G152" s="225">
        <f t="shared" si="20"/>
        <v>1</v>
      </c>
      <c r="H152" s="227">
        <f t="shared" si="21"/>
        <v>12</v>
      </c>
      <c r="I152" s="232">
        <f>[2]Expenses!I152</f>
        <v>0</v>
      </c>
      <c r="J152" s="233">
        <f>[2]Expenses!J152</f>
        <v>12</v>
      </c>
      <c r="K152" s="524"/>
    </row>
    <row r="153" spans="1:11">
      <c r="A153" s="248" t="s">
        <v>308</v>
      </c>
      <c r="B153" s="59" t="s">
        <v>309</v>
      </c>
      <c r="C153" s="107" t="str">
        <f>[2]Expenses!C153</f>
        <v>Software</v>
      </c>
      <c r="D153" s="33">
        <f>[2]Expenses!D153</f>
        <v>14772</v>
      </c>
      <c r="E153" s="68">
        <f>[2]Expenses!E153</f>
        <v>123372</v>
      </c>
      <c r="F153" s="225">
        <f t="shared" si="19"/>
        <v>0.10693189715079916</v>
      </c>
      <c r="G153" s="225">
        <f t="shared" si="20"/>
        <v>0.8930681028492008</v>
      </c>
      <c r="H153" s="227">
        <f t="shared" si="21"/>
        <v>138144</v>
      </c>
      <c r="I153" s="232">
        <f>[2]Expenses!I153</f>
        <v>37002.339999999997</v>
      </c>
      <c r="J153" s="233">
        <f>[2]Expenses!J153</f>
        <v>196823.81</v>
      </c>
      <c r="K153" s="524" t="s">
        <v>310</v>
      </c>
    </row>
    <row r="154" spans="1:11">
      <c r="A154" s="248" t="s">
        <v>311</v>
      </c>
      <c r="B154" s="59" t="s">
        <v>312</v>
      </c>
      <c r="C154" s="107" t="str">
        <f>[2]Expenses!C154</f>
        <v>Hardware</v>
      </c>
      <c r="D154" s="33">
        <f>[2]Expenses!D154</f>
        <v>3278</v>
      </c>
      <c r="E154" s="68">
        <f>[2]Expenses!E154</f>
        <v>68319</v>
      </c>
      <c r="F154" s="225">
        <f t="shared" si="19"/>
        <v>4.5784041230777825E-2</v>
      </c>
      <c r="G154" s="225">
        <f t="shared" si="20"/>
        <v>0.95421595876922216</v>
      </c>
      <c r="H154" s="227">
        <f t="shared" si="21"/>
        <v>71597</v>
      </c>
      <c r="I154" s="232">
        <f>[2]Expenses!I154</f>
        <v>3278</v>
      </c>
      <c r="J154" s="233">
        <f>[2]Expenses!J154</f>
        <v>68319</v>
      </c>
      <c r="K154" s="524"/>
    </row>
    <row r="155" spans="1:11">
      <c r="A155" s="248" t="s">
        <v>313</v>
      </c>
      <c r="B155" s="59" t="s">
        <v>314</v>
      </c>
      <c r="C155" s="107" t="str">
        <f>[2]Expenses!C155</f>
        <v>Datamatic</v>
      </c>
      <c r="D155" s="33">
        <f>[2]Expenses!D155</f>
        <v>0</v>
      </c>
      <c r="E155" s="68">
        <f>[2]Expenses!E155</f>
        <v>0</v>
      </c>
      <c r="F155" s="225" t="str">
        <f t="shared" si="19"/>
        <v>-</v>
      </c>
      <c r="G155" s="225" t="str">
        <f t="shared" si="20"/>
        <v>-</v>
      </c>
      <c r="H155" s="227">
        <f t="shared" si="21"/>
        <v>0</v>
      </c>
      <c r="I155" s="232">
        <f>[2]Expenses!I155</f>
        <v>0</v>
      </c>
      <c r="J155" s="233">
        <f>[2]Expenses!J155</f>
        <v>0</v>
      </c>
      <c r="K155" s="524"/>
    </row>
    <row r="156" spans="1:11">
      <c r="A156" s="248" t="s">
        <v>315</v>
      </c>
      <c r="B156" s="59" t="s">
        <v>316</v>
      </c>
      <c r="C156" s="107" t="str">
        <f>[2]Expenses!C156</f>
        <v xml:space="preserve">Furniture &amp; Equipment </v>
      </c>
      <c r="D156" s="33">
        <f>[2]Expenses!D156</f>
        <v>1092</v>
      </c>
      <c r="E156" s="68">
        <f>[2]Expenses!E156</f>
        <v>606</v>
      </c>
      <c r="F156" s="225">
        <f t="shared" si="19"/>
        <v>0.64310954063604242</v>
      </c>
      <c r="G156" s="225">
        <f t="shared" si="20"/>
        <v>0.35689045936395758</v>
      </c>
      <c r="H156" s="227">
        <f t="shared" si="21"/>
        <v>1698</v>
      </c>
      <c r="I156" s="232">
        <f>[2]Expenses!I156</f>
        <v>1092</v>
      </c>
      <c r="J156" s="233">
        <f>[2]Expenses!J156</f>
        <v>606</v>
      </c>
      <c r="K156" s="524"/>
    </row>
    <row r="157" spans="1:11">
      <c r="A157" s="248" t="s">
        <v>317</v>
      </c>
      <c r="B157" s="59" t="s">
        <v>318</v>
      </c>
      <c r="C157" s="107" t="str">
        <f>[2]Expenses!C157</f>
        <v>Trucks &amp; Equipment</v>
      </c>
      <c r="D157" s="33">
        <f>[2]Expenses!D157</f>
        <v>0</v>
      </c>
      <c r="E157" s="68">
        <f>[2]Expenses!E157</f>
        <v>0</v>
      </c>
      <c r="F157" s="225" t="str">
        <f t="shared" si="19"/>
        <v>-</v>
      </c>
      <c r="G157" s="225" t="str">
        <f t="shared" si="20"/>
        <v>-</v>
      </c>
      <c r="H157" s="227">
        <f t="shared" si="21"/>
        <v>0</v>
      </c>
      <c r="I157" s="232">
        <f>[2]Expenses!I157</f>
        <v>0</v>
      </c>
      <c r="J157" s="233">
        <f>[2]Expenses!J157</f>
        <v>0</v>
      </c>
      <c r="K157" s="524"/>
    </row>
    <row r="158" spans="1:11">
      <c r="A158" s="248" t="s">
        <v>319</v>
      </c>
      <c r="B158" s="59" t="s">
        <v>318</v>
      </c>
      <c r="C158" s="107" t="str">
        <f>[2]Expenses!C158</f>
        <v>Equipment (Tools)</v>
      </c>
      <c r="D158" s="33">
        <f>[2]Expenses!D158</f>
        <v>950</v>
      </c>
      <c r="E158" s="68">
        <f>[2]Expenses!E158</f>
        <v>0</v>
      </c>
      <c r="F158" s="225">
        <f t="shared" si="19"/>
        <v>1</v>
      </c>
      <c r="G158" s="225">
        <f t="shared" si="20"/>
        <v>0</v>
      </c>
      <c r="H158" s="227">
        <f t="shared" si="21"/>
        <v>950</v>
      </c>
      <c r="I158" s="232">
        <f>[2]Expenses!I158</f>
        <v>950</v>
      </c>
      <c r="J158" s="233">
        <f>[2]Expenses!J158</f>
        <v>0</v>
      </c>
      <c r="K158" s="524"/>
    </row>
    <row r="159" spans="1:11">
      <c r="A159" s="248" t="s">
        <v>320</v>
      </c>
      <c r="B159" s="59" t="s">
        <v>321</v>
      </c>
      <c r="C159" s="107" t="str">
        <f>[2]Expenses!C159</f>
        <v>Equip (Communication)</v>
      </c>
      <c r="D159" s="33">
        <f>[2]Expenses!D159</f>
        <v>2814</v>
      </c>
      <c r="E159" s="68">
        <f>[2]Expenses!E159</f>
        <v>21250</v>
      </c>
      <c r="F159" s="225">
        <f t="shared" si="19"/>
        <v>0.11693816489361702</v>
      </c>
      <c r="G159" s="225">
        <f t="shared" si="20"/>
        <v>0.88306183510638303</v>
      </c>
      <c r="H159" s="227">
        <f t="shared" si="21"/>
        <v>24064</v>
      </c>
      <c r="I159" s="232">
        <f>[2]Expenses!I159</f>
        <v>2814</v>
      </c>
      <c r="J159" s="233">
        <f>[2]Expenses!J159</f>
        <v>21250</v>
      </c>
      <c r="K159" s="524"/>
    </row>
    <row r="160" spans="1:11">
      <c r="A160" s="248" t="s">
        <v>322</v>
      </c>
      <c r="B160" s="59" t="s">
        <v>323</v>
      </c>
      <c r="C160" s="107" t="str">
        <f>[2]Expenses!C160</f>
        <v>Depreciation Expense (Old)</v>
      </c>
      <c r="D160" s="33">
        <f>[2]Expenses!D160</f>
        <v>0</v>
      </c>
      <c r="E160" s="68">
        <f>[2]Expenses!E160</f>
        <v>0</v>
      </c>
      <c r="F160" s="225" t="str">
        <f t="shared" si="19"/>
        <v>-</v>
      </c>
      <c r="G160" s="225" t="str">
        <f t="shared" si="20"/>
        <v>-</v>
      </c>
      <c r="H160" s="227">
        <f t="shared" si="21"/>
        <v>0</v>
      </c>
      <c r="I160" s="232">
        <f>[2]Expenses!I160</f>
        <v>0</v>
      </c>
      <c r="J160" s="233">
        <f>[2]Expenses!J160</f>
        <v>0</v>
      </c>
      <c r="K160" s="524"/>
    </row>
    <row r="161" spans="1:13">
      <c r="A161" s="248" t="s">
        <v>79</v>
      </c>
      <c r="B161" s="59" t="s">
        <v>324</v>
      </c>
      <c r="C161" s="107" t="str">
        <f>[2]Expenses!C161</f>
        <v>Structures</v>
      </c>
      <c r="D161" s="33">
        <f>[2]Expenses!D161</f>
        <v>0</v>
      </c>
      <c r="E161" s="68">
        <f>[2]Expenses!E161</f>
        <v>0</v>
      </c>
      <c r="F161" s="225" t="str">
        <f t="shared" si="19"/>
        <v>-</v>
      </c>
      <c r="G161" s="225" t="str">
        <f t="shared" si="20"/>
        <v>-</v>
      </c>
      <c r="H161" s="227">
        <f t="shared" si="21"/>
        <v>0</v>
      </c>
      <c r="I161" s="232">
        <f>[2]Expenses!I161</f>
        <v>0</v>
      </c>
      <c r="J161" s="233">
        <f>[2]Expenses!J161</f>
        <v>123171.44</v>
      </c>
      <c r="K161" s="524" t="s">
        <v>325</v>
      </c>
    </row>
    <row r="162" spans="1:13">
      <c r="A162" s="248"/>
      <c r="B162" s="59" t="s">
        <v>326</v>
      </c>
      <c r="C162" s="107" t="str">
        <f>[2]Expenses!C162</f>
        <v>505 Hwy 31 W (Block Bldg)</v>
      </c>
      <c r="D162" s="33">
        <f>[2]Expenses!D162</f>
        <v>0</v>
      </c>
      <c r="E162" s="68">
        <f>[2]Expenses!E162</f>
        <v>5988</v>
      </c>
      <c r="F162" s="225">
        <f t="shared" si="19"/>
        <v>0</v>
      </c>
      <c r="G162" s="225">
        <f t="shared" si="20"/>
        <v>1</v>
      </c>
      <c r="H162" s="227">
        <f t="shared" si="21"/>
        <v>5988</v>
      </c>
      <c r="I162" s="232">
        <f>[2]Expenses!I162</f>
        <v>0</v>
      </c>
      <c r="J162" s="233">
        <f>[2]Expenses!J162</f>
        <v>5988</v>
      </c>
      <c r="K162" s="524"/>
    </row>
    <row r="163" spans="1:13">
      <c r="A163" s="248"/>
      <c r="B163" s="59" t="s">
        <v>327</v>
      </c>
      <c r="C163" s="107" t="str">
        <f>[2]Expenses!C163</f>
        <v>505 Hwy 31 W (Rental Bldg)</v>
      </c>
      <c r="D163" s="33">
        <f>[2]Expenses!D163</f>
        <v>0</v>
      </c>
      <c r="E163" s="68">
        <f>[2]Expenses!E163</f>
        <v>4116</v>
      </c>
      <c r="F163" s="225">
        <f t="shared" si="19"/>
        <v>0</v>
      </c>
      <c r="G163" s="225">
        <f t="shared" si="20"/>
        <v>1</v>
      </c>
      <c r="H163" s="227">
        <f t="shared" si="21"/>
        <v>4116</v>
      </c>
      <c r="I163" s="232">
        <f>[2]Expenses!I163</f>
        <v>0</v>
      </c>
      <c r="J163" s="233">
        <f>[2]Expenses!J163</f>
        <v>4116</v>
      </c>
      <c r="K163" s="524"/>
    </row>
    <row r="164" spans="1:13">
      <c r="A164" s="248"/>
      <c r="B164" s="59" t="s">
        <v>328</v>
      </c>
      <c r="C164" s="107" t="str">
        <f>[2]Expenses!C164</f>
        <v xml:space="preserve">Equipment </v>
      </c>
      <c r="D164" s="33">
        <f>[2]Expenses!D164</f>
        <v>0</v>
      </c>
      <c r="E164" s="68">
        <f>[2]Expenses!E164</f>
        <v>0</v>
      </c>
      <c r="F164" s="225" t="str">
        <f t="shared" si="19"/>
        <v>-</v>
      </c>
      <c r="G164" s="225" t="str">
        <f t="shared" si="20"/>
        <v>-</v>
      </c>
      <c r="H164" s="227">
        <f t="shared" si="21"/>
        <v>0</v>
      </c>
      <c r="I164" s="232">
        <f>[2]Expenses!I164</f>
        <v>0</v>
      </c>
      <c r="J164" s="233">
        <f>[2]Expenses!J164</f>
        <v>0</v>
      </c>
      <c r="K164" s="524"/>
    </row>
    <row r="165" spans="1:13">
      <c r="A165" s="248"/>
      <c r="B165" s="59" t="s">
        <v>329</v>
      </c>
      <c r="C165" s="107" t="str">
        <f>[2]Expenses!C165</f>
        <v>Unidentified Assets</v>
      </c>
      <c r="D165" s="33">
        <f>[2]Expenses!D165</f>
        <v>0</v>
      </c>
      <c r="E165" s="68">
        <f>[2]Expenses!E165</f>
        <v>0</v>
      </c>
      <c r="F165" s="225" t="str">
        <f t="shared" si="19"/>
        <v>-</v>
      </c>
      <c r="G165" s="225" t="str">
        <f t="shared" si="20"/>
        <v>-</v>
      </c>
      <c r="H165" s="227">
        <f t="shared" si="21"/>
        <v>0</v>
      </c>
      <c r="I165" s="232">
        <f>[2]Expenses!I165</f>
        <v>0</v>
      </c>
      <c r="J165" s="233">
        <f>[2]Expenses!J165</f>
        <v>0</v>
      </c>
      <c r="K165" s="523"/>
    </row>
    <row r="166" spans="1:13">
      <c r="A166" s="248"/>
      <c r="B166" s="59" t="s">
        <v>330</v>
      </c>
      <c r="C166" s="107" t="str">
        <f>[2]Expenses!C166</f>
        <v>Equipment (T&amp;D)</v>
      </c>
      <c r="D166" s="33">
        <f>[2]Expenses!D166</f>
        <v>0</v>
      </c>
      <c r="E166" s="68">
        <f>[2]Expenses!E166</f>
        <v>6</v>
      </c>
      <c r="F166" s="225">
        <f t="shared" si="19"/>
        <v>0</v>
      </c>
      <c r="G166" s="225">
        <f t="shared" si="20"/>
        <v>1</v>
      </c>
      <c r="H166" s="227">
        <f t="shared" si="21"/>
        <v>6</v>
      </c>
      <c r="I166" s="232">
        <f>[2]Expenses!I166</f>
        <v>0</v>
      </c>
      <c r="J166" s="233">
        <f>[2]Expenses!J166</f>
        <v>6</v>
      </c>
      <c r="K166" s="523"/>
    </row>
    <row r="167" spans="1:13">
      <c r="A167" s="248"/>
      <c r="B167" s="59"/>
      <c r="C167" s="107" t="str">
        <f>[2]Expenses!C167</f>
        <v>-</v>
      </c>
      <c r="D167" s="33">
        <f>[2]Expenses!D167</f>
        <v>0</v>
      </c>
      <c r="E167" s="68">
        <f>[2]Expenses!E167</f>
        <v>0</v>
      </c>
      <c r="F167" s="225" t="str">
        <f t="shared" si="19"/>
        <v>-</v>
      </c>
      <c r="G167" s="225" t="str">
        <f t="shared" si="20"/>
        <v>-</v>
      </c>
      <c r="H167" s="227">
        <f t="shared" ref="H167:H172" si="22">(E167+D167)</f>
        <v>0</v>
      </c>
      <c r="I167" s="232">
        <f>[2]Expenses!I167</f>
        <v>0</v>
      </c>
      <c r="J167" s="233">
        <f>[2]Expenses!J167</f>
        <v>0</v>
      </c>
      <c r="K167" s="46"/>
    </row>
    <row r="168" spans="1:13">
      <c r="A168" s="248"/>
      <c r="B168" s="59"/>
      <c r="C168" s="107" t="str">
        <f>[2]Expenses!C168</f>
        <v>-</v>
      </c>
      <c r="D168" s="33">
        <f>[2]Expenses!D168</f>
        <v>0</v>
      </c>
      <c r="E168" s="68">
        <f>[2]Expenses!E168</f>
        <v>0</v>
      </c>
      <c r="F168" s="225" t="str">
        <f t="shared" si="19"/>
        <v>-</v>
      </c>
      <c r="G168" s="225" t="str">
        <f t="shared" si="20"/>
        <v>-</v>
      </c>
      <c r="H168" s="227">
        <f t="shared" si="22"/>
        <v>0</v>
      </c>
      <c r="I168" s="232">
        <f>[2]Expenses!I168</f>
        <v>0</v>
      </c>
      <c r="J168" s="233">
        <f>[2]Expenses!J168</f>
        <v>0</v>
      </c>
      <c r="K168" s="46"/>
      <c r="M168" s="99"/>
    </row>
    <row r="169" spans="1:13">
      <c r="A169" s="248"/>
      <c r="B169" s="59"/>
      <c r="C169" s="107" t="str">
        <f>[2]Expenses!C169</f>
        <v>-</v>
      </c>
      <c r="D169" s="33">
        <f>[2]Expenses!D169</f>
        <v>0</v>
      </c>
      <c r="E169" s="68">
        <f>[2]Expenses!E169</f>
        <v>0</v>
      </c>
      <c r="F169" s="225" t="str">
        <f t="shared" si="19"/>
        <v>-</v>
      </c>
      <c r="G169" s="225" t="str">
        <f t="shared" si="20"/>
        <v>-</v>
      </c>
      <c r="H169" s="227">
        <f t="shared" si="22"/>
        <v>0</v>
      </c>
      <c r="I169" s="232">
        <f>[2]Expenses!I169</f>
        <v>0</v>
      </c>
      <c r="J169" s="233">
        <f>[2]Expenses!J169</f>
        <v>0</v>
      </c>
      <c r="K169" s="46"/>
    </row>
    <row r="170" spans="1:13">
      <c r="A170" s="248"/>
      <c r="B170" s="59"/>
      <c r="C170" s="107" t="str">
        <f>[2]Expenses!C170</f>
        <v>-</v>
      </c>
      <c r="D170" s="33">
        <f>[2]Expenses!D170</f>
        <v>0</v>
      </c>
      <c r="E170" s="68">
        <f>[2]Expenses!E170</f>
        <v>0</v>
      </c>
      <c r="F170" s="225" t="str">
        <f t="shared" si="19"/>
        <v>-</v>
      </c>
      <c r="G170" s="225" t="str">
        <f t="shared" si="20"/>
        <v>-</v>
      </c>
      <c r="H170" s="227">
        <f t="shared" si="22"/>
        <v>0</v>
      </c>
      <c r="I170" s="232">
        <f>[2]Expenses!I170</f>
        <v>0</v>
      </c>
      <c r="J170" s="233">
        <f>[2]Expenses!J170</f>
        <v>0</v>
      </c>
      <c r="K170" s="46"/>
    </row>
    <row r="171" spans="1:13">
      <c r="A171" s="248"/>
      <c r="B171" s="59"/>
      <c r="C171" s="107" t="str">
        <f>[2]Expenses!C171</f>
        <v>-</v>
      </c>
      <c r="D171" s="33">
        <f>[2]Expenses!D171</f>
        <v>0</v>
      </c>
      <c r="E171" s="68">
        <f>[2]Expenses!E171</f>
        <v>0</v>
      </c>
      <c r="F171" s="225" t="str">
        <f t="shared" si="19"/>
        <v>-</v>
      </c>
      <c r="G171" s="225" t="str">
        <f t="shared" si="20"/>
        <v>-</v>
      </c>
      <c r="H171" s="227">
        <f t="shared" si="22"/>
        <v>0</v>
      </c>
      <c r="I171" s="232">
        <f>[2]Expenses!I171</f>
        <v>0</v>
      </c>
      <c r="J171" s="233">
        <f>[2]Expenses!J171</f>
        <v>0</v>
      </c>
      <c r="K171" s="46"/>
    </row>
    <row r="172" spans="1:13">
      <c r="A172" s="248"/>
      <c r="B172" s="59"/>
      <c r="C172" s="107" t="str">
        <f>[2]Expenses!C172</f>
        <v>-</v>
      </c>
      <c r="D172" s="33">
        <f>[2]Expenses!D172</f>
        <v>0</v>
      </c>
      <c r="E172" s="545">
        <f>[2]Expenses!E172</f>
        <v>0</v>
      </c>
      <c r="F172" s="700" t="str">
        <f t="shared" si="19"/>
        <v>-</v>
      </c>
      <c r="G172" s="701" t="str">
        <f t="shared" si="20"/>
        <v>-</v>
      </c>
      <c r="H172" s="268">
        <f t="shared" si="22"/>
        <v>0</v>
      </c>
      <c r="I172" s="232">
        <f>[2]Expenses!I172</f>
        <v>0</v>
      </c>
      <c r="J172" s="233">
        <f>[2]Expenses!J172</f>
        <v>0</v>
      </c>
      <c r="K172" s="89"/>
    </row>
    <row r="173" spans="1:13">
      <c r="A173" s="251"/>
      <c r="B173" s="152"/>
      <c r="C173" s="156" t="s">
        <v>30</v>
      </c>
      <c r="D173" s="481">
        <f>SUM(D141:D172)</f>
        <v>1918276</v>
      </c>
      <c r="E173" s="482">
        <f>SUM(E141:E172)</f>
        <v>3763349</v>
      </c>
      <c r="F173" s="151"/>
      <c r="G173" s="151"/>
      <c r="H173" s="158">
        <f>SUM(H141:H172)</f>
        <v>5681625</v>
      </c>
      <c r="I173" s="159">
        <f>SUM(I141:I172)</f>
        <v>2163615.2999999998</v>
      </c>
      <c r="J173" s="154">
        <f>SUM(J141:J172)</f>
        <v>4435642.1500000004</v>
      </c>
      <c r="K173" s="152"/>
    </row>
    <row r="174" spans="1:13">
      <c r="A174" s="247"/>
      <c r="C174" s="97"/>
      <c r="D174" s="42"/>
      <c r="E174" s="51"/>
      <c r="H174" s="43"/>
      <c r="I174" s="44"/>
      <c r="J174" s="45"/>
      <c r="K174" s="46"/>
    </row>
    <row r="175" spans="1:13">
      <c r="A175" s="247"/>
      <c r="C175" s="58" t="s">
        <v>35</v>
      </c>
      <c r="D175" s="26"/>
      <c r="E175" s="48"/>
      <c r="F175" s="4"/>
      <c r="G175" s="4"/>
      <c r="H175" s="24"/>
      <c r="I175" s="18"/>
      <c r="J175" s="12"/>
      <c r="K175" s="46"/>
    </row>
    <row r="176" spans="1:13">
      <c r="A176" s="248" t="s">
        <v>331</v>
      </c>
      <c r="B176" s="59" t="s">
        <v>332</v>
      </c>
      <c r="C176" s="107" t="str">
        <f>[2]Expenses!C176</f>
        <v>Series 1970, USDA</v>
      </c>
      <c r="D176" s="33">
        <f>[2]Expenses!D176</f>
        <v>0</v>
      </c>
      <c r="E176" s="282">
        <f>[2]Expenses!E176</f>
        <v>0</v>
      </c>
      <c r="F176" s="225" t="str">
        <f>IFERROR(D176/(E176+D176),"-")</f>
        <v>-</v>
      </c>
      <c r="G176" s="225" t="str">
        <f>IFERROR(E176/(D176+E176),"-")</f>
        <v>-</v>
      </c>
      <c r="H176" s="227">
        <f>(E176+D176)</f>
        <v>0</v>
      </c>
      <c r="I176" s="232">
        <f>[2]Expenses!I176</f>
        <v>0</v>
      </c>
      <c r="J176" s="233">
        <f>[2]Expenses!J176</f>
        <v>0</v>
      </c>
      <c r="K176" s="520" t="s">
        <v>575</v>
      </c>
    </row>
    <row r="177" spans="1:14">
      <c r="A177" s="248" t="s">
        <v>333</v>
      </c>
      <c r="B177" s="59" t="s">
        <v>334</v>
      </c>
      <c r="C177" s="107" t="str">
        <f>[2]Expenses!C177</f>
        <v>Series 1993, USDA</v>
      </c>
      <c r="D177" s="33">
        <f>[2]Expenses!D177</f>
        <v>0</v>
      </c>
      <c r="E177" s="68">
        <f>[2]Expenses!E177</f>
        <v>0</v>
      </c>
      <c r="F177" s="225" t="str">
        <f t="shared" ref="F177:F221" si="23">IFERROR(D177/(E177+D177),"-")</f>
        <v>-</v>
      </c>
      <c r="G177" s="225" t="str">
        <f t="shared" ref="G177:G221" si="24">IFERROR(E177/(D177+E177),"-")</f>
        <v>-</v>
      </c>
      <c r="H177" s="227">
        <f t="shared" ref="H177:H221" si="25">(E177+D177)</f>
        <v>0</v>
      </c>
      <c r="I177" s="232">
        <f>[2]Expenses!I177</f>
        <v>0</v>
      </c>
      <c r="J177" s="233">
        <f>[2]Expenses!J177</f>
        <v>0</v>
      </c>
      <c r="K177" s="520" t="s">
        <v>575</v>
      </c>
    </row>
    <row r="178" spans="1:14">
      <c r="A178" s="248" t="s">
        <v>335</v>
      </c>
      <c r="B178" s="59" t="s">
        <v>336</v>
      </c>
      <c r="C178" s="107" t="str">
        <f>[2]Expenses!C178</f>
        <v>Series 1995, USDA</v>
      </c>
      <c r="D178" s="33">
        <f>[2]Expenses!D178</f>
        <v>0</v>
      </c>
      <c r="E178" s="68">
        <f>[2]Expenses!E178</f>
        <v>0</v>
      </c>
      <c r="F178" s="225" t="str">
        <f t="shared" si="23"/>
        <v>-</v>
      </c>
      <c r="G178" s="225" t="str">
        <f t="shared" si="24"/>
        <v>-</v>
      </c>
      <c r="H178" s="227">
        <f t="shared" si="25"/>
        <v>0</v>
      </c>
      <c r="I178" s="232">
        <f>[2]Expenses!I178</f>
        <v>0</v>
      </c>
      <c r="J178" s="233">
        <f>[2]Expenses!J178</f>
        <v>0</v>
      </c>
      <c r="K178" s="520" t="s">
        <v>575</v>
      </c>
    </row>
    <row r="179" spans="1:14">
      <c r="A179" s="248" t="s">
        <v>337</v>
      </c>
      <c r="B179" s="59"/>
      <c r="C179" s="107" t="str">
        <f>[2]Expenses!C179</f>
        <v>KIA Russellville Rd</v>
      </c>
      <c r="D179" s="33">
        <f>[2]Expenses!D179</f>
        <v>0</v>
      </c>
      <c r="E179" s="68">
        <f>[2]Expenses!E179</f>
        <v>0</v>
      </c>
      <c r="F179" s="225" t="str">
        <f t="shared" si="23"/>
        <v>-</v>
      </c>
      <c r="G179" s="225" t="str">
        <f t="shared" si="24"/>
        <v>-</v>
      </c>
      <c r="H179" s="227">
        <f t="shared" si="25"/>
        <v>0</v>
      </c>
      <c r="I179" s="232">
        <f>[2]Expenses!I179</f>
        <v>0</v>
      </c>
      <c r="J179" s="233">
        <f>[2]Expenses!J179</f>
        <v>0</v>
      </c>
      <c r="K179" s="520" t="s">
        <v>575</v>
      </c>
      <c r="M179" s="99"/>
      <c r="N179" s="99"/>
    </row>
    <row r="180" spans="1:14">
      <c r="A180" s="248" t="s">
        <v>338</v>
      </c>
      <c r="B180" s="59"/>
      <c r="C180" s="107" t="str">
        <f>[2]Expenses!C180</f>
        <v>KIA Barren River Rd (A98-02)</v>
      </c>
      <c r="D180" s="33">
        <f>[2]Expenses!D180</f>
        <v>0</v>
      </c>
      <c r="E180" s="68">
        <f>[2]Expenses!E180</f>
        <v>0</v>
      </c>
      <c r="F180" s="225" t="str">
        <f t="shared" si="23"/>
        <v>-</v>
      </c>
      <c r="G180" s="225" t="str">
        <f t="shared" si="24"/>
        <v>-</v>
      </c>
      <c r="H180" s="227">
        <f t="shared" si="25"/>
        <v>0</v>
      </c>
      <c r="I180" s="232">
        <f>[2]Expenses!I180</f>
        <v>0</v>
      </c>
      <c r="J180" s="233">
        <f>[2]Expenses!J180</f>
        <v>0</v>
      </c>
      <c r="K180" s="520" t="s">
        <v>575</v>
      </c>
      <c r="N180" s="99"/>
    </row>
    <row r="181" spans="1:14">
      <c r="A181" s="248" t="s">
        <v>339</v>
      </c>
      <c r="B181" s="59"/>
      <c r="C181" s="107" t="str">
        <f>[2]Expenses!C181</f>
        <v>2019 USDA</v>
      </c>
      <c r="D181" s="33">
        <f>[2]Expenses!D181</f>
        <v>14819</v>
      </c>
      <c r="E181" s="68">
        <f>[2]Expenses!E181</f>
        <v>0</v>
      </c>
      <c r="F181" s="225">
        <f t="shared" si="23"/>
        <v>1</v>
      </c>
      <c r="G181" s="225">
        <f t="shared" si="24"/>
        <v>0</v>
      </c>
      <c r="H181" s="227">
        <f t="shared" si="25"/>
        <v>14819</v>
      </c>
      <c r="I181" s="232">
        <f>[2]Expenses!I181</f>
        <v>17782.8</v>
      </c>
      <c r="J181" s="233">
        <f>[2]Expenses!J181</f>
        <v>0</v>
      </c>
      <c r="K181" s="520" t="s">
        <v>575</v>
      </c>
    </row>
    <row r="182" spans="1:14">
      <c r="A182" s="248" t="s">
        <v>340</v>
      </c>
      <c r="B182" s="59"/>
      <c r="C182" s="107" t="str">
        <f>[2]Expenses!C182</f>
        <v>Series 2003C, KRWFC</v>
      </c>
      <c r="D182" s="33">
        <f>[2]Expenses!D182</f>
        <v>0</v>
      </c>
      <c r="E182" s="68">
        <f>[2]Expenses!E182</f>
        <v>0</v>
      </c>
      <c r="F182" s="225" t="str">
        <f t="shared" si="23"/>
        <v>-</v>
      </c>
      <c r="G182" s="225" t="str">
        <f t="shared" si="24"/>
        <v>-</v>
      </c>
      <c r="H182" s="227">
        <f t="shared" si="25"/>
        <v>0</v>
      </c>
      <c r="I182" s="232">
        <f>[2]Expenses!I182</f>
        <v>0</v>
      </c>
      <c r="J182" s="233">
        <f>[2]Expenses!J182</f>
        <v>0</v>
      </c>
      <c r="K182" s="520" t="s">
        <v>575</v>
      </c>
    </row>
    <row r="183" spans="1:14">
      <c r="A183" s="248" t="s">
        <v>341</v>
      </c>
      <c r="B183" s="59"/>
      <c r="C183" s="107" t="str">
        <f>[2]Expenses!C183</f>
        <v>KIA, Buchanon Park (C11-02)</v>
      </c>
      <c r="D183" s="33">
        <f>[2]Expenses!D183</f>
        <v>14144</v>
      </c>
      <c r="E183" s="68">
        <f>[2]Expenses!E183</f>
        <v>0</v>
      </c>
      <c r="F183" s="225">
        <f t="shared" si="23"/>
        <v>1</v>
      </c>
      <c r="G183" s="225">
        <f t="shared" si="24"/>
        <v>0</v>
      </c>
      <c r="H183" s="227">
        <f t="shared" si="25"/>
        <v>14144</v>
      </c>
      <c r="I183" s="232">
        <f>[2]Expenses!I183</f>
        <v>14071.199999999999</v>
      </c>
      <c r="J183" s="233">
        <f>[2]Expenses!J183</f>
        <v>0</v>
      </c>
      <c r="K183" s="520" t="s">
        <v>575</v>
      </c>
      <c r="M183" s="99"/>
      <c r="N183" s="99"/>
    </row>
    <row r="184" spans="1:14">
      <c r="A184" s="248" t="s">
        <v>342</v>
      </c>
      <c r="B184" s="59"/>
      <c r="C184" s="107" t="str">
        <f>[2]Expenses!C184</f>
        <v>Series 2013B, KRWFC</v>
      </c>
      <c r="D184" s="33">
        <f>[2]Expenses!D184</f>
        <v>1292</v>
      </c>
      <c r="E184" s="68">
        <f>[2]Expenses!E184</f>
        <v>0</v>
      </c>
      <c r="F184" s="225">
        <f t="shared" si="23"/>
        <v>1</v>
      </c>
      <c r="G184" s="225">
        <f t="shared" si="24"/>
        <v>0</v>
      </c>
      <c r="H184" s="227">
        <f t="shared" si="25"/>
        <v>1292</v>
      </c>
      <c r="I184" s="232">
        <f>[2]Expenses!I184</f>
        <v>983.59999999999991</v>
      </c>
      <c r="J184" s="233">
        <f>[2]Expenses!J184</f>
        <v>0</v>
      </c>
      <c r="K184" s="520" t="s">
        <v>575</v>
      </c>
      <c r="N184" s="99"/>
    </row>
    <row r="185" spans="1:14">
      <c r="A185" s="248" t="s">
        <v>343</v>
      </c>
      <c r="B185" s="59"/>
      <c r="C185" s="107" t="str">
        <f>[2]Expenses!C185</f>
        <v>KIA, Alvanton Area Improvement</v>
      </c>
      <c r="D185" s="33">
        <f>[2]Expenses!D185</f>
        <v>0</v>
      </c>
      <c r="E185" s="68">
        <f>[2]Expenses!E185</f>
        <v>0</v>
      </c>
      <c r="F185" s="225" t="str">
        <f t="shared" si="23"/>
        <v>-</v>
      </c>
      <c r="G185" s="225" t="str">
        <f t="shared" si="24"/>
        <v>-</v>
      </c>
      <c r="H185" s="227">
        <f t="shared" si="25"/>
        <v>0</v>
      </c>
      <c r="I185" s="232">
        <f>[2]Expenses!I185</f>
        <v>0</v>
      </c>
      <c r="J185" s="233">
        <f>[2]Expenses!J185</f>
        <v>0</v>
      </c>
      <c r="K185" s="520" t="s">
        <v>575</v>
      </c>
    </row>
    <row r="186" spans="1:14">
      <c r="A186" s="248" t="s">
        <v>344</v>
      </c>
      <c r="B186" s="59"/>
      <c r="C186" s="107" t="str">
        <f>[2]Expenses!C186</f>
        <v>KIA, Plum Springs Rehab</v>
      </c>
      <c r="D186" s="33">
        <f>[2]Expenses!D186</f>
        <v>36109</v>
      </c>
      <c r="E186" s="68">
        <f>[2]Expenses!E186</f>
        <v>0</v>
      </c>
      <c r="F186" s="225">
        <f t="shared" si="23"/>
        <v>1</v>
      </c>
      <c r="G186" s="225">
        <f t="shared" si="24"/>
        <v>0</v>
      </c>
      <c r="H186" s="227">
        <f t="shared" si="25"/>
        <v>36109</v>
      </c>
      <c r="I186" s="232">
        <f>[2]Expenses!I186</f>
        <v>39318.800000000003</v>
      </c>
      <c r="J186" s="233">
        <f>[2]Expenses!J186</f>
        <v>0</v>
      </c>
      <c r="K186" s="520" t="s">
        <v>575</v>
      </c>
    </row>
    <row r="187" spans="1:14">
      <c r="A187" s="248" t="s">
        <v>345</v>
      </c>
      <c r="B187" s="59"/>
      <c r="C187" s="107" t="str">
        <f>[2]Expenses!C187</f>
        <v>Series 2021A, KRWFC</v>
      </c>
      <c r="D187" s="33">
        <f>[2]Expenses!D187</f>
        <v>35129</v>
      </c>
      <c r="E187" s="68">
        <f>[2]Expenses!E187</f>
        <v>0</v>
      </c>
      <c r="F187" s="225">
        <f t="shared" si="23"/>
        <v>1</v>
      </c>
      <c r="G187" s="225">
        <f t="shared" si="24"/>
        <v>0</v>
      </c>
      <c r="H187" s="227">
        <f t="shared" si="25"/>
        <v>35129</v>
      </c>
      <c r="I187" s="232">
        <f>[2]Expenses!I187</f>
        <v>33952.799999999996</v>
      </c>
      <c r="J187" s="233">
        <f>[2]Expenses!J187</f>
        <v>0</v>
      </c>
      <c r="K187" s="520" t="s">
        <v>575</v>
      </c>
      <c r="N187" s="99"/>
    </row>
    <row r="188" spans="1:14">
      <c r="A188" s="248" t="s">
        <v>346</v>
      </c>
      <c r="B188" s="59"/>
      <c r="C188" s="107" t="str">
        <f>[2]Expenses!C188</f>
        <v>Series 2022D, KRWFC</v>
      </c>
      <c r="D188" s="33">
        <f>[2]Expenses!D188</f>
        <v>277409</v>
      </c>
      <c r="E188" s="68">
        <f>[2]Expenses!E188</f>
        <v>0</v>
      </c>
      <c r="F188" s="225">
        <f t="shared" si="23"/>
        <v>1</v>
      </c>
      <c r="G188" s="225">
        <f t="shared" si="24"/>
        <v>0</v>
      </c>
      <c r="H188" s="227">
        <f t="shared" si="25"/>
        <v>277409</v>
      </c>
      <c r="I188" s="232">
        <f>[2]Expenses!I188</f>
        <v>346694.39999999997</v>
      </c>
      <c r="J188" s="233">
        <f>[2]Expenses!J188</f>
        <v>0</v>
      </c>
      <c r="K188" s="520" t="s">
        <v>575</v>
      </c>
    </row>
    <row r="189" spans="1:14">
      <c r="A189" s="248" t="s">
        <v>347</v>
      </c>
      <c r="B189" s="59"/>
      <c r="C189" s="107" t="str">
        <f>[2]Expenses!C189</f>
        <v>Consumer Deposits</v>
      </c>
      <c r="D189" s="33">
        <f>[2]Expenses!D189</f>
        <v>4926</v>
      </c>
      <c r="E189" s="68">
        <f>[2]Expenses!E189</f>
        <v>0</v>
      </c>
      <c r="F189" s="225">
        <f t="shared" si="23"/>
        <v>1</v>
      </c>
      <c r="G189" s="225">
        <f t="shared" si="24"/>
        <v>0</v>
      </c>
      <c r="H189" s="227">
        <f t="shared" si="25"/>
        <v>4926</v>
      </c>
      <c r="I189" s="232">
        <f>[2]Expenses!I189</f>
        <v>5911.2</v>
      </c>
      <c r="J189" s="233">
        <f>[2]Expenses!J189</f>
        <v>0</v>
      </c>
      <c r="K189" s="520" t="s">
        <v>575</v>
      </c>
    </row>
    <row r="190" spans="1:14">
      <c r="A190" s="248" t="s">
        <v>348</v>
      </c>
      <c r="B190" s="59"/>
      <c r="C190" s="107" t="str">
        <f>[2]Expenses!C190</f>
        <v>Other</v>
      </c>
      <c r="D190" s="33">
        <f>[2]Expenses!D190</f>
        <v>0</v>
      </c>
      <c r="E190" s="68">
        <f>[2]Expenses!E190</f>
        <v>0</v>
      </c>
      <c r="F190" s="225" t="str">
        <f t="shared" si="23"/>
        <v>-</v>
      </c>
      <c r="G190" s="225" t="str">
        <f t="shared" si="24"/>
        <v>-</v>
      </c>
      <c r="H190" s="227">
        <f t="shared" si="25"/>
        <v>0</v>
      </c>
      <c r="I190" s="232">
        <f>[2]Expenses!I190</f>
        <v>0</v>
      </c>
      <c r="J190" s="233">
        <f>[2]Expenses!J190</f>
        <v>0</v>
      </c>
      <c r="K190" s="520" t="s">
        <v>575</v>
      </c>
    </row>
    <row r="191" spans="1:14">
      <c r="A191" s="248" t="s">
        <v>349</v>
      </c>
      <c r="B191" s="59"/>
      <c r="C191" s="107" t="str">
        <f>[2]Expenses!C191</f>
        <v>Amortized Debt Expense</v>
      </c>
      <c r="D191" s="33">
        <f>[2]Expenses!D191</f>
        <v>0</v>
      </c>
      <c r="E191" s="68">
        <f>[2]Expenses!E191</f>
        <v>0</v>
      </c>
      <c r="F191" s="225" t="str">
        <f t="shared" si="23"/>
        <v>-</v>
      </c>
      <c r="G191" s="225" t="str">
        <f t="shared" si="24"/>
        <v>-</v>
      </c>
      <c r="H191" s="227">
        <f t="shared" si="25"/>
        <v>0</v>
      </c>
      <c r="I191" s="232">
        <f>[2]Expenses!I191</f>
        <v>0</v>
      </c>
      <c r="J191" s="233">
        <f>[2]Expenses!J191</f>
        <v>0</v>
      </c>
      <c r="K191" s="520" t="s">
        <v>575</v>
      </c>
    </row>
    <row r="192" spans="1:14">
      <c r="A192" s="248" t="s">
        <v>350</v>
      </c>
      <c r="B192" s="59"/>
      <c r="C192" s="107" t="str">
        <f>[2]Expenses!C192</f>
        <v>Am Prem/Disc-KRWFC, Series 2021A</v>
      </c>
      <c r="D192" s="33">
        <f>[2]Expenses!D192</f>
        <v>-12259</v>
      </c>
      <c r="E192" s="68">
        <f>[2]Expenses!E192</f>
        <v>0</v>
      </c>
      <c r="F192" s="225">
        <f t="shared" si="23"/>
        <v>1</v>
      </c>
      <c r="G192" s="225">
        <f t="shared" si="24"/>
        <v>0</v>
      </c>
      <c r="H192" s="227">
        <f t="shared" si="25"/>
        <v>-12259</v>
      </c>
      <c r="I192" s="232">
        <f>[2]Expenses!I192</f>
        <v>-12259</v>
      </c>
      <c r="J192" s="233">
        <f>[2]Expenses!J192</f>
        <v>0</v>
      </c>
      <c r="K192" s="520"/>
    </row>
    <row r="193" spans="1:11">
      <c r="A193" s="248"/>
      <c r="B193" s="59" t="s">
        <v>351</v>
      </c>
      <c r="C193" s="107" t="str">
        <f>[2]Expenses!C193</f>
        <v>Series 2004A, Refunding</v>
      </c>
      <c r="D193" s="33">
        <f>[2]Expenses!D193</f>
        <v>0</v>
      </c>
      <c r="E193" s="68">
        <f>[2]Expenses!E193</f>
        <v>0</v>
      </c>
      <c r="F193" s="225" t="str">
        <f t="shared" si="23"/>
        <v>-</v>
      </c>
      <c r="G193" s="225" t="str">
        <f t="shared" si="24"/>
        <v>-</v>
      </c>
      <c r="H193" s="227">
        <f t="shared" si="25"/>
        <v>0</v>
      </c>
      <c r="I193" s="232">
        <f>[2]Expenses!I193</f>
        <v>0</v>
      </c>
      <c r="J193" s="233">
        <f>[2]Expenses!J193</f>
        <v>0</v>
      </c>
      <c r="K193" s="520" t="s">
        <v>575</v>
      </c>
    </row>
    <row r="194" spans="1:11">
      <c r="A194" s="248"/>
      <c r="B194" s="59" t="s">
        <v>352</v>
      </c>
      <c r="C194" s="107" t="str">
        <f>[2]Expenses!C194</f>
        <v>KIA, So KY Industrial/Hwy 31W</v>
      </c>
      <c r="D194" s="33">
        <f>[2]Expenses!D194</f>
        <v>0</v>
      </c>
      <c r="E194" s="68">
        <f>[2]Expenses!E194</f>
        <v>0</v>
      </c>
      <c r="F194" s="225" t="str">
        <f t="shared" si="23"/>
        <v>-</v>
      </c>
      <c r="G194" s="225" t="str">
        <f t="shared" si="24"/>
        <v>-</v>
      </c>
      <c r="H194" s="227">
        <f t="shared" si="25"/>
        <v>0</v>
      </c>
      <c r="I194" s="232">
        <f>[2]Expenses!I194</f>
        <v>0</v>
      </c>
      <c r="J194" s="233">
        <f>[2]Expenses!J194</f>
        <v>0</v>
      </c>
      <c r="K194" s="520" t="s">
        <v>575</v>
      </c>
    </row>
    <row r="195" spans="1:11">
      <c r="A195" s="248"/>
      <c r="B195" s="59" t="s">
        <v>353</v>
      </c>
      <c r="C195" s="107" t="str">
        <f>[2]Expenses!C195</f>
        <v>KIA, So KY Industrial Park</v>
      </c>
      <c r="D195" s="33">
        <f>[2]Expenses!D195</f>
        <v>0</v>
      </c>
      <c r="E195" s="68">
        <f>[2]Expenses!E195</f>
        <v>0</v>
      </c>
      <c r="F195" s="225" t="str">
        <f t="shared" si="23"/>
        <v>-</v>
      </c>
      <c r="G195" s="225" t="str">
        <f t="shared" si="24"/>
        <v>-</v>
      </c>
      <c r="H195" s="227">
        <f t="shared" si="25"/>
        <v>0</v>
      </c>
      <c r="I195" s="232">
        <f>[2]Expenses!I195</f>
        <v>0</v>
      </c>
      <c r="J195" s="233">
        <f>[2]Expenses!J195</f>
        <v>0</v>
      </c>
      <c r="K195" s="520" t="s">
        <v>575</v>
      </c>
    </row>
    <row r="196" spans="1:11">
      <c r="A196" s="248"/>
      <c r="B196" s="59" t="s">
        <v>354</v>
      </c>
      <c r="C196" s="107" t="str">
        <f>[2]Expenses!C196</f>
        <v xml:space="preserve">Series 2005A, USDA </v>
      </c>
      <c r="D196" s="33">
        <f>[2]Expenses!D196</f>
        <v>0</v>
      </c>
      <c r="E196" s="68">
        <f>[2]Expenses!E196</f>
        <v>39540</v>
      </c>
      <c r="F196" s="225">
        <f t="shared" si="23"/>
        <v>0</v>
      </c>
      <c r="G196" s="225">
        <f t="shared" si="24"/>
        <v>1</v>
      </c>
      <c r="H196" s="227">
        <f t="shared" si="25"/>
        <v>39540</v>
      </c>
      <c r="I196" s="232">
        <f>[2]Expenses!I196</f>
        <v>0</v>
      </c>
      <c r="J196" s="233">
        <f>[2]Expenses!J196</f>
        <v>45220</v>
      </c>
      <c r="K196" s="520" t="s">
        <v>575</v>
      </c>
    </row>
    <row r="197" spans="1:11">
      <c r="A197" s="248"/>
      <c r="B197" s="59" t="s">
        <v>355</v>
      </c>
      <c r="C197" s="107" t="str">
        <f>[2]Expenses!C197</f>
        <v>-</v>
      </c>
      <c r="D197" s="33">
        <f>[2]Expenses!D197</f>
        <v>0</v>
      </c>
      <c r="E197" s="68">
        <f>[2]Expenses!E197</f>
        <v>0</v>
      </c>
      <c r="F197" s="225" t="str">
        <f t="shared" si="23"/>
        <v>-</v>
      </c>
      <c r="G197" s="225" t="str">
        <f t="shared" si="24"/>
        <v>-</v>
      </c>
      <c r="H197" s="227">
        <f t="shared" si="25"/>
        <v>0</v>
      </c>
      <c r="I197" s="232">
        <f>[2]Expenses!I197</f>
        <v>0</v>
      </c>
      <c r="J197" s="233">
        <f>[2]Expenses!J197</f>
        <v>0</v>
      </c>
      <c r="K197" s="520" t="s">
        <v>575</v>
      </c>
    </row>
    <row r="198" spans="1:11">
      <c r="A198" s="248"/>
      <c r="B198" s="59" t="s">
        <v>356</v>
      </c>
      <c r="C198" s="107" t="str">
        <f>[2]Expenses!C198</f>
        <v>Series 1998, Refunding</v>
      </c>
      <c r="D198" s="33">
        <f>[2]Expenses!D198</f>
        <v>0</v>
      </c>
      <c r="E198" s="68">
        <f>[2]Expenses!E198</f>
        <v>0</v>
      </c>
      <c r="F198" s="225" t="str">
        <f t="shared" si="23"/>
        <v>-</v>
      </c>
      <c r="G198" s="225" t="str">
        <f t="shared" si="24"/>
        <v>-</v>
      </c>
      <c r="H198" s="227">
        <f t="shared" si="25"/>
        <v>0</v>
      </c>
      <c r="I198" s="232">
        <f>[2]Expenses!I198</f>
        <v>0</v>
      </c>
      <c r="J198" s="233">
        <f>[2]Expenses!J198</f>
        <v>0</v>
      </c>
      <c r="K198" s="520" t="s">
        <v>575</v>
      </c>
    </row>
    <row r="199" spans="1:11">
      <c r="A199" s="248"/>
      <c r="B199" s="59" t="s">
        <v>357</v>
      </c>
      <c r="C199" s="107" t="str">
        <f>[2]Expenses!C199</f>
        <v>Series 1998B, Revenue</v>
      </c>
      <c r="D199" s="33">
        <f>[2]Expenses!D199</f>
        <v>0</v>
      </c>
      <c r="E199" s="68">
        <f>[2]Expenses!E199</f>
        <v>0</v>
      </c>
      <c r="F199" s="225" t="str">
        <f t="shared" si="23"/>
        <v>-</v>
      </c>
      <c r="G199" s="225" t="str">
        <f t="shared" si="24"/>
        <v>-</v>
      </c>
      <c r="H199" s="227">
        <f t="shared" si="25"/>
        <v>0</v>
      </c>
      <c r="I199" s="232">
        <f>[2]Expenses!I199</f>
        <v>0</v>
      </c>
      <c r="J199" s="233">
        <f>[2]Expenses!J199</f>
        <v>0</v>
      </c>
      <c r="K199" s="520" t="s">
        <v>575</v>
      </c>
    </row>
    <row r="200" spans="1:11">
      <c r="A200" s="248"/>
      <c r="B200" s="59" t="s">
        <v>358</v>
      </c>
      <c r="C200" s="107" t="str">
        <f>[2]Expenses!C200</f>
        <v>Series 1999 A, USDA</v>
      </c>
      <c r="D200" s="33">
        <f>[2]Expenses!D200</f>
        <v>0</v>
      </c>
      <c r="E200" s="68">
        <f>[2]Expenses!E200</f>
        <v>0</v>
      </c>
      <c r="F200" s="225" t="str">
        <f t="shared" si="23"/>
        <v>-</v>
      </c>
      <c r="G200" s="225" t="str">
        <f t="shared" si="24"/>
        <v>-</v>
      </c>
      <c r="H200" s="227">
        <f t="shared" si="25"/>
        <v>0</v>
      </c>
      <c r="I200" s="232">
        <f>[2]Expenses!I200</f>
        <v>0</v>
      </c>
      <c r="J200" s="233">
        <f>[2]Expenses!J200</f>
        <v>0</v>
      </c>
      <c r="K200" s="520" t="s">
        <v>575</v>
      </c>
    </row>
    <row r="201" spans="1:11">
      <c r="A201" s="248"/>
      <c r="B201" s="59" t="s">
        <v>359</v>
      </c>
      <c r="C201" s="107" t="str">
        <f>[2]Expenses!C201</f>
        <v>KRWFC 2003, KRWFC</v>
      </c>
      <c r="D201" s="33">
        <f>[2]Expenses!D201</f>
        <v>0</v>
      </c>
      <c r="E201" s="68">
        <f>[2]Expenses!E201</f>
        <v>0</v>
      </c>
      <c r="F201" s="225" t="str">
        <f t="shared" si="23"/>
        <v>-</v>
      </c>
      <c r="G201" s="225" t="str">
        <f t="shared" si="24"/>
        <v>-</v>
      </c>
      <c r="H201" s="227">
        <f t="shared" si="25"/>
        <v>0</v>
      </c>
      <c r="I201" s="232">
        <f>[2]Expenses!I201</f>
        <v>0</v>
      </c>
      <c r="J201" s="233">
        <f>[2]Expenses!J201</f>
        <v>0</v>
      </c>
      <c r="K201" s="520" t="s">
        <v>575</v>
      </c>
    </row>
    <row r="202" spans="1:11">
      <c r="A202" s="248"/>
      <c r="B202" s="59" t="s">
        <v>360</v>
      </c>
      <c r="C202" s="107" t="str">
        <f>[2]Expenses!C202</f>
        <v>Series 2003C, KRWFC</v>
      </c>
      <c r="D202" s="33">
        <f>[2]Expenses!D202</f>
        <v>0</v>
      </c>
      <c r="E202" s="68">
        <f>[2]Expenses!E202</f>
        <v>0</v>
      </c>
      <c r="F202" s="225" t="str">
        <f t="shared" si="23"/>
        <v>-</v>
      </c>
      <c r="G202" s="225" t="str">
        <f t="shared" si="24"/>
        <v>-</v>
      </c>
      <c r="H202" s="227">
        <f t="shared" si="25"/>
        <v>0</v>
      </c>
      <c r="I202" s="232">
        <f>[2]Expenses!I202</f>
        <v>0</v>
      </c>
      <c r="J202" s="233">
        <f>[2]Expenses!J202</f>
        <v>0</v>
      </c>
      <c r="K202" s="520" t="s">
        <v>575</v>
      </c>
    </row>
    <row r="203" spans="1:11">
      <c r="A203" s="248"/>
      <c r="B203" s="59" t="s">
        <v>361</v>
      </c>
      <c r="C203" s="107" t="str">
        <f>[2]Expenses!C203</f>
        <v>Series 2013B, KRWFC</v>
      </c>
      <c r="D203" s="33">
        <f>[2]Expenses!D203</f>
        <v>0</v>
      </c>
      <c r="E203" s="68">
        <f>[2]Expenses!E203</f>
        <v>18892</v>
      </c>
      <c r="F203" s="225">
        <f t="shared" si="23"/>
        <v>0</v>
      </c>
      <c r="G203" s="225">
        <f t="shared" si="24"/>
        <v>1</v>
      </c>
      <c r="H203" s="227">
        <f t="shared" si="25"/>
        <v>18892</v>
      </c>
      <c r="I203" s="232">
        <f>[2]Expenses!I203</f>
        <v>0</v>
      </c>
      <c r="J203" s="233">
        <f>[2]Expenses!J203</f>
        <v>13959.6</v>
      </c>
      <c r="K203" s="520" t="s">
        <v>575</v>
      </c>
    </row>
    <row r="204" spans="1:11">
      <c r="A204" s="248"/>
      <c r="B204" s="59" t="s">
        <v>362</v>
      </c>
      <c r="C204" s="107" t="str">
        <f>[2]Expenses!C204</f>
        <v>Series 2016B, KRWFC</v>
      </c>
      <c r="D204" s="33">
        <f>[2]Expenses!D204</f>
        <v>0</v>
      </c>
      <c r="E204" s="68">
        <f>[2]Expenses!E204</f>
        <v>37922</v>
      </c>
      <c r="F204" s="225">
        <f t="shared" si="23"/>
        <v>0</v>
      </c>
      <c r="G204" s="225">
        <f t="shared" si="24"/>
        <v>1</v>
      </c>
      <c r="H204" s="227">
        <f t="shared" si="25"/>
        <v>37922</v>
      </c>
      <c r="I204" s="232">
        <f>[2]Expenses!I204</f>
        <v>0</v>
      </c>
      <c r="J204" s="233">
        <f>[2]Expenses!J204</f>
        <v>37067.599999999999</v>
      </c>
      <c r="K204" s="520" t="s">
        <v>575</v>
      </c>
    </row>
    <row r="205" spans="1:11">
      <c r="A205" s="248"/>
      <c r="B205" s="59" t="s">
        <v>363</v>
      </c>
      <c r="C205" s="107" t="str">
        <f>[2]Expenses!C205</f>
        <v>KIA Morgantown Rd Improvements</v>
      </c>
      <c r="D205" s="33">
        <f>[2]Expenses!D205</f>
        <v>0</v>
      </c>
      <c r="E205" s="68">
        <f>[2]Expenses!E205</f>
        <v>54693</v>
      </c>
      <c r="F205" s="225">
        <f t="shared" si="23"/>
        <v>0</v>
      </c>
      <c r="G205" s="225">
        <f t="shared" si="24"/>
        <v>1</v>
      </c>
      <c r="H205" s="227">
        <f t="shared" si="25"/>
        <v>54693</v>
      </c>
      <c r="I205" s="232">
        <f>[2]Expenses!I205</f>
        <v>0</v>
      </c>
      <c r="J205" s="233">
        <f>[2]Expenses!J205</f>
        <v>65631.599999999991</v>
      </c>
      <c r="K205" s="520" t="s">
        <v>575</v>
      </c>
    </row>
    <row r="206" spans="1:11">
      <c r="A206" s="248"/>
      <c r="B206" s="59" t="s">
        <v>364</v>
      </c>
      <c r="C206" s="107" t="str">
        <f>[2]Expenses!C206</f>
        <v>Series 2021A, KRWFC</v>
      </c>
      <c r="D206" s="33">
        <f>[2]Expenses!D206</f>
        <v>0</v>
      </c>
      <c r="E206" s="68">
        <f>[2]Expenses!E206</f>
        <v>43655</v>
      </c>
      <c r="F206" s="225">
        <f t="shared" si="23"/>
        <v>0</v>
      </c>
      <c r="G206" s="225">
        <f t="shared" si="24"/>
        <v>1</v>
      </c>
      <c r="H206" s="227">
        <f t="shared" si="25"/>
        <v>43655</v>
      </c>
      <c r="I206" s="232">
        <f>[2]Expenses!I206</f>
        <v>0</v>
      </c>
      <c r="J206" s="233">
        <f>[2]Expenses!J206</f>
        <v>39784.799999999996</v>
      </c>
      <c r="K206" s="520" t="s">
        <v>575</v>
      </c>
    </row>
    <row r="207" spans="1:11">
      <c r="A207" s="248"/>
      <c r="B207" s="59" t="s">
        <v>364</v>
      </c>
      <c r="C207" s="107" t="str">
        <f>[2]Expenses!C207</f>
        <v>Series 2022D, KRWFC</v>
      </c>
      <c r="D207" s="33">
        <f>[2]Expenses!D207</f>
        <v>0</v>
      </c>
      <c r="E207" s="68">
        <f>[2]Expenses!E207</f>
        <v>104697</v>
      </c>
      <c r="F207" s="225">
        <f t="shared" si="23"/>
        <v>0</v>
      </c>
      <c r="G207" s="225">
        <f t="shared" si="24"/>
        <v>1</v>
      </c>
      <c r="H207" s="227">
        <f t="shared" si="25"/>
        <v>104697</v>
      </c>
      <c r="I207" s="232">
        <f>[2]Expenses!I207</f>
        <v>0</v>
      </c>
      <c r="J207" s="233">
        <f>[2]Expenses!J207</f>
        <v>130845.59999999999</v>
      </c>
      <c r="K207" s="520" t="s">
        <v>575</v>
      </c>
    </row>
    <row r="208" spans="1:11">
      <c r="A208" s="248"/>
      <c r="B208" s="59" t="s">
        <v>365</v>
      </c>
      <c r="C208" s="107" t="str">
        <f>[2]Expenses!C208</f>
        <v>Consumer Deposits</v>
      </c>
      <c r="D208" s="33">
        <f>[2]Expenses!D208</f>
        <v>0</v>
      </c>
      <c r="E208" s="68">
        <f>[2]Expenses!E208</f>
        <v>15005</v>
      </c>
      <c r="F208" s="225">
        <f t="shared" si="23"/>
        <v>0</v>
      </c>
      <c r="G208" s="225">
        <f t="shared" si="24"/>
        <v>1</v>
      </c>
      <c r="H208" s="227">
        <f t="shared" si="25"/>
        <v>15005</v>
      </c>
      <c r="I208" s="232">
        <f>[2]Expenses!I208</f>
        <v>0</v>
      </c>
      <c r="J208" s="233">
        <f>[2]Expenses!J208</f>
        <v>15005</v>
      </c>
      <c r="K208" s="520" t="s">
        <v>575</v>
      </c>
    </row>
    <row r="209" spans="1:13">
      <c r="A209" s="248"/>
      <c r="B209" s="59" t="s">
        <v>366</v>
      </c>
      <c r="C209" s="107" t="str">
        <f>[2]Expenses!C209</f>
        <v>Other</v>
      </c>
      <c r="D209" s="33">
        <f>[2]Expenses!D209</f>
        <v>0</v>
      </c>
      <c r="E209" s="68">
        <f>[2]Expenses!E209</f>
        <v>0</v>
      </c>
      <c r="F209" s="225" t="str">
        <f t="shared" si="23"/>
        <v>-</v>
      </c>
      <c r="G209" s="225" t="str">
        <f t="shared" si="24"/>
        <v>-</v>
      </c>
      <c r="H209" s="227">
        <f t="shared" si="25"/>
        <v>0</v>
      </c>
      <c r="I209" s="232">
        <f>[2]Expenses!I209</f>
        <v>0</v>
      </c>
      <c r="J209" s="233">
        <f>[2]Expenses!J209</f>
        <v>0</v>
      </c>
      <c r="K209" s="520" t="s">
        <v>575</v>
      </c>
    </row>
    <row r="210" spans="1:13">
      <c r="A210" s="248"/>
      <c r="B210" s="59" t="s">
        <v>367</v>
      </c>
      <c r="C210" s="107" t="str">
        <f>[2]Expenses!C210</f>
        <v>Amortized Prem/Disc Exp- Rev Bonds, Series 2004A</v>
      </c>
      <c r="D210" s="33">
        <f>[2]Expenses!D210</f>
        <v>0</v>
      </c>
      <c r="E210" s="68">
        <f>[2]Expenses!E210</f>
        <v>0</v>
      </c>
      <c r="F210" s="225" t="str">
        <f t="shared" si="23"/>
        <v>-</v>
      </c>
      <c r="G210" s="225" t="str">
        <f t="shared" si="24"/>
        <v>-</v>
      </c>
      <c r="H210" s="227">
        <f t="shared" si="25"/>
        <v>0</v>
      </c>
      <c r="I210" s="232">
        <f>[2]Expenses!I210</f>
        <v>0</v>
      </c>
      <c r="J210" s="233">
        <f>[2]Expenses!J210</f>
        <v>0</v>
      </c>
      <c r="K210" s="520" t="s">
        <v>575</v>
      </c>
    </row>
    <row r="211" spans="1:13">
      <c r="A211" s="248"/>
      <c r="B211" s="59" t="s">
        <v>368</v>
      </c>
      <c r="C211" s="107" t="str">
        <f>[2]Expenses!C211</f>
        <v>Amortized Prem/Disc Exp- KRWFC, Series 2006A</v>
      </c>
      <c r="D211" s="33">
        <f>[2]Expenses!D211</f>
        <v>0</v>
      </c>
      <c r="E211" s="68">
        <f>[2]Expenses!E211</f>
        <v>0</v>
      </c>
      <c r="F211" s="225" t="str">
        <f t="shared" si="23"/>
        <v>-</v>
      </c>
      <c r="G211" s="225" t="str">
        <f t="shared" si="24"/>
        <v>-</v>
      </c>
      <c r="H211" s="227">
        <f t="shared" si="25"/>
        <v>0</v>
      </c>
      <c r="I211" s="232">
        <f>[2]Expenses!I211</f>
        <v>0</v>
      </c>
      <c r="J211" s="233">
        <f>[2]Expenses!J211</f>
        <v>0</v>
      </c>
      <c r="K211" s="520" t="s">
        <v>575</v>
      </c>
    </row>
    <row r="212" spans="1:13">
      <c r="A212" s="248"/>
      <c r="B212" s="59" t="s">
        <v>369</v>
      </c>
      <c r="C212" s="107" t="str">
        <f>[2]Expenses!C212</f>
        <v>Amortized Prem/Disc Exp- KRWFC, Series 2012B</v>
      </c>
      <c r="D212" s="33">
        <f>[2]Expenses!D212</f>
        <v>0</v>
      </c>
      <c r="E212" s="68">
        <f>[2]Expenses!E212</f>
        <v>0</v>
      </c>
      <c r="F212" s="225" t="str">
        <f t="shared" si="23"/>
        <v>-</v>
      </c>
      <c r="G212" s="225" t="str">
        <f t="shared" si="24"/>
        <v>-</v>
      </c>
      <c r="H212" s="227">
        <f t="shared" si="25"/>
        <v>0</v>
      </c>
      <c r="I212" s="232">
        <f>[2]Expenses!I212</f>
        <v>0</v>
      </c>
      <c r="J212" s="233">
        <f>[2]Expenses!J212</f>
        <v>0</v>
      </c>
      <c r="K212" s="520" t="s">
        <v>575</v>
      </c>
    </row>
    <row r="213" spans="1:13">
      <c r="A213" s="248"/>
      <c r="B213" s="59" t="s">
        <v>370</v>
      </c>
      <c r="C213" s="107" t="str">
        <f>[2]Expenses!C213</f>
        <v>Amortized Prem/Disc Exp- KRWFC, Series 2013B</v>
      </c>
      <c r="D213" s="33">
        <f>[2]Expenses!D213</f>
        <v>0</v>
      </c>
      <c r="E213" s="68">
        <f>[2]Expenses!E213</f>
        <v>844</v>
      </c>
      <c r="F213" s="225">
        <f t="shared" si="23"/>
        <v>0</v>
      </c>
      <c r="G213" s="225">
        <f t="shared" si="24"/>
        <v>1</v>
      </c>
      <c r="H213" s="227">
        <f t="shared" si="25"/>
        <v>844</v>
      </c>
      <c r="I213" s="232">
        <f>[2]Expenses!I213</f>
        <v>0</v>
      </c>
      <c r="J213" s="233">
        <f>[2]Expenses!J213</f>
        <v>1012.8</v>
      </c>
      <c r="K213" s="520" t="s">
        <v>575</v>
      </c>
    </row>
    <row r="214" spans="1:13">
      <c r="A214" s="248"/>
      <c r="B214" s="59" t="s">
        <v>371</v>
      </c>
      <c r="C214" s="107" t="str">
        <f>[2]Expenses!C214</f>
        <v>Amortized Prem/Disc Exp- KRWFC, Series 2016B</v>
      </c>
      <c r="D214" s="33">
        <f>[2]Expenses!D214</f>
        <v>0</v>
      </c>
      <c r="E214" s="68">
        <f>[2]Expenses!E214</f>
        <v>-1973</v>
      </c>
      <c r="F214" s="225">
        <f t="shared" si="23"/>
        <v>0</v>
      </c>
      <c r="G214" s="225">
        <f t="shared" si="24"/>
        <v>1</v>
      </c>
      <c r="H214" s="227">
        <f t="shared" si="25"/>
        <v>-1973</v>
      </c>
      <c r="I214" s="232">
        <f>[2]Expenses!I214</f>
        <v>0</v>
      </c>
      <c r="J214" s="233">
        <f>[2]Expenses!J214</f>
        <v>-1973</v>
      </c>
      <c r="K214" s="520"/>
    </row>
    <row r="215" spans="1:13">
      <c r="A215" s="248"/>
      <c r="B215" s="59" t="s">
        <v>372</v>
      </c>
      <c r="C215" s="107" t="str">
        <f>[2]Expenses!C215</f>
        <v>Amortized Prem/Disc Exp- KRWFC, Series 2021A</v>
      </c>
      <c r="D215" s="33">
        <f>[2]Expenses!D215</f>
        <v>0</v>
      </c>
      <c r="E215" s="68">
        <f>[2]Expenses!E215</f>
        <v>-11561</v>
      </c>
      <c r="F215" s="225">
        <f t="shared" si="23"/>
        <v>0</v>
      </c>
      <c r="G215" s="225">
        <f t="shared" si="24"/>
        <v>1</v>
      </c>
      <c r="H215" s="227">
        <f t="shared" si="25"/>
        <v>-11561</v>
      </c>
      <c r="I215" s="232">
        <f>[2]Expenses!I215</f>
        <v>0</v>
      </c>
      <c r="J215" s="233">
        <f>[2]Expenses!J215</f>
        <v>-11561</v>
      </c>
      <c r="K215" s="520"/>
    </row>
    <row r="216" spans="1:13">
      <c r="A216" s="248"/>
      <c r="B216" s="59"/>
      <c r="C216" s="107" t="str">
        <f>[2]Expenses!C216</f>
        <v>-</v>
      </c>
      <c r="D216" s="33">
        <f>[2]Expenses!D216</f>
        <v>0</v>
      </c>
      <c r="E216" s="68">
        <f>[2]Expenses!E216</f>
        <v>0</v>
      </c>
      <c r="F216" s="702" t="str">
        <f t="shared" si="23"/>
        <v>-</v>
      </c>
      <c r="G216" s="703" t="str">
        <f t="shared" si="24"/>
        <v>-</v>
      </c>
      <c r="H216" s="227">
        <f t="shared" si="25"/>
        <v>0</v>
      </c>
      <c r="I216" s="232">
        <f>[2]Expenses!I216</f>
        <v>0</v>
      </c>
      <c r="J216" s="233">
        <f>[2]Expenses!J216</f>
        <v>0</v>
      </c>
      <c r="K216" s="520"/>
    </row>
    <row r="217" spans="1:13">
      <c r="A217" s="248"/>
      <c r="B217" s="59"/>
      <c r="C217" s="107" t="str">
        <f>[2]Expenses!C217</f>
        <v>-</v>
      </c>
      <c r="D217" s="33">
        <f>[2]Expenses!D217</f>
        <v>0</v>
      </c>
      <c r="E217" s="68">
        <f>[2]Expenses!E217</f>
        <v>0</v>
      </c>
      <c r="F217" s="702" t="str">
        <f t="shared" si="23"/>
        <v>-</v>
      </c>
      <c r="G217" s="703" t="str">
        <f t="shared" si="24"/>
        <v>-</v>
      </c>
      <c r="H217" s="227">
        <f>(E217+D217)</f>
        <v>0</v>
      </c>
      <c r="I217" s="232">
        <f>[2]Expenses!I217</f>
        <v>0</v>
      </c>
      <c r="J217" s="233">
        <f>[2]Expenses!J217</f>
        <v>0</v>
      </c>
      <c r="K217" s="520"/>
    </row>
    <row r="218" spans="1:13">
      <c r="A218" s="248"/>
      <c r="B218" s="59"/>
      <c r="C218" s="107" t="str">
        <f>[2]Expenses!C218</f>
        <v>-</v>
      </c>
      <c r="D218" s="33">
        <f>[2]Expenses!D218</f>
        <v>0</v>
      </c>
      <c r="E218" s="68">
        <f>[2]Expenses!E218</f>
        <v>0</v>
      </c>
      <c r="F218" s="702" t="str">
        <f t="shared" si="23"/>
        <v>-</v>
      </c>
      <c r="G218" s="703" t="str">
        <f t="shared" si="24"/>
        <v>-</v>
      </c>
      <c r="H218" s="227">
        <f>(E218+D218)</f>
        <v>0</v>
      </c>
      <c r="I218" s="232">
        <f>[2]Expenses!I218</f>
        <v>0</v>
      </c>
      <c r="J218" s="233">
        <f>[2]Expenses!J218</f>
        <v>0</v>
      </c>
      <c r="K218" s="520"/>
    </row>
    <row r="219" spans="1:13">
      <c r="A219" s="248"/>
      <c r="B219" s="59"/>
      <c r="C219" s="107" t="str">
        <f>[2]Expenses!C219</f>
        <v>-</v>
      </c>
      <c r="D219" s="33">
        <f>[2]Expenses!D219</f>
        <v>0</v>
      </c>
      <c r="E219" s="68">
        <f>[2]Expenses!E219</f>
        <v>0</v>
      </c>
      <c r="F219" s="702" t="str">
        <f t="shared" si="23"/>
        <v>-</v>
      </c>
      <c r="G219" s="703" t="str">
        <f t="shared" si="24"/>
        <v>-</v>
      </c>
      <c r="H219" s="227">
        <f t="shared" si="25"/>
        <v>0</v>
      </c>
      <c r="I219" s="232">
        <f>[2]Expenses!I219</f>
        <v>0</v>
      </c>
      <c r="J219" s="233">
        <f>[2]Expenses!J219</f>
        <v>0</v>
      </c>
      <c r="K219" s="46"/>
    </row>
    <row r="220" spans="1:13">
      <c r="A220" s="248"/>
      <c r="B220" s="59"/>
      <c r="C220" s="107" t="str">
        <f>[2]Expenses!C220</f>
        <v>-</v>
      </c>
      <c r="D220" s="33">
        <f>[2]Expenses!D220</f>
        <v>0</v>
      </c>
      <c r="E220" s="68">
        <f>[2]Expenses!E220</f>
        <v>0</v>
      </c>
      <c r="F220" s="702" t="str">
        <f t="shared" si="23"/>
        <v>-</v>
      </c>
      <c r="G220" s="703" t="str">
        <f t="shared" si="24"/>
        <v>-</v>
      </c>
      <c r="H220" s="227">
        <f>(E220+D220)</f>
        <v>0</v>
      </c>
      <c r="I220" s="232">
        <f>[2]Expenses!I220</f>
        <v>0</v>
      </c>
      <c r="J220" s="233">
        <f>[2]Expenses!J220</f>
        <v>0</v>
      </c>
      <c r="K220" s="46"/>
    </row>
    <row r="221" spans="1:13">
      <c r="A221" s="248"/>
      <c r="B221" s="59"/>
      <c r="C221" s="107" t="str">
        <f>[2]Expenses!C221</f>
        <v>-</v>
      </c>
      <c r="D221" s="33">
        <f>[2]Expenses!D221</f>
        <v>0</v>
      </c>
      <c r="E221" s="68">
        <f>[2]Expenses!E221</f>
        <v>0</v>
      </c>
      <c r="F221" s="700" t="str">
        <f t="shared" si="23"/>
        <v>-</v>
      </c>
      <c r="G221" s="701" t="str">
        <f t="shared" si="24"/>
        <v>-</v>
      </c>
      <c r="H221" s="268">
        <f t="shared" si="25"/>
        <v>0</v>
      </c>
      <c r="I221" s="232">
        <f>[2]Expenses!I221</f>
        <v>0</v>
      </c>
      <c r="J221" s="233">
        <f>[2]Expenses!J221</f>
        <v>0</v>
      </c>
      <c r="K221" s="89"/>
    </row>
    <row r="222" spans="1:13">
      <c r="A222" s="251"/>
      <c r="B222" s="152"/>
      <c r="C222" s="161" t="s">
        <v>30</v>
      </c>
      <c r="D222" s="481">
        <f>SUM(D176:D221)</f>
        <v>371569</v>
      </c>
      <c r="E222" s="482">
        <f>SUM(E176:E221)</f>
        <v>301714</v>
      </c>
      <c r="F222" s="151"/>
      <c r="G222" s="151"/>
      <c r="H222" s="158">
        <f>SUM(H176:H221)</f>
        <v>673283</v>
      </c>
      <c r="I222" s="159">
        <f>SUM(I176:I221)</f>
        <v>446455.8</v>
      </c>
      <c r="J222" s="154">
        <f>SUM(J176:J221)</f>
        <v>334992.99999999994</v>
      </c>
      <c r="K222" s="152"/>
      <c r="M222" s="99"/>
    </row>
    <row r="223" spans="1:13">
      <c r="A223" s="247"/>
      <c r="C223" s="95"/>
      <c r="D223" s="42"/>
      <c r="E223" s="51"/>
      <c r="H223" s="43"/>
      <c r="I223" s="44"/>
      <c r="J223" s="45"/>
      <c r="K223" s="46"/>
    </row>
    <row r="224" spans="1:13">
      <c r="A224" s="247"/>
      <c r="C224" s="58" t="s">
        <v>36</v>
      </c>
      <c r="D224" s="26"/>
      <c r="E224" s="48"/>
      <c r="F224" s="4"/>
      <c r="G224" s="4"/>
      <c r="H224" s="24"/>
      <c r="I224" s="18"/>
      <c r="J224" s="12"/>
      <c r="K224" s="46"/>
    </row>
    <row r="225" spans="1:14">
      <c r="A225" s="248" t="s">
        <v>373</v>
      </c>
      <c r="B225" s="59" t="s">
        <v>374</v>
      </c>
      <c r="C225" s="107" t="str">
        <f>[2]Expenses!C225</f>
        <v>Amortized Debt Expense</v>
      </c>
      <c r="D225" s="33">
        <f>[2]Expenses!D225</f>
        <v>0</v>
      </c>
      <c r="E225" s="282">
        <f>[2]Expenses!E225</f>
        <v>0</v>
      </c>
      <c r="F225" s="225" t="str">
        <f>IFERROR(D225/(E225+D225),"-")</f>
        <v>-</v>
      </c>
      <c r="G225" s="225" t="str">
        <f>IFERROR(E225/(D225+E225),"-")</f>
        <v>-</v>
      </c>
      <c r="H225" s="227">
        <f t="shared" ref="H225:H244" si="26">(E225+D225)</f>
        <v>0</v>
      </c>
      <c r="I225" s="232">
        <f>[2]Expenses!I225</f>
        <v>0</v>
      </c>
      <c r="J225" s="233">
        <f>[2]Expenses!J225</f>
        <v>0</v>
      </c>
      <c r="K225" s="520"/>
    </row>
    <row r="226" spans="1:14">
      <c r="A226" s="248" t="s">
        <v>79</v>
      </c>
      <c r="B226" s="59" t="s">
        <v>375</v>
      </c>
      <c r="C226" s="107" t="str">
        <f>[2]Expenses!C226</f>
        <v>Amortized Debt Gain/Loss KRWFC Series 2016B</v>
      </c>
      <c r="D226" s="33">
        <f>[2]Expenses!D226</f>
        <v>0</v>
      </c>
      <c r="E226" s="68">
        <f>[2]Expenses!E226</f>
        <v>1192</v>
      </c>
      <c r="F226" s="225">
        <f t="shared" ref="F226:F244" si="27">IFERROR(D226/(E226+D226),"-")</f>
        <v>0</v>
      </c>
      <c r="G226" s="225">
        <f t="shared" ref="G226:G244" si="28">IFERROR(E226/(D226+E226),"-")</f>
        <v>1</v>
      </c>
      <c r="H226" s="227">
        <f t="shared" si="26"/>
        <v>1192</v>
      </c>
      <c r="I226" s="232">
        <f>[2]Expenses!I226</f>
        <v>0</v>
      </c>
      <c r="J226" s="233">
        <f>[2]Expenses!J226</f>
        <v>1192</v>
      </c>
      <c r="K226" s="520"/>
      <c r="M226" s="99"/>
      <c r="N226" s="99"/>
    </row>
    <row r="227" spans="1:14">
      <c r="A227" s="248" t="s">
        <v>376</v>
      </c>
      <c r="B227" s="59" t="s">
        <v>377</v>
      </c>
      <c r="C227" s="107" t="str">
        <f>[2]Expenses!C227</f>
        <v>Amortized Debt Gain/Loss KRWFC Series 2021A</v>
      </c>
      <c r="D227" s="33">
        <f>[2]Expenses!D227</f>
        <v>0</v>
      </c>
      <c r="E227" s="68">
        <f>[2]Expenses!E227</f>
        <v>2055</v>
      </c>
      <c r="F227" s="225">
        <f t="shared" si="27"/>
        <v>0</v>
      </c>
      <c r="G227" s="225">
        <f t="shared" si="28"/>
        <v>1</v>
      </c>
      <c r="H227" s="227">
        <f t="shared" si="26"/>
        <v>2055</v>
      </c>
      <c r="I227" s="232">
        <f>[2]Expenses!I227</f>
        <v>0</v>
      </c>
      <c r="J227" s="233">
        <f>[2]Expenses!J227</f>
        <v>2055</v>
      </c>
      <c r="K227" s="520"/>
      <c r="N227" s="99"/>
    </row>
    <row r="228" spans="1:14">
      <c r="A228" s="248" t="s">
        <v>378</v>
      </c>
      <c r="B228" s="59" t="s">
        <v>79</v>
      </c>
      <c r="C228" s="107" t="str">
        <f>[2]Expenses!C228</f>
        <v>Amortized Debt Expense</v>
      </c>
      <c r="D228" s="33">
        <f>[2]Expenses!D228</f>
        <v>-7049</v>
      </c>
      <c r="E228" s="68">
        <f>[2]Expenses!E228</f>
        <v>0</v>
      </c>
      <c r="F228" s="225">
        <f t="shared" si="27"/>
        <v>1</v>
      </c>
      <c r="G228" s="225">
        <f t="shared" si="28"/>
        <v>0</v>
      </c>
      <c r="H228" s="227">
        <f t="shared" si="26"/>
        <v>-7049</v>
      </c>
      <c r="I228" s="232">
        <f>[2]Expenses!I228</f>
        <v>-7049</v>
      </c>
      <c r="J228" s="233">
        <f>[2]Expenses!J228</f>
        <v>0</v>
      </c>
      <c r="K228" s="520"/>
    </row>
    <row r="229" spans="1:14">
      <c r="A229" s="248" t="s">
        <v>79</v>
      </c>
      <c r="B229" s="59" t="s">
        <v>379</v>
      </c>
      <c r="C229" s="107" t="str">
        <f>[2]Expenses!C229</f>
        <v>Debt Issuance Expense</v>
      </c>
      <c r="D229" s="33">
        <f>[2]Expenses!D229</f>
        <v>0</v>
      </c>
      <c r="E229" s="68">
        <f>[2]Expenses!E229</f>
        <v>-2384</v>
      </c>
      <c r="F229" s="225">
        <f t="shared" si="27"/>
        <v>0</v>
      </c>
      <c r="G229" s="225">
        <f t="shared" si="28"/>
        <v>1</v>
      </c>
      <c r="H229" s="227">
        <f t="shared" si="26"/>
        <v>-2384</v>
      </c>
      <c r="I229" s="232">
        <f>[2]Expenses!I229</f>
        <v>0</v>
      </c>
      <c r="J229" s="233">
        <f>[2]Expenses!J229</f>
        <v>-2384</v>
      </c>
      <c r="K229" s="520"/>
    </row>
    <row r="230" spans="1:14">
      <c r="A230" s="248" t="s">
        <v>380</v>
      </c>
      <c r="B230" s="59" t="s">
        <v>381</v>
      </c>
      <c r="C230" s="107" t="str">
        <f>[2]Expenses!C230</f>
        <v>OPEB Expense</v>
      </c>
      <c r="D230" s="33">
        <f>[2]Expenses!D230</f>
        <v>8618</v>
      </c>
      <c r="E230" s="68">
        <f>[2]Expenses!E230</f>
        <v>29230</v>
      </c>
      <c r="F230" s="225">
        <f t="shared" si="27"/>
        <v>0.2277002747833439</v>
      </c>
      <c r="G230" s="225">
        <f t="shared" si="28"/>
        <v>0.77229972521665613</v>
      </c>
      <c r="H230" s="227">
        <f t="shared" si="26"/>
        <v>37848</v>
      </c>
      <c r="I230" s="232">
        <f>[2]Expenses!I230</f>
        <v>8618</v>
      </c>
      <c r="J230" s="233">
        <f>[2]Expenses!J230</f>
        <v>29230</v>
      </c>
      <c r="K230" s="520"/>
    </row>
    <row r="231" spans="1:14">
      <c r="A231" s="248"/>
      <c r="B231" s="59"/>
      <c r="C231" s="107" t="str">
        <f>[2]Expenses!C231</f>
        <v xml:space="preserve">Bonds- Series 2020, USDA </v>
      </c>
      <c r="D231" s="33">
        <f>[2]Expenses!D231</f>
        <v>7500</v>
      </c>
      <c r="E231" s="68">
        <f>[2]Expenses!E231</f>
        <v>0</v>
      </c>
      <c r="F231" s="225">
        <f t="shared" si="27"/>
        <v>1</v>
      </c>
      <c r="G231" s="225">
        <f t="shared" si="28"/>
        <v>0</v>
      </c>
      <c r="H231" s="227">
        <f t="shared" si="26"/>
        <v>7500</v>
      </c>
      <c r="I231" s="232">
        <f>[2]Expenses!I231</f>
        <v>9800</v>
      </c>
      <c r="J231" s="233">
        <f>[2]Expenses!J231</f>
        <v>0</v>
      </c>
      <c r="K231" s="520" t="str">
        <f>[2]Expenses!K231</f>
        <v>20% Debt Service Coverage</v>
      </c>
    </row>
    <row r="232" spans="1:14">
      <c r="A232" s="248"/>
      <c r="B232" s="59"/>
      <c r="C232" s="107" t="str">
        <f>[2]Expenses!C232</f>
        <v>Loan- KIA, Buchanon Park (C11-02)</v>
      </c>
      <c r="D232" s="33">
        <f>[2]Expenses!D232</f>
        <v>40586.54</v>
      </c>
      <c r="E232" s="68">
        <f>[2]Expenses!E232</f>
        <v>0</v>
      </c>
      <c r="F232" s="225">
        <f t="shared" si="27"/>
        <v>1</v>
      </c>
      <c r="G232" s="225">
        <f t="shared" si="28"/>
        <v>0</v>
      </c>
      <c r="H232" s="227">
        <f t="shared" si="26"/>
        <v>40586.54</v>
      </c>
      <c r="I232" s="232">
        <f>[2]Expenses!I232</f>
        <v>51727.199999999997</v>
      </c>
      <c r="J232" s="233">
        <f>[2]Expenses!J232</f>
        <v>0</v>
      </c>
      <c r="K232" s="520" t="str">
        <f>[2]Expenses!K232</f>
        <v>20% Debt Service Coverage</v>
      </c>
    </row>
    <row r="233" spans="1:14">
      <c r="A233" s="248"/>
      <c r="B233" s="59"/>
      <c r="C233" s="107" t="str">
        <f>[2]Expenses!C233</f>
        <v>Loan- Series 2013B, RWFA</v>
      </c>
      <c r="D233" s="33">
        <f>[2]Expenses!D233</f>
        <v>9870.9500000000007</v>
      </c>
      <c r="E233" s="68">
        <f>[2]Expenses!E233</f>
        <v>0</v>
      </c>
      <c r="F233" s="225">
        <f t="shared" si="27"/>
        <v>1</v>
      </c>
      <c r="G233" s="225">
        <f t="shared" si="28"/>
        <v>0</v>
      </c>
      <c r="H233" s="227">
        <f t="shared" si="26"/>
        <v>9870.9500000000007</v>
      </c>
      <c r="I233" s="232">
        <f>[2]Expenses!I233</f>
        <v>11845.199999999999</v>
      </c>
      <c r="J233" s="233">
        <f>[2]Expenses!J233</f>
        <v>0</v>
      </c>
      <c r="K233" s="520" t="str">
        <f>[2]Expenses!K233</f>
        <v>20% Debt Service Coverage</v>
      </c>
    </row>
    <row r="234" spans="1:14">
      <c r="A234" s="248"/>
      <c r="B234" s="59"/>
      <c r="C234" s="107" t="str">
        <f>[2]Expenses!C234</f>
        <v>Loan - KIA, Plum Springs Rehab (B19-006)</v>
      </c>
      <c r="D234" s="33">
        <f>[2]Expenses!D234</f>
        <v>85570.44</v>
      </c>
      <c r="E234" s="68">
        <f>[2]Expenses!E234</f>
        <v>0</v>
      </c>
      <c r="F234" s="225">
        <f t="shared" si="27"/>
        <v>1</v>
      </c>
      <c r="G234" s="225">
        <f t="shared" si="28"/>
        <v>0</v>
      </c>
      <c r="H234" s="227">
        <f t="shared" si="26"/>
        <v>85570.44</v>
      </c>
      <c r="I234" s="232">
        <f>[2]Expenses!I234</f>
        <v>106868</v>
      </c>
      <c r="J234" s="233">
        <f>[2]Expenses!J234</f>
        <v>0</v>
      </c>
      <c r="K234" s="520" t="str">
        <f>[2]Expenses!K234</f>
        <v>20% Debt Service Coverage</v>
      </c>
    </row>
    <row r="235" spans="1:14">
      <c r="A235" s="248"/>
      <c r="B235" s="59"/>
      <c r="C235" s="107" t="str">
        <f>[2]Expenses!C235</f>
        <v>Loan- Series 2021A, KRWFC</v>
      </c>
      <c r="D235" s="33">
        <f>[2]Expenses!D235</f>
        <v>100000</v>
      </c>
      <c r="E235" s="68">
        <f>[2]Expenses!E235</f>
        <v>155000</v>
      </c>
      <c r="F235" s="225">
        <f t="shared" si="27"/>
        <v>0.39215686274509803</v>
      </c>
      <c r="G235" s="225">
        <f t="shared" si="28"/>
        <v>0.60784313725490191</v>
      </c>
      <c r="H235" s="227">
        <f t="shared" si="26"/>
        <v>255000</v>
      </c>
      <c r="I235" s="232">
        <f>[2]Expenses!I235</f>
        <v>114000</v>
      </c>
      <c r="J235" s="233">
        <f>[2]Expenses!J235</f>
        <v>162000</v>
      </c>
      <c r="K235" s="520" t="str">
        <f>[2]Expenses!K235</f>
        <v>20% Debt Service Coverage</v>
      </c>
    </row>
    <row r="236" spans="1:14">
      <c r="A236" s="248"/>
      <c r="B236" s="59"/>
      <c r="C236" s="107" t="str">
        <f>[2]Expenses!C236</f>
        <v>Loan- Series 2022D, KRWFC</v>
      </c>
      <c r="D236" s="33">
        <f>[2]Expenses!D236</f>
        <v>0</v>
      </c>
      <c r="E236" s="68">
        <f>[2]Expenses!E236</f>
        <v>0</v>
      </c>
      <c r="F236" s="225" t="str">
        <f t="shared" si="27"/>
        <v>-</v>
      </c>
      <c r="G236" s="225" t="str">
        <f t="shared" si="28"/>
        <v>-</v>
      </c>
      <c r="H236" s="227">
        <f t="shared" si="26"/>
        <v>0</v>
      </c>
      <c r="I236" s="232">
        <f>[2]Expenses!I236</f>
        <v>0</v>
      </c>
      <c r="J236" s="233">
        <f>[2]Expenses!J236</f>
        <v>0</v>
      </c>
      <c r="K236" s="520" t="str">
        <f>[2]Expenses!K236</f>
        <v>20% Debt Service Coverage</v>
      </c>
    </row>
    <row r="237" spans="1:14">
      <c r="A237" s="248"/>
      <c r="B237" s="59"/>
      <c r="C237" s="107" t="str">
        <f>[2]Expenses!C237</f>
        <v>Bond- Series 2005A, USDA (RD)</v>
      </c>
      <c r="D237" s="33">
        <f>[2]Expenses!D237</f>
        <v>0</v>
      </c>
      <c r="E237" s="68">
        <f>[2]Expenses!E237</f>
        <v>26000</v>
      </c>
      <c r="F237" s="225">
        <f t="shared" si="27"/>
        <v>0</v>
      </c>
      <c r="G237" s="225">
        <f t="shared" si="28"/>
        <v>1</v>
      </c>
      <c r="H237" s="227">
        <f t="shared" si="26"/>
        <v>26000</v>
      </c>
      <c r="I237" s="232">
        <f>[2]Expenses!I237</f>
        <v>0</v>
      </c>
      <c r="J237" s="233">
        <f>[2]Expenses!J237</f>
        <v>33600</v>
      </c>
      <c r="K237" s="520" t="str">
        <f>[2]Expenses!K237</f>
        <v>20% Debt Service Coverage</v>
      </c>
    </row>
    <row r="238" spans="1:14">
      <c r="A238" s="248"/>
      <c r="B238" s="59"/>
      <c r="C238" s="107" t="str">
        <f>[2]Expenses!C238</f>
        <v>Loan- Series 2013B, KRWFC</v>
      </c>
      <c r="D238" s="33">
        <f>[2]Expenses!D238</f>
        <v>0</v>
      </c>
      <c r="E238" s="68">
        <f>[2]Expenses!E238</f>
        <v>140129.04999999999</v>
      </c>
      <c r="F238" s="225">
        <f t="shared" si="27"/>
        <v>0</v>
      </c>
      <c r="G238" s="225">
        <f t="shared" si="28"/>
        <v>1</v>
      </c>
      <c r="H238" s="227">
        <f t="shared" si="26"/>
        <v>140129.04999999999</v>
      </c>
      <c r="I238" s="232">
        <f>[2]Expenses!I238</f>
        <v>0</v>
      </c>
      <c r="J238" s="233">
        <f>[2]Expenses!J238</f>
        <v>168154.8</v>
      </c>
      <c r="K238" s="520" t="str">
        <f>[2]Expenses!K238</f>
        <v>20% Debt Service Coverage</v>
      </c>
    </row>
    <row r="239" spans="1:14">
      <c r="A239" s="248"/>
      <c r="B239" s="59"/>
      <c r="C239" s="107" t="str">
        <f>[2]Expenses!C239</f>
        <v>Loan- Series 2016B, KRWFC</v>
      </c>
      <c r="D239" s="33">
        <f>[2]Expenses!D239</f>
        <v>0</v>
      </c>
      <c r="E239" s="68">
        <f>[2]Expenses!E239</f>
        <v>165000</v>
      </c>
      <c r="F239" s="225">
        <f t="shared" si="27"/>
        <v>0</v>
      </c>
      <c r="G239" s="225">
        <f t="shared" si="28"/>
        <v>1</v>
      </c>
      <c r="H239" s="227">
        <f t="shared" si="26"/>
        <v>165000</v>
      </c>
      <c r="I239" s="232">
        <f>[2]Expenses!I239</f>
        <v>0</v>
      </c>
      <c r="J239" s="233">
        <f>[2]Expenses!J239</f>
        <v>202000</v>
      </c>
      <c r="K239" s="520" t="str">
        <f>[2]Expenses!K239</f>
        <v>20% Debt Service Coverage</v>
      </c>
    </row>
    <row r="240" spans="1:14">
      <c r="A240" s="248"/>
      <c r="B240" s="59"/>
      <c r="C240" s="107" t="str">
        <f>[2]Expenses!C240</f>
        <v xml:space="preserve">Loan- Series 2020 KIA </v>
      </c>
      <c r="D240" s="33">
        <f>[2]Expenses!D240</f>
        <v>0</v>
      </c>
      <c r="E240" s="68">
        <f>[2]Expenses!E240</f>
        <v>78818.14</v>
      </c>
      <c r="F240" s="225">
        <f t="shared" si="27"/>
        <v>0</v>
      </c>
      <c r="G240" s="225">
        <f t="shared" si="28"/>
        <v>1</v>
      </c>
      <c r="H240" s="227">
        <f t="shared" si="26"/>
        <v>78818.14</v>
      </c>
      <c r="I240" s="232">
        <f>[2]Expenses!I240</f>
        <v>0</v>
      </c>
      <c r="J240" s="233">
        <f>[2]Expenses!J240</f>
        <v>100415.2</v>
      </c>
      <c r="K240" s="520" t="str">
        <f>[2]Expenses!K240</f>
        <v>20% Debt Service Coverage</v>
      </c>
    </row>
    <row r="241" spans="1:13">
      <c r="A241" s="248"/>
      <c r="B241" s="59"/>
      <c r="C241" s="107" t="str">
        <f>[2]Expenses!C241</f>
        <v>-</v>
      </c>
      <c r="D241" s="33">
        <f>[2]Expenses!D241</f>
        <v>0</v>
      </c>
      <c r="E241" s="68">
        <f>[2]Expenses!E241</f>
        <v>0</v>
      </c>
      <c r="F241" s="225" t="str">
        <f t="shared" si="27"/>
        <v>-</v>
      </c>
      <c r="G241" s="225" t="str">
        <f t="shared" si="28"/>
        <v>-</v>
      </c>
      <c r="H241" s="227">
        <f t="shared" si="26"/>
        <v>0</v>
      </c>
      <c r="I241" s="232">
        <f>[2]Expenses!I241</f>
        <v>0</v>
      </c>
      <c r="J241" s="233">
        <f>[2]Expenses!J241</f>
        <v>0</v>
      </c>
      <c r="K241" s="520" t="str">
        <f>[2]Expenses!K241</f>
        <v>20% Debt Service Coverage</v>
      </c>
    </row>
    <row r="242" spans="1:13">
      <c r="A242" s="248"/>
      <c r="B242" s="59"/>
      <c r="C242" s="107" t="str">
        <f>[2]Expenses!C242</f>
        <v>-</v>
      </c>
      <c r="D242" s="33">
        <f>[2]Expenses!D242</f>
        <v>0</v>
      </c>
      <c r="E242" s="68">
        <f>[2]Expenses!E242</f>
        <v>0</v>
      </c>
      <c r="F242" s="225" t="str">
        <f t="shared" si="27"/>
        <v>-</v>
      </c>
      <c r="G242" s="225" t="str">
        <f t="shared" si="28"/>
        <v>-</v>
      </c>
      <c r="H242" s="227">
        <f t="shared" si="26"/>
        <v>0</v>
      </c>
      <c r="I242" s="232">
        <f>[2]Expenses!I242</f>
        <v>0</v>
      </c>
      <c r="J242" s="233">
        <f>[2]Expenses!J242</f>
        <v>0</v>
      </c>
      <c r="K242" s="520"/>
    </row>
    <row r="243" spans="1:13">
      <c r="A243" s="248"/>
      <c r="B243" s="59"/>
      <c r="C243" s="107" t="str">
        <f>[2]Expenses!C243</f>
        <v>-</v>
      </c>
      <c r="D243" s="33">
        <f>[2]Expenses!D243</f>
        <v>0</v>
      </c>
      <c r="E243" s="68">
        <f>[2]Expenses!E243</f>
        <v>0</v>
      </c>
      <c r="F243" s="225" t="str">
        <f t="shared" si="27"/>
        <v>-</v>
      </c>
      <c r="G243" s="225" t="str">
        <f t="shared" si="28"/>
        <v>-</v>
      </c>
      <c r="H243" s="227">
        <f t="shared" si="26"/>
        <v>0</v>
      </c>
      <c r="I243" s="232">
        <f>[2]Expenses!I243</f>
        <v>0</v>
      </c>
      <c r="J243" s="233">
        <f>[2]Expenses!J243</f>
        <v>0</v>
      </c>
      <c r="K243" s="46"/>
    </row>
    <row r="244" spans="1:13">
      <c r="A244" s="248"/>
      <c r="B244" s="59"/>
      <c r="C244" s="107" t="str">
        <f>[2]Expenses!C244</f>
        <v>-</v>
      </c>
      <c r="D244" s="33">
        <f>[2]Expenses!D244</f>
        <v>0</v>
      </c>
      <c r="E244" s="68">
        <f>[2]Expenses!E244</f>
        <v>0</v>
      </c>
      <c r="F244" s="264" t="str">
        <f t="shared" si="27"/>
        <v>-</v>
      </c>
      <c r="G244" s="264" t="str">
        <f t="shared" si="28"/>
        <v>-</v>
      </c>
      <c r="H244" s="268">
        <f t="shared" si="26"/>
        <v>0</v>
      </c>
      <c r="I244" s="232">
        <f>[2]Expenses!I244</f>
        <v>0</v>
      </c>
      <c r="J244" s="233">
        <f>[2]Expenses!J244</f>
        <v>0</v>
      </c>
      <c r="K244" s="89"/>
    </row>
    <row r="245" spans="1:13">
      <c r="A245" s="251"/>
      <c r="B245" s="152"/>
      <c r="C245" s="161" t="s">
        <v>30</v>
      </c>
      <c r="D245" s="481">
        <f>SUM(D225:D244)</f>
        <v>245096.93</v>
      </c>
      <c r="E245" s="154">
        <f>SUM(E225:E244)</f>
        <v>595040.18999999994</v>
      </c>
      <c r="F245" s="151"/>
      <c r="G245" s="151"/>
      <c r="H245" s="158">
        <f>SUM(H225:H244)</f>
        <v>840137.12</v>
      </c>
      <c r="I245" s="158">
        <f>SUM(I225:I244)</f>
        <v>295809.40000000002</v>
      </c>
      <c r="J245" s="162">
        <f>SUM(J225:J244)</f>
        <v>696263</v>
      </c>
      <c r="K245" s="152"/>
      <c r="M245" s="99"/>
    </row>
    <row r="246" spans="1:13">
      <c r="A246" s="247"/>
      <c r="C246" s="96"/>
      <c r="D246" s="42"/>
      <c r="E246" s="51"/>
      <c r="H246" s="43"/>
      <c r="I246" s="44"/>
      <c r="J246" s="45"/>
      <c r="K246" s="46"/>
    </row>
    <row r="247" spans="1:13" ht="15.75" thickBot="1">
      <c r="A247" s="252"/>
      <c r="B247" s="181"/>
      <c r="C247" s="182" t="s">
        <v>38</v>
      </c>
      <c r="D247" s="183">
        <f>SUM(D36,D73,D94,D116,D138,D173,D222,D245)</f>
        <v>6961912.9299999997</v>
      </c>
      <c r="E247" s="184">
        <f>SUM(E36,E73,E94,E116,E138,E173,E222,E245)</f>
        <v>17800297.190000001</v>
      </c>
      <c r="F247" s="185"/>
      <c r="G247" s="185"/>
      <c r="H247" s="186">
        <f>SUM(H36,H73,H94,H116,H138,H173,H222,H245)</f>
        <v>24762210.120000001</v>
      </c>
      <c r="I247" s="186">
        <f>SUM(I36,I73,I94,I116,I138,I173,I222,I245)</f>
        <v>7533177.3730030004</v>
      </c>
      <c r="J247" s="176">
        <f>SUM(J36,J73,J94,J116,J138,J173,J222,J245)</f>
        <v>19204087.512952901</v>
      </c>
      <c r="K247" s="181"/>
      <c r="M247" s="99"/>
    </row>
    <row r="248" spans="1:13">
      <c r="A248" s="253"/>
      <c r="B248" s="22"/>
      <c r="J248" s="86"/>
      <c r="M248" s="99"/>
    </row>
    <row r="249" spans="1:13">
      <c r="A249" s="313" t="s">
        <v>100</v>
      </c>
      <c r="B249" s="287"/>
      <c r="C249" s="108"/>
      <c r="D249" s="50"/>
      <c r="H249" s="99"/>
    </row>
    <row r="250" spans="1:13">
      <c r="A250" s="839" t="s">
        <v>101</v>
      </c>
      <c r="B250" s="839"/>
      <c r="C250" s="839"/>
      <c r="H250" s="99"/>
    </row>
    <row r="251" spans="1:13">
      <c r="A251" s="839" t="s">
        <v>102</v>
      </c>
      <c r="B251" s="839"/>
      <c r="C251" s="839"/>
    </row>
    <row r="252" spans="1:13">
      <c r="A252" s="839" t="s">
        <v>382</v>
      </c>
      <c r="B252" s="840"/>
      <c r="C252" s="840"/>
    </row>
    <row r="253" spans="1:13">
      <c r="A253" s="839" t="s">
        <v>383</v>
      </c>
      <c r="B253" s="840"/>
      <c r="C253" s="840"/>
    </row>
    <row r="254" spans="1:13">
      <c r="A254" s="839" t="s">
        <v>384</v>
      </c>
      <c r="B254" s="839"/>
      <c r="C254" s="839"/>
    </row>
    <row r="255" spans="1:13">
      <c r="A255" s="108" t="s">
        <v>385</v>
      </c>
      <c r="B255" s="108"/>
      <c r="C255" s="108"/>
    </row>
    <row r="256" spans="1:13">
      <c r="A256" s="108" t="s">
        <v>386</v>
      </c>
      <c r="B256" s="108"/>
      <c r="C256" s="108"/>
    </row>
    <row r="257" spans="1:2">
      <c r="A257" s="313" t="s">
        <v>387</v>
      </c>
      <c r="B257" s="22"/>
    </row>
    <row r="258" spans="1:2">
      <c r="B258" s="22"/>
    </row>
    <row r="259" spans="1:2">
      <c r="B259" s="22"/>
    </row>
    <row r="260" spans="1:2">
      <c r="B260" s="22"/>
    </row>
    <row r="261" spans="1:2">
      <c r="B261" s="22"/>
    </row>
    <row r="262" spans="1:2">
      <c r="B262" s="22"/>
    </row>
    <row r="263" spans="1:2">
      <c r="B263" s="22"/>
    </row>
    <row r="264" spans="1:2">
      <c r="B264" s="22"/>
    </row>
    <row r="265" spans="1:2">
      <c r="B265" s="22"/>
    </row>
    <row r="266" spans="1:2">
      <c r="B266" s="22"/>
    </row>
    <row r="267" spans="1:2">
      <c r="B267" s="22"/>
    </row>
    <row r="268" spans="1:2">
      <c r="B268" s="22"/>
    </row>
    <row r="269" spans="1:2">
      <c r="B269" s="22"/>
    </row>
    <row r="270" spans="1:2">
      <c r="B270" s="22"/>
    </row>
    <row r="271" spans="1:2">
      <c r="B271" s="22"/>
    </row>
    <row r="272" spans="1:2">
      <c r="B272" s="22"/>
    </row>
    <row r="273" spans="2:2">
      <c r="B273" s="22"/>
    </row>
    <row r="274" spans="2:2">
      <c r="B274" s="22"/>
    </row>
    <row r="275" spans="2:2">
      <c r="B275" s="22"/>
    </row>
    <row r="276" spans="2:2">
      <c r="B276" s="22"/>
    </row>
    <row r="277" spans="2:2">
      <c r="B277" s="22"/>
    </row>
    <row r="278" spans="2:2">
      <c r="B278" s="22"/>
    </row>
    <row r="279" spans="2:2">
      <c r="B279" s="22"/>
    </row>
    <row r="280" spans="2:2">
      <c r="B280" s="22"/>
    </row>
    <row r="281" spans="2:2">
      <c r="B281" s="22"/>
    </row>
    <row r="282" spans="2:2">
      <c r="B282" s="22"/>
    </row>
    <row r="283" spans="2:2">
      <c r="B283" s="22"/>
    </row>
    <row r="284" spans="2:2">
      <c r="B284" s="22"/>
    </row>
    <row r="285" spans="2:2">
      <c r="B285" s="22"/>
    </row>
    <row r="286" spans="2:2">
      <c r="B286" s="22"/>
    </row>
    <row r="287" spans="2:2">
      <c r="B287" s="22"/>
    </row>
    <row r="288" spans="2:2">
      <c r="B288" s="22"/>
    </row>
    <row r="289" spans="2:2">
      <c r="B289" s="22"/>
    </row>
    <row r="290" spans="2:2">
      <c r="B290" s="22"/>
    </row>
    <row r="291" spans="2:2">
      <c r="B291" s="22"/>
    </row>
    <row r="292" spans="2:2">
      <c r="B292" s="22"/>
    </row>
    <row r="293" spans="2:2">
      <c r="B293" s="22"/>
    </row>
    <row r="294" spans="2:2">
      <c r="B294" s="22"/>
    </row>
    <row r="295" spans="2:2">
      <c r="B295" s="22"/>
    </row>
    <row r="296" spans="2:2">
      <c r="B296" s="22"/>
    </row>
    <row r="297" spans="2:2">
      <c r="B297" s="22"/>
    </row>
    <row r="298" spans="2:2">
      <c r="B298" s="22"/>
    </row>
    <row r="299" spans="2:2">
      <c r="B299" s="22"/>
    </row>
    <row r="300" spans="2:2">
      <c r="B300" s="22"/>
    </row>
    <row r="301" spans="2:2">
      <c r="B301" s="22"/>
    </row>
    <row r="302" spans="2:2">
      <c r="B302" s="22"/>
    </row>
    <row r="303" spans="2:2">
      <c r="B303" s="22"/>
    </row>
    <row r="304" spans="2:2">
      <c r="B304" s="22"/>
    </row>
    <row r="305" spans="2:2">
      <c r="B305" s="22"/>
    </row>
    <row r="306" spans="2:2">
      <c r="B306" s="22"/>
    </row>
    <row r="307" spans="2:2">
      <c r="B307" s="22"/>
    </row>
    <row r="308" spans="2:2">
      <c r="B308" s="22"/>
    </row>
    <row r="309" spans="2:2">
      <c r="B309" s="22"/>
    </row>
    <row r="310" spans="2:2">
      <c r="B310" s="22"/>
    </row>
    <row r="311" spans="2:2">
      <c r="B311" s="22"/>
    </row>
    <row r="312" spans="2:2">
      <c r="B312" s="22"/>
    </row>
    <row r="313" spans="2:2">
      <c r="B313" s="22"/>
    </row>
    <row r="314" spans="2:2">
      <c r="B314" s="22"/>
    </row>
    <row r="315" spans="2:2">
      <c r="B315" s="22"/>
    </row>
    <row r="316" spans="2:2">
      <c r="B316" s="22"/>
    </row>
    <row r="317" spans="2:2">
      <c r="B317" s="22"/>
    </row>
    <row r="318" spans="2:2">
      <c r="B318" s="22"/>
    </row>
    <row r="319" spans="2:2">
      <c r="B319" s="22"/>
    </row>
    <row r="320" spans="2:2">
      <c r="B320" s="22"/>
    </row>
    <row r="321" spans="2:2">
      <c r="B321" s="22"/>
    </row>
    <row r="322" spans="2:2">
      <c r="B322" s="22"/>
    </row>
    <row r="323" spans="2:2">
      <c r="B323" s="22"/>
    </row>
    <row r="324" spans="2:2">
      <c r="B324" s="22"/>
    </row>
    <row r="325" spans="2:2">
      <c r="B325" s="22"/>
    </row>
    <row r="326" spans="2:2">
      <c r="B326" s="22"/>
    </row>
    <row r="327" spans="2:2">
      <c r="B327" s="22"/>
    </row>
    <row r="328" spans="2:2">
      <c r="B328" s="22"/>
    </row>
    <row r="329" spans="2:2">
      <c r="B329" s="22"/>
    </row>
    <row r="330" spans="2:2">
      <c r="B330" s="22"/>
    </row>
    <row r="331" spans="2:2">
      <c r="B331" s="22"/>
    </row>
    <row r="332" spans="2:2">
      <c r="B332" s="22"/>
    </row>
    <row r="333" spans="2:2">
      <c r="B333" s="22"/>
    </row>
    <row r="334" spans="2:2">
      <c r="B334" s="22"/>
    </row>
    <row r="335" spans="2:2">
      <c r="B335" s="22"/>
    </row>
    <row r="336" spans="2:2">
      <c r="B336" s="22"/>
    </row>
    <row r="337" spans="2:2">
      <c r="B337" s="22"/>
    </row>
    <row r="338" spans="2:2">
      <c r="B338" s="22"/>
    </row>
    <row r="339" spans="2:2">
      <c r="B339" s="22"/>
    </row>
    <row r="340" spans="2:2">
      <c r="B340" s="22"/>
    </row>
    <row r="341" spans="2:2">
      <c r="B341" s="22"/>
    </row>
    <row r="342" spans="2:2">
      <c r="B342" s="22"/>
    </row>
    <row r="343" spans="2:2">
      <c r="B343" s="22"/>
    </row>
    <row r="344" spans="2:2">
      <c r="B344" s="22"/>
    </row>
    <row r="345" spans="2:2">
      <c r="B345" s="22"/>
    </row>
    <row r="346" spans="2:2">
      <c r="B346" s="22"/>
    </row>
    <row r="347" spans="2:2">
      <c r="B347" s="22"/>
    </row>
    <row r="348" spans="2:2">
      <c r="B348" s="22"/>
    </row>
    <row r="349" spans="2:2">
      <c r="B349" s="22"/>
    </row>
    <row r="350" spans="2:2">
      <c r="B350" s="22"/>
    </row>
    <row r="351" spans="2:2">
      <c r="B351" s="22"/>
    </row>
    <row r="352" spans="2:2">
      <c r="B352" s="22"/>
    </row>
    <row r="353" spans="2:2">
      <c r="B353" s="22"/>
    </row>
    <row r="354" spans="2:2">
      <c r="B354" s="22"/>
    </row>
    <row r="355" spans="2:2">
      <c r="B355" s="22"/>
    </row>
    <row r="356" spans="2:2">
      <c r="B356" s="22"/>
    </row>
    <row r="357" spans="2:2">
      <c r="B357" s="22"/>
    </row>
    <row r="358" spans="2:2">
      <c r="B358" s="22"/>
    </row>
    <row r="359" spans="2:2">
      <c r="B359" s="22"/>
    </row>
    <row r="360" spans="2:2">
      <c r="B360" s="22"/>
    </row>
    <row r="361" spans="2:2">
      <c r="B361" s="22"/>
    </row>
    <row r="362" spans="2:2">
      <c r="B362" s="22"/>
    </row>
    <row r="363" spans="2:2">
      <c r="B363" s="22"/>
    </row>
    <row r="364" spans="2:2">
      <c r="B364" s="22"/>
    </row>
    <row r="365" spans="2:2">
      <c r="B365" s="22"/>
    </row>
    <row r="366" spans="2:2">
      <c r="B366" s="22"/>
    </row>
    <row r="367" spans="2:2">
      <c r="B367" s="22"/>
    </row>
    <row r="368" spans="2:2">
      <c r="B368" s="22"/>
    </row>
    <row r="369" spans="2:2">
      <c r="B369" s="22"/>
    </row>
    <row r="370" spans="2:2">
      <c r="B370" s="22"/>
    </row>
    <row r="371" spans="2:2">
      <c r="B371" s="22"/>
    </row>
    <row r="372" spans="2:2">
      <c r="B372" s="22"/>
    </row>
    <row r="373" spans="2:2">
      <c r="B373" s="22"/>
    </row>
    <row r="374" spans="2:2">
      <c r="B374" s="22"/>
    </row>
    <row r="375" spans="2:2">
      <c r="B375" s="22"/>
    </row>
    <row r="376" spans="2:2">
      <c r="B376" s="22"/>
    </row>
    <row r="377" spans="2:2">
      <c r="B377" s="22"/>
    </row>
    <row r="378" spans="2:2">
      <c r="B378" s="22"/>
    </row>
    <row r="379" spans="2:2">
      <c r="B379" s="22"/>
    </row>
    <row r="380" spans="2:2">
      <c r="B380" s="22"/>
    </row>
    <row r="381" spans="2:2">
      <c r="B381" s="22"/>
    </row>
    <row r="382" spans="2:2">
      <c r="B382" s="22"/>
    </row>
    <row r="383" spans="2:2">
      <c r="B383" s="22"/>
    </row>
    <row r="384" spans="2:2">
      <c r="B384" s="22"/>
    </row>
    <row r="385" spans="2:2">
      <c r="B385" s="22"/>
    </row>
    <row r="386" spans="2:2">
      <c r="B386" s="22"/>
    </row>
    <row r="387" spans="2:2">
      <c r="B387" s="22"/>
    </row>
    <row r="388" spans="2:2">
      <c r="B388" s="22"/>
    </row>
    <row r="389" spans="2:2">
      <c r="B389" s="22"/>
    </row>
    <row r="390" spans="2:2">
      <c r="B390" s="22"/>
    </row>
    <row r="391" spans="2:2">
      <c r="B391" s="22"/>
    </row>
    <row r="392" spans="2:2">
      <c r="B392" s="22"/>
    </row>
    <row r="393" spans="2:2">
      <c r="B393" s="22"/>
    </row>
    <row r="394" spans="2:2">
      <c r="B394" s="22"/>
    </row>
    <row r="395" spans="2:2">
      <c r="B395" s="22"/>
    </row>
    <row r="396" spans="2:2">
      <c r="B396" s="22"/>
    </row>
    <row r="397" spans="2:2">
      <c r="B397" s="22"/>
    </row>
    <row r="398" spans="2:2">
      <c r="B398" s="22"/>
    </row>
    <row r="399" spans="2:2">
      <c r="B399" s="22"/>
    </row>
    <row r="400" spans="2:2">
      <c r="B400" s="22"/>
    </row>
    <row r="401" spans="2:2">
      <c r="B401" s="22"/>
    </row>
    <row r="402" spans="2:2">
      <c r="B402" s="22"/>
    </row>
    <row r="403" spans="2:2">
      <c r="B403" s="22"/>
    </row>
    <row r="404" spans="2:2">
      <c r="B404" s="22"/>
    </row>
    <row r="405" spans="2:2">
      <c r="B405" s="22"/>
    </row>
    <row r="406" spans="2:2">
      <c r="B406" s="22"/>
    </row>
    <row r="407" spans="2:2">
      <c r="B407" s="22"/>
    </row>
    <row r="408" spans="2:2">
      <c r="B408" s="22"/>
    </row>
    <row r="409" spans="2:2">
      <c r="B409" s="22"/>
    </row>
    <row r="410" spans="2:2">
      <c r="B410" s="22"/>
    </row>
    <row r="411" spans="2:2">
      <c r="B411" s="22"/>
    </row>
    <row r="412" spans="2:2">
      <c r="B412" s="22"/>
    </row>
    <row r="413" spans="2:2">
      <c r="B413" s="22"/>
    </row>
    <row r="414" spans="2:2">
      <c r="B414" s="22"/>
    </row>
    <row r="415" spans="2:2">
      <c r="B415" s="22"/>
    </row>
    <row r="416" spans="2:2">
      <c r="B416" s="22"/>
    </row>
    <row r="417" spans="2:2">
      <c r="B417" s="22"/>
    </row>
    <row r="418" spans="2:2">
      <c r="B418" s="22"/>
    </row>
    <row r="419" spans="2:2">
      <c r="B419" s="22"/>
    </row>
    <row r="420" spans="2:2">
      <c r="B420" s="22"/>
    </row>
    <row r="421" spans="2:2">
      <c r="B421" s="22"/>
    </row>
    <row r="422" spans="2:2">
      <c r="B422" s="22"/>
    </row>
    <row r="423" spans="2:2">
      <c r="B423" s="22"/>
    </row>
    <row r="424" spans="2:2">
      <c r="B424" s="22"/>
    </row>
    <row r="425" spans="2:2">
      <c r="B425" s="22"/>
    </row>
    <row r="426" spans="2:2">
      <c r="B426" s="22"/>
    </row>
    <row r="427" spans="2:2">
      <c r="B427" s="22"/>
    </row>
    <row r="428" spans="2:2">
      <c r="B428" s="22"/>
    </row>
    <row r="429" spans="2:2">
      <c r="B429" s="22"/>
    </row>
    <row r="430" spans="2:2">
      <c r="B430" s="22"/>
    </row>
    <row r="431" spans="2:2">
      <c r="B431" s="22"/>
    </row>
    <row r="432" spans="2:2">
      <c r="B432" s="22"/>
    </row>
    <row r="433" spans="2:2">
      <c r="B433" s="22"/>
    </row>
    <row r="434" spans="2:2">
      <c r="B434" s="22"/>
    </row>
    <row r="435" spans="2:2">
      <c r="B435" s="22"/>
    </row>
    <row r="436" spans="2:2">
      <c r="B436" s="22"/>
    </row>
    <row r="437" spans="2:2">
      <c r="B437" s="22"/>
    </row>
    <row r="438" spans="2:2">
      <c r="B438" s="22"/>
    </row>
    <row r="439" spans="2:2">
      <c r="B439" s="22"/>
    </row>
    <row r="440" spans="2:2">
      <c r="B440" s="22"/>
    </row>
    <row r="441" spans="2:2">
      <c r="B441" s="22"/>
    </row>
    <row r="442" spans="2:2">
      <c r="B442" s="22"/>
    </row>
    <row r="443" spans="2:2">
      <c r="B443" s="22"/>
    </row>
    <row r="444" spans="2:2">
      <c r="B444" s="22"/>
    </row>
    <row r="445" spans="2:2">
      <c r="B445" s="22"/>
    </row>
    <row r="446" spans="2:2">
      <c r="B446" s="22"/>
    </row>
    <row r="447" spans="2:2">
      <c r="B447" s="22"/>
    </row>
    <row r="448" spans="2:2">
      <c r="B448" s="22"/>
    </row>
    <row r="449" spans="2:2">
      <c r="B449" s="22"/>
    </row>
    <row r="450" spans="2:2">
      <c r="B450" s="22"/>
    </row>
    <row r="451" spans="2:2">
      <c r="B451" s="22"/>
    </row>
    <row r="452" spans="2:2">
      <c r="B452" s="22"/>
    </row>
    <row r="453" spans="2:2">
      <c r="B453" s="22"/>
    </row>
    <row r="454" spans="2:2">
      <c r="B454" s="22"/>
    </row>
    <row r="455" spans="2:2">
      <c r="B455" s="22"/>
    </row>
    <row r="456" spans="2:2">
      <c r="B456" s="22"/>
    </row>
    <row r="457" spans="2:2">
      <c r="B457" s="22"/>
    </row>
    <row r="458" spans="2:2">
      <c r="B458" s="22"/>
    </row>
    <row r="459" spans="2:2">
      <c r="B459" s="22"/>
    </row>
    <row r="460" spans="2:2">
      <c r="B460" s="22"/>
    </row>
    <row r="461" spans="2:2">
      <c r="B461" s="22"/>
    </row>
    <row r="462" spans="2:2">
      <c r="B462" s="22"/>
    </row>
    <row r="463" spans="2:2">
      <c r="B463" s="22"/>
    </row>
    <row r="464" spans="2:2">
      <c r="B464" s="22"/>
    </row>
    <row r="465" spans="2:2">
      <c r="B465" s="22"/>
    </row>
    <row r="466" spans="2:2">
      <c r="B466" s="22"/>
    </row>
    <row r="467" spans="2:2">
      <c r="B467" s="22"/>
    </row>
    <row r="468" spans="2:2">
      <c r="B468" s="22"/>
    </row>
    <row r="469" spans="2:2">
      <c r="B469" s="22"/>
    </row>
    <row r="470" spans="2:2">
      <c r="B470" s="22"/>
    </row>
    <row r="471" spans="2:2">
      <c r="B471" s="22"/>
    </row>
    <row r="472" spans="2:2">
      <c r="B472" s="22"/>
    </row>
    <row r="473" spans="2:2">
      <c r="B473" s="22"/>
    </row>
    <row r="474" spans="2:2">
      <c r="B474" s="22"/>
    </row>
    <row r="475" spans="2:2">
      <c r="B475" s="22"/>
    </row>
    <row r="476" spans="2:2">
      <c r="B476" s="22"/>
    </row>
    <row r="477" spans="2:2">
      <c r="B477" s="22"/>
    </row>
    <row r="478" spans="2:2">
      <c r="B478" s="22"/>
    </row>
    <row r="479" spans="2:2">
      <c r="B479" s="22"/>
    </row>
    <row r="480" spans="2:2">
      <c r="B480" s="22"/>
    </row>
    <row r="481" spans="2:2">
      <c r="B481" s="22"/>
    </row>
    <row r="482" spans="2:2">
      <c r="B482" s="22"/>
    </row>
    <row r="483" spans="2:2">
      <c r="B483" s="22"/>
    </row>
    <row r="484" spans="2:2">
      <c r="B484" s="22"/>
    </row>
    <row r="485" spans="2:2">
      <c r="B485" s="22"/>
    </row>
    <row r="486" spans="2:2">
      <c r="B486" s="22"/>
    </row>
    <row r="487" spans="2:2">
      <c r="B487" s="22"/>
    </row>
    <row r="488" spans="2:2">
      <c r="B488" s="22"/>
    </row>
    <row r="489" spans="2:2">
      <c r="B489" s="22"/>
    </row>
    <row r="490" spans="2:2">
      <c r="B490" s="22"/>
    </row>
    <row r="491" spans="2:2">
      <c r="B491" s="22"/>
    </row>
    <row r="492" spans="2:2">
      <c r="B492" s="22"/>
    </row>
    <row r="493" spans="2:2">
      <c r="B493" s="22"/>
    </row>
    <row r="494" spans="2:2">
      <c r="B494" s="22"/>
    </row>
    <row r="495" spans="2:2">
      <c r="B495" s="22"/>
    </row>
    <row r="496" spans="2:2">
      <c r="B496" s="22"/>
    </row>
    <row r="497" spans="2:2">
      <c r="B497" s="22"/>
    </row>
    <row r="498" spans="2:2">
      <c r="B498" s="22"/>
    </row>
    <row r="499" spans="2:2">
      <c r="B499" s="22"/>
    </row>
    <row r="500" spans="2:2">
      <c r="B500" s="22"/>
    </row>
    <row r="501" spans="2:2">
      <c r="B501" s="22"/>
    </row>
    <row r="502" spans="2:2">
      <c r="B502" s="22"/>
    </row>
    <row r="503" spans="2:2">
      <c r="B503" s="22"/>
    </row>
    <row r="504" spans="2:2">
      <c r="B504" s="22"/>
    </row>
    <row r="505" spans="2:2">
      <c r="B505" s="22"/>
    </row>
    <row r="506" spans="2:2">
      <c r="B506" s="22"/>
    </row>
    <row r="507" spans="2:2">
      <c r="B507" s="22"/>
    </row>
    <row r="508" spans="2:2">
      <c r="B508" s="22"/>
    </row>
    <row r="509" spans="2:2">
      <c r="B509" s="22"/>
    </row>
    <row r="510" spans="2:2">
      <c r="B510" s="22"/>
    </row>
    <row r="511" spans="2:2">
      <c r="B511" s="22"/>
    </row>
    <row r="512" spans="2:2">
      <c r="B512" s="22"/>
    </row>
    <row r="513" spans="2:2">
      <c r="B513" s="22"/>
    </row>
    <row r="514" spans="2:2">
      <c r="B514" s="22"/>
    </row>
    <row r="515" spans="2:2">
      <c r="B515" s="22"/>
    </row>
    <row r="516" spans="2:2">
      <c r="B516" s="22"/>
    </row>
    <row r="517" spans="2:2">
      <c r="B517" s="22"/>
    </row>
    <row r="518" spans="2:2">
      <c r="B518" s="22"/>
    </row>
    <row r="519" spans="2:2">
      <c r="B519" s="22"/>
    </row>
    <row r="520" spans="2:2">
      <c r="B520" s="22"/>
    </row>
    <row r="521" spans="2:2">
      <c r="B521" s="22"/>
    </row>
    <row r="522" spans="2:2">
      <c r="B522" s="22"/>
    </row>
    <row r="523" spans="2:2">
      <c r="B523" s="22"/>
    </row>
    <row r="524" spans="2:2">
      <c r="B524" s="22"/>
    </row>
    <row r="525" spans="2:2">
      <c r="B525" s="22"/>
    </row>
    <row r="526" spans="2:2">
      <c r="B526" s="22"/>
    </row>
    <row r="527" spans="2:2">
      <c r="B527" s="22"/>
    </row>
    <row r="528" spans="2:2">
      <c r="B528" s="22"/>
    </row>
    <row r="529" spans="2:2">
      <c r="B529" s="22"/>
    </row>
    <row r="530" spans="2:2">
      <c r="B530" s="22"/>
    </row>
    <row r="531" spans="2:2">
      <c r="B531" s="22"/>
    </row>
    <row r="532" spans="2:2">
      <c r="B532" s="22"/>
    </row>
    <row r="533" spans="2:2">
      <c r="B533" s="22"/>
    </row>
    <row r="534" spans="2:2">
      <c r="B534" s="22"/>
    </row>
    <row r="535" spans="2:2">
      <c r="B535" s="22"/>
    </row>
    <row r="536" spans="2:2">
      <c r="B536" s="22"/>
    </row>
    <row r="537" spans="2:2">
      <c r="B537" s="22"/>
    </row>
    <row r="538" spans="2:2">
      <c r="B538" s="22"/>
    </row>
    <row r="539" spans="2:2">
      <c r="B539" s="22"/>
    </row>
    <row r="540" spans="2:2">
      <c r="B540" s="22"/>
    </row>
    <row r="541" spans="2:2">
      <c r="B541" s="22"/>
    </row>
    <row r="542" spans="2:2">
      <c r="B542" s="22"/>
    </row>
    <row r="543" spans="2:2">
      <c r="B543" s="22"/>
    </row>
    <row r="544" spans="2:2">
      <c r="B544" s="22"/>
    </row>
    <row r="545" spans="2:2">
      <c r="B545" s="22"/>
    </row>
    <row r="546" spans="2:2">
      <c r="B546" s="22"/>
    </row>
    <row r="547" spans="2:2">
      <c r="B547" s="22"/>
    </row>
    <row r="548" spans="2:2">
      <c r="B548" s="22"/>
    </row>
    <row r="549" spans="2:2">
      <c r="B549" s="22"/>
    </row>
    <row r="550" spans="2:2">
      <c r="B550" s="22"/>
    </row>
    <row r="551" spans="2:2">
      <c r="B551" s="22"/>
    </row>
    <row r="552" spans="2:2">
      <c r="B552" s="22"/>
    </row>
    <row r="553" spans="2:2">
      <c r="B553" s="22"/>
    </row>
    <row r="554" spans="2:2">
      <c r="B554" s="22"/>
    </row>
    <row r="555" spans="2:2">
      <c r="B555" s="22"/>
    </row>
    <row r="556" spans="2:2">
      <c r="B556" s="22"/>
    </row>
    <row r="557" spans="2:2">
      <c r="B557" s="22"/>
    </row>
    <row r="558" spans="2:2">
      <c r="B558" s="22"/>
    </row>
    <row r="559" spans="2:2">
      <c r="B559" s="22"/>
    </row>
    <row r="560" spans="2:2">
      <c r="B560" s="22"/>
    </row>
    <row r="561" spans="2:2">
      <c r="B561" s="22"/>
    </row>
    <row r="562" spans="2:2">
      <c r="B562" s="22"/>
    </row>
    <row r="563" spans="2:2">
      <c r="B563" s="22"/>
    </row>
    <row r="564" spans="2:2">
      <c r="B564" s="22"/>
    </row>
    <row r="565" spans="2:2">
      <c r="B565" s="22"/>
    </row>
    <row r="566" spans="2:2">
      <c r="B566" s="22"/>
    </row>
    <row r="567" spans="2:2">
      <c r="B567" s="22"/>
    </row>
    <row r="568" spans="2:2">
      <c r="B568" s="22"/>
    </row>
    <row r="569" spans="2:2">
      <c r="B569" s="22"/>
    </row>
    <row r="570" spans="2:2">
      <c r="B570" s="22"/>
    </row>
    <row r="571" spans="2:2">
      <c r="B571" s="22"/>
    </row>
    <row r="572" spans="2:2">
      <c r="B572" s="22"/>
    </row>
    <row r="573" spans="2:2">
      <c r="B573" s="22"/>
    </row>
    <row r="574" spans="2:2">
      <c r="B574" s="22"/>
    </row>
    <row r="575" spans="2:2">
      <c r="B575" s="22"/>
    </row>
    <row r="576" spans="2:2">
      <c r="B576" s="22"/>
    </row>
    <row r="577" spans="2:2">
      <c r="B577" s="22"/>
    </row>
    <row r="578" spans="2:2">
      <c r="B578" s="22"/>
    </row>
    <row r="579" spans="2:2">
      <c r="B579" s="22"/>
    </row>
    <row r="580" spans="2:2">
      <c r="B580" s="22"/>
    </row>
    <row r="581" spans="2:2">
      <c r="B581" s="22"/>
    </row>
    <row r="582" spans="2:2">
      <c r="B582" s="22"/>
    </row>
    <row r="583" spans="2:2">
      <c r="B583" s="22"/>
    </row>
    <row r="584" spans="2:2">
      <c r="B584" s="22"/>
    </row>
    <row r="585" spans="2:2">
      <c r="B585" s="22"/>
    </row>
    <row r="586" spans="2:2">
      <c r="B586" s="22"/>
    </row>
    <row r="587" spans="2:2">
      <c r="B587" s="22"/>
    </row>
    <row r="588" spans="2:2">
      <c r="B588" s="22"/>
    </row>
    <row r="589" spans="2:2">
      <c r="B589" s="22"/>
    </row>
    <row r="590" spans="2:2">
      <c r="B590" s="22"/>
    </row>
    <row r="591" spans="2:2">
      <c r="B591" s="22"/>
    </row>
    <row r="592" spans="2:2">
      <c r="B592" s="22"/>
    </row>
    <row r="593" spans="2:2">
      <c r="B593" s="22"/>
    </row>
    <row r="594" spans="2:2">
      <c r="B594" s="22"/>
    </row>
    <row r="595" spans="2:2">
      <c r="B595" s="22"/>
    </row>
    <row r="596" spans="2:2">
      <c r="B596" s="22"/>
    </row>
    <row r="597" spans="2:2">
      <c r="B597" s="22"/>
    </row>
    <row r="598" spans="2:2">
      <c r="B598" s="22"/>
    </row>
    <row r="599" spans="2:2">
      <c r="B599" s="22"/>
    </row>
    <row r="600" spans="2:2">
      <c r="B600" s="22"/>
    </row>
    <row r="601" spans="2:2">
      <c r="B601" s="22"/>
    </row>
    <row r="602" spans="2:2">
      <c r="B602" s="22"/>
    </row>
    <row r="603" spans="2:2">
      <c r="B603" s="22"/>
    </row>
    <row r="604" spans="2:2">
      <c r="B604" s="22"/>
    </row>
    <row r="605" spans="2:2">
      <c r="B605" s="22"/>
    </row>
    <row r="606" spans="2:2">
      <c r="B606" s="22"/>
    </row>
    <row r="607" spans="2:2">
      <c r="B607" s="22"/>
    </row>
    <row r="608" spans="2:2">
      <c r="B608" s="22"/>
    </row>
    <row r="609" spans="2:2">
      <c r="B609" s="22"/>
    </row>
    <row r="610" spans="2:2">
      <c r="B610" s="22"/>
    </row>
    <row r="611" spans="2:2">
      <c r="B611" s="22"/>
    </row>
    <row r="612" spans="2:2">
      <c r="B612" s="22"/>
    </row>
    <row r="613" spans="2:2">
      <c r="B613" s="22"/>
    </row>
    <row r="614" spans="2:2">
      <c r="B614" s="22"/>
    </row>
    <row r="615" spans="2:2">
      <c r="B615" s="22"/>
    </row>
    <row r="616" spans="2:2">
      <c r="B616" s="22"/>
    </row>
    <row r="617" spans="2:2">
      <c r="B617" s="22"/>
    </row>
    <row r="618" spans="2:2">
      <c r="B618" s="22"/>
    </row>
    <row r="619" spans="2:2">
      <c r="B619" s="22"/>
    </row>
    <row r="620" spans="2:2">
      <c r="B620" s="22"/>
    </row>
    <row r="621" spans="2:2">
      <c r="B621" s="22"/>
    </row>
    <row r="622" spans="2:2">
      <c r="B622" s="22"/>
    </row>
    <row r="623" spans="2:2">
      <c r="B623" s="22"/>
    </row>
    <row r="624" spans="2:2">
      <c r="B624" s="22"/>
    </row>
    <row r="625" spans="2:2">
      <c r="B625" s="22"/>
    </row>
    <row r="626" spans="2:2">
      <c r="B626" s="22"/>
    </row>
    <row r="627" spans="2:2">
      <c r="B627" s="22"/>
    </row>
    <row r="628" spans="2:2">
      <c r="B628" s="22"/>
    </row>
    <row r="629" spans="2:2">
      <c r="B629" s="22"/>
    </row>
    <row r="630" spans="2:2">
      <c r="B630" s="22"/>
    </row>
    <row r="631" spans="2:2">
      <c r="B631" s="22"/>
    </row>
    <row r="632" spans="2:2">
      <c r="B632" s="22"/>
    </row>
    <row r="633" spans="2:2">
      <c r="B633" s="22"/>
    </row>
    <row r="634" spans="2:2">
      <c r="B634" s="22"/>
    </row>
    <row r="635" spans="2:2">
      <c r="B635" s="22"/>
    </row>
    <row r="636" spans="2:2">
      <c r="B636" s="22"/>
    </row>
    <row r="637" spans="2:2">
      <c r="B637" s="22"/>
    </row>
    <row r="638" spans="2:2">
      <c r="B638" s="22"/>
    </row>
    <row r="639" spans="2:2">
      <c r="B639" s="22"/>
    </row>
    <row r="640" spans="2:2">
      <c r="B640" s="22"/>
    </row>
    <row r="641" spans="2:2">
      <c r="B641" s="22"/>
    </row>
    <row r="642" spans="2:2">
      <c r="B642" s="22"/>
    </row>
    <row r="643" spans="2:2">
      <c r="B643" s="22"/>
    </row>
    <row r="644" spans="2:2">
      <c r="B644" s="22"/>
    </row>
    <row r="645" spans="2:2">
      <c r="B645" s="22"/>
    </row>
    <row r="646" spans="2:2">
      <c r="B646" s="22"/>
    </row>
    <row r="647" spans="2:2">
      <c r="B647" s="22"/>
    </row>
    <row r="648" spans="2:2">
      <c r="B648" s="22"/>
    </row>
    <row r="649" spans="2:2">
      <c r="B649" s="22"/>
    </row>
    <row r="650" spans="2:2">
      <c r="B650" s="22"/>
    </row>
    <row r="651" spans="2:2">
      <c r="B651" s="22"/>
    </row>
    <row r="652" spans="2:2">
      <c r="B652" s="22"/>
    </row>
    <row r="653" spans="2:2">
      <c r="B653" s="22"/>
    </row>
    <row r="654" spans="2:2">
      <c r="B654" s="22"/>
    </row>
    <row r="655" spans="2:2">
      <c r="B655" s="22"/>
    </row>
    <row r="656" spans="2:2">
      <c r="B656" s="22"/>
    </row>
    <row r="657" spans="2:2">
      <c r="B657" s="22"/>
    </row>
    <row r="658" spans="2:2">
      <c r="B658" s="22"/>
    </row>
    <row r="659" spans="2:2">
      <c r="B659" s="22"/>
    </row>
    <row r="660" spans="2:2">
      <c r="B660" s="22"/>
    </row>
    <row r="661" spans="2:2">
      <c r="B661" s="22"/>
    </row>
    <row r="662" spans="2:2">
      <c r="B662" s="22"/>
    </row>
    <row r="663" spans="2:2">
      <c r="B663" s="22"/>
    </row>
    <row r="664" spans="2:2">
      <c r="B664" s="22"/>
    </row>
    <row r="665" spans="2:2">
      <c r="B665" s="22"/>
    </row>
    <row r="666" spans="2:2">
      <c r="B666" s="22"/>
    </row>
    <row r="667" spans="2:2">
      <c r="B667" s="22"/>
    </row>
    <row r="668" spans="2:2">
      <c r="B668" s="22"/>
    </row>
    <row r="669" spans="2:2">
      <c r="B669" s="22"/>
    </row>
    <row r="670" spans="2:2">
      <c r="B670" s="22"/>
    </row>
    <row r="671" spans="2:2">
      <c r="B671" s="22"/>
    </row>
    <row r="672" spans="2:2">
      <c r="B672" s="22"/>
    </row>
    <row r="673" spans="2:2">
      <c r="B673" s="22"/>
    </row>
    <row r="674" spans="2:2">
      <c r="B674" s="22"/>
    </row>
    <row r="675" spans="2:2">
      <c r="B675" s="22"/>
    </row>
    <row r="676" spans="2:2">
      <c r="B676" s="22"/>
    </row>
    <row r="677" spans="2:2">
      <c r="B677" s="22"/>
    </row>
    <row r="678" spans="2:2">
      <c r="B678" s="22"/>
    </row>
    <row r="679" spans="2:2">
      <c r="B679" s="22"/>
    </row>
    <row r="680" spans="2:2">
      <c r="B680" s="22"/>
    </row>
    <row r="681" spans="2:2">
      <c r="B681" s="22"/>
    </row>
    <row r="682" spans="2:2">
      <c r="B682" s="22"/>
    </row>
    <row r="683" spans="2:2">
      <c r="B683" s="22"/>
    </row>
    <row r="684" spans="2:2">
      <c r="B684" s="22"/>
    </row>
    <row r="685" spans="2:2">
      <c r="B685" s="22"/>
    </row>
    <row r="686" spans="2:2">
      <c r="B686" s="22"/>
    </row>
    <row r="687" spans="2:2">
      <c r="B687" s="22"/>
    </row>
    <row r="688" spans="2:2">
      <c r="B688" s="22"/>
    </row>
    <row r="689" spans="2:2">
      <c r="B689" s="22"/>
    </row>
    <row r="690" spans="2:2">
      <c r="B690" s="22"/>
    </row>
    <row r="691" spans="2:2">
      <c r="B691" s="22"/>
    </row>
    <row r="692" spans="2:2">
      <c r="B692" s="22"/>
    </row>
    <row r="693" spans="2:2">
      <c r="B693" s="22"/>
    </row>
    <row r="694" spans="2:2">
      <c r="B694" s="22"/>
    </row>
    <row r="695" spans="2:2">
      <c r="B695" s="22"/>
    </row>
    <row r="696" spans="2:2">
      <c r="B696" s="22"/>
    </row>
    <row r="697" spans="2:2">
      <c r="B697" s="22"/>
    </row>
    <row r="698" spans="2:2">
      <c r="B698" s="22"/>
    </row>
    <row r="699" spans="2:2">
      <c r="B699" s="22"/>
    </row>
    <row r="700" spans="2:2">
      <c r="B700" s="22"/>
    </row>
    <row r="701" spans="2:2">
      <c r="B701" s="22"/>
    </row>
    <row r="702" spans="2:2">
      <c r="B702" s="22"/>
    </row>
    <row r="703" spans="2:2">
      <c r="B703" s="22"/>
    </row>
    <row r="704" spans="2:2">
      <c r="B704" s="22"/>
    </row>
    <row r="705" spans="2:2">
      <c r="B705" s="22"/>
    </row>
    <row r="706" spans="2:2">
      <c r="B706" s="22"/>
    </row>
    <row r="707" spans="2:2">
      <c r="B707" s="22"/>
    </row>
    <row r="708" spans="2:2">
      <c r="B708" s="22"/>
    </row>
    <row r="709" spans="2:2">
      <c r="B709" s="22"/>
    </row>
    <row r="710" spans="2:2">
      <c r="B710" s="22"/>
    </row>
    <row r="711" spans="2:2">
      <c r="B711" s="22"/>
    </row>
    <row r="712" spans="2:2">
      <c r="B712" s="22"/>
    </row>
    <row r="713" spans="2:2">
      <c r="B713" s="22"/>
    </row>
    <row r="714" spans="2:2">
      <c r="B714" s="22"/>
    </row>
    <row r="715" spans="2:2">
      <c r="B715" s="22"/>
    </row>
    <row r="716" spans="2:2">
      <c r="B716" s="22"/>
    </row>
    <row r="717" spans="2:2">
      <c r="B717" s="22"/>
    </row>
    <row r="718" spans="2:2">
      <c r="B718" s="22"/>
    </row>
    <row r="719" spans="2:2">
      <c r="B719" s="22"/>
    </row>
    <row r="720" spans="2:2">
      <c r="B720" s="22"/>
    </row>
    <row r="721" spans="2:2">
      <c r="B721" s="22"/>
    </row>
    <row r="722" spans="2:2">
      <c r="B722" s="22"/>
    </row>
    <row r="723" spans="2:2">
      <c r="B723" s="22"/>
    </row>
    <row r="724" spans="2:2">
      <c r="B724" s="22"/>
    </row>
    <row r="725" spans="2:2">
      <c r="B725" s="22"/>
    </row>
    <row r="726" spans="2:2">
      <c r="B726" s="22"/>
    </row>
    <row r="727" spans="2:2">
      <c r="B727" s="22"/>
    </row>
    <row r="728" spans="2:2">
      <c r="B728" s="22"/>
    </row>
    <row r="729" spans="2:2">
      <c r="B729" s="22"/>
    </row>
    <row r="730" spans="2:2">
      <c r="B730" s="22"/>
    </row>
    <row r="731" spans="2:2">
      <c r="B731" s="22"/>
    </row>
    <row r="732" spans="2:2">
      <c r="B732" s="22"/>
    </row>
    <row r="733" spans="2:2">
      <c r="B733" s="22"/>
    </row>
    <row r="734" spans="2:2">
      <c r="B734" s="22"/>
    </row>
    <row r="735" spans="2:2">
      <c r="B735" s="22"/>
    </row>
    <row r="736" spans="2:2">
      <c r="B736" s="22"/>
    </row>
    <row r="737" spans="2:2">
      <c r="B737" s="22"/>
    </row>
    <row r="738" spans="2:2">
      <c r="B738" s="22"/>
    </row>
    <row r="739" spans="2:2">
      <c r="B739" s="22"/>
    </row>
    <row r="740" spans="2:2">
      <c r="B740" s="22"/>
    </row>
    <row r="741" spans="2:2">
      <c r="B741" s="22"/>
    </row>
    <row r="742" spans="2:2">
      <c r="B742" s="22"/>
    </row>
    <row r="743" spans="2:2">
      <c r="B743" s="22"/>
    </row>
    <row r="744" spans="2:2">
      <c r="B744" s="22"/>
    </row>
    <row r="745" spans="2:2">
      <c r="B745" s="22"/>
    </row>
    <row r="746" spans="2:2">
      <c r="B746" s="22"/>
    </row>
    <row r="747" spans="2:2">
      <c r="B747" s="22"/>
    </row>
    <row r="748" spans="2:2">
      <c r="B748" s="22"/>
    </row>
    <row r="749" spans="2:2">
      <c r="B749" s="22"/>
    </row>
    <row r="750" spans="2:2">
      <c r="B750" s="22"/>
    </row>
    <row r="751" spans="2:2">
      <c r="B751" s="22"/>
    </row>
    <row r="752" spans="2:2">
      <c r="B752" s="22"/>
    </row>
    <row r="753" spans="2:2">
      <c r="B753" s="22"/>
    </row>
    <row r="754" spans="2:2">
      <c r="B754" s="22"/>
    </row>
    <row r="755" spans="2:2">
      <c r="B755" s="22"/>
    </row>
    <row r="756" spans="2:2">
      <c r="B756" s="22"/>
    </row>
    <row r="757" spans="2:2">
      <c r="B757" s="22"/>
    </row>
    <row r="758" spans="2:2">
      <c r="B758" s="22"/>
    </row>
    <row r="759" spans="2:2">
      <c r="B759" s="22"/>
    </row>
    <row r="760" spans="2:2">
      <c r="B760" s="22"/>
    </row>
    <row r="761" spans="2:2">
      <c r="B761" s="22"/>
    </row>
    <row r="762" spans="2:2">
      <c r="B762" s="22"/>
    </row>
    <row r="763" spans="2:2">
      <c r="B763" s="22"/>
    </row>
    <row r="764" spans="2:2">
      <c r="B764" s="22"/>
    </row>
    <row r="765" spans="2:2">
      <c r="B765" s="22"/>
    </row>
    <row r="766" spans="2:2">
      <c r="B766" s="22"/>
    </row>
    <row r="767" spans="2:2">
      <c r="B767" s="22"/>
    </row>
    <row r="768" spans="2:2">
      <c r="B768" s="22"/>
    </row>
    <row r="769" spans="2:2">
      <c r="B769" s="22"/>
    </row>
    <row r="770" spans="2:2">
      <c r="B770" s="22"/>
    </row>
    <row r="771" spans="2:2">
      <c r="B771" s="22"/>
    </row>
    <row r="772" spans="2:2">
      <c r="B772" s="22"/>
    </row>
    <row r="773" spans="2:2">
      <c r="B773" s="22"/>
    </row>
    <row r="774" spans="2:2">
      <c r="B774" s="22"/>
    </row>
    <row r="775" spans="2:2">
      <c r="B775" s="22"/>
    </row>
    <row r="776" spans="2:2">
      <c r="B776" s="22"/>
    </row>
    <row r="777" spans="2:2">
      <c r="B777" s="22"/>
    </row>
    <row r="778" spans="2:2">
      <c r="B778" s="22"/>
    </row>
    <row r="779" spans="2:2">
      <c r="B779" s="22"/>
    </row>
    <row r="780" spans="2:2">
      <c r="B780" s="22"/>
    </row>
    <row r="781" spans="2:2">
      <c r="B781" s="22"/>
    </row>
    <row r="782" spans="2:2">
      <c r="B782" s="22"/>
    </row>
    <row r="783" spans="2:2">
      <c r="B783" s="22"/>
    </row>
    <row r="784" spans="2:2">
      <c r="B784" s="22"/>
    </row>
    <row r="785" spans="2:2">
      <c r="B785" s="22"/>
    </row>
    <row r="786" spans="2:2">
      <c r="B786" s="22"/>
    </row>
    <row r="787" spans="2:2">
      <c r="B787" s="22"/>
    </row>
    <row r="788" spans="2:2">
      <c r="B788" s="22"/>
    </row>
    <row r="789" spans="2:2">
      <c r="B789" s="22"/>
    </row>
    <row r="790" spans="2:2">
      <c r="B790" s="22"/>
    </row>
    <row r="791" spans="2:2">
      <c r="B791" s="22"/>
    </row>
    <row r="792" spans="2:2">
      <c r="B792" s="22"/>
    </row>
    <row r="793" spans="2:2">
      <c r="B793" s="22"/>
    </row>
    <row r="794" spans="2:2">
      <c r="B794" s="22"/>
    </row>
    <row r="795" spans="2:2">
      <c r="B795" s="22"/>
    </row>
    <row r="796" spans="2:2">
      <c r="B796" s="22"/>
    </row>
    <row r="797" spans="2:2">
      <c r="B797" s="22"/>
    </row>
    <row r="798" spans="2:2">
      <c r="B798" s="22"/>
    </row>
    <row r="799" spans="2:2">
      <c r="B799" s="22"/>
    </row>
    <row r="800" spans="2:2">
      <c r="B800" s="22"/>
    </row>
    <row r="801" spans="2:2">
      <c r="B801" s="22"/>
    </row>
    <row r="802" spans="2:2">
      <c r="B802" s="22"/>
    </row>
    <row r="803" spans="2:2">
      <c r="B803" s="22"/>
    </row>
    <row r="804" spans="2:2">
      <c r="B804" s="22"/>
    </row>
    <row r="805" spans="2:2">
      <c r="B805" s="22"/>
    </row>
    <row r="806" spans="2:2">
      <c r="B806" s="22"/>
    </row>
    <row r="807" spans="2:2">
      <c r="B807" s="22"/>
    </row>
    <row r="808" spans="2:2">
      <c r="B808" s="22"/>
    </row>
    <row r="809" spans="2:2">
      <c r="B809" s="22"/>
    </row>
    <row r="810" spans="2:2">
      <c r="B810" s="22"/>
    </row>
    <row r="811" spans="2:2">
      <c r="B811" s="22"/>
    </row>
    <row r="812" spans="2:2">
      <c r="B812" s="22"/>
    </row>
    <row r="813" spans="2:2">
      <c r="B813" s="22"/>
    </row>
    <row r="814" spans="2:2">
      <c r="B814" s="22"/>
    </row>
    <row r="815" spans="2:2">
      <c r="B815" s="22"/>
    </row>
    <row r="816" spans="2:2">
      <c r="B816" s="22"/>
    </row>
    <row r="817" spans="2:2">
      <c r="B817" s="22"/>
    </row>
    <row r="818" spans="2:2">
      <c r="B818" s="22"/>
    </row>
    <row r="819" spans="2:2">
      <c r="B819" s="22"/>
    </row>
    <row r="820" spans="2:2">
      <c r="B820" s="22"/>
    </row>
    <row r="821" spans="2:2">
      <c r="B821" s="22"/>
    </row>
    <row r="822" spans="2:2">
      <c r="B822" s="22"/>
    </row>
    <row r="823" spans="2:2">
      <c r="B823" s="22"/>
    </row>
    <row r="824" spans="2:2">
      <c r="B824" s="22"/>
    </row>
    <row r="825" spans="2:2">
      <c r="B825" s="22"/>
    </row>
    <row r="826" spans="2:2">
      <c r="B826" s="22"/>
    </row>
    <row r="827" spans="2:2">
      <c r="B827" s="22"/>
    </row>
    <row r="828" spans="2:2">
      <c r="B828" s="22"/>
    </row>
    <row r="829" spans="2:2">
      <c r="B829" s="22"/>
    </row>
    <row r="830" spans="2:2">
      <c r="B830" s="22"/>
    </row>
    <row r="831" spans="2:2">
      <c r="B831" s="22"/>
    </row>
    <row r="832" spans="2:2">
      <c r="B832" s="22"/>
    </row>
    <row r="833" spans="2:2">
      <c r="B833" s="22"/>
    </row>
    <row r="834" spans="2:2">
      <c r="B834" s="22"/>
    </row>
    <row r="835" spans="2:2">
      <c r="B835" s="22"/>
    </row>
    <row r="836" spans="2:2">
      <c r="B836" s="22"/>
    </row>
    <row r="837" spans="2:2">
      <c r="B837" s="22"/>
    </row>
    <row r="838" spans="2:2">
      <c r="B838" s="22"/>
    </row>
    <row r="839" spans="2:2">
      <c r="B839" s="22"/>
    </row>
    <row r="840" spans="2:2">
      <c r="B840" s="22"/>
    </row>
    <row r="841" spans="2:2">
      <c r="B841" s="22"/>
    </row>
    <row r="842" spans="2:2">
      <c r="B842" s="22"/>
    </row>
    <row r="843" spans="2:2">
      <c r="B843" s="22"/>
    </row>
    <row r="844" spans="2:2">
      <c r="B844" s="22"/>
    </row>
    <row r="845" spans="2:2">
      <c r="B845" s="22"/>
    </row>
    <row r="846" spans="2:2">
      <c r="B846" s="22"/>
    </row>
    <row r="847" spans="2:2">
      <c r="B847" s="22"/>
    </row>
    <row r="848" spans="2:2">
      <c r="B848" s="22"/>
    </row>
    <row r="849" spans="2:2">
      <c r="B849" s="22"/>
    </row>
    <row r="850" spans="2:2">
      <c r="B850" s="22"/>
    </row>
    <row r="851" spans="2:2">
      <c r="B851" s="22"/>
    </row>
    <row r="852" spans="2:2">
      <c r="B852" s="22"/>
    </row>
    <row r="853" spans="2:2">
      <c r="B853" s="22"/>
    </row>
    <row r="854" spans="2:2">
      <c r="B854" s="22"/>
    </row>
    <row r="855" spans="2:2">
      <c r="B855" s="22"/>
    </row>
    <row r="856" spans="2:2">
      <c r="B856" s="22"/>
    </row>
    <row r="857" spans="2:2">
      <c r="B857" s="22"/>
    </row>
    <row r="858" spans="2:2">
      <c r="B858" s="22"/>
    </row>
    <row r="859" spans="2:2">
      <c r="B859" s="22"/>
    </row>
    <row r="860" spans="2:2">
      <c r="B860" s="22"/>
    </row>
    <row r="861" spans="2:2">
      <c r="B861" s="22"/>
    </row>
    <row r="862" spans="2:2">
      <c r="B862" s="22"/>
    </row>
    <row r="863" spans="2:2">
      <c r="B863" s="22"/>
    </row>
    <row r="864" spans="2:2">
      <c r="B864" s="22"/>
    </row>
    <row r="865" spans="2:2">
      <c r="B865" s="22"/>
    </row>
    <row r="866" spans="2:2">
      <c r="B866" s="22"/>
    </row>
    <row r="867" spans="2:2">
      <c r="B867" s="22"/>
    </row>
    <row r="868" spans="2:2">
      <c r="B868" s="22"/>
    </row>
    <row r="869" spans="2:2">
      <c r="B869" s="22"/>
    </row>
    <row r="870" spans="2:2">
      <c r="B870" s="22"/>
    </row>
    <row r="871" spans="2:2">
      <c r="B871" s="22"/>
    </row>
    <row r="872" spans="2:2">
      <c r="B872" s="22"/>
    </row>
    <row r="873" spans="2:2">
      <c r="B873" s="22"/>
    </row>
    <row r="874" spans="2:2">
      <c r="B874" s="22"/>
    </row>
    <row r="875" spans="2:2">
      <c r="B875" s="22"/>
    </row>
    <row r="876" spans="2:2">
      <c r="B876" s="22"/>
    </row>
    <row r="877" spans="2:2">
      <c r="B877" s="22"/>
    </row>
    <row r="878" spans="2:2">
      <c r="B878" s="22"/>
    </row>
    <row r="879" spans="2:2">
      <c r="B879" s="22"/>
    </row>
    <row r="880" spans="2:2">
      <c r="B880" s="22"/>
    </row>
    <row r="881" spans="2:2">
      <c r="B881" s="22"/>
    </row>
    <row r="882" spans="2:2">
      <c r="B882" s="22"/>
    </row>
    <row r="883" spans="2:2">
      <c r="B883" s="22"/>
    </row>
    <row r="884" spans="2:2">
      <c r="B884" s="22"/>
    </row>
    <row r="885" spans="2:2">
      <c r="B885" s="22"/>
    </row>
    <row r="886" spans="2:2">
      <c r="B886" s="22"/>
    </row>
    <row r="887" spans="2:2">
      <c r="B887" s="22"/>
    </row>
    <row r="888" spans="2:2">
      <c r="B888" s="22"/>
    </row>
    <row r="889" spans="2:2">
      <c r="B889" s="22"/>
    </row>
    <row r="890" spans="2:2">
      <c r="B890" s="22"/>
    </row>
    <row r="891" spans="2:2">
      <c r="B891" s="22"/>
    </row>
    <row r="892" spans="2:2">
      <c r="B892" s="22"/>
    </row>
    <row r="893" spans="2:2">
      <c r="B893" s="22"/>
    </row>
    <row r="894" spans="2:2">
      <c r="B894" s="22"/>
    </row>
    <row r="895" spans="2:2">
      <c r="B895" s="22"/>
    </row>
    <row r="896" spans="2:2">
      <c r="B896" s="22"/>
    </row>
    <row r="897" spans="2:2">
      <c r="B897" s="22"/>
    </row>
    <row r="898" spans="2:2">
      <c r="B898" s="22"/>
    </row>
    <row r="899" spans="2:2">
      <c r="B899" s="22"/>
    </row>
    <row r="900" spans="2:2">
      <c r="B900" s="22"/>
    </row>
    <row r="901" spans="2:2">
      <c r="B901" s="22"/>
    </row>
    <row r="902" spans="2:2">
      <c r="B902" s="22"/>
    </row>
    <row r="903" spans="2:2">
      <c r="B903" s="22"/>
    </row>
    <row r="904" spans="2:2">
      <c r="B904" s="22"/>
    </row>
    <row r="905" spans="2:2">
      <c r="B905" s="22"/>
    </row>
    <row r="906" spans="2:2">
      <c r="B906" s="22"/>
    </row>
    <row r="907" spans="2:2">
      <c r="B907" s="22"/>
    </row>
    <row r="908" spans="2:2">
      <c r="B908" s="22"/>
    </row>
    <row r="909" spans="2:2">
      <c r="B909" s="22"/>
    </row>
    <row r="910" spans="2:2">
      <c r="B910" s="22"/>
    </row>
    <row r="911" spans="2:2">
      <c r="B911" s="22"/>
    </row>
    <row r="912" spans="2:2">
      <c r="B912" s="22"/>
    </row>
    <row r="913" spans="2:2">
      <c r="B913" s="22"/>
    </row>
    <row r="914" spans="2:2">
      <c r="B914" s="22"/>
    </row>
    <row r="915" spans="2:2">
      <c r="B915" s="22"/>
    </row>
    <row r="916" spans="2:2">
      <c r="B916" s="22"/>
    </row>
    <row r="917" spans="2:2">
      <c r="B917" s="22"/>
    </row>
    <row r="918" spans="2:2">
      <c r="B918" s="22"/>
    </row>
    <row r="919" spans="2:2">
      <c r="B919" s="22"/>
    </row>
    <row r="920" spans="2:2">
      <c r="B920" s="22"/>
    </row>
    <row r="921" spans="2:2">
      <c r="B921" s="22"/>
    </row>
    <row r="922" spans="2:2">
      <c r="B922" s="22"/>
    </row>
    <row r="923" spans="2:2">
      <c r="B923" s="22"/>
    </row>
    <row r="924" spans="2:2">
      <c r="B924" s="22"/>
    </row>
    <row r="925" spans="2:2">
      <c r="B925" s="22"/>
    </row>
    <row r="926" spans="2:2">
      <c r="B926" s="22"/>
    </row>
    <row r="927" spans="2:2">
      <c r="B927" s="22"/>
    </row>
    <row r="928" spans="2:2">
      <c r="B928" s="22"/>
    </row>
    <row r="929" spans="2:2">
      <c r="B929" s="22"/>
    </row>
    <row r="930" spans="2:2">
      <c r="B930" s="22"/>
    </row>
    <row r="931" spans="2:2">
      <c r="B931" s="22"/>
    </row>
    <row r="932" spans="2:2">
      <c r="B932" s="22"/>
    </row>
    <row r="933" spans="2:2">
      <c r="B933" s="22"/>
    </row>
    <row r="934" spans="2:2">
      <c r="B934" s="22"/>
    </row>
    <row r="935" spans="2:2">
      <c r="B935" s="22"/>
    </row>
    <row r="936" spans="2:2">
      <c r="B936" s="22"/>
    </row>
    <row r="937" spans="2:2">
      <c r="B937" s="22"/>
    </row>
    <row r="938" spans="2:2">
      <c r="B938" s="22"/>
    </row>
    <row r="939" spans="2:2">
      <c r="B939" s="22"/>
    </row>
    <row r="940" spans="2:2">
      <c r="B940" s="22"/>
    </row>
    <row r="941" spans="2:2">
      <c r="B941" s="22"/>
    </row>
    <row r="942" spans="2:2">
      <c r="B942" s="22"/>
    </row>
    <row r="943" spans="2:2">
      <c r="B943" s="22"/>
    </row>
    <row r="944" spans="2:2">
      <c r="B944" s="22"/>
    </row>
    <row r="945" spans="2:2">
      <c r="B945" s="22"/>
    </row>
    <row r="946" spans="2:2">
      <c r="B946" s="22"/>
    </row>
    <row r="947" spans="2:2">
      <c r="B947" s="22"/>
    </row>
    <row r="948" spans="2:2">
      <c r="B948" s="22"/>
    </row>
    <row r="949" spans="2:2">
      <c r="B949" s="22"/>
    </row>
    <row r="950" spans="2:2">
      <c r="B950" s="22"/>
    </row>
    <row r="951" spans="2:2">
      <c r="B951" s="22"/>
    </row>
    <row r="952" spans="2:2">
      <c r="B952" s="22"/>
    </row>
    <row r="953" spans="2:2">
      <c r="B953" s="22"/>
    </row>
    <row r="954" spans="2:2">
      <c r="B954" s="22"/>
    </row>
    <row r="955" spans="2:2">
      <c r="B955" s="22"/>
    </row>
    <row r="956" spans="2:2">
      <c r="B956" s="22"/>
    </row>
    <row r="957" spans="2:2">
      <c r="B957" s="22"/>
    </row>
    <row r="958" spans="2:2">
      <c r="B958" s="22"/>
    </row>
    <row r="959" spans="2:2">
      <c r="B959" s="22"/>
    </row>
    <row r="960" spans="2:2">
      <c r="B960" s="22"/>
    </row>
    <row r="961" spans="2:2">
      <c r="B961" s="22"/>
    </row>
    <row r="962" spans="2:2">
      <c r="B962" s="22"/>
    </row>
    <row r="963" spans="2:2">
      <c r="B963" s="22"/>
    </row>
    <row r="964" spans="2:2">
      <c r="B964" s="22"/>
    </row>
    <row r="965" spans="2:2">
      <c r="B965" s="22"/>
    </row>
    <row r="966" spans="2:2">
      <c r="B966" s="22"/>
    </row>
    <row r="967" spans="2:2">
      <c r="B967" s="22"/>
    </row>
    <row r="968" spans="2:2">
      <c r="B968" s="22"/>
    </row>
    <row r="969" spans="2:2">
      <c r="B969" s="22"/>
    </row>
    <row r="970" spans="2:2">
      <c r="B970" s="22"/>
    </row>
    <row r="971" spans="2:2">
      <c r="B971" s="22"/>
    </row>
    <row r="972" spans="2:2">
      <c r="B972" s="22"/>
    </row>
    <row r="973" spans="2:2">
      <c r="B973" s="22"/>
    </row>
    <row r="974" spans="2:2">
      <c r="B974" s="22"/>
    </row>
    <row r="975" spans="2:2">
      <c r="B975" s="22"/>
    </row>
    <row r="976" spans="2:2">
      <c r="B976" s="22"/>
    </row>
    <row r="977" spans="2:2">
      <c r="B977" s="22"/>
    </row>
    <row r="978" spans="2:2">
      <c r="B978" s="22"/>
    </row>
    <row r="979" spans="2:2">
      <c r="B979" s="22"/>
    </row>
    <row r="980" spans="2:2">
      <c r="B980" s="22"/>
    </row>
    <row r="981" spans="2:2">
      <c r="B981" s="22"/>
    </row>
    <row r="982" spans="2:2">
      <c r="B982" s="22"/>
    </row>
    <row r="983" spans="2:2">
      <c r="B983" s="22"/>
    </row>
    <row r="984" spans="2:2">
      <c r="B984" s="22"/>
    </row>
    <row r="985" spans="2:2">
      <c r="B985" s="22"/>
    </row>
    <row r="986" spans="2:2">
      <c r="B986" s="22"/>
    </row>
    <row r="987" spans="2:2">
      <c r="B987" s="22"/>
    </row>
    <row r="988" spans="2:2">
      <c r="B988" s="22"/>
    </row>
    <row r="989" spans="2:2">
      <c r="B989" s="22"/>
    </row>
    <row r="990" spans="2:2">
      <c r="B990" s="22"/>
    </row>
    <row r="991" spans="2:2">
      <c r="B991" s="22"/>
    </row>
    <row r="992" spans="2:2">
      <c r="B992" s="22"/>
    </row>
    <row r="993" spans="2:2">
      <c r="B993" s="22"/>
    </row>
    <row r="994" spans="2:2">
      <c r="B994" s="22"/>
    </row>
    <row r="995" spans="2:2">
      <c r="B995" s="22"/>
    </row>
    <row r="996" spans="2:2">
      <c r="B996" s="22"/>
    </row>
    <row r="997" spans="2:2">
      <c r="B997" s="22"/>
    </row>
    <row r="998" spans="2:2">
      <c r="B998" s="22"/>
    </row>
    <row r="999" spans="2:2">
      <c r="B999" s="22"/>
    </row>
    <row r="1000" spans="2:2">
      <c r="B1000" s="22"/>
    </row>
    <row r="1001" spans="2:2">
      <c r="B1001" s="22"/>
    </row>
    <row r="1002" spans="2:2">
      <c r="B1002" s="22"/>
    </row>
    <row r="1003" spans="2:2">
      <c r="B1003" s="22"/>
    </row>
    <row r="1004" spans="2:2">
      <c r="B1004" s="22"/>
    </row>
    <row r="1005" spans="2:2">
      <c r="B1005" s="22"/>
    </row>
    <row r="1006" spans="2:2">
      <c r="B1006" s="22"/>
    </row>
    <row r="1007" spans="2:2">
      <c r="B1007" s="22"/>
    </row>
    <row r="1008" spans="2:2">
      <c r="B1008" s="22"/>
    </row>
    <row r="1009" spans="2:2">
      <c r="B1009" s="22"/>
    </row>
    <row r="1010" spans="2:2">
      <c r="B1010" s="22"/>
    </row>
    <row r="1011" spans="2:2">
      <c r="B1011" s="22"/>
    </row>
    <row r="1012" spans="2:2">
      <c r="B1012" s="22"/>
    </row>
    <row r="1013" spans="2:2">
      <c r="B1013" s="22"/>
    </row>
    <row r="1014" spans="2:2">
      <c r="B1014" s="22"/>
    </row>
    <row r="1015" spans="2:2">
      <c r="B1015" s="22"/>
    </row>
    <row r="1016" spans="2:2">
      <c r="B1016" s="22"/>
    </row>
    <row r="1017" spans="2:2">
      <c r="B1017" s="22"/>
    </row>
    <row r="1018" spans="2:2">
      <c r="B1018" s="22"/>
    </row>
    <row r="1019" spans="2:2">
      <c r="B1019" s="22"/>
    </row>
    <row r="1020" spans="2:2">
      <c r="B1020" s="22"/>
    </row>
    <row r="1021" spans="2:2">
      <c r="B1021" s="22"/>
    </row>
    <row r="1022" spans="2:2">
      <c r="B1022" s="22"/>
    </row>
    <row r="1023" spans="2:2">
      <c r="B1023" s="22"/>
    </row>
    <row r="1024" spans="2:2">
      <c r="B1024" s="22"/>
    </row>
    <row r="1025" spans="2:2">
      <c r="B1025" s="22"/>
    </row>
    <row r="1026" spans="2:2">
      <c r="B1026" s="22"/>
    </row>
    <row r="1027" spans="2:2">
      <c r="B1027" s="22"/>
    </row>
    <row r="1028" spans="2:2">
      <c r="B1028" s="22"/>
    </row>
    <row r="1029" spans="2:2">
      <c r="B1029" s="22"/>
    </row>
    <row r="1030" spans="2:2">
      <c r="B1030" s="22"/>
    </row>
    <row r="1031" spans="2:2">
      <c r="B1031" s="22"/>
    </row>
    <row r="1032" spans="2:2">
      <c r="B1032" s="22"/>
    </row>
    <row r="1033" spans="2:2">
      <c r="B1033" s="22"/>
    </row>
    <row r="1034" spans="2:2">
      <c r="B1034" s="22"/>
    </row>
    <row r="1035" spans="2:2">
      <c r="B1035" s="22"/>
    </row>
    <row r="1036" spans="2:2">
      <c r="B1036" s="22"/>
    </row>
    <row r="1037" spans="2:2">
      <c r="B1037" s="22"/>
    </row>
    <row r="1038" spans="2:2">
      <c r="B1038" s="22"/>
    </row>
    <row r="1039" spans="2:2">
      <c r="B1039" s="22"/>
    </row>
    <row r="1040" spans="2:2">
      <c r="B1040" s="22"/>
    </row>
    <row r="1041" spans="2:2">
      <c r="B1041" s="22"/>
    </row>
    <row r="1042" spans="2:2">
      <c r="B1042" s="22"/>
    </row>
    <row r="1043" spans="2:2">
      <c r="B1043" s="22"/>
    </row>
    <row r="1044" spans="2:2">
      <c r="B1044" s="22"/>
    </row>
    <row r="1045" spans="2:2">
      <c r="B1045" s="22"/>
    </row>
    <row r="1046" spans="2:2">
      <c r="B1046" s="22"/>
    </row>
    <row r="1047" spans="2:2">
      <c r="B1047" s="22"/>
    </row>
    <row r="1048" spans="2:2">
      <c r="B1048" s="22"/>
    </row>
    <row r="1049" spans="2:2">
      <c r="B1049" s="22"/>
    </row>
    <row r="1050" spans="2:2">
      <c r="B1050" s="22"/>
    </row>
    <row r="1051" spans="2:2">
      <c r="B1051" s="22"/>
    </row>
    <row r="1052" spans="2:2">
      <c r="B1052" s="22"/>
    </row>
    <row r="1053" spans="2:2">
      <c r="B1053" s="22"/>
    </row>
    <row r="1054" spans="2:2">
      <c r="B1054" s="22"/>
    </row>
    <row r="1055" spans="2:2">
      <c r="B1055" s="22"/>
    </row>
    <row r="1056" spans="2:2">
      <c r="B1056" s="22"/>
    </row>
    <row r="1057" spans="2:2">
      <c r="B1057" s="22"/>
    </row>
    <row r="1058" spans="2:2">
      <c r="B1058" s="22"/>
    </row>
    <row r="1059" spans="2:2">
      <c r="B1059" s="22"/>
    </row>
    <row r="1060" spans="2:2">
      <c r="B1060" s="22"/>
    </row>
    <row r="1061" spans="2:2">
      <c r="B1061" s="22"/>
    </row>
    <row r="1062" spans="2:2">
      <c r="B1062" s="22"/>
    </row>
    <row r="1063" spans="2:2">
      <c r="B1063" s="22"/>
    </row>
    <row r="1064" spans="2:2">
      <c r="B1064" s="22"/>
    </row>
    <row r="1065" spans="2:2">
      <c r="B1065" s="22"/>
    </row>
    <row r="1066" spans="2:2">
      <c r="B1066" s="22"/>
    </row>
    <row r="1067" spans="2:2">
      <c r="B1067" s="22"/>
    </row>
    <row r="1068" spans="2:2">
      <c r="B1068" s="22"/>
    </row>
    <row r="1069" spans="2:2">
      <c r="B1069" s="22"/>
    </row>
    <row r="1070" spans="2:2">
      <c r="B1070" s="22"/>
    </row>
    <row r="1071" spans="2:2">
      <c r="B1071" s="22"/>
    </row>
    <row r="1072" spans="2:2">
      <c r="B1072" s="22"/>
    </row>
    <row r="1073" spans="2:2">
      <c r="B1073" s="22"/>
    </row>
    <row r="1074" spans="2:2">
      <c r="B1074" s="22"/>
    </row>
    <row r="1075" spans="2:2">
      <c r="B1075" s="22"/>
    </row>
    <row r="1076" spans="2:2">
      <c r="B1076" s="22"/>
    </row>
    <row r="1077" spans="2:2">
      <c r="B1077" s="22"/>
    </row>
    <row r="1078" spans="2:2">
      <c r="B1078" s="22"/>
    </row>
    <row r="1079" spans="2:2">
      <c r="B1079" s="22"/>
    </row>
    <row r="1080" spans="2:2">
      <c r="B1080" s="22"/>
    </row>
    <row r="1081" spans="2:2">
      <c r="B1081" s="22"/>
    </row>
    <row r="1082" spans="2:2">
      <c r="B1082" s="22"/>
    </row>
    <row r="1083" spans="2:2">
      <c r="B1083" s="22"/>
    </row>
    <row r="1084" spans="2:2">
      <c r="B1084" s="22"/>
    </row>
    <row r="1085" spans="2:2">
      <c r="B1085" s="22"/>
    </row>
    <row r="1086" spans="2:2">
      <c r="B1086" s="22"/>
    </row>
    <row r="1087" spans="2:2">
      <c r="B1087" s="22"/>
    </row>
    <row r="1088" spans="2:2">
      <c r="B1088" s="22"/>
    </row>
    <row r="1089" spans="2:2">
      <c r="B1089" s="22"/>
    </row>
    <row r="1090" spans="2:2">
      <c r="B1090" s="22"/>
    </row>
    <row r="1091" spans="2:2">
      <c r="B1091" s="22"/>
    </row>
    <row r="1092" spans="2:2">
      <c r="B1092" s="22"/>
    </row>
    <row r="1093" spans="2:2">
      <c r="B1093" s="22"/>
    </row>
    <row r="1094" spans="2:2">
      <c r="B1094" s="22"/>
    </row>
    <row r="1095" spans="2:2">
      <c r="B1095" s="22"/>
    </row>
    <row r="1096" spans="2:2">
      <c r="B1096" s="22"/>
    </row>
    <row r="1097" spans="2:2">
      <c r="B1097" s="22"/>
    </row>
    <row r="1098" spans="2:2">
      <c r="B1098" s="22"/>
    </row>
    <row r="1099" spans="2:2">
      <c r="B1099" s="22"/>
    </row>
    <row r="1100" spans="2:2">
      <c r="B1100" s="22"/>
    </row>
    <row r="1101" spans="2:2">
      <c r="B1101" s="22"/>
    </row>
    <row r="1102" spans="2:2">
      <c r="B1102" s="22"/>
    </row>
    <row r="1103" spans="2:2">
      <c r="B1103" s="22"/>
    </row>
    <row r="1104" spans="2:2">
      <c r="B1104" s="22"/>
    </row>
    <row r="1105" spans="2:2">
      <c r="B1105" s="22"/>
    </row>
    <row r="1106" spans="2:2">
      <c r="B1106" s="22"/>
    </row>
    <row r="1107" spans="2:2">
      <c r="B1107" s="22"/>
    </row>
    <row r="1108" spans="2:2">
      <c r="B1108" s="22"/>
    </row>
    <row r="1109" spans="2:2">
      <c r="B1109" s="22"/>
    </row>
    <row r="1110" spans="2:2">
      <c r="B1110" s="22"/>
    </row>
    <row r="1111" spans="2:2">
      <c r="B1111" s="22"/>
    </row>
    <row r="1112" spans="2:2">
      <c r="B1112" s="22"/>
    </row>
    <row r="1113" spans="2:2">
      <c r="B1113" s="22"/>
    </row>
    <row r="1114" spans="2:2">
      <c r="B1114" s="22"/>
    </row>
    <row r="1115" spans="2:2">
      <c r="B1115" s="22"/>
    </row>
    <row r="1116" spans="2:2">
      <c r="B1116" s="22"/>
    </row>
    <row r="1117" spans="2:2">
      <c r="B1117" s="22"/>
    </row>
    <row r="1118" spans="2:2">
      <c r="B1118" s="22"/>
    </row>
    <row r="1119" spans="2:2">
      <c r="B1119" s="22"/>
    </row>
    <row r="1120" spans="2:2">
      <c r="B1120" s="22"/>
    </row>
    <row r="1121" spans="2:2">
      <c r="B1121" s="22"/>
    </row>
    <row r="1122" spans="2:2">
      <c r="B1122" s="22"/>
    </row>
    <row r="1123" spans="2:2">
      <c r="B1123" s="22"/>
    </row>
    <row r="1124" spans="2:2">
      <c r="B1124" s="22"/>
    </row>
    <row r="1125" spans="2:2">
      <c r="B1125" s="22"/>
    </row>
    <row r="1126" spans="2:2">
      <c r="B1126" s="22"/>
    </row>
    <row r="1127" spans="2:2">
      <c r="B1127" s="22"/>
    </row>
    <row r="1128" spans="2:2">
      <c r="B1128" s="22"/>
    </row>
    <row r="1129" spans="2:2">
      <c r="B1129" s="22"/>
    </row>
    <row r="1130" spans="2:2">
      <c r="B1130" s="22"/>
    </row>
    <row r="1131" spans="2:2">
      <c r="B1131" s="22"/>
    </row>
    <row r="1132" spans="2:2">
      <c r="B1132" s="22"/>
    </row>
    <row r="1133" spans="2:2">
      <c r="B1133" s="22"/>
    </row>
    <row r="1134" spans="2:2">
      <c r="B1134" s="22"/>
    </row>
    <row r="1135" spans="2:2">
      <c r="B1135" s="22"/>
    </row>
    <row r="1136" spans="2:2">
      <c r="B1136" s="22"/>
    </row>
    <row r="1137" spans="2:2">
      <c r="B1137" s="22"/>
    </row>
    <row r="1138" spans="2:2">
      <c r="B1138" s="22"/>
    </row>
    <row r="1139" spans="2:2">
      <c r="B1139" s="22"/>
    </row>
    <row r="1140" spans="2:2">
      <c r="B1140" s="22"/>
    </row>
    <row r="1141" spans="2:2">
      <c r="B1141" s="22"/>
    </row>
    <row r="1142" spans="2:2">
      <c r="B1142" s="22"/>
    </row>
    <row r="1143" spans="2:2">
      <c r="B1143" s="22"/>
    </row>
    <row r="1144" spans="2:2">
      <c r="B1144" s="22"/>
    </row>
    <row r="1145" spans="2:2">
      <c r="B1145" s="22"/>
    </row>
    <row r="1146" spans="2:2">
      <c r="B1146" s="22"/>
    </row>
    <row r="1147" spans="2:2">
      <c r="B1147" s="22"/>
    </row>
    <row r="1148" spans="2:2">
      <c r="B1148" s="22"/>
    </row>
    <row r="1149" spans="2:2">
      <c r="B1149" s="22"/>
    </row>
    <row r="1150" spans="2:2">
      <c r="B1150" s="22"/>
    </row>
    <row r="1151" spans="2:2">
      <c r="B1151" s="22"/>
    </row>
    <row r="1152" spans="2:2">
      <c r="B1152" s="22"/>
    </row>
    <row r="1153" spans="2:2">
      <c r="B1153" s="22"/>
    </row>
    <row r="1154" spans="2:2">
      <c r="B1154" s="22"/>
    </row>
    <row r="1155" spans="2:2">
      <c r="B1155" s="22"/>
    </row>
    <row r="1156" spans="2:2">
      <c r="B1156" s="22"/>
    </row>
    <row r="1157" spans="2:2">
      <c r="B1157" s="22"/>
    </row>
    <row r="1158" spans="2:2">
      <c r="B1158" s="22"/>
    </row>
    <row r="1159" spans="2:2">
      <c r="B1159" s="22"/>
    </row>
    <row r="1160" spans="2:2">
      <c r="B1160" s="22"/>
    </row>
    <row r="1161" spans="2:2">
      <c r="B1161" s="22"/>
    </row>
    <row r="1162" spans="2:2">
      <c r="B1162" s="22"/>
    </row>
    <row r="1163" spans="2:2">
      <c r="B1163" s="22"/>
    </row>
    <row r="1164" spans="2:2">
      <c r="B1164" s="22"/>
    </row>
    <row r="1165" spans="2:2">
      <c r="B1165" s="22"/>
    </row>
    <row r="1166" spans="2:2">
      <c r="B1166" s="22"/>
    </row>
    <row r="1167" spans="2:2">
      <c r="B1167" s="22"/>
    </row>
    <row r="1168" spans="2:2">
      <c r="B1168" s="22"/>
    </row>
    <row r="1169" spans="2:2">
      <c r="B1169" s="22"/>
    </row>
    <row r="1170" spans="2:2">
      <c r="B1170" s="22"/>
    </row>
    <row r="1171" spans="2:2">
      <c r="B1171" s="22"/>
    </row>
    <row r="1172" spans="2:2">
      <c r="B1172" s="22"/>
    </row>
    <row r="1173" spans="2:2">
      <c r="B1173" s="22"/>
    </row>
    <row r="1174" spans="2:2">
      <c r="B1174" s="22"/>
    </row>
    <row r="1175" spans="2:2">
      <c r="B1175" s="22"/>
    </row>
    <row r="1176" spans="2:2">
      <c r="B1176" s="22"/>
    </row>
    <row r="1177" spans="2:2">
      <c r="B1177" s="22"/>
    </row>
    <row r="1178" spans="2:2">
      <c r="B1178" s="22"/>
    </row>
    <row r="1179" spans="2:2">
      <c r="B1179" s="22"/>
    </row>
    <row r="1180" spans="2:2">
      <c r="B1180" s="22"/>
    </row>
    <row r="1181" spans="2:2">
      <c r="B1181" s="22"/>
    </row>
    <row r="1182" spans="2:2">
      <c r="B1182" s="22"/>
    </row>
    <row r="1183" spans="2:2">
      <c r="B1183" s="22"/>
    </row>
    <row r="1184" spans="2:2">
      <c r="B1184" s="22"/>
    </row>
    <row r="1185" spans="2:2">
      <c r="B1185" s="22"/>
    </row>
    <row r="1186" spans="2:2">
      <c r="B1186" s="22"/>
    </row>
    <row r="1187" spans="2:2">
      <c r="B1187" s="22"/>
    </row>
    <row r="1188" spans="2:2">
      <c r="B1188" s="22"/>
    </row>
    <row r="1189" spans="2:2">
      <c r="B1189" s="22"/>
    </row>
    <row r="1190" spans="2:2">
      <c r="B1190" s="22"/>
    </row>
    <row r="1191" spans="2:2">
      <c r="B1191" s="22"/>
    </row>
    <row r="1192" spans="2:2">
      <c r="B1192" s="22"/>
    </row>
    <row r="1193" spans="2:2">
      <c r="B1193" s="22"/>
    </row>
    <row r="1194" spans="2:2">
      <c r="B1194" s="22"/>
    </row>
    <row r="1195" spans="2:2">
      <c r="B1195" s="22"/>
    </row>
    <row r="1196" spans="2:2">
      <c r="B1196" s="22"/>
    </row>
    <row r="1197" spans="2:2">
      <c r="B1197" s="22"/>
    </row>
    <row r="1198" spans="2:2">
      <c r="B1198" s="22"/>
    </row>
    <row r="1199" spans="2:2">
      <c r="B1199" s="22"/>
    </row>
    <row r="1200" spans="2:2">
      <c r="B1200" s="22"/>
    </row>
    <row r="1201" spans="2:2">
      <c r="B1201" s="22"/>
    </row>
    <row r="1202" spans="2:2">
      <c r="B1202" s="22"/>
    </row>
    <row r="1203" spans="2:2">
      <c r="B1203" s="22"/>
    </row>
    <row r="1204" spans="2:2">
      <c r="B1204" s="22"/>
    </row>
    <row r="1205" spans="2:2">
      <c r="B1205" s="22"/>
    </row>
    <row r="1206" spans="2:2">
      <c r="B1206" s="22"/>
    </row>
    <row r="1207" spans="2:2">
      <c r="B1207" s="22"/>
    </row>
    <row r="1208" spans="2:2">
      <c r="B1208" s="22"/>
    </row>
    <row r="1209" spans="2:2">
      <c r="B1209" s="22"/>
    </row>
    <row r="1210" spans="2:2">
      <c r="B1210" s="22"/>
    </row>
    <row r="1211" spans="2:2">
      <c r="B1211" s="22"/>
    </row>
    <row r="1212" spans="2:2">
      <c r="B1212" s="22"/>
    </row>
    <row r="1213" spans="2:2">
      <c r="B1213" s="22"/>
    </row>
    <row r="1214" spans="2:2">
      <c r="B1214" s="22"/>
    </row>
    <row r="1215" spans="2:2">
      <c r="B1215" s="22"/>
    </row>
    <row r="1216" spans="2:2">
      <c r="B1216" s="22"/>
    </row>
    <row r="1217" spans="2:2">
      <c r="B1217" s="22"/>
    </row>
    <row r="1218" spans="2:2">
      <c r="B1218" s="22"/>
    </row>
    <row r="1219" spans="2:2">
      <c r="B1219" s="22"/>
    </row>
    <row r="1220" spans="2:2">
      <c r="B1220" s="22"/>
    </row>
    <row r="1221" spans="2:2">
      <c r="B1221" s="22"/>
    </row>
    <row r="1222" spans="2:2">
      <c r="B1222" s="22"/>
    </row>
    <row r="1223" spans="2:2">
      <c r="B1223" s="22"/>
    </row>
    <row r="1224" spans="2:2">
      <c r="B1224" s="22"/>
    </row>
    <row r="1225" spans="2:2">
      <c r="B1225" s="22"/>
    </row>
    <row r="1226" spans="2:2">
      <c r="B1226" s="22"/>
    </row>
    <row r="1227" spans="2:2">
      <c r="B1227" s="22"/>
    </row>
    <row r="1228" spans="2:2">
      <c r="B1228" s="22"/>
    </row>
    <row r="1229" spans="2:2">
      <c r="B1229" s="22"/>
    </row>
    <row r="1230" spans="2:2">
      <c r="B1230" s="22"/>
    </row>
    <row r="1231" spans="2:2">
      <c r="B1231" s="22"/>
    </row>
    <row r="1232" spans="2:2">
      <c r="B1232" s="22"/>
    </row>
    <row r="1233" spans="2:2">
      <c r="B1233" s="22"/>
    </row>
    <row r="1234" spans="2:2">
      <c r="B1234" s="22"/>
    </row>
    <row r="1235" spans="2:2">
      <c r="B1235" s="22"/>
    </row>
    <row r="1236" spans="2:2">
      <c r="B1236" s="22"/>
    </row>
    <row r="1237" spans="2:2">
      <c r="B1237" s="22"/>
    </row>
    <row r="1238" spans="2:2">
      <c r="B1238" s="22"/>
    </row>
    <row r="1239" spans="2:2">
      <c r="B1239" s="22"/>
    </row>
    <row r="1240" spans="2:2">
      <c r="B1240" s="22"/>
    </row>
    <row r="1241" spans="2:2">
      <c r="B1241" s="22"/>
    </row>
    <row r="1242" spans="2:2">
      <c r="B1242" s="22"/>
    </row>
    <row r="1243" spans="2:2">
      <c r="B1243" s="22"/>
    </row>
    <row r="1244" spans="2:2">
      <c r="B1244" s="22"/>
    </row>
    <row r="1245" spans="2:2">
      <c r="B1245" s="22"/>
    </row>
    <row r="1246" spans="2:2">
      <c r="B1246" s="22"/>
    </row>
    <row r="1247" spans="2:2">
      <c r="B1247" s="22"/>
    </row>
    <row r="1248" spans="2:2">
      <c r="B1248" s="22"/>
    </row>
    <row r="1249" spans="2:2">
      <c r="B1249" s="22"/>
    </row>
    <row r="1250" spans="2:2">
      <c r="B1250" s="22"/>
    </row>
    <row r="1251" spans="2:2">
      <c r="B1251" s="22"/>
    </row>
    <row r="1252" spans="2:2">
      <c r="B1252" s="22"/>
    </row>
    <row r="1253" spans="2:2">
      <c r="B1253" s="22"/>
    </row>
    <row r="1254" spans="2:2">
      <c r="B1254" s="22"/>
    </row>
    <row r="1255" spans="2:2">
      <c r="B1255" s="22"/>
    </row>
    <row r="1256" spans="2:2">
      <c r="B1256" s="22"/>
    </row>
    <row r="1257" spans="2:2">
      <c r="B1257" s="22"/>
    </row>
    <row r="1258" spans="2:2">
      <c r="B1258" s="22"/>
    </row>
    <row r="1259" spans="2:2">
      <c r="B1259" s="22"/>
    </row>
    <row r="1260" spans="2:2">
      <c r="B1260" s="22"/>
    </row>
    <row r="1261" spans="2:2">
      <c r="B1261" s="22"/>
    </row>
    <row r="1262" spans="2:2">
      <c r="B1262" s="22"/>
    </row>
    <row r="1263" spans="2:2">
      <c r="B1263" s="22"/>
    </row>
    <row r="1264" spans="2:2">
      <c r="B1264" s="22"/>
    </row>
    <row r="1265" spans="2:2">
      <c r="B1265" s="22"/>
    </row>
    <row r="1266" spans="2:2">
      <c r="B1266" s="22"/>
    </row>
    <row r="1267" spans="2:2">
      <c r="B1267" s="22"/>
    </row>
    <row r="1268" spans="2:2">
      <c r="B1268" s="22"/>
    </row>
    <row r="1269" spans="2:2">
      <c r="B1269" s="22"/>
    </row>
    <row r="1270" spans="2:2">
      <c r="B1270" s="22"/>
    </row>
    <row r="1271" spans="2:2">
      <c r="B1271" s="22"/>
    </row>
    <row r="1272" spans="2:2">
      <c r="B1272" s="22"/>
    </row>
    <row r="1273" spans="2:2">
      <c r="B1273" s="22"/>
    </row>
    <row r="1274" spans="2:2">
      <c r="B1274" s="22"/>
    </row>
    <row r="1275" spans="2:2">
      <c r="B1275" s="22"/>
    </row>
    <row r="1276" spans="2:2">
      <c r="B1276" s="22"/>
    </row>
    <row r="1277" spans="2:2">
      <c r="B1277" s="22"/>
    </row>
    <row r="1278" spans="2:2">
      <c r="B1278" s="22"/>
    </row>
    <row r="1279" spans="2:2">
      <c r="B1279" s="22"/>
    </row>
    <row r="1280" spans="2:2">
      <c r="B1280" s="22"/>
    </row>
    <row r="1281" spans="2:2">
      <c r="B1281" s="22"/>
    </row>
    <row r="1282" spans="2:2">
      <c r="B1282" s="22"/>
    </row>
    <row r="1283" spans="2:2">
      <c r="B1283" s="22"/>
    </row>
    <row r="1284" spans="2:2">
      <c r="B1284" s="22"/>
    </row>
    <row r="1285" spans="2:2">
      <c r="B1285" s="22"/>
    </row>
    <row r="1286" spans="2:2">
      <c r="B1286" s="22"/>
    </row>
    <row r="1287" spans="2:2">
      <c r="B1287" s="22"/>
    </row>
    <row r="1288" spans="2:2">
      <c r="B1288" s="22"/>
    </row>
    <row r="1289" spans="2:2">
      <c r="B1289" s="22"/>
    </row>
    <row r="1290" spans="2:2">
      <c r="B1290" s="22"/>
    </row>
    <row r="1291" spans="2:2">
      <c r="B1291" s="22"/>
    </row>
    <row r="1292" spans="2:2">
      <c r="B1292" s="22"/>
    </row>
    <row r="1293" spans="2:2">
      <c r="B1293" s="22"/>
    </row>
    <row r="1294" spans="2:2">
      <c r="B1294" s="22"/>
    </row>
    <row r="1295" spans="2:2">
      <c r="B1295" s="22"/>
    </row>
    <row r="1296" spans="2:2">
      <c r="B1296" s="22"/>
    </row>
    <row r="1297" spans="2:2">
      <c r="B1297" s="22"/>
    </row>
    <row r="1298" spans="2:2">
      <c r="B1298" s="22"/>
    </row>
    <row r="1299" spans="2:2">
      <c r="B1299" s="22"/>
    </row>
    <row r="1300" spans="2:2">
      <c r="B1300" s="22"/>
    </row>
    <row r="1301" spans="2:2">
      <c r="B1301" s="22"/>
    </row>
    <row r="1302" spans="2:2">
      <c r="B1302" s="22"/>
    </row>
    <row r="1303" spans="2:2">
      <c r="B1303" s="22"/>
    </row>
    <row r="1304" spans="2:2">
      <c r="B1304" s="22"/>
    </row>
    <row r="1305" spans="2:2">
      <c r="B1305" s="22"/>
    </row>
    <row r="1306" spans="2:2">
      <c r="B1306" s="22"/>
    </row>
    <row r="1307" spans="2:2">
      <c r="B1307" s="22"/>
    </row>
    <row r="1308" spans="2:2">
      <c r="B1308" s="22"/>
    </row>
    <row r="1309" spans="2:2">
      <c r="B1309" s="22"/>
    </row>
    <row r="1310" spans="2:2">
      <c r="B1310" s="22"/>
    </row>
    <row r="1311" spans="2:2">
      <c r="B1311" s="22"/>
    </row>
    <row r="1312" spans="2:2">
      <c r="B1312" s="22"/>
    </row>
    <row r="1313" spans="2:2">
      <c r="B1313" s="22"/>
    </row>
    <row r="1314" spans="2:2">
      <c r="B1314" s="22"/>
    </row>
    <row r="1315" spans="2:2">
      <c r="B1315" s="22"/>
    </row>
    <row r="1316" spans="2:2">
      <c r="B1316" s="22"/>
    </row>
    <row r="1317" spans="2:2">
      <c r="B1317" s="22"/>
    </row>
    <row r="1318" spans="2:2">
      <c r="B1318" s="22"/>
    </row>
    <row r="1319" spans="2:2">
      <c r="B1319" s="22"/>
    </row>
    <row r="1320" spans="2:2">
      <c r="B1320" s="22"/>
    </row>
    <row r="1321" spans="2:2">
      <c r="B1321" s="22"/>
    </row>
    <row r="1322" spans="2:2">
      <c r="B1322" s="22"/>
    </row>
    <row r="1323" spans="2:2">
      <c r="B1323" s="22"/>
    </row>
    <row r="1324" spans="2:2">
      <c r="B1324" s="22"/>
    </row>
    <row r="1325" spans="2:2">
      <c r="B1325" s="22"/>
    </row>
    <row r="1326" spans="2:2">
      <c r="B1326" s="22"/>
    </row>
    <row r="1327" spans="2:2">
      <c r="B1327" s="22"/>
    </row>
    <row r="1328" spans="2:2">
      <c r="B1328" s="22"/>
    </row>
    <row r="1329" spans="2:2">
      <c r="B1329" s="22"/>
    </row>
    <row r="1330" spans="2:2">
      <c r="B1330" s="22"/>
    </row>
    <row r="1331" spans="2:2">
      <c r="B1331" s="22"/>
    </row>
    <row r="1332" spans="2:2">
      <c r="B1332" s="22"/>
    </row>
    <row r="1333" spans="2:2">
      <c r="B1333" s="22"/>
    </row>
    <row r="1334" spans="2:2">
      <c r="B1334" s="22"/>
    </row>
    <row r="1335" spans="2:2">
      <c r="B1335" s="22"/>
    </row>
    <row r="1336" spans="2:2">
      <c r="B1336" s="22"/>
    </row>
    <row r="1337" spans="2:2">
      <c r="B1337" s="22"/>
    </row>
    <row r="1338" spans="2:2">
      <c r="B1338" s="22"/>
    </row>
    <row r="1339" spans="2:2">
      <c r="B1339" s="22"/>
    </row>
    <row r="1340" spans="2:2">
      <c r="B1340" s="22"/>
    </row>
    <row r="1341" spans="2:2">
      <c r="B1341" s="22"/>
    </row>
    <row r="1342" spans="2:2">
      <c r="B1342" s="22"/>
    </row>
    <row r="1343" spans="2:2">
      <c r="B1343" s="22"/>
    </row>
    <row r="1344" spans="2:2">
      <c r="B1344" s="22"/>
    </row>
    <row r="1345" spans="2:2">
      <c r="B1345" s="22"/>
    </row>
    <row r="1346" spans="2:2">
      <c r="B1346" s="22"/>
    </row>
    <row r="1347" spans="2:2">
      <c r="B1347" s="22"/>
    </row>
    <row r="1348" spans="2:2">
      <c r="B1348" s="22"/>
    </row>
    <row r="1349" spans="2:2">
      <c r="B1349" s="22"/>
    </row>
    <row r="1350" spans="2:2">
      <c r="B1350" s="22"/>
    </row>
    <row r="1351" spans="2:2">
      <c r="B1351" s="22"/>
    </row>
    <row r="1352" spans="2:2">
      <c r="B1352" s="22"/>
    </row>
    <row r="1353" spans="2:2">
      <c r="B1353" s="22"/>
    </row>
    <row r="1354" spans="2:2">
      <c r="B1354" s="22"/>
    </row>
    <row r="1355" spans="2:2">
      <c r="B1355" s="22"/>
    </row>
    <row r="1356" spans="2:2">
      <c r="B1356" s="22"/>
    </row>
    <row r="1357" spans="2:2">
      <c r="B1357" s="22"/>
    </row>
    <row r="1358" spans="2:2">
      <c r="B1358" s="22"/>
    </row>
    <row r="1359" spans="2:2">
      <c r="B1359" s="22"/>
    </row>
    <row r="1360" spans="2:2">
      <c r="B1360" s="22"/>
    </row>
    <row r="1361" spans="2:2">
      <c r="B1361" s="22"/>
    </row>
    <row r="1362" spans="2:2">
      <c r="B1362" s="22"/>
    </row>
    <row r="1363" spans="2:2">
      <c r="B1363" s="22"/>
    </row>
    <row r="1364" spans="2:2">
      <c r="B1364" s="22"/>
    </row>
    <row r="1365" spans="2:2">
      <c r="B1365" s="22"/>
    </row>
    <row r="1366" spans="2:2">
      <c r="B1366" s="22"/>
    </row>
    <row r="1367" spans="2:2">
      <c r="B1367" s="22"/>
    </row>
    <row r="1368" spans="2:2">
      <c r="B1368" s="22"/>
    </row>
    <row r="1369" spans="2:2">
      <c r="B1369" s="22"/>
    </row>
    <row r="1370" spans="2:2">
      <c r="B1370" s="22"/>
    </row>
    <row r="1371" spans="2:2">
      <c r="B1371" s="22"/>
    </row>
    <row r="1372" spans="2:2">
      <c r="B1372" s="22"/>
    </row>
    <row r="1373" spans="2:2">
      <c r="B1373" s="22"/>
    </row>
    <row r="1374" spans="2:2">
      <c r="B1374" s="22"/>
    </row>
    <row r="1375" spans="2:2">
      <c r="B1375" s="22"/>
    </row>
    <row r="1376" spans="2:2">
      <c r="B1376" s="22"/>
    </row>
    <row r="1377" spans="2:2">
      <c r="B1377" s="22"/>
    </row>
    <row r="1378" spans="2:2">
      <c r="B1378" s="22"/>
    </row>
    <row r="1379" spans="2:2">
      <c r="B1379" s="22"/>
    </row>
    <row r="1380" spans="2:2">
      <c r="B1380" s="22"/>
    </row>
    <row r="1381" spans="2:2">
      <c r="B1381" s="22"/>
    </row>
    <row r="1382" spans="2:2">
      <c r="B1382" s="22"/>
    </row>
    <row r="1383" spans="2:2">
      <c r="B1383" s="22"/>
    </row>
    <row r="1384" spans="2:2">
      <c r="B1384" s="22"/>
    </row>
    <row r="1385" spans="2:2">
      <c r="B1385" s="22"/>
    </row>
    <row r="1386" spans="2:2">
      <c r="B1386" s="22"/>
    </row>
    <row r="1387" spans="2:2">
      <c r="B1387" s="22"/>
    </row>
    <row r="1388" spans="2:2">
      <c r="B1388" s="22"/>
    </row>
    <row r="1389" spans="2:2">
      <c r="B1389" s="22"/>
    </row>
    <row r="1390" spans="2:2">
      <c r="B1390" s="22"/>
    </row>
    <row r="1391" spans="2:2">
      <c r="B1391" s="22"/>
    </row>
    <row r="1392" spans="2:2">
      <c r="B1392" s="22"/>
    </row>
    <row r="1393" spans="2:2">
      <c r="B1393" s="22"/>
    </row>
    <row r="1394" spans="2:2">
      <c r="B1394" s="22"/>
    </row>
    <row r="1395" spans="2:2">
      <c r="B1395" s="22"/>
    </row>
    <row r="1396" spans="2:2">
      <c r="B1396" s="22"/>
    </row>
    <row r="1397" spans="2:2">
      <c r="B1397" s="22"/>
    </row>
    <row r="1398" spans="2:2">
      <c r="B1398" s="22"/>
    </row>
    <row r="1399" spans="2:2">
      <c r="B1399" s="22"/>
    </row>
    <row r="1400" spans="2:2">
      <c r="B1400" s="22"/>
    </row>
    <row r="1401" spans="2:2">
      <c r="B1401" s="22"/>
    </row>
    <row r="1402" spans="2:2">
      <c r="B1402" s="22"/>
    </row>
    <row r="1403" spans="2:2">
      <c r="B1403" s="22"/>
    </row>
    <row r="1404" spans="2:2">
      <c r="B1404" s="22"/>
    </row>
    <row r="1405" spans="2:2">
      <c r="B1405" s="22"/>
    </row>
    <row r="1406" spans="2:2">
      <c r="B1406" s="22"/>
    </row>
    <row r="1407" spans="2:2">
      <c r="B1407" s="22"/>
    </row>
    <row r="1408" spans="2:2">
      <c r="B1408" s="22"/>
    </row>
    <row r="1409" spans="2:2">
      <c r="B1409" s="22"/>
    </row>
    <row r="1410" spans="2:2">
      <c r="B1410" s="22"/>
    </row>
    <row r="1411" spans="2:2">
      <c r="B1411" s="22"/>
    </row>
    <row r="1412" spans="2:2">
      <c r="B1412" s="22"/>
    </row>
    <row r="1413" spans="2:2">
      <c r="B1413" s="22"/>
    </row>
    <row r="1414" spans="2:2">
      <c r="B1414" s="22"/>
    </row>
    <row r="1415" spans="2:2">
      <c r="B1415" s="22"/>
    </row>
    <row r="1416" spans="2:2">
      <c r="B1416" s="22"/>
    </row>
    <row r="1417" spans="2:2">
      <c r="B1417" s="22"/>
    </row>
    <row r="1418" spans="2:2">
      <c r="B1418" s="22"/>
    </row>
    <row r="1419" spans="2:2">
      <c r="B1419" s="22"/>
    </row>
    <row r="1420" spans="2:2">
      <c r="B1420" s="22"/>
    </row>
    <row r="1421" spans="2:2">
      <c r="B1421" s="22"/>
    </row>
    <row r="1422" spans="2:2">
      <c r="B1422" s="22"/>
    </row>
    <row r="1423" spans="2:2">
      <c r="B1423" s="22"/>
    </row>
    <row r="1424" spans="2:2">
      <c r="B1424" s="22"/>
    </row>
    <row r="1425" spans="2:2">
      <c r="B1425" s="22"/>
    </row>
    <row r="1426" spans="2:2">
      <c r="B1426" s="22"/>
    </row>
    <row r="1427" spans="2:2">
      <c r="B1427" s="22"/>
    </row>
    <row r="1428" spans="2:2">
      <c r="B1428" s="22"/>
    </row>
    <row r="1429" spans="2:2">
      <c r="B1429" s="22"/>
    </row>
    <row r="1430" spans="2:2">
      <c r="B1430" s="22"/>
    </row>
    <row r="1431" spans="2:2">
      <c r="B1431" s="22"/>
    </row>
    <row r="1432" spans="2:2">
      <c r="B1432" s="22"/>
    </row>
    <row r="1433" spans="2:2">
      <c r="B1433" s="22"/>
    </row>
    <row r="1434" spans="2:2">
      <c r="B1434" s="22"/>
    </row>
    <row r="1435" spans="2:2">
      <c r="B1435" s="22"/>
    </row>
    <row r="1436" spans="2:2">
      <c r="B1436" s="22"/>
    </row>
    <row r="1437" spans="2:2">
      <c r="B1437" s="22"/>
    </row>
    <row r="1438" spans="2:2">
      <c r="B1438" s="22"/>
    </row>
    <row r="1439" spans="2:2">
      <c r="B1439" s="22"/>
    </row>
    <row r="1440" spans="2:2">
      <c r="B1440" s="22"/>
    </row>
    <row r="1441" spans="2:2">
      <c r="B1441" s="22"/>
    </row>
    <row r="1442" spans="2:2">
      <c r="B1442" s="22"/>
    </row>
    <row r="1443" spans="2:2">
      <c r="B1443" s="22"/>
    </row>
    <row r="1444" spans="2:2">
      <c r="B1444" s="22"/>
    </row>
    <row r="1445" spans="2:2">
      <c r="B1445" s="22"/>
    </row>
    <row r="1446" spans="2:2">
      <c r="B1446" s="22"/>
    </row>
    <row r="1447" spans="2:2">
      <c r="B1447" s="22"/>
    </row>
    <row r="1448" spans="2:2">
      <c r="B1448" s="22"/>
    </row>
    <row r="1449" spans="2:2">
      <c r="B1449" s="22"/>
    </row>
    <row r="1450" spans="2:2">
      <c r="B1450" s="22"/>
    </row>
    <row r="1451" spans="2:2">
      <c r="B1451" s="22"/>
    </row>
    <row r="1452" spans="2:2">
      <c r="B1452" s="22"/>
    </row>
    <row r="1453" spans="2:2">
      <c r="B1453" s="22"/>
    </row>
    <row r="1454" spans="2:2">
      <c r="B1454" s="22"/>
    </row>
    <row r="1455" spans="2:2">
      <c r="B1455" s="22"/>
    </row>
    <row r="1456" spans="2:2">
      <c r="B1456" s="22"/>
    </row>
    <row r="1457" spans="2:2">
      <c r="B1457" s="22"/>
    </row>
    <row r="1458" spans="2:2">
      <c r="B1458" s="22"/>
    </row>
    <row r="1459" spans="2:2">
      <c r="B1459" s="22"/>
    </row>
    <row r="1460" spans="2:2">
      <c r="B1460" s="22"/>
    </row>
    <row r="1461" spans="2:2">
      <c r="B1461" s="22"/>
    </row>
    <row r="1462" spans="2:2">
      <c r="B1462" s="22"/>
    </row>
    <row r="1463" spans="2:2">
      <c r="B1463" s="22"/>
    </row>
    <row r="1464" spans="2:2">
      <c r="B1464" s="22"/>
    </row>
    <row r="1465" spans="2:2">
      <c r="B1465" s="22"/>
    </row>
    <row r="1466" spans="2:2">
      <c r="B1466" s="22"/>
    </row>
    <row r="1467" spans="2:2">
      <c r="B1467" s="22"/>
    </row>
    <row r="1468" spans="2:2">
      <c r="B1468" s="22"/>
    </row>
    <row r="1469" spans="2:2">
      <c r="B1469" s="22"/>
    </row>
    <row r="1470" spans="2:2">
      <c r="B1470" s="22"/>
    </row>
    <row r="1471" spans="2:2">
      <c r="B1471" s="22"/>
    </row>
    <row r="1472" spans="2:2">
      <c r="B1472" s="22"/>
    </row>
    <row r="1473" spans="2:2">
      <c r="B1473" s="22"/>
    </row>
    <row r="1474" spans="2:2">
      <c r="B1474" s="22"/>
    </row>
    <row r="1475" spans="2:2">
      <c r="B1475" s="22"/>
    </row>
    <row r="1476" spans="2:2">
      <c r="B1476" s="22"/>
    </row>
    <row r="1477" spans="2:2">
      <c r="B1477" s="22"/>
    </row>
    <row r="1478" spans="2:2">
      <c r="B1478" s="22"/>
    </row>
    <row r="1479" spans="2:2">
      <c r="B1479" s="22"/>
    </row>
    <row r="1480" spans="2:2">
      <c r="B1480" s="22"/>
    </row>
    <row r="1481" spans="2:2">
      <c r="B1481" s="22"/>
    </row>
    <row r="1482" spans="2:2">
      <c r="B1482" s="22"/>
    </row>
    <row r="1483" spans="2:2">
      <c r="B1483" s="22"/>
    </row>
    <row r="1484" spans="2:2">
      <c r="B1484" s="22"/>
    </row>
    <row r="1485" spans="2:2">
      <c r="B1485" s="22"/>
    </row>
    <row r="1486" spans="2:2">
      <c r="B1486" s="22"/>
    </row>
    <row r="1487" spans="2:2">
      <c r="B1487" s="22"/>
    </row>
    <row r="1488" spans="2:2">
      <c r="B1488" s="22"/>
    </row>
    <row r="1489" spans="2:2">
      <c r="B1489" s="22"/>
    </row>
    <row r="1490" spans="2:2">
      <c r="B1490" s="22"/>
    </row>
    <row r="1491" spans="2:2">
      <c r="B1491" s="22"/>
    </row>
    <row r="1492" spans="2:2">
      <c r="B1492" s="22"/>
    </row>
    <row r="1493" spans="2:2">
      <c r="B1493" s="22"/>
    </row>
    <row r="1494" spans="2:2">
      <c r="B1494" s="22"/>
    </row>
    <row r="1495" spans="2:2">
      <c r="B1495" s="22"/>
    </row>
    <row r="1496" spans="2:2">
      <c r="B1496" s="22"/>
    </row>
    <row r="1497" spans="2:2">
      <c r="B1497" s="22"/>
    </row>
    <row r="1498" spans="2:2">
      <c r="B1498" s="22"/>
    </row>
    <row r="1499" spans="2:2">
      <c r="B1499" s="22"/>
    </row>
    <row r="1500" spans="2:2">
      <c r="B1500" s="22"/>
    </row>
    <row r="1501" spans="2:2">
      <c r="B1501" s="22"/>
    </row>
    <row r="1502" spans="2:2">
      <c r="B1502" s="22"/>
    </row>
    <row r="1503" spans="2:2">
      <c r="B1503" s="22"/>
    </row>
    <row r="1504" spans="2:2">
      <c r="B1504" s="22"/>
    </row>
    <row r="1505" spans="2:2">
      <c r="B1505" s="22"/>
    </row>
    <row r="1506" spans="2:2">
      <c r="B1506" s="22"/>
    </row>
    <row r="1507" spans="2:2">
      <c r="B1507" s="22"/>
    </row>
    <row r="1508" spans="2:2">
      <c r="B1508" s="22"/>
    </row>
    <row r="1509" spans="2:2">
      <c r="B1509" s="22"/>
    </row>
    <row r="1510" spans="2:2">
      <c r="B1510" s="22"/>
    </row>
    <row r="1511" spans="2:2">
      <c r="B1511" s="22"/>
    </row>
    <row r="1512" spans="2:2">
      <c r="B1512" s="22"/>
    </row>
    <row r="1513" spans="2:2">
      <c r="B1513" s="22"/>
    </row>
    <row r="1514" spans="2:2">
      <c r="B1514" s="22"/>
    </row>
    <row r="1515" spans="2:2">
      <c r="B1515" s="22"/>
    </row>
    <row r="1516" spans="2:2">
      <c r="B1516" s="22"/>
    </row>
    <row r="1517" spans="2:2">
      <c r="B1517" s="22"/>
    </row>
    <row r="1518" spans="2:2">
      <c r="B1518" s="22"/>
    </row>
    <row r="1519" spans="2:2">
      <c r="B1519" s="22"/>
    </row>
    <row r="1520" spans="2:2">
      <c r="B1520" s="22"/>
    </row>
    <row r="1521" spans="2:2">
      <c r="B1521" s="22"/>
    </row>
    <row r="1522" spans="2:2">
      <c r="B1522" s="22"/>
    </row>
    <row r="1523" spans="2:2">
      <c r="B1523" s="22"/>
    </row>
    <row r="1524" spans="2:2">
      <c r="B1524" s="22"/>
    </row>
    <row r="1525" spans="2:2">
      <c r="B1525" s="22"/>
    </row>
    <row r="1526" spans="2:2">
      <c r="B1526" s="22"/>
    </row>
    <row r="1527" spans="2:2">
      <c r="B1527" s="22"/>
    </row>
    <row r="1528" spans="2:2">
      <c r="B1528" s="22"/>
    </row>
    <row r="1529" spans="2:2">
      <c r="B1529" s="22"/>
    </row>
    <row r="1530" spans="2:2">
      <c r="B1530" s="22"/>
    </row>
    <row r="1531" spans="2:2">
      <c r="B1531" s="22"/>
    </row>
    <row r="1532" spans="2:2">
      <c r="B1532" s="22"/>
    </row>
    <row r="1533" spans="2:2">
      <c r="B1533" s="22"/>
    </row>
    <row r="1534" spans="2:2">
      <c r="B1534" s="22"/>
    </row>
    <row r="1535" spans="2:2">
      <c r="B1535" s="22"/>
    </row>
    <row r="1536" spans="2:2">
      <c r="B1536" s="22"/>
    </row>
    <row r="1537" spans="2:2">
      <c r="B1537" s="22"/>
    </row>
    <row r="1538" spans="2:2">
      <c r="B1538" s="22"/>
    </row>
    <row r="1539" spans="2:2">
      <c r="B1539" s="22"/>
    </row>
    <row r="1540" spans="2:2">
      <c r="B1540" s="22"/>
    </row>
    <row r="1541" spans="2:2">
      <c r="B1541" s="22"/>
    </row>
    <row r="1542" spans="2:2">
      <c r="B1542" s="22"/>
    </row>
    <row r="1543" spans="2:2">
      <c r="B1543" s="22"/>
    </row>
    <row r="1544" spans="2:2">
      <c r="B1544" s="22"/>
    </row>
    <row r="1545" spans="2:2">
      <c r="B1545" s="22"/>
    </row>
    <row r="1546" spans="2:2">
      <c r="B1546" s="22"/>
    </row>
    <row r="1547" spans="2:2">
      <c r="B1547" s="22"/>
    </row>
    <row r="1548" spans="2:2">
      <c r="B1548" s="22"/>
    </row>
    <row r="1549" spans="2:2">
      <c r="B1549" s="22"/>
    </row>
    <row r="1550" spans="2:2">
      <c r="B1550" s="22"/>
    </row>
    <row r="1551" spans="2:2">
      <c r="B1551" s="22"/>
    </row>
    <row r="1552" spans="2:2">
      <c r="B1552" s="22"/>
    </row>
    <row r="1553" spans="2:2">
      <c r="B1553" s="22"/>
    </row>
    <row r="1554" spans="2:2">
      <c r="B1554" s="22"/>
    </row>
    <row r="1555" spans="2:2">
      <c r="B1555" s="22"/>
    </row>
    <row r="1556" spans="2:2">
      <c r="B1556" s="22"/>
    </row>
    <row r="1557" spans="2:2">
      <c r="B1557" s="22"/>
    </row>
    <row r="1558" spans="2:2">
      <c r="B1558" s="22"/>
    </row>
    <row r="1559" spans="2:2">
      <c r="B1559" s="22"/>
    </row>
    <row r="1560" spans="2:2">
      <c r="B1560" s="22"/>
    </row>
    <row r="1561" spans="2:2">
      <c r="B1561" s="22"/>
    </row>
    <row r="1562" spans="2:2">
      <c r="B1562" s="22"/>
    </row>
    <row r="1563" spans="2:2">
      <c r="B1563" s="22"/>
    </row>
    <row r="1564" spans="2:2">
      <c r="B1564" s="22"/>
    </row>
    <row r="1565" spans="2:2">
      <c r="B1565" s="22"/>
    </row>
    <row r="1566" spans="2:2">
      <c r="B1566" s="22"/>
    </row>
    <row r="1567" spans="2:2">
      <c r="B1567" s="22"/>
    </row>
    <row r="1568" spans="2:2">
      <c r="B1568" s="22"/>
    </row>
    <row r="1569" spans="2:2">
      <c r="B1569" s="22"/>
    </row>
    <row r="1570" spans="2:2">
      <c r="B1570" s="22"/>
    </row>
    <row r="1571" spans="2:2">
      <c r="B1571" s="22"/>
    </row>
    <row r="1572" spans="2:2">
      <c r="B1572" s="22"/>
    </row>
    <row r="1573" spans="2:2">
      <c r="B1573" s="22"/>
    </row>
    <row r="1574" spans="2:2">
      <c r="B1574" s="22"/>
    </row>
    <row r="1575" spans="2:2">
      <c r="B1575" s="22"/>
    </row>
    <row r="1576" spans="2:2">
      <c r="B1576" s="22"/>
    </row>
    <row r="1577" spans="2:2">
      <c r="B1577" s="22"/>
    </row>
    <row r="1578" spans="2:2">
      <c r="B1578" s="22"/>
    </row>
    <row r="1579" spans="2:2">
      <c r="B1579" s="22"/>
    </row>
    <row r="1580" spans="2:2">
      <c r="B1580" s="22"/>
    </row>
    <row r="1581" spans="2:2">
      <c r="B1581" s="22"/>
    </row>
    <row r="1582" spans="2:2">
      <c r="B1582" s="22"/>
    </row>
    <row r="1583" spans="2:2">
      <c r="B1583" s="22"/>
    </row>
    <row r="1584" spans="2:2">
      <c r="B1584" s="22"/>
    </row>
    <row r="1585" spans="2:2">
      <c r="B1585" s="22"/>
    </row>
    <row r="1586" spans="2:2">
      <c r="B1586" s="22"/>
    </row>
    <row r="1587" spans="2:2">
      <c r="B1587" s="22"/>
    </row>
    <row r="1588" spans="2:2">
      <c r="B1588" s="22"/>
    </row>
    <row r="1589" spans="2:2">
      <c r="B1589" s="22"/>
    </row>
    <row r="1590" spans="2:2">
      <c r="B1590" s="22"/>
    </row>
    <row r="1591" spans="2:2">
      <c r="B1591" s="22"/>
    </row>
    <row r="1592" spans="2:2">
      <c r="B1592" s="22"/>
    </row>
    <row r="1593" spans="2:2">
      <c r="B1593" s="22"/>
    </row>
    <row r="1594" spans="2:2">
      <c r="B1594" s="22"/>
    </row>
    <row r="1595" spans="2:2">
      <c r="B1595" s="22"/>
    </row>
    <row r="1596" spans="2:2">
      <c r="B1596" s="22"/>
    </row>
    <row r="1597" spans="2:2">
      <c r="B1597" s="22"/>
    </row>
    <row r="1598" spans="2:2">
      <c r="B1598" s="22"/>
    </row>
    <row r="1599" spans="2:2">
      <c r="B1599" s="22"/>
    </row>
    <row r="1600" spans="2:2">
      <c r="B1600" s="22"/>
    </row>
    <row r="1601" spans="2:2">
      <c r="B1601" s="22"/>
    </row>
    <row r="1602" spans="2:2">
      <c r="B1602" s="22"/>
    </row>
    <row r="1603" spans="2:2">
      <c r="B1603" s="22"/>
    </row>
    <row r="1604" spans="2:2">
      <c r="B1604" s="22"/>
    </row>
    <row r="1605" spans="2:2">
      <c r="B1605" s="22"/>
    </row>
    <row r="1606" spans="2:2">
      <c r="B1606" s="22"/>
    </row>
    <row r="1607" spans="2:2">
      <c r="B1607" s="22"/>
    </row>
    <row r="1608" spans="2:2">
      <c r="B1608" s="22"/>
    </row>
    <row r="1609" spans="2:2">
      <c r="B1609" s="22"/>
    </row>
    <row r="1610" spans="2:2">
      <c r="B1610" s="22"/>
    </row>
    <row r="1611" spans="2:2">
      <c r="B1611" s="22"/>
    </row>
    <row r="1612" spans="2:2">
      <c r="B1612" s="22"/>
    </row>
    <row r="1613" spans="2:2">
      <c r="B1613" s="22"/>
    </row>
    <row r="1614" spans="2:2">
      <c r="B1614" s="22"/>
    </row>
    <row r="1615" spans="2:2">
      <c r="B1615" s="22"/>
    </row>
    <row r="1616" spans="2:2">
      <c r="B1616" s="22"/>
    </row>
    <row r="1617" spans="2:2">
      <c r="B1617" s="22"/>
    </row>
    <row r="1618" spans="2:2">
      <c r="B1618" s="22"/>
    </row>
    <row r="1619" spans="2:2">
      <c r="B1619" s="22"/>
    </row>
    <row r="1620" spans="2:2">
      <c r="B1620" s="22"/>
    </row>
    <row r="1621" spans="2:2">
      <c r="B1621" s="22"/>
    </row>
    <row r="1622" spans="2:2">
      <c r="B1622" s="22"/>
    </row>
    <row r="1623" spans="2:2">
      <c r="B1623" s="22"/>
    </row>
    <row r="1624" spans="2:2">
      <c r="B1624" s="22"/>
    </row>
    <row r="1625" spans="2:2">
      <c r="B1625" s="22"/>
    </row>
    <row r="1626" spans="2:2">
      <c r="B1626" s="22"/>
    </row>
    <row r="1627" spans="2:2">
      <c r="B1627" s="22"/>
    </row>
    <row r="1628" spans="2:2">
      <c r="B1628" s="22"/>
    </row>
    <row r="1629" spans="2:2">
      <c r="B1629" s="22"/>
    </row>
    <row r="1630" spans="2:2">
      <c r="B1630" s="22"/>
    </row>
    <row r="1631" spans="2:2">
      <c r="B1631" s="22"/>
    </row>
    <row r="1632" spans="2:2">
      <c r="B1632" s="22"/>
    </row>
    <row r="1633" spans="2:2">
      <c r="B1633" s="22"/>
    </row>
    <row r="1634" spans="2:2">
      <c r="B1634" s="22"/>
    </row>
    <row r="1635" spans="2:2">
      <c r="B1635" s="22"/>
    </row>
    <row r="1636" spans="2:2">
      <c r="B1636" s="22"/>
    </row>
    <row r="1637" spans="2:2">
      <c r="B1637" s="22"/>
    </row>
    <row r="1638" spans="2:2">
      <c r="B1638" s="22"/>
    </row>
    <row r="1639" spans="2:2">
      <c r="B1639" s="22"/>
    </row>
    <row r="1640" spans="2:2">
      <c r="B1640" s="22"/>
    </row>
    <row r="1641" spans="2:2">
      <c r="B1641" s="22"/>
    </row>
    <row r="1642" spans="2:2">
      <c r="B1642" s="22"/>
    </row>
    <row r="1643" spans="2:2">
      <c r="B1643" s="22"/>
    </row>
    <row r="1644" spans="2:2">
      <c r="B1644" s="22"/>
    </row>
    <row r="1645" spans="2:2">
      <c r="B1645" s="22"/>
    </row>
    <row r="1646" spans="2:2">
      <c r="B1646" s="22"/>
    </row>
    <row r="1647" spans="2:2">
      <c r="B1647" s="22"/>
    </row>
    <row r="1648" spans="2:2">
      <c r="B1648" s="22"/>
    </row>
    <row r="1649" spans="2:2">
      <c r="B1649" s="22"/>
    </row>
    <row r="1650" spans="2:2">
      <c r="B1650" s="22"/>
    </row>
    <row r="1651" spans="2:2">
      <c r="B1651" s="22"/>
    </row>
    <row r="1652" spans="2:2">
      <c r="B1652" s="22"/>
    </row>
    <row r="1653" spans="2:2">
      <c r="B1653" s="22"/>
    </row>
    <row r="1654" spans="2:2">
      <c r="B1654" s="22"/>
    </row>
    <row r="1655" spans="2:2">
      <c r="B1655" s="22"/>
    </row>
    <row r="1656" spans="2:2">
      <c r="B1656" s="22"/>
    </row>
    <row r="1657" spans="2:2">
      <c r="B1657" s="22"/>
    </row>
    <row r="1658" spans="2:2">
      <c r="B1658" s="22"/>
    </row>
    <row r="1659" spans="2:2">
      <c r="B1659" s="22"/>
    </row>
    <row r="1660" spans="2:2">
      <c r="B1660" s="22"/>
    </row>
    <row r="1661" spans="2:2">
      <c r="B1661" s="22"/>
    </row>
    <row r="1662" spans="2:2">
      <c r="B1662" s="22"/>
    </row>
    <row r="1663" spans="2:2">
      <c r="B1663" s="22"/>
    </row>
    <row r="1664" spans="2:2">
      <c r="B1664" s="22"/>
    </row>
    <row r="1665" spans="2:2">
      <c r="B1665" s="22"/>
    </row>
    <row r="1666" spans="2:2">
      <c r="B1666" s="22"/>
    </row>
    <row r="1667" spans="2:2">
      <c r="B1667" s="22"/>
    </row>
    <row r="1668" spans="2:2">
      <c r="B1668" s="22"/>
    </row>
    <row r="1669" spans="2:2">
      <c r="B1669" s="22"/>
    </row>
    <row r="1670" spans="2:2">
      <c r="B1670" s="22"/>
    </row>
    <row r="1671" spans="2:2">
      <c r="B1671" s="22"/>
    </row>
    <row r="1672" spans="2:2">
      <c r="B1672" s="22"/>
    </row>
    <row r="1673" spans="2:2">
      <c r="B1673" s="22"/>
    </row>
    <row r="1674" spans="2:2">
      <c r="B1674" s="22"/>
    </row>
    <row r="1675" spans="2:2">
      <c r="B1675" s="22"/>
    </row>
    <row r="1676" spans="2:2">
      <c r="B1676" s="22"/>
    </row>
    <row r="1677" spans="2:2">
      <c r="B1677" s="22"/>
    </row>
    <row r="1678" spans="2:2">
      <c r="B1678" s="22"/>
    </row>
    <row r="1679" spans="2:2">
      <c r="B1679" s="22"/>
    </row>
    <row r="1680" spans="2:2">
      <c r="B1680" s="22"/>
    </row>
    <row r="1681" spans="2:2">
      <c r="B1681" s="22"/>
    </row>
    <row r="1682" spans="2:2">
      <c r="B1682" s="22"/>
    </row>
    <row r="1683" spans="2:2">
      <c r="B1683" s="22"/>
    </row>
    <row r="1684" spans="2:2">
      <c r="B1684" s="22"/>
    </row>
    <row r="1685" spans="2:2">
      <c r="B1685" s="22"/>
    </row>
    <row r="1686" spans="2:2">
      <c r="B1686" s="22"/>
    </row>
    <row r="1687" spans="2:2">
      <c r="B1687" s="22"/>
    </row>
    <row r="1688" spans="2:2">
      <c r="B1688" s="22"/>
    </row>
    <row r="1689" spans="2:2">
      <c r="B1689" s="22"/>
    </row>
    <row r="1690" spans="2:2">
      <c r="B1690" s="22"/>
    </row>
    <row r="1691" spans="2:2">
      <c r="B1691" s="22"/>
    </row>
    <row r="1692" spans="2:2">
      <c r="B1692" s="22"/>
    </row>
    <row r="1693" spans="2:2">
      <c r="B1693" s="22"/>
    </row>
    <row r="1694" spans="2:2">
      <c r="B1694" s="22"/>
    </row>
    <row r="1695" spans="2:2">
      <c r="B1695" s="22"/>
    </row>
    <row r="1696" spans="2:2">
      <c r="B1696" s="22"/>
    </row>
    <row r="1697" spans="2:2">
      <c r="B1697" s="22"/>
    </row>
    <row r="1698" spans="2:2">
      <c r="B1698" s="22"/>
    </row>
    <row r="1699" spans="2:2">
      <c r="B1699" s="22"/>
    </row>
    <row r="1700" spans="2:2">
      <c r="B1700" s="22"/>
    </row>
    <row r="1701" spans="2:2">
      <c r="B1701" s="22"/>
    </row>
    <row r="1702" spans="2:2">
      <c r="B1702" s="22"/>
    </row>
    <row r="1703" spans="2:2">
      <c r="B1703" s="22"/>
    </row>
    <row r="1704" spans="2:2">
      <c r="B1704" s="22"/>
    </row>
    <row r="1705" spans="2:2">
      <c r="B1705" s="22"/>
    </row>
    <row r="1706" spans="2:2">
      <c r="B1706" s="22"/>
    </row>
    <row r="1707" spans="2:2">
      <c r="B1707" s="22"/>
    </row>
    <row r="1708" spans="2:2">
      <c r="B1708" s="22"/>
    </row>
    <row r="1709" spans="2:2">
      <c r="B1709" s="22"/>
    </row>
    <row r="1710" spans="2:2">
      <c r="B1710" s="22"/>
    </row>
    <row r="1711" spans="2:2">
      <c r="B1711" s="22"/>
    </row>
    <row r="1712" spans="2:2">
      <c r="B1712" s="22"/>
    </row>
    <row r="1713" spans="2:2">
      <c r="B1713" s="22"/>
    </row>
    <row r="1714" spans="2:2">
      <c r="B1714" s="22"/>
    </row>
    <row r="1715" spans="2:2">
      <c r="B1715" s="22"/>
    </row>
    <row r="1716" spans="2:2">
      <c r="B1716" s="22"/>
    </row>
    <row r="1717" spans="2:2">
      <c r="B1717" s="22"/>
    </row>
    <row r="1718" spans="2:2">
      <c r="B1718" s="22"/>
    </row>
    <row r="1719" spans="2:2">
      <c r="B1719" s="22"/>
    </row>
    <row r="1720" spans="2:2">
      <c r="B1720" s="22"/>
    </row>
    <row r="1721" spans="2:2">
      <c r="B1721" s="22"/>
    </row>
    <row r="1722" spans="2:2">
      <c r="B1722" s="22"/>
    </row>
    <row r="1723" spans="2:2">
      <c r="B1723" s="22"/>
    </row>
    <row r="1724" spans="2:2">
      <c r="B1724" s="22"/>
    </row>
    <row r="1725" spans="2:2">
      <c r="B1725" s="22"/>
    </row>
    <row r="1726" spans="2:2">
      <c r="B1726" s="22"/>
    </row>
    <row r="1727" spans="2:2">
      <c r="B1727" s="22"/>
    </row>
    <row r="1728" spans="2:2">
      <c r="B1728" s="22"/>
    </row>
    <row r="1729" spans="2:2">
      <c r="B1729" s="22"/>
    </row>
    <row r="1730" spans="2:2">
      <c r="B1730" s="22"/>
    </row>
    <row r="1731" spans="2:2">
      <c r="B1731" s="22"/>
    </row>
    <row r="1732" spans="2:2">
      <c r="B1732" s="22"/>
    </row>
    <row r="1733" spans="2:2">
      <c r="B1733" s="22"/>
    </row>
    <row r="1734" spans="2:2">
      <c r="B1734" s="22"/>
    </row>
    <row r="1735" spans="2:2">
      <c r="B1735" s="22"/>
    </row>
    <row r="1736" spans="2:2">
      <c r="B1736" s="22"/>
    </row>
    <row r="1737" spans="2:2">
      <c r="B1737" s="22"/>
    </row>
    <row r="1738" spans="2:2">
      <c r="B1738" s="22"/>
    </row>
    <row r="1739" spans="2:2">
      <c r="B1739" s="22"/>
    </row>
    <row r="1740" spans="2:2">
      <c r="B1740" s="22"/>
    </row>
    <row r="1741" spans="2:2">
      <c r="B1741" s="22"/>
    </row>
    <row r="1742" spans="2:2">
      <c r="B1742" s="22"/>
    </row>
    <row r="1743" spans="2:2">
      <c r="B1743" s="22"/>
    </row>
    <row r="1744" spans="2:2">
      <c r="B1744" s="22"/>
    </row>
    <row r="1745" spans="2:2">
      <c r="B1745" s="22"/>
    </row>
    <row r="1746" spans="2:2">
      <c r="B1746" s="22"/>
    </row>
    <row r="1747" spans="2:2">
      <c r="B1747" s="22"/>
    </row>
    <row r="1748" spans="2:2">
      <c r="B1748" s="22"/>
    </row>
    <row r="1749" spans="2:2">
      <c r="B1749" s="22"/>
    </row>
    <row r="1750" spans="2:2">
      <c r="B1750" s="22"/>
    </row>
    <row r="1751" spans="2:2">
      <c r="B1751" s="22"/>
    </row>
    <row r="1752" spans="2:2">
      <c r="B1752" s="22"/>
    </row>
    <row r="1753" spans="2:2">
      <c r="B1753" s="22"/>
    </row>
    <row r="1754" spans="2:2">
      <c r="B1754" s="22"/>
    </row>
    <row r="1755" spans="2:2">
      <c r="B1755" s="22"/>
    </row>
    <row r="1756" spans="2:2">
      <c r="B1756" s="22"/>
    </row>
    <row r="1757" spans="2:2">
      <c r="B1757" s="22"/>
    </row>
    <row r="1758" spans="2:2">
      <c r="B1758" s="22"/>
    </row>
    <row r="1759" spans="2:2">
      <c r="B1759" s="22"/>
    </row>
    <row r="1760" spans="2:2">
      <c r="B1760" s="22"/>
    </row>
    <row r="1761" spans="2:2">
      <c r="B1761" s="22"/>
    </row>
    <row r="1762" spans="2:2">
      <c r="B1762" s="22"/>
    </row>
    <row r="1763" spans="2:2">
      <c r="B1763" s="22"/>
    </row>
    <row r="1764" spans="2:2">
      <c r="B1764" s="22"/>
    </row>
    <row r="1765" spans="2:2">
      <c r="B1765" s="22"/>
    </row>
    <row r="1766" spans="2:2">
      <c r="B1766" s="22"/>
    </row>
    <row r="1767" spans="2:2">
      <c r="B1767" s="22"/>
    </row>
    <row r="1768" spans="2:2">
      <c r="B1768" s="22"/>
    </row>
    <row r="1769" spans="2:2">
      <c r="B1769" s="22"/>
    </row>
    <row r="1770" spans="2:2">
      <c r="B1770" s="22"/>
    </row>
    <row r="1771" spans="2:2">
      <c r="B1771" s="22"/>
    </row>
    <row r="1772" spans="2:2">
      <c r="B1772" s="22"/>
    </row>
    <row r="1773" spans="2:2">
      <c r="B1773" s="22"/>
    </row>
    <row r="1774" spans="2:2">
      <c r="B1774" s="22"/>
    </row>
    <row r="1775" spans="2:2">
      <c r="B1775" s="22"/>
    </row>
    <row r="1776" spans="2:2">
      <c r="B1776" s="22"/>
    </row>
    <row r="1777" spans="2:2">
      <c r="B1777" s="22"/>
    </row>
    <row r="1778" spans="2:2">
      <c r="B1778" s="22"/>
    </row>
    <row r="1779" spans="2:2">
      <c r="B1779" s="22"/>
    </row>
    <row r="1780" spans="2:2">
      <c r="B1780" s="22"/>
    </row>
    <row r="1781" spans="2:2">
      <c r="B1781" s="22"/>
    </row>
    <row r="1782" spans="2:2">
      <c r="B1782" s="22"/>
    </row>
    <row r="1783" spans="2:2">
      <c r="B1783" s="22"/>
    </row>
    <row r="1784" spans="2:2">
      <c r="B1784" s="22"/>
    </row>
    <row r="1785" spans="2:2">
      <c r="B1785" s="22"/>
    </row>
    <row r="1786" spans="2:2">
      <c r="B1786" s="22"/>
    </row>
    <row r="1787" spans="2:2">
      <c r="B1787" s="22"/>
    </row>
    <row r="1788" spans="2:2">
      <c r="B1788" s="22"/>
    </row>
    <row r="1789" spans="2:2">
      <c r="B1789" s="22"/>
    </row>
    <row r="1790" spans="2:2">
      <c r="B1790" s="22"/>
    </row>
    <row r="1791" spans="2:2">
      <c r="B1791" s="22"/>
    </row>
    <row r="1792" spans="2:2">
      <c r="B1792" s="22"/>
    </row>
    <row r="1793" spans="2:2">
      <c r="B1793" s="22"/>
    </row>
    <row r="1794" spans="2:2">
      <c r="B1794" s="22"/>
    </row>
    <row r="1795" spans="2:2">
      <c r="B1795" s="22"/>
    </row>
    <row r="1796" spans="2:2">
      <c r="B1796" s="22"/>
    </row>
    <row r="1797" spans="2:2">
      <c r="B1797" s="22"/>
    </row>
    <row r="1798" spans="2:2">
      <c r="B1798" s="22"/>
    </row>
    <row r="1799" spans="2:2">
      <c r="B1799" s="22"/>
    </row>
    <row r="1800" spans="2:2">
      <c r="B1800" s="22"/>
    </row>
    <row r="1801" spans="2:2">
      <c r="B1801" s="22"/>
    </row>
    <row r="1802" spans="2:2">
      <c r="B1802" s="22"/>
    </row>
    <row r="1803" spans="2:2">
      <c r="B1803" s="22"/>
    </row>
    <row r="1804" spans="2:2">
      <c r="B1804" s="22"/>
    </row>
    <row r="1805" spans="2:2">
      <c r="B1805" s="22"/>
    </row>
    <row r="1806" spans="2:2">
      <c r="B1806" s="22"/>
    </row>
    <row r="1807" spans="2:2">
      <c r="B1807" s="22"/>
    </row>
    <row r="1808" spans="2:2">
      <c r="B1808" s="22"/>
    </row>
    <row r="1809" spans="2:2">
      <c r="B1809" s="22"/>
    </row>
    <row r="1810" spans="2:2">
      <c r="B1810" s="22"/>
    </row>
    <row r="1811" spans="2:2">
      <c r="B1811" s="22"/>
    </row>
    <row r="1812" spans="2:2">
      <c r="B1812" s="22"/>
    </row>
    <row r="1813" spans="2:2">
      <c r="B1813" s="22"/>
    </row>
    <row r="1814" spans="2:2">
      <c r="B1814" s="22"/>
    </row>
    <row r="1815" spans="2:2">
      <c r="B1815" s="22"/>
    </row>
    <row r="1816" spans="2:2">
      <c r="B1816" s="22"/>
    </row>
    <row r="1817" spans="2:2">
      <c r="B1817" s="22"/>
    </row>
    <row r="1818" spans="2:2">
      <c r="B1818" s="22"/>
    </row>
    <row r="1819" spans="2:2">
      <c r="B1819" s="22"/>
    </row>
    <row r="1820" spans="2:2">
      <c r="B1820" s="22"/>
    </row>
    <row r="1821" spans="2:2">
      <c r="B1821" s="22"/>
    </row>
    <row r="1822" spans="2:2">
      <c r="B1822" s="22"/>
    </row>
    <row r="1823" spans="2:2">
      <c r="B1823" s="22"/>
    </row>
    <row r="1824" spans="2:2">
      <c r="B1824" s="22"/>
    </row>
    <row r="1825" spans="2:2">
      <c r="B1825" s="22"/>
    </row>
    <row r="1826" spans="2:2">
      <c r="B1826" s="22"/>
    </row>
    <row r="1827" spans="2:2">
      <c r="B1827" s="22"/>
    </row>
    <row r="1828" spans="2:2">
      <c r="B1828" s="22"/>
    </row>
    <row r="1829" spans="2:2">
      <c r="B1829" s="22"/>
    </row>
    <row r="1830" spans="2:2">
      <c r="B1830" s="22"/>
    </row>
    <row r="1831" spans="2:2">
      <c r="B1831" s="22"/>
    </row>
    <row r="1832" spans="2:2">
      <c r="B1832" s="22"/>
    </row>
    <row r="1833" spans="2:2">
      <c r="B1833" s="22"/>
    </row>
    <row r="1834" spans="2:2">
      <c r="B1834" s="22"/>
    </row>
    <row r="1835" spans="2:2">
      <c r="B1835" s="22"/>
    </row>
    <row r="1836" spans="2:2">
      <c r="B1836" s="22"/>
    </row>
    <row r="1837" spans="2:2">
      <c r="B1837" s="22"/>
    </row>
    <row r="1838" spans="2:2">
      <c r="B1838" s="22"/>
    </row>
    <row r="1839" spans="2:2">
      <c r="B1839" s="22"/>
    </row>
    <row r="1840" spans="2:2">
      <c r="B1840" s="22"/>
    </row>
    <row r="1841" spans="2:2">
      <c r="B1841" s="22"/>
    </row>
    <row r="1842" spans="2:2">
      <c r="B1842" s="22"/>
    </row>
    <row r="1843" spans="2:2">
      <c r="B1843" s="22"/>
    </row>
    <row r="1844" spans="2:2">
      <c r="B1844" s="22"/>
    </row>
    <row r="1845" spans="2:2">
      <c r="B1845" s="22"/>
    </row>
    <row r="1846" spans="2:2">
      <c r="B1846" s="22"/>
    </row>
    <row r="1847" spans="2:2">
      <c r="B1847" s="22"/>
    </row>
    <row r="1848" spans="2:2">
      <c r="B1848" s="22"/>
    </row>
    <row r="1849" spans="2:2">
      <c r="B1849" s="22"/>
    </row>
    <row r="1850" spans="2:2">
      <c r="B1850" s="22"/>
    </row>
    <row r="1851" spans="2:2">
      <c r="B1851" s="22"/>
    </row>
    <row r="1852" spans="2:2">
      <c r="B1852" s="22"/>
    </row>
    <row r="1853" spans="2:2">
      <c r="B1853" s="22"/>
    </row>
    <row r="1854" spans="2:2">
      <c r="B1854" s="22"/>
    </row>
    <row r="1855" spans="2:2">
      <c r="B1855" s="22"/>
    </row>
    <row r="1856" spans="2:2">
      <c r="B1856" s="22"/>
    </row>
    <row r="1857" spans="2:2">
      <c r="B1857" s="22"/>
    </row>
    <row r="1858" spans="2:2">
      <c r="B1858" s="22"/>
    </row>
    <row r="1859" spans="2:2">
      <c r="B1859" s="22"/>
    </row>
    <row r="1860" spans="2:2">
      <c r="B1860" s="22"/>
    </row>
    <row r="1861" spans="2:2">
      <c r="B1861" s="22"/>
    </row>
    <row r="1862" spans="2:2">
      <c r="B1862" s="22"/>
    </row>
    <row r="1863" spans="2:2">
      <c r="B1863" s="22"/>
    </row>
    <row r="1864" spans="2:2">
      <c r="B1864" s="22"/>
    </row>
    <row r="1865" spans="2:2">
      <c r="B1865" s="22"/>
    </row>
    <row r="1866" spans="2:2">
      <c r="B1866" s="22"/>
    </row>
    <row r="1867" spans="2:2">
      <c r="B1867" s="22"/>
    </row>
    <row r="1868" spans="2:2">
      <c r="B1868" s="22"/>
    </row>
    <row r="1869" spans="2:2">
      <c r="B1869" s="22"/>
    </row>
    <row r="1870" spans="2:2">
      <c r="B1870" s="22"/>
    </row>
    <row r="1871" spans="2:2">
      <c r="B1871" s="22"/>
    </row>
    <row r="1872" spans="2:2">
      <c r="B1872" s="22"/>
    </row>
    <row r="1873" spans="2:2">
      <c r="B1873" s="22"/>
    </row>
    <row r="1874" spans="2:2">
      <c r="B1874" s="22"/>
    </row>
    <row r="1875" spans="2:2">
      <c r="B1875" s="22"/>
    </row>
    <row r="1876" spans="2:2">
      <c r="B1876" s="22"/>
    </row>
    <row r="1877" spans="2:2">
      <c r="B1877" s="22"/>
    </row>
    <row r="1878" spans="2:2">
      <c r="B1878" s="22"/>
    </row>
    <row r="1879" spans="2:2">
      <c r="B1879" s="22"/>
    </row>
    <row r="1880" spans="2:2">
      <c r="B1880" s="22"/>
    </row>
    <row r="1881" spans="2:2">
      <c r="B1881" s="22"/>
    </row>
    <row r="1882" spans="2:2">
      <c r="B1882" s="22"/>
    </row>
    <row r="1883" spans="2:2">
      <c r="B1883" s="22"/>
    </row>
    <row r="1884" spans="2:2">
      <c r="B1884" s="22"/>
    </row>
    <row r="1885" spans="2:2">
      <c r="B1885" s="22"/>
    </row>
    <row r="1886" spans="2:2">
      <c r="B1886" s="22"/>
    </row>
    <row r="1887" spans="2:2">
      <c r="B1887" s="22"/>
    </row>
    <row r="1888" spans="2:2">
      <c r="B1888" s="22"/>
    </row>
    <row r="1889" spans="2:2">
      <c r="B1889" s="22"/>
    </row>
    <row r="1890" spans="2:2">
      <c r="B1890" s="22"/>
    </row>
    <row r="1891" spans="2:2">
      <c r="B1891" s="22"/>
    </row>
    <row r="1892" spans="2:2">
      <c r="B1892" s="22"/>
    </row>
    <row r="1893" spans="2:2">
      <c r="B1893" s="22"/>
    </row>
    <row r="1894" spans="2:2">
      <c r="B1894" s="22"/>
    </row>
    <row r="1895" spans="2:2">
      <c r="B1895" s="22"/>
    </row>
    <row r="1896" spans="2:2">
      <c r="B1896" s="22"/>
    </row>
    <row r="1897" spans="2:2">
      <c r="B1897" s="22"/>
    </row>
    <row r="1898" spans="2:2">
      <c r="B1898" s="22"/>
    </row>
    <row r="1899" spans="2:2">
      <c r="B1899" s="22"/>
    </row>
    <row r="1900" spans="2:2">
      <c r="B1900" s="22"/>
    </row>
    <row r="1901" spans="2:2">
      <c r="B1901" s="22"/>
    </row>
    <row r="1902" spans="2:2">
      <c r="B1902" s="22"/>
    </row>
    <row r="1903" spans="2:2">
      <c r="B1903" s="22"/>
    </row>
    <row r="1904" spans="2:2">
      <c r="B1904" s="22"/>
    </row>
    <row r="1905" spans="2:2">
      <c r="B1905" s="22"/>
    </row>
    <row r="1906" spans="2:2">
      <c r="B1906" s="22"/>
    </row>
    <row r="1907" spans="2:2">
      <c r="B1907" s="22"/>
    </row>
    <row r="1908" spans="2:2">
      <c r="B1908" s="22"/>
    </row>
    <row r="1909" spans="2:2">
      <c r="B1909" s="22"/>
    </row>
    <row r="1910" spans="2:2">
      <c r="B1910" s="22"/>
    </row>
    <row r="1911" spans="2:2">
      <c r="B1911" s="22"/>
    </row>
    <row r="1912" spans="2:2">
      <c r="B1912" s="22"/>
    </row>
    <row r="1913" spans="2:2">
      <c r="B1913" s="22"/>
    </row>
    <row r="1914" spans="2:2">
      <c r="B1914" s="22"/>
    </row>
    <row r="1915" spans="2:2">
      <c r="B1915" s="22"/>
    </row>
    <row r="1916" spans="2:2">
      <c r="B1916" s="22"/>
    </row>
    <row r="1917" spans="2:2">
      <c r="B1917" s="22"/>
    </row>
    <row r="1918" spans="2:2">
      <c r="B1918" s="22"/>
    </row>
    <row r="1919" spans="2:2">
      <c r="B1919" s="22"/>
    </row>
    <row r="1920" spans="2:2">
      <c r="B1920" s="22"/>
    </row>
    <row r="1921" spans="2:2">
      <c r="B1921" s="22"/>
    </row>
    <row r="1922" spans="2:2">
      <c r="B1922" s="22"/>
    </row>
    <row r="1923" spans="2:2">
      <c r="B1923" s="22"/>
    </row>
    <row r="1924" spans="2:2">
      <c r="B1924" s="22"/>
    </row>
    <row r="1925" spans="2:2">
      <c r="B1925" s="22"/>
    </row>
    <row r="1926" spans="2:2">
      <c r="B1926" s="22"/>
    </row>
    <row r="1927" spans="2:2">
      <c r="B1927" s="22"/>
    </row>
    <row r="1928" spans="2:2">
      <c r="B1928" s="22"/>
    </row>
    <row r="1929" spans="2:2">
      <c r="B1929" s="22"/>
    </row>
    <row r="1930" spans="2:2">
      <c r="B1930" s="22"/>
    </row>
    <row r="1931" spans="2:2">
      <c r="B1931" s="22"/>
    </row>
    <row r="1932" spans="2:2">
      <c r="B1932" s="22"/>
    </row>
    <row r="1933" spans="2:2">
      <c r="B1933" s="22"/>
    </row>
    <row r="1934" spans="2:2">
      <c r="B1934" s="22"/>
    </row>
    <row r="1935" spans="2:2">
      <c r="B1935" s="22"/>
    </row>
    <row r="1936" spans="2:2">
      <c r="B1936" s="22"/>
    </row>
    <row r="1937" spans="2:2">
      <c r="B1937" s="22"/>
    </row>
    <row r="1938" spans="2:2">
      <c r="B1938" s="22"/>
    </row>
    <row r="1939" spans="2:2">
      <c r="B1939" s="22"/>
    </row>
    <row r="1940" spans="2:2">
      <c r="B1940" s="22"/>
    </row>
    <row r="1941" spans="2:2">
      <c r="B1941" s="22"/>
    </row>
    <row r="1942" spans="2:2">
      <c r="B1942" s="22"/>
    </row>
    <row r="1943" spans="2:2">
      <c r="B1943" s="22"/>
    </row>
    <row r="1944" spans="2:2">
      <c r="B1944" s="22"/>
    </row>
    <row r="1945" spans="2:2">
      <c r="B1945" s="22"/>
    </row>
    <row r="1946" spans="2:2">
      <c r="B1946" s="22"/>
    </row>
    <row r="1947" spans="2:2">
      <c r="B1947" s="22"/>
    </row>
    <row r="1948" spans="2:2">
      <c r="B1948" s="22"/>
    </row>
    <row r="1949" spans="2:2">
      <c r="B1949" s="22"/>
    </row>
    <row r="1950" spans="2:2">
      <c r="B1950" s="22"/>
    </row>
    <row r="1951" spans="2:2">
      <c r="B1951" s="22"/>
    </row>
    <row r="1952" spans="2:2">
      <c r="B1952" s="22"/>
    </row>
    <row r="1953" spans="2:2">
      <c r="B1953" s="22"/>
    </row>
    <row r="1954" spans="2:2">
      <c r="B1954" s="22"/>
    </row>
    <row r="1955" spans="2:2">
      <c r="B1955" s="22"/>
    </row>
    <row r="1956" spans="2:2">
      <c r="B1956" s="22"/>
    </row>
    <row r="1957" spans="2:2">
      <c r="B1957" s="22"/>
    </row>
    <row r="1958" spans="2:2">
      <c r="B1958" s="22"/>
    </row>
    <row r="1959" spans="2:2">
      <c r="B1959" s="22"/>
    </row>
    <row r="1960" spans="2:2">
      <c r="B1960" s="22"/>
    </row>
    <row r="1961" spans="2:2">
      <c r="B1961" s="22"/>
    </row>
    <row r="1962" spans="2:2">
      <c r="B1962" s="22"/>
    </row>
    <row r="1963" spans="2:2">
      <c r="B1963" s="22"/>
    </row>
    <row r="1964" spans="2:2">
      <c r="B1964" s="22"/>
    </row>
    <row r="1965" spans="2:2">
      <c r="B1965" s="22"/>
    </row>
    <row r="1966" spans="2:2">
      <c r="B1966" s="22"/>
    </row>
    <row r="1967" spans="2:2">
      <c r="B1967" s="22"/>
    </row>
    <row r="1968" spans="2:2">
      <c r="B1968" s="22"/>
    </row>
    <row r="1969" spans="2:2">
      <c r="B1969" s="22"/>
    </row>
    <row r="1970" spans="2:2">
      <c r="B1970" s="22"/>
    </row>
    <row r="1971" spans="2:2">
      <c r="B1971" s="22"/>
    </row>
    <row r="1972" spans="2:2">
      <c r="B1972" s="22"/>
    </row>
    <row r="1973" spans="2:2">
      <c r="B1973" s="22"/>
    </row>
    <row r="1974" spans="2:2">
      <c r="B1974" s="22"/>
    </row>
    <row r="1975" spans="2:2">
      <c r="B1975" s="22"/>
    </row>
    <row r="1976" spans="2:2">
      <c r="B1976" s="22"/>
    </row>
    <row r="1977" spans="2:2">
      <c r="B1977" s="22"/>
    </row>
    <row r="1978" spans="2:2">
      <c r="B1978" s="22"/>
    </row>
    <row r="1979" spans="2:2">
      <c r="B1979" s="22"/>
    </row>
    <row r="1980" spans="2:2">
      <c r="B1980" s="22"/>
    </row>
    <row r="1981" spans="2:2">
      <c r="B1981" s="22"/>
    </row>
    <row r="1982" spans="2:2">
      <c r="B1982" s="22"/>
    </row>
    <row r="1983" spans="2:2">
      <c r="B1983" s="22"/>
    </row>
    <row r="1984" spans="2:2">
      <c r="B1984" s="22"/>
    </row>
    <row r="1985" spans="2:2">
      <c r="B1985" s="22"/>
    </row>
    <row r="1986" spans="2:2">
      <c r="B1986" s="22"/>
    </row>
    <row r="1987" spans="2:2">
      <c r="B1987" s="22"/>
    </row>
    <row r="1988" spans="2:2">
      <c r="B1988" s="22"/>
    </row>
    <row r="1989" spans="2:2">
      <c r="B1989" s="22"/>
    </row>
    <row r="1990" spans="2:2">
      <c r="B1990" s="22"/>
    </row>
    <row r="1991" spans="2:2">
      <c r="B1991" s="22"/>
    </row>
    <row r="1992" spans="2:2">
      <c r="B1992" s="22"/>
    </row>
    <row r="1993" spans="2:2">
      <c r="B1993" s="22"/>
    </row>
    <row r="1994" spans="2:2">
      <c r="B1994" s="22"/>
    </row>
    <row r="1995" spans="2:2">
      <c r="B1995" s="22"/>
    </row>
    <row r="1996" spans="2:2">
      <c r="B1996" s="22"/>
    </row>
    <row r="1997" spans="2:2">
      <c r="B1997" s="22"/>
    </row>
    <row r="1998" spans="2:2">
      <c r="B1998" s="22"/>
    </row>
    <row r="1999" spans="2:2">
      <c r="B1999" s="22"/>
    </row>
    <row r="2000" spans="2:2">
      <c r="B2000" s="22"/>
    </row>
    <row r="2001" spans="2:2">
      <c r="B2001" s="22"/>
    </row>
    <row r="2002" spans="2:2">
      <c r="B2002" s="22"/>
    </row>
    <row r="2003" spans="2:2">
      <c r="B2003" s="22"/>
    </row>
    <row r="2004" spans="2:2">
      <c r="B2004" s="22"/>
    </row>
    <row r="2005" spans="2:2">
      <c r="B2005" s="22"/>
    </row>
    <row r="2006" spans="2:2">
      <c r="B2006" s="22"/>
    </row>
    <row r="2007" spans="2:2">
      <c r="B2007" s="22"/>
    </row>
    <row r="2008" spans="2:2">
      <c r="B2008" s="22"/>
    </row>
    <row r="2009" spans="2:2">
      <c r="B2009" s="22"/>
    </row>
    <row r="2010" spans="2:2">
      <c r="B2010" s="22"/>
    </row>
    <row r="2011" spans="2:2">
      <c r="B2011" s="22"/>
    </row>
    <row r="2012" spans="2:2">
      <c r="B2012" s="22"/>
    </row>
    <row r="2013" spans="2:2">
      <c r="B2013" s="22"/>
    </row>
    <row r="2014" spans="2:2">
      <c r="B2014" s="22"/>
    </row>
    <row r="2015" spans="2:2">
      <c r="B2015" s="22"/>
    </row>
    <row r="2016" spans="2:2">
      <c r="B2016" s="22"/>
    </row>
    <row r="2017" spans="2:2">
      <c r="B2017" s="22"/>
    </row>
    <row r="2018" spans="2:2">
      <c r="B2018" s="22"/>
    </row>
    <row r="2019" spans="2:2">
      <c r="B2019" s="22"/>
    </row>
    <row r="2020" spans="2:2">
      <c r="B2020" s="22"/>
    </row>
    <row r="2021" spans="2:2">
      <c r="B2021" s="22"/>
    </row>
    <row r="2022" spans="2:2">
      <c r="B2022" s="22"/>
    </row>
    <row r="2023" spans="2:2">
      <c r="B2023" s="22"/>
    </row>
    <row r="2024" spans="2:2">
      <c r="B2024" s="22"/>
    </row>
    <row r="2025" spans="2:2">
      <c r="B2025" s="22"/>
    </row>
    <row r="2026" spans="2:2">
      <c r="B2026" s="22"/>
    </row>
    <row r="2027" spans="2:2">
      <c r="B2027" s="22"/>
    </row>
    <row r="2028" spans="2:2">
      <c r="B2028" s="22"/>
    </row>
    <row r="2029" spans="2:2">
      <c r="B2029" s="22"/>
    </row>
    <row r="2030" spans="2:2">
      <c r="B2030" s="22"/>
    </row>
    <row r="2031" spans="2:2">
      <c r="B2031" s="22"/>
    </row>
    <row r="2032" spans="2:2">
      <c r="B2032" s="22"/>
    </row>
    <row r="2033" spans="2:2">
      <c r="B2033" s="22"/>
    </row>
    <row r="2034" spans="2:2">
      <c r="B2034" s="22"/>
    </row>
    <row r="2035" spans="2:2">
      <c r="B2035" s="22"/>
    </row>
    <row r="2036" spans="2:2">
      <c r="B2036" s="22"/>
    </row>
    <row r="2037" spans="2:2">
      <c r="B2037" s="22"/>
    </row>
    <row r="2038" spans="2:2">
      <c r="B2038" s="22"/>
    </row>
    <row r="2039" spans="2:2">
      <c r="B2039" s="22"/>
    </row>
    <row r="2040" spans="2:2">
      <c r="B2040" s="22"/>
    </row>
    <row r="2041" spans="2:2">
      <c r="B2041" s="22"/>
    </row>
    <row r="2042" spans="2:2">
      <c r="B2042" s="22"/>
    </row>
    <row r="2043" spans="2:2">
      <c r="B2043" s="22"/>
    </row>
    <row r="2044" spans="2:2">
      <c r="B2044" s="22"/>
    </row>
    <row r="2045" spans="2:2">
      <c r="B2045" s="22"/>
    </row>
    <row r="2046" spans="2:2">
      <c r="B2046" s="22"/>
    </row>
    <row r="2047" spans="2:2">
      <c r="B2047" s="22"/>
    </row>
    <row r="2048" spans="2:2">
      <c r="B2048" s="22"/>
    </row>
    <row r="2049" spans="2:2">
      <c r="B2049" s="22"/>
    </row>
    <row r="2050" spans="2:2">
      <c r="B2050" s="22"/>
    </row>
    <row r="2051" spans="2:2">
      <c r="B2051" s="22"/>
    </row>
    <row r="2052" spans="2:2">
      <c r="B2052" s="22"/>
    </row>
    <row r="2053" spans="2:2">
      <c r="B2053" s="22"/>
    </row>
    <row r="2054" spans="2:2">
      <c r="B2054" s="22"/>
    </row>
    <row r="2055" spans="2:2">
      <c r="B2055" s="22"/>
    </row>
    <row r="2056" spans="2:2">
      <c r="B2056" s="22"/>
    </row>
    <row r="2057" spans="2:2">
      <c r="B2057" s="22"/>
    </row>
    <row r="2058" spans="2:2">
      <c r="B2058" s="22"/>
    </row>
    <row r="2059" spans="2:2">
      <c r="B2059" s="22"/>
    </row>
    <row r="2060" spans="2:2">
      <c r="B2060" s="22"/>
    </row>
    <row r="2061" spans="2:2">
      <c r="B2061" s="22"/>
    </row>
    <row r="2062" spans="2:2">
      <c r="B2062" s="22"/>
    </row>
    <row r="2063" spans="2:2">
      <c r="B2063" s="22"/>
    </row>
    <row r="2064" spans="2:2">
      <c r="B2064" s="22"/>
    </row>
    <row r="2065" spans="2:2">
      <c r="B2065" s="22"/>
    </row>
    <row r="2066" spans="2:2">
      <c r="B2066" s="22"/>
    </row>
    <row r="2067" spans="2:2">
      <c r="B2067" s="22"/>
    </row>
    <row r="2068" spans="2:2">
      <c r="B2068" s="22"/>
    </row>
    <row r="2069" spans="2:2">
      <c r="B2069" s="22"/>
    </row>
    <row r="2070" spans="2:2">
      <c r="B2070" s="22"/>
    </row>
    <row r="2071" spans="2:2">
      <c r="B2071" s="22"/>
    </row>
    <row r="2072" spans="2:2">
      <c r="B2072" s="22"/>
    </row>
    <row r="2073" spans="2:2">
      <c r="B2073" s="22"/>
    </row>
    <row r="2074" spans="2:2">
      <c r="B2074" s="22"/>
    </row>
    <row r="2075" spans="2:2">
      <c r="B2075" s="22"/>
    </row>
    <row r="2076" spans="2:2">
      <c r="B2076" s="22"/>
    </row>
    <row r="2077" spans="2:2">
      <c r="B2077" s="22"/>
    </row>
    <row r="2078" spans="2:2">
      <c r="B2078" s="22"/>
    </row>
    <row r="2079" spans="2:2">
      <c r="B2079" s="22"/>
    </row>
    <row r="2080" spans="2:2">
      <c r="B2080" s="22"/>
    </row>
    <row r="2081" spans="2:2">
      <c r="B2081" s="22"/>
    </row>
    <row r="2082" spans="2:2">
      <c r="B2082" s="22"/>
    </row>
    <row r="2083" spans="2:2">
      <c r="B2083" s="22"/>
    </row>
    <row r="2084" spans="2:2">
      <c r="B2084" s="22"/>
    </row>
    <row r="2085" spans="2:2">
      <c r="B2085" s="22"/>
    </row>
    <row r="2086" spans="2:2">
      <c r="B2086" s="22"/>
    </row>
    <row r="2087" spans="2:2">
      <c r="B2087" s="22"/>
    </row>
    <row r="2088" spans="2:2">
      <c r="B2088" s="22"/>
    </row>
    <row r="2089" spans="2:2">
      <c r="B2089" s="22"/>
    </row>
    <row r="2090" spans="2:2">
      <c r="B2090" s="22"/>
    </row>
    <row r="2091" spans="2:2">
      <c r="B2091" s="22"/>
    </row>
    <row r="2092" spans="2:2">
      <c r="B2092" s="22"/>
    </row>
    <row r="2093" spans="2:2">
      <c r="B2093" s="22"/>
    </row>
    <row r="2094" spans="2:2">
      <c r="B2094" s="22"/>
    </row>
    <row r="2095" spans="2:2">
      <c r="B2095" s="22"/>
    </row>
    <row r="2096" spans="2:2">
      <c r="B2096" s="22"/>
    </row>
    <row r="2097" spans="2:2">
      <c r="B2097" s="22"/>
    </row>
    <row r="2098" spans="2:2">
      <c r="B2098" s="22"/>
    </row>
    <row r="2099" spans="2:2">
      <c r="B2099" s="22"/>
    </row>
    <row r="2100" spans="2:2">
      <c r="B2100" s="22"/>
    </row>
    <row r="2101" spans="2:2">
      <c r="B2101" s="22"/>
    </row>
    <row r="2102" spans="2:2">
      <c r="B2102" s="22"/>
    </row>
    <row r="2103" spans="2:2">
      <c r="B2103" s="22"/>
    </row>
    <row r="2104" spans="2:2">
      <c r="B2104" s="22"/>
    </row>
    <row r="2105" spans="2:2">
      <c r="B2105" s="22"/>
    </row>
    <row r="2106" spans="2:2">
      <c r="B2106" s="22"/>
    </row>
    <row r="2107" spans="2:2">
      <c r="B2107" s="22"/>
    </row>
    <row r="2108" spans="2:2">
      <c r="B2108" s="22"/>
    </row>
    <row r="2109" spans="2:2">
      <c r="B2109" s="22"/>
    </row>
    <row r="2110" spans="2:2">
      <c r="B2110" s="22"/>
    </row>
    <row r="2111" spans="2:2">
      <c r="B2111" s="22"/>
    </row>
    <row r="2112" spans="2:2">
      <c r="B2112" s="22"/>
    </row>
    <row r="2113" spans="2:2">
      <c r="B2113" s="22"/>
    </row>
    <row r="2114" spans="2:2">
      <c r="B2114" s="22"/>
    </row>
    <row r="2115" spans="2:2">
      <c r="B2115" s="22"/>
    </row>
    <row r="2116" spans="2:2">
      <c r="B2116" s="22"/>
    </row>
    <row r="2117" spans="2:2">
      <c r="B2117" s="22"/>
    </row>
    <row r="2118" spans="2:2">
      <c r="B2118" s="22"/>
    </row>
    <row r="2119" spans="2:2">
      <c r="B2119" s="22"/>
    </row>
    <row r="2120" spans="2:2">
      <c r="B2120" s="22"/>
    </row>
  </sheetData>
  <mergeCells count="12">
    <mergeCell ref="K1:K3"/>
    <mergeCell ref="A3:B3"/>
    <mergeCell ref="C1:C2"/>
    <mergeCell ref="D1:E2"/>
    <mergeCell ref="F1:G2"/>
    <mergeCell ref="H1:H2"/>
    <mergeCell ref="I1:J2"/>
    <mergeCell ref="A254:C254"/>
    <mergeCell ref="A253:C253"/>
    <mergeCell ref="A250:C250"/>
    <mergeCell ref="A251:C251"/>
    <mergeCell ref="A252:C252"/>
  </mergeCells>
  <phoneticPr fontId="14" type="noConversion"/>
  <pageMargins left="0.7" right="0.7" top="0.75" bottom="0.75" header="0.3" footer="0.3"/>
  <pageSetup paperSize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DBDC1-730C-49BB-B1D8-FF925E4BBAE4}">
  <sheetPr>
    <tabColor rgb="FF5D3754"/>
  </sheetPr>
  <dimension ref="A1:B21"/>
  <sheetViews>
    <sheetView workbookViewId="0">
      <selection sqref="A1:A2"/>
    </sheetView>
  </sheetViews>
  <sheetFormatPr defaultRowHeight="15"/>
  <cols>
    <col min="1" max="1" width="13.7109375" customWidth="1"/>
    <col min="2" max="2" width="14.28515625" bestFit="1" customWidth="1"/>
  </cols>
  <sheetData>
    <row r="1" spans="1:2" ht="45.75" thickBot="1">
      <c r="A1" s="87" t="s">
        <v>388</v>
      </c>
      <c r="B1" s="634" t="s">
        <v>389</v>
      </c>
    </row>
    <row r="2" spans="1:2">
      <c r="A2" s="117" t="s">
        <v>390</v>
      </c>
      <c r="B2" s="704">
        <v>86935000</v>
      </c>
    </row>
    <row r="3" spans="1:2">
      <c r="A3" s="118" t="s">
        <v>391</v>
      </c>
      <c r="B3" s="704">
        <v>87752000</v>
      </c>
    </row>
    <row r="4" spans="1:2">
      <c r="A4" s="119" t="s">
        <v>392</v>
      </c>
      <c r="B4" s="704">
        <v>91212000</v>
      </c>
    </row>
    <row r="5" spans="1:2">
      <c r="A5" s="118" t="s">
        <v>393</v>
      </c>
      <c r="B5" s="704">
        <v>89822000</v>
      </c>
    </row>
    <row r="6" spans="1:2">
      <c r="A6" s="119" t="s">
        <v>394</v>
      </c>
      <c r="B6" s="704">
        <v>92199000</v>
      </c>
    </row>
    <row r="7" spans="1:2">
      <c r="A7" s="118" t="s">
        <v>395</v>
      </c>
      <c r="B7" s="704">
        <v>93350000</v>
      </c>
    </row>
    <row r="8" spans="1:2">
      <c r="A8" s="119" t="s">
        <v>396</v>
      </c>
      <c r="B8" s="704">
        <v>88152000</v>
      </c>
    </row>
    <row r="9" spans="1:2">
      <c r="A9" s="118" t="s">
        <v>397</v>
      </c>
      <c r="B9" s="704">
        <v>91032000</v>
      </c>
    </row>
    <row r="10" spans="1:2">
      <c r="A10" s="119" t="s">
        <v>398</v>
      </c>
      <c r="B10" s="704">
        <v>88981000</v>
      </c>
    </row>
    <row r="11" spans="1:2">
      <c r="A11" s="118" t="s">
        <v>399</v>
      </c>
      <c r="B11" s="704">
        <v>88926000</v>
      </c>
    </row>
    <row r="12" spans="1:2">
      <c r="A12" s="119" t="s">
        <v>400</v>
      </c>
      <c r="B12" s="704">
        <v>93041000</v>
      </c>
    </row>
    <row r="13" spans="1:2" ht="15.75" thickBot="1">
      <c r="A13" s="120" t="s">
        <v>401</v>
      </c>
      <c r="B13" s="705">
        <v>88564000</v>
      </c>
    </row>
    <row r="14" spans="1:2">
      <c r="A14" s="294" t="s">
        <v>38</v>
      </c>
      <c r="B14" s="706">
        <f>SUM(B2:B13)</f>
        <v>1079966000</v>
      </c>
    </row>
    <row r="15" spans="1:2">
      <c r="A15" s="763" t="s">
        <v>402</v>
      </c>
      <c r="B15" s="706">
        <f>B14/365</f>
        <v>2958810.9589041094</v>
      </c>
    </row>
    <row r="16" spans="1:2" ht="15.75" thickBot="1">
      <c r="A16" s="295" t="s">
        <v>403</v>
      </c>
      <c r="B16" s="764">
        <f>LARGE(B2:B13, 1)/30</f>
        <v>3111666.6666666665</v>
      </c>
    </row>
    <row r="19" spans="1:1">
      <c r="A19" s="108" t="s">
        <v>100</v>
      </c>
    </row>
    <row r="20" spans="1:1">
      <c r="A20" s="108" t="s">
        <v>404</v>
      </c>
    </row>
    <row r="21" spans="1:1">
      <c r="A21" s="108" t="s">
        <v>405</v>
      </c>
    </row>
  </sheetData>
  <pageMargins left="0.7" right="0.7" top="0.75" bottom="0.75" header="0.3" footer="0.3"/>
  <pageSetup paperSize="256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D73FF-69C3-4F19-8CA9-5F434248AEF3}">
  <sheetPr>
    <tabColor rgb="FF5D3754"/>
  </sheetPr>
  <dimension ref="A1:BB50"/>
  <sheetViews>
    <sheetView workbookViewId="0">
      <selection sqref="A1:A2"/>
    </sheetView>
  </sheetViews>
  <sheetFormatPr defaultRowHeight="15"/>
  <cols>
    <col min="1" max="1" width="16.28515625" customWidth="1"/>
    <col min="2" max="2" width="14.28515625" bestFit="1" customWidth="1"/>
    <col min="3" max="3" width="12.28515625" bestFit="1" customWidth="1"/>
    <col min="4" max="4" width="12.85546875" bestFit="1" customWidth="1"/>
    <col min="5" max="8" width="12.28515625" bestFit="1" customWidth="1"/>
    <col min="9" max="9" width="14" bestFit="1" customWidth="1"/>
    <col min="10" max="10" width="12.28515625" bestFit="1" customWidth="1"/>
    <col min="11" max="11" width="12.5703125" bestFit="1" customWidth="1"/>
    <col min="15" max="15" width="9.7109375" bestFit="1" customWidth="1"/>
    <col min="16" max="19" width="11.28515625" bestFit="1" customWidth="1"/>
    <col min="20" max="21" width="10.28515625" bestFit="1" customWidth="1"/>
    <col min="22" max="22" width="11.28515625" bestFit="1" customWidth="1"/>
    <col min="24" max="26" width="10.28515625" bestFit="1" customWidth="1"/>
    <col min="28" max="28" width="10.28515625" bestFit="1" customWidth="1"/>
    <col min="29" max="29" width="11.28515625" bestFit="1" customWidth="1"/>
    <col min="31" max="31" width="11.28515625" bestFit="1" customWidth="1"/>
    <col min="32" max="33" width="10.28515625" bestFit="1" customWidth="1"/>
    <col min="34" max="35" width="11.28515625" bestFit="1" customWidth="1"/>
    <col min="37" max="40" width="10.28515625" bestFit="1" customWidth="1"/>
    <col min="41" max="42" width="12.28515625" bestFit="1" customWidth="1"/>
    <col min="43" max="43" width="10.28515625" bestFit="1" customWidth="1"/>
    <col min="45" max="45" width="12.85546875" bestFit="1" customWidth="1"/>
    <col min="46" max="46" width="11.28515625" bestFit="1" customWidth="1"/>
    <col min="48" max="48" width="12.85546875" bestFit="1" customWidth="1"/>
    <col min="49" max="49" width="12.28515625" bestFit="1" customWidth="1"/>
    <col min="50" max="52" width="12.28515625" customWidth="1"/>
    <col min="53" max="53" width="13.85546875" customWidth="1"/>
    <col min="54" max="54" width="14" bestFit="1" customWidth="1"/>
  </cols>
  <sheetData>
    <row r="1" spans="1:54" ht="15.75" thickBot="1">
      <c r="A1" s="285"/>
      <c r="B1" s="286"/>
      <c r="C1" s="841" t="s">
        <v>406</v>
      </c>
      <c r="D1" s="842"/>
      <c r="E1" s="842"/>
      <c r="F1" s="842"/>
      <c r="G1" s="842"/>
      <c r="H1" s="842"/>
      <c r="I1" s="842"/>
      <c r="J1" s="845"/>
      <c r="K1" s="846" t="s">
        <v>407</v>
      </c>
      <c r="L1" s="846"/>
      <c r="M1" s="846"/>
      <c r="N1" s="846"/>
      <c r="O1" s="846"/>
      <c r="P1" s="846"/>
      <c r="Q1" s="846"/>
      <c r="R1" s="846"/>
      <c r="S1" s="846"/>
      <c r="T1" s="846"/>
      <c r="U1" s="846"/>
      <c r="V1" s="846"/>
      <c r="W1" s="846"/>
      <c r="X1" s="846"/>
      <c r="Y1" s="846"/>
      <c r="Z1" s="846"/>
      <c r="AA1" s="846"/>
      <c r="AB1" s="846"/>
      <c r="AC1" s="846"/>
      <c r="AD1" s="846"/>
      <c r="AE1" s="846"/>
      <c r="AF1" s="846"/>
      <c r="AG1" s="846"/>
      <c r="AH1" s="846"/>
      <c r="AI1" s="846"/>
      <c r="AJ1" s="846"/>
      <c r="AK1" s="846"/>
      <c r="AL1" s="846"/>
      <c r="AM1" s="846"/>
      <c r="AN1" s="846"/>
      <c r="AO1" s="847"/>
      <c r="AP1" s="841" t="s">
        <v>408</v>
      </c>
      <c r="AQ1" s="842"/>
      <c r="AR1" s="842"/>
      <c r="AS1" s="842"/>
      <c r="AT1" s="842"/>
      <c r="AU1" s="842"/>
      <c r="AV1" s="842"/>
      <c r="AW1" s="845"/>
      <c r="AX1" s="841" t="s">
        <v>409</v>
      </c>
      <c r="AY1" s="842"/>
      <c r="AZ1" s="842"/>
      <c r="BA1" s="788"/>
      <c r="BB1" s="791"/>
    </row>
    <row r="2" spans="1:54" ht="30.75" thickBot="1">
      <c r="A2" s="87" t="s">
        <v>410</v>
      </c>
      <c r="B2" s="87" t="s">
        <v>411</v>
      </c>
      <c r="C2" s="335" t="s">
        <v>412</v>
      </c>
      <c r="D2" s="283" t="s">
        <v>413</v>
      </c>
      <c r="E2" s="283" t="s">
        <v>414</v>
      </c>
      <c r="F2" s="283" t="s">
        <v>415</v>
      </c>
      <c r="G2" s="283" t="s">
        <v>416</v>
      </c>
      <c r="H2" s="283" t="s">
        <v>417</v>
      </c>
      <c r="I2" s="336" t="s">
        <v>418</v>
      </c>
      <c r="J2" s="365" t="s">
        <v>419</v>
      </c>
      <c r="K2" s="340" t="s">
        <v>420</v>
      </c>
      <c r="L2" s="338" t="s">
        <v>421</v>
      </c>
      <c r="M2" s="328" t="s">
        <v>422</v>
      </c>
      <c r="N2" s="341" t="s">
        <v>423</v>
      </c>
      <c r="O2" s="367" t="s">
        <v>30</v>
      </c>
      <c r="P2" s="337" t="s">
        <v>424</v>
      </c>
      <c r="Q2" s="283" t="s">
        <v>425</v>
      </c>
      <c r="R2" s="335" t="s">
        <v>426</v>
      </c>
      <c r="S2" s="335" t="s">
        <v>427</v>
      </c>
      <c r="T2" s="335" t="s">
        <v>428</v>
      </c>
      <c r="U2" s="336" t="s">
        <v>429</v>
      </c>
      <c r="V2" s="369" t="s">
        <v>30</v>
      </c>
      <c r="W2" s="335" t="s">
        <v>430</v>
      </c>
      <c r="X2" s="283" t="s">
        <v>431</v>
      </c>
      <c r="Y2" s="284" t="s">
        <v>432</v>
      </c>
      <c r="Z2" s="284" t="s">
        <v>433</v>
      </c>
      <c r="AA2" s="338" t="s">
        <v>434</v>
      </c>
      <c r="AB2" s="339" t="s">
        <v>435</v>
      </c>
      <c r="AC2" s="369" t="s">
        <v>30</v>
      </c>
      <c r="AD2" s="335" t="s">
        <v>436</v>
      </c>
      <c r="AE2" s="338" t="s">
        <v>437</v>
      </c>
      <c r="AF2" s="328" t="s">
        <v>438</v>
      </c>
      <c r="AG2" s="338" t="s">
        <v>439</v>
      </c>
      <c r="AH2" s="339" t="s">
        <v>440</v>
      </c>
      <c r="AI2" s="369" t="s">
        <v>30</v>
      </c>
      <c r="AJ2" s="337" t="s">
        <v>441</v>
      </c>
      <c r="AK2" s="338" t="s">
        <v>442</v>
      </c>
      <c r="AL2" s="339" t="s">
        <v>443</v>
      </c>
      <c r="AM2" s="339" t="s">
        <v>444</v>
      </c>
      <c r="AN2" s="370" t="s">
        <v>30</v>
      </c>
      <c r="AO2" s="371" t="s">
        <v>445</v>
      </c>
      <c r="AP2" s="337" t="s">
        <v>446</v>
      </c>
      <c r="AQ2" s="338" t="s">
        <v>447</v>
      </c>
      <c r="AR2" s="332" t="s">
        <v>448</v>
      </c>
      <c r="AS2" s="377" t="s">
        <v>30</v>
      </c>
      <c r="AT2" s="332" t="s">
        <v>449</v>
      </c>
      <c r="AU2" s="332" t="s">
        <v>450</v>
      </c>
      <c r="AV2" s="377" t="s">
        <v>30</v>
      </c>
      <c r="AW2" s="382" t="s">
        <v>451</v>
      </c>
      <c r="AX2" s="588" t="s">
        <v>452</v>
      </c>
      <c r="AY2" s="587" t="s">
        <v>453</v>
      </c>
      <c r="AZ2" s="587" t="s">
        <v>454</v>
      </c>
      <c r="BA2" s="382" t="s">
        <v>455</v>
      </c>
      <c r="BB2" s="383" t="s">
        <v>38</v>
      </c>
    </row>
    <row r="3" spans="1:54" ht="15.75" thickBot="1">
      <c r="A3" s="784" t="s">
        <v>390</v>
      </c>
      <c r="B3" s="205">
        <v>31</v>
      </c>
      <c r="C3" s="121">
        <v>3473</v>
      </c>
      <c r="D3" s="122">
        <v>9533401</v>
      </c>
      <c r="E3" s="122">
        <v>17212</v>
      </c>
      <c r="F3" s="122">
        <v>33108524</v>
      </c>
      <c r="G3" s="122">
        <v>1763200</v>
      </c>
      <c r="H3" s="122">
        <v>8528032</v>
      </c>
      <c r="I3" s="139">
        <v>7575000</v>
      </c>
      <c r="J3" s="366">
        <f t="shared" ref="J3:J14" si="0">SUM(C3:I3)</f>
        <v>60528842</v>
      </c>
      <c r="K3" s="121">
        <v>13478</v>
      </c>
      <c r="L3" s="122">
        <v>14931</v>
      </c>
      <c r="M3" s="278">
        <v>43000</v>
      </c>
      <c r="N3" s="136">
        <v>5339</v>
      </c>
      <c r="O3" s="368">
        <f t="shared" ref="O3:O14" si="1">SUM(K3:N3)</f>
        <v>76748</v>
      </c>
      <c r="P3" s="121">
        <v>1025243</v>
      </c>
      <c r="Q3" s="121">
        <v>1062226</v>
      </c>
      <c r="R3" s="121">
        <v>1494650</v>
      </c>
      <c r="S3" s="121">
        <v>3068193</v>
      </c>
      <c r="T3" s="121">
        <v>295146</v>
      </c>
      <c r="U3" s="139">
        <v>253572</v>
      </c>
      <c r="V3" s="366">
        <f t="shared" ref="V3:V14" si="2">SUM(P3:U3)</f>
        <v>7199030</v>
      </c>
      <c r="W3" s="121">
        <v>808</v>
      </c>
      <c r="X3" s="122">
        <v>457520</v>
      </c>
      <c r="Y3" s="277">
        <v>280125</v>
      </c>
      <c r="Z3" s="277">
        <v>582313</v>
      </c>
      <c r="AA3" s="122">
        <v>43700</v>
      </c>
      <c r="AB3" s="136">
        <v>0</v>
      </c>
      <c r="AC3" s="366">
        <f>SUM(W3:AB3)</f>
        <v>1364466</v>
      </c>
      <c r="AD3" s="121">
        <v>29113</v>
      </c>
      <c r="AE3" s="122">
        <v>2722490</v>
      </c>
      <c r="AF3" s="325">
        <v>339485</v>
      </c>
      <c r="AG3" s="122">
        <v>786609</v>
      </c>
      <c r="AH3" s="136">
        <v>1526200</v>
      </c>
      <c r="AI3" s="366">
        <f t="shared" ref="AI3:AI14" si="3">SUM(AD3:AH3)</f>
        <v>5403897</v>
      </c>
      <c r="AJ3" s="280">
        <v>0</v>
      </c>
      <c r="AK3" s="278">
        <v>0</v>
      </c>
      <c r="AL3" s="134">
        <v>0</v>
      </c>
      <c r="AM3" s="589">
        <v>0</v>
      </c>
      <c r="AN3" s="372">
        <f>SUM(AJ3:AM3)</f>
        <v>0</v>
      </c>
      <c r="AO3" s="355">
        <f>SUM(O3,V3,AC3,AI3,AN3)</f>
        <v>14044141</v>
      </c>
      <c r="AP3" s="280">
        <v>32453990</v>
      </c>
      <c r="AQ3" s="278">
        <v>582867</v>
      </c>
      <c r="AR3" s="333">
        <v>21300</v>
      </c>
      <c r="AS3" s="378">
        <f>SUM(AP3:AR3)</f>
        <v>33058157</v>
      </c>
      <c r="AT3" s="134">
        <v>0</v>
      </c>
      <c r="AU3" s="134">
        <v>0</v>
      </c>
      <c r="AV3" s="378">
        <f>SUM(AT3,AU3)</f>
        <v>0</v>
      </c>
      <c r="AW3" s="372">
        <f>SUM(AS3,AV3)</f>
        <v>33058157</v>
      </c>
      <c r="AX3" s="591">
        <v>1290626</v>
      </c>
      <c r="AY3" s="591">
        <v>211429</v>
      </c>
      <c r="AZ3" s="591">
        <v>261502</v>
      </c>
      <c r="BA3" s="378">
        <f>SUM(AX3:AZ3)</f>
        <v>1763557</v>
      </c>
      <c r="BB3" s="384">
        <f>SUM(AO3,AW3,J3,BA3)</f>
        <v>109394697</v>
      </c>
    </row>
    <row r="4" spans="1:54" ht="15.75" thickBot="1">
      <c r="A4" s="785" t="s">
        <v>391</v>
      </c>
      <c r="B4" s="206">
        <v>28</v>
      </c>
      <c r="C4" s="123">
        <v>4786</v>
      </c>
      <c r="D4" s="124">
        <v>10210837</v>
      </c>
      <c r="E4" s="124">
        <v>18505</v>
      </c>
      <c r="F4" s="124">
        <v>30943486</v>
      </c>
      <c r="G4" s="124">
        <v>1912100</v>
      </c>
      <c r="H4" s="124">
        <v>7740358</v>
      </c>
      <c r="I4" s="125">
        <v>6642000</v>
      </c>
      <c r="J4" s="366">
        <f t="shared" si="0"/>
        <v>57472072</v>
      </c>
      <c r="K4" s="123">
        <v>8470</v>
      </c>
      <c r="L4" s="124">
        <v>6757</v>
      </c>
      <c r="M4" s="122">
        <v>47000</v>
      </c>
      <c r="N4" s="136">
        <v>6162</v>
      </c>
      <c r="O4" s="366">
        <f t="shared" si="1"/>
        <v>68389</v>
      </c>
      <c r="P4" s="123">
        <v>1114727</v>
      </c>
      <c r="Q4" s="123">
        <v>1295725</v>
      </c>
      <c r="R4" s="123">
        <v>1209105</v>
      </c>
      <c r="S4" s="123">
        <v>2867336</v>
      </c>
      <c r="T4" s="123">
        <v>978126</v>
      </c>
      <c r="U4" s="125">
        <v>257312</v>
      </c>
      <c r="V4" s="366">
        <f t="shared" si="2"/>
        <v>7722331</v>
      </c>
      <c r="W4" s="123">
        <v>15624</v>
      </c>
      <c r="X4" s="124">
        <v>531951</v>
      </c>
      <c r="Y4" s="329">
        <v>300990</v>
      </c>
      <c r="Z4" s="329">
        <v>858694</v>
      </c>
      <c r="AA4" s="124">
        <v>70000</v>
      </c>
      <c r="AB4" s="136">
        <v>0</v>
      </c>
      <c r="AC4" s="366">
        <f t="shared" ref="AC4:AC14" si="4">SUM(W4:AB4)</f>
        <v>1777259</v>
      </c>
      <c r="AD4" s="123">
        <v>157391</v>
      </c>
      <c r="AE4" s="124">
        <v>2773373</v>
      </c>
      <c r="AF4" s="326">
        <v>208107</v>
      </c>
      <c r="AG4" s="124">
        <v>1064311</v>
      </c>
      <c r="AH4" s="136">
        <v>2054700</v>
      </c>
      <c r="AI4" s="366">
        <f t="shared" si="3"/>
        <v>6257882</v>
      </c>
      <c r="AJ4" s="281">
        <v>0</v>
      </c>
      <c r="AK4" s="124">
        <v>0</v>
      </c>
      <c r="AL4" s="135">
        <v>0</v>
      </c>
      <c r="AM4" s="590">
        <v>0</v>
      </c>
      <c r="AN4" s="373">
        <f t="shared" ref="AN4:AN14" si="5">SUM(AJ4:AM4)</f>
        <v>0</v>
      </c>
      <c r="AO4" s="374">
        <f>SUM(O4,V4,AC4,AI4,AN4)</f>
        <v>15825861</v>
      </c>
      <c r="AP4" s="281">
        <v>30078123</v>
      </c>
      <c r="AQ4" s="124">
        <v>499396</v>
      </c>
      <c r="AR4" s="125">
        <v>10700</v>
      </c>
      <c r="AS4" s="379">
        <f t="shared" ref="AS4:AS14" si="6">SUM(AP4:AR4)</f>
        <v>30588219</v>
      </c>
      <c r="AT4" s="135">
        <v>1787</v>
      </c>
      <c r="AU4" s="135">
        <v>0</v>
      </c>
      <c r="AV4" s="379">
        <f t="shared" ref="AV4:AV14" si="7">SUM(AT4,AU4)</f>
        <v>1787</v>
      </c>
      <c r="AW4" s="373">
        <f>SUM(AS4,AV4)</f>
        <v>30590006</v>
      </c>
      <c r="AX4" s="592">
        <v>2143700</v>
      </c>
      <c r="AY4" s="592">
        <v>215784</v>
      </c>
      <c r="AZ4" s="592">
        <v>276777</v>
      </c>
      <c r="BA4" s="373">
        <f t="shared" ref="BA4:BA14" si="8">SUM(AX4:AZ4)</f>
        <v>2636261</v>
      </c>
      <c r="BB4" s="384">
        <f t="shared" ref="BB4:BB14" si="9">SUM(AO4,AW4,J4,BA4)</f>
        <v>106524200</v>
      </c>
    </row>
    <row r="5" spans="1:54" ht="15.75" thickBot="1">
      <c r="A5" s="786" t="s">
        <v>392</v>
      </c>
      <c r="B5" s="207">
        <v>31</v>
      </c>
      <c r="C5" s="123">
        <v>4618</v>
      </c>
      <c r="D5" s="124">
        <v>10703250</v>
      </c>
      <c r="E5" s="124">
        <v>35352</v>
      </c>
      <c r="F5" s="124">
        <v>34302557</v>
      </c>
      <c r="G5" s="124">
        <v>2118300</v>
      </c>
      <c r="H5" s="124">
        <v>8473799</v>
      </c>
      <c r="I5" s="125">
        <v>8280000</v>
      </c>
      <c r="J5" s="366">
        <f t="shared" si="0"/>
        <v>63917876</v>
      </c>
      <c r="K5" s="123">
        <v>11752</v>
      </c>
      <c r="L5" s="124">
        <v>8432</v>
      </c>
      <c r="M5" s="122">
        <v>17900</v>
      </c>
      <c r="N5" s="136">
        <v>3660</v>
      </c>
      <c r="O5" s="366">
        <f t="shared" si="1"/>
        <v>41744</v>
      </c>
      <c r="P5" s="123">
        <v>988895</v>
      </c>
      <c r="Q5" s="123">
        <v>1116152</v>
      </c>
      <c r="R5" s="123">
        <v>895988</v>
      </c>
      <c r="S5" s="123">
        <v>2918161</v>
      </c>
      <c r="T5" s="123">
        <v>473635</v>
      </c>
      <c r="U5" s="125">
        <v>313412</v>
      </c>
      <c r="V5" s="366">
        <f t="shared" si="2"/>
        <v>6706243</v>
      </c>
      <c r="W5" s="123">
        <v>1524</v>
      </c>
      <c r="X5" s="124">
        <v>499912</v>
      </c>
      <c r="Y5" s="329">
        <v>355086</v>
      </c>
      <c r="Z5" s="329">
        <v>182854</v>
      </c>
      <c r="AA5" s="124">
        <v>46600</v>
      </c>
      <c r="AB5" s="136">
        <v>85000</v>
      </c>
      <c r="AC5" s="366">
        <f t="shared" si="4"/>
        <v>1170976</v>
      </c>
      <c r="AD5" s="123">
        <v>208379</v>
      </c>
      <c r="AE5" s="124">
        <v>2554830</v>
      </c>
      <c r="AF5" s="326">
        <v>190153</v>
      </c>
      <c r="AG5" s="124">
        <v>827006</v>
      </c>
      <c r="AH5" s="136">
        <v>1749700</v>
      </c>
      <c r="AI5" s="366">
        <f t="shared" si="3"/>
        <v>5530068</v>
      </c>
      <c r="AJ5" s="281">
        <v>0</v>
      </c>
      <c r="AK5" s="124">
        <v>0</v>
      </c>
      <c r="AL5" s="135">
        <v>0</v>
      </c>
      <c r="AM5" s="590">
        <v>0</v>
      </c>
      <c r="AN5" s="373">
        <f t="shared" si="5"/>
        <v>0</v>
      </c>
      <c r="AO5" s="374">
        <f t="shared" ref="AO5:AO14" si="10">SUM(O5,V5,AC5,AI5,AN5)</f>
        <v>13449031</v>
      </c>
      <c r="AP5" s="281">
        <v>29377873</v>
      </c>
      <c r="AQ5" s="124">
        <v>492434</v>
      </c>
      <c r="AR5" s="135">
        <v>15700</v>
      </c>
      <c r="AS5" s="379">
        <f t="shared" si="6"/>
        <v>29886007</v>
      </c>
      <c r="AT5" s="135">
        <v>57910</v>
      </c>
      <c r="AU5" s="135">
        <v>0</v>
      </c>
      <c r="AV5" s="379">
        <f t="shared" si="7"/>
        <v>57910</v>
      </c>
      <c r="AW5" s="373">
        <f t="shared" ref="AW5:AW14" si="11">SUM(AS5,AV5)</f>
        <v>29943917</v>
      </c>
      <c r="AX5" s="592">
        <v>1337512</v>
      </c>
      <c r="AY5" s="592">
        <v>199010</v>
      </c>
      <c r="AZ5" s="592">
        <v>229226</v>
      </c>
      <c r="BA5" s="373">
        <f t="shared" si="8"/>
        <v>1765748</v>
      </c>
      <c r="BB5" s="384">
        <f t="shared" si="9"/>
        <v>109076572</v>
      </c>
    </row>
    <row r="6" spans="1:54" ht="15.75" thickBot="1">
      <c r="A6" s="785" t="s">
        <v>393</v>
      </c>
      <c r="B6" s="206">
        <v>30</v>
      </c>
      <c r="C6" s="123">
        <v>4034</v>
      </c>
      <c r="D6" s="124">
        <v>10609100</v>
      </c>
      <c r="E6" s="124">
        <v>49014</v>
      </c>
      <c r="F6" s="124">
        <v>33940804</v>
      </c>
      <c r="G6" s="124">
        <v>2264800</v>
      </c>
      <c r="H6" s="124">
        <v>8002116</v>
      </c>
      <c r="I6" s="125">
        <v>7630000</v>
      </c>
      <c r="J6" s="366">
        <f t="shared" si="0"/>
        <v>62499868</v>
      </c>
      <c r="K6" s="123">
        <v>10097</v>
      </c>
      <c r="L6" s="124">
        <v>7368</v>
      </c>
      <c r="M6" s="122">
        <v>39600</v>
      </c>
      <c r="N6" s="136">
        <v>4352</v>
      </c>
      <c r="O6" s="366">
        <f t="shared" si="1"/>
        <v>61417</v>
      </c>
      <c r="P6" s="123">
        <v>1057565</v>
      </c>
      <c r="Q6" s="123">
        <v>1138483</v>
      </c>
      <c r="R6" s="123">
        <v>862534</v>
      </c>
      <c r="S6" s="123">
        <v>2849467</v>
      </c>
      <c r="T6" s="123">
        <v>646316</v>
      </c>
      <c r="U6" s="125">
        <v>335104</v>
      </c>
      <c r="V6" s="366">
        <f t="shared" si="2"/>
        <v>6889469</v>
      </c>
      <c r="W6" s="123">
        <v>1197</v>
      </c>
      <c r="X6" s="124">
        <v>441100</v>
      </c>
      <c r="Y6" s="329">
        <v>319402</v>
      </c>
      <c r="Z6" s="329">
        <v>112376</v>
      </c>
      <c r="AA6" s="124">
        <v>48800</v>
      </c>
      <c r="AB6" s="136">
        <v>150000</v>
      </c>
      <c r="AC6" s="366">
        <f t="shared" si="4"/>
        <v>1072875</v>
      </c>
      <c r="AD6" s="123">
        <v>133051</v>
      </c>
      <c r="AE6" s="124">
        <v>2618582</v>
      </c>
      <c r="AF6" s="326">
        <v>178623</v>
      </c>
      <c r="AG6" s="124">
        <v>834892</v>
      </c>
      <c r="AH6" s="136">
        <v>1529700</v>
      </c>
      <c r="AI6" s="366">
        <f t="shared" si="3"/>
        <v>5294848</v>
      </c>
      <c r="AJ6" s="281">
        <v>0</v>
      </c>
      <c r="AK6" s="124">
        <v>0</v>
      </c>
      <c r="AL6" s="135">
        <v>0</v>
      </c>
      <c r="AM6" s="590">
        <v>0</v>
      </c>
      <c r="AN6" s="373">
        <f t="shared" si="5"/>
        <v>0</v>
      </c>
      <c r="AO6" s="374">
        <f t="shared" si="10"/>
        <v>13318609</v>
      </c>
      <c r="AP6" s="281">
        <v>29534528</v>
      </c>
      <c r="AQ6" s="124">
        <v>517102</v>
      </c>
      <c r="AR6" s="135">
        <v>14600</v>
      </c>
      <c r="AS6" s="379">
        <f t="shared" si="6"/>
        <v>30066230</v>
      </c>
      <c r="AT6" s="135">
        <v>210665</v>
      </c>
      <c r="AU6" s="135">
        <v>0</v>
      </c>
      <c r="AV6" s="379">
        <f t="shared" si="7"/>
        <v>210665</v>
      </c>
      <c r="AW6" s="373">
        <f t="shared" si="11"/>
        <v>30276895</v>
      </c>
      <c r="AX6" s="593">
        <v>1295136</v>
      </c>
      <c r="AY6" s="593">
        <v>204503</v>
      </c>
      <c r="AZ6" s="593">
        <v>229304</v>
      </c>
      <c r="BA6" s="373">
        <f t="shared" si="8"/>
        <v>1728943</v>
      </c>
      <c r="BB6" s="384">
        <f t="shared" si="9"/>
        <v>107824315</v>
      </c>
    </row>
    <row r="7" spans="1:54" ht="15.75" thickBot="1">
      <c r="A7" s="786" t="s">
        <v>394</v>
      </c>
      <c r="B7" s="207">
        <v>31</v>
      </c>
      <c r="C7" s="123">
        <v>4448</v>
      </c>
      <c r="D7" s="124">
        <v>11892107</v>
      </c>
      <c r="E7" s="124">
        <v>17479</v>
      </c>
      <c r="F7" s="124">
        <v>33776964</v>
      </c>
      <c r="G7" s="124">
        <v>2436200</v>
      </c>
      <c r="H7" s="124">
        <v>8955896</v>
      </c>
      <c r="I7" s="334">
        <v>7313000</v>
      </c>
      <c r="J7" s="366">
        <f t="shared" si="0"/>
        <v>64396094</v>
      </c>
      <c r="K7" s="123">
        <v>11291</v>
      </c>
      <c r="L7" s="124">
        <v>10666</v>
      </c>
      <c r="M7" s="122">
        <v>38900</v>
      </c>
      <c r="N7" s="136">
        <v>5654</v>
      </c>
      <c r="O7" s="366">
        <f t="shared" si="1"/>
        <v>66511</v>
      </c>
      <c r="P7" s="123">
        <v>958114</v>
      </c>
      <c r="Q7" s="123">
        <v>1591389</v>
      </c>
      <c r="R7" s="123">
        <v>1063474</v>
      </c>
      <c r="S7" s="123">
        <v>2983779</v>
      </c>
      <c r="T7" s="123">
        <v>726588</v>
      </c>
      <c r="U7" s="125">
        <v>306680</v>
      </c>
      <c r="V7" s="366">
        <f t="shared" si="2"/>
        <v>7630024</v>
      </c>
      <c r="W7" s="123">
        <v>31450</v>
      </c>
      <c r="X7" s="124">
        <v>516398</v>
      </c>
      <c r="Y7" s="329">
        <v>483043</v>
      </c>
      <c r="Z7" s="329">
        <v>296601</v>
      </c>
      <c r="AA7" s="124">
        <v>36400</v>
      </c>
      <c r="AB7" s="136">
        <v>121000</v>
      </c>
      <c r="AC7" s="366">
        <f t="shared" si="4"/>
        <v>1484892</v>
      </c>
      <c r="AD7" s="123">
        <v>16359</v>
      </c>
      <c r="AE7" s="124">
        <v>2812651</v>
      </c>
      <c r="AF7" s="326">
        <v>161946</v>
      </c>
      <c r="AG7" s="124">
        <v>817405</v>
      </c>
      <c r="AH7" s="136">
        <v>1552600</v>
      </c>
      <c r="AI7" s="366">
        <f t="shared" si="3"/>
        <v>5360961</v>
      </c>
      <c r="AJ7" s="281">
        <v>0</v>
      </c>
      <c r="AK7" s="124">
        <v>0</v>
      </c>
      <c r="AL7" s="135">
        <v>0</v>
      </c>
      <c r="AM7" s="590">
        <v>0</v>
      </c>
      <c r="AN7" s="373">
        <f t="shared" si="5"/>
        <v>0</v>
      </c>
      <c r="AO7" s="374">
        <f t="shared" si="10"/>
        <v>14542388</v>
      </c>
      <c r="AP7" s="281">
        <v>31873313</v>
      </c>
      <c r="AQ7" s="124">
        <v>624343</v>
      </c>
      <c r="AR7" s="135">
        <v>9900</v>
      </c>
      <c r="AS7" s="373">
        <f t="shared" si="6"/>
        <v>32507556</v>
      </c>
      <c r="AT7" s="135">
        <v>1782861</v>
      </c>
      <c r="AU7" s="135">
        <v>14567</v>
      </c>
      <c r="AV7" s="379">
        <f t="shared" si="7"/>
        <v>1797428</v>
      </c>
      <c r="AW7" s="373">
        <f t="shared" si="11"/>
        <v>34304984</v>
      </c>
      <c r="AX7" s="594">
        <v>1489197</v>
      </c>
      <c r="AY7" s="594">
        <v>224081</v>
      </c>
      <c r="AZ7" s="594">
        <v>259279</v>
      </c>
      <c r="BA7" s="373">
        <f t="shared" si="8"/>
        <v>1972557</v>
      </c>
      <c r="BB7" s="384">
        <f t="shared" si="9"/>
        <v>115216023</v>
      </c>
    </row>
    <row r="8" spans="1:54" ht="15.75" thickBot="1">
      <c r="A8" s="785" t="s">
        <v>395</v>
      </c>
      <c r="B8" s="206">
        <v>30</v>
      </c>
      <c r="C8" s="123">
        <v>4516</v>
      </c>
      <c r="D8" s="124">
        <v>10708562</v>
      </c>
      <c r="E8" s="124">
        <v>13050</v>
      </c>
      <c r="F8" s="124">
        <v>39414631</v>
      </c>
      <c r="G8" s="124">
        <v>1999300</v>
      </c>
      <c r="H8" s="124">
        <v>9131116</v>
      </c>
      <c r="I8" s="125">
        <v>9697000</v>
      </c>
      <c r="J8" s="366">
        <f t="shared" si="0"/>
        <v>70968175</v>
      </c>
      <c r="K8" s="123">
        <v>11930</v>
      </c>
      <c r="L8" s="124">
        <v>31375</v>
      </c>
      <c r="M8" s="122">
        <v>19900</v>
      </c>
      <c r="N8" s="136">
        <v>5195</v>
      </c>
      <c r="O8" s="366">
        <f t="shared" si="1"/>
        <v>68400</v>
      </c>
      <c r="P8" s="123">
        <v>1085169</v>
      </c>
      <c r="Q8" s="123">
        <v>1637788</v>
      </c>
      <c r="R8" s="123">
        <v>1221246</v>
      </c>
      <c r="S8" s="123">
        <v>3108129</v>
      </c>
      <c r="T8" s="123">
        <v>737104</v>
      </c>
      <c r="U8" s="125">
        <v>303688</v>
      </c>
      <c r="V8" s="366">
        <f t="shared" si="2"/>
        <v>8093124</v>
      </c>
      <c r="W8" s="123">
        <v>504</v>
      </c>
      <c r="X8" s="124">
        <v>306177</v>
      </c>
      <c r="Y8" s="329">
        <v>505973</v>
      </c>
      <c r="Z8" s="329">
        <v>23577</v>
      </c>
      <c r="AA8" s="124">
        <v>49200</v>
      </c>
      <c r="AB8" s="136">
        <v>166000</v>
      </c>
      <c r="AC8" s="366">
        <f t="shared" si="4"/>
        <v>1051431</v>
      </c>
      <c r="AD8" s="123">
        <v>21424</v>
      </c>
      <c r="AE8" s="124">
        <v>2612244</v>
      </c>
      <c r="AF8" s="326">
        <v>178573</v>
      </c>
      <c r="AG8" s="124">
        <v>846503</v>
      </c>
      <c r="AH8" s="136">
        <v>1711700</v>
      </c>
      <c r="AI8" s="366">
        <f t="shared" si="3"/>
        <v>5370444</v>
      </c>
      <c r="AJ8" s="281">
        <v>0</v>
      </c>
      <c r="AK8" s="124">
        <v>0</v>
      </c>
      <c r="AL8" s="135">
        <v>0</v>
      </c>
      <c r="AM8" s="590">
        <v>0</v>
      </c>
      <c r="AN8" s="373">
        <f t="shared" si="5"/>
        <v>0</v>
      </c>
      <c r="AO8" s="374">
        <f t="shared" si="10"/>
        <v>14583399</v>
      </c>
      <c r="AP8" s="281">
        <v>38025110</v>
      </c>
      <c r="AQ8" s="124">
        <v>802508</v>
      </c>
      <c r="AR8" s="136">
        <v>14300</v>
      </c>
      <c r="AS8" s="380">
        <f t="shared" si="6"/>
        <v>38841918</v>
      </c>
      <c r="AT8" s="135">
        <v>3595608</v>
      </c>
      <c r="AU8" s="135">
        <v>17766</v>
      </c>
      <c r="AV8" s="379">
        <f t="shared" si="7"/>
        <v>3613374</v>
      </c>
      <c r="AW8" s="373">
        <f t="shared" si="11"/>
        <v>42455292</v>
      </c>
      <c r="AX8" s="592">
        <v>1331917</v>
      </c>
      <c r="AY8" s="592">
        <v>209455</v>
      </c>
      <c r="AZ8" s="592">
        <v>250552</v>
      </c>
      <c r="BA8" s="373">
        <f t="shared" si="8"/>
        <v>1791924</v>
      </c>
      <c r="BB8" s="384">
        <f t="shared" si="9"/>
        <v>129798790</v>
      </c>
    </row>
    <row r="9" spans="1:54" ht="15.75" thickBot="1">
      <c r="A9" s="786" t="s">
        <v>396</v>
      </c>
      <c r="B9" s="206">
        <v>31</v>
      </c>
      <c r="C9" s="123">
        <v>4424</v>
      </c>
      <c r="D9" s="124">
        <v>9644394</v>
      </c>
      <c r="E9" s="124">
        <v>61463</v>
      </c>
      <c r="F9" s="124">
        <v>34056287</v>
      </c>
      <c r="G9" s="124">
        <v>1759000</v>
      </c>
      <c r="H9" s="124">
        <v>8965658</v>
      </c>
      <c r="I9" s="125">
        <v>8738000</v>
      </c>
      <c r="J9" s="366">
        <f t="shared" si="0"/>
        <v>63229226</v>
      </c>
      <c r="K9" s="123">
        <v>20484</v>
      </c>
      <c r="L9" s="124">
        <v>13226</v>
      </c>
      <c r="M9" s="122">
        <v>24300</v>
      </c>
      <c r="N9" s="136">
        <v>6761</v>
      </c>
      <c r="O9" s="366">
        <f t="shared" si="1"/>
        <v>64771</v>
      </c>
      <c r="P9" s="123">
        <v>1094625</v>
      </c>
      <c r="Q9" s="123">
        <v>1249723</v>
      </c>
      <c r="R9" s="123">
        <v>1307946</v>
      </c>
      <c r="S9" s="123">
        <v>3222063</v>
      </c>
      <c r="T9" s="123">
        <v>797306</v>
      </c>
      <c r="U9" s="125">
        <v>286484</v>
      </c>
      <c r="V9" s="366">
        <f t="shared" si="2"/>
        <v>7958147</v>
      </c>
      <c r="W9" s="123">
        <v>2835</v>
      </c>
      <c r="X9" s="124">
        <v>250828</v>
      </c>
      <c r="Y9" s="329">
        <v>385649</v>
      </c>
      <c r="Z9" s="329">
        <v>90505</v>
      </c>
      <c r="AA9" s="124">
        <v>63100</v>
      </c>
      <c r="AB9" s="136">
        <v>69000</v>
      </c>
      <c r="AC9" s="366">
        <f t="shared" si="4"/>
        <v>861917</v>
      </c>
      <c r="AD9" s="123">
        <v>19330</v>
      </c>
      <c r="AE9" s="124">
        <v>2542976</v>
      </c>
      <c r="AF9" s="326">
        <v>164768</v>
      </c>
      <c r="AG9" s="124">
        <v>805195</v>
      </c>
      <c r="AH9" s="136">
        <v>1452300</v>
      </c>
      <c r="AI9" s="366">
        <f t="shared" si="3"/>
        <v>4984569</v>
      </c>
      <c r="AJ9" s="281">
        <v>0</v>
      </c>
      <c r="AK9" s="124">
        <v>0</v>
      </c>
      <c r="AL9" s="135">
        <v>0</v>
      </c>
      <c r="AM9" s="590">
        <v>0</v>
      </c>
      <c r="AN9" s="373">
        <f t="shared" si="5"/>
        <v>0</v>
      </c>
      <c r="AO9" s="374">
        <f t="shared" si="10"/>
        <v>13869404</v>
      </c>
      <c r="AP9" s="281">
        <v>37369185</v>
      </c>
      <c r="AQ9" s="122">
        <v>868636</v>
      </c>
      <c r="AR9" s="136">
        <v>15300</v>
      </c>
      <c r="AS9" s="379">
        <f t="shared" si="6"/>
        <v>38253121</v>
      </c>
      <c r="AT9" s="135">
        <v>3557554</v>
      </c>
      <c r="AU9" s="135">
        <v>31733</v>
      </c>
      <c r="AV9" s="379">
        <f t="shared" si="7"/>
        <v>3589287</v>
      </c>
      <c r="AW9" s="373">
        <f t="shared" si="11"/>
        <v>41842408</v>
      </c>
      <c r="AX9" s="592">
        <v>1478248</v>
      </c>
      <c r="AY9" s="592">
        <v>351223</v>
      </c>
      <c r="AZ9" s="592">
        <v>246127</v>
      </c>
      <c r="BA9" s="373">
        <f t="shared" si="8"/>
        <v>2075598</v>
      </c>
      <c r="BB9" s="384">
        <f t="shared" si="9"/>
        <v>121016636</v>
      </c>
    </row>
    <row r="10" spans="1:54" ht="15.75" thickBot="1">
      <c r="A10" s="785" t="s">
        <v>397</v>
      </c>
      <c r="B10" s="206">
        <v>31</v>
      </c>
      <c r="C10" s="123">
        <v>3849</v>
      </c>
      <c r="D10" s="124">
        <v>11568744</v>
      </c>
      <c r="E10" s="124">
        <v>24152</v>
      </c>
      <c r="F10" s="124">
        <v>35988636</v>
      </c>
      <c r="G10" s="124">
        <v>1638900</v>
      </c>
      <c r="H10" s="124">
        <v>11388729</v>
      </c>
      <c r="I10" s="125">
        <v>9341000</v>
      </c>
      <c r="J10" s="366">
        <f t="shared" si="0"/>
        <v>69954010</v>
      </c>
      <c r="K10" s="123">
        <v>15950</v>
      </c>
      <c r="L10" s="124">
        <v>9468</v>
      </c>
      <c r="M10" s="122">
        <v>29000</v>
      </c>
      <c r="N10" s="136">
        <v>20756</v>
      </c>
      <c r="O10" s="366">
        <f t="shared" si="1"/>
        <v>75174</v>
      </c>
      <c r="P10" s="123">
        <v>1097898</v>
      </c>
      <c r="Q10" s="123">
        <v>1340506</v>
      </c>
      <c r="R10" s="123">
        <v>1507364</v>
      </c>
      <c r="S10" s="123">
        <v>4023025</v>
      </c>
      <c r="T10" s="123">
        <v>1066732</v>
      </c>
      <c r="U10" s="125">
        <v>251328</v>
      </c>
      <c r="V10" s="366">
        <f t="shared" si="2"/>
        <v>9286853</v>
      </c>
      <c r="W10" s="123">
        <v>1064</v>
      </c>
      <c r="X10" s="124">
        <v>239844</v>
      </c>
      <c r="Y10" s="329">
        <v>371454</v>
      </c>
      <c r="Z10" s="329">
        <v>93209</v>
      </c>
      <c r="AA10" s="124">
        <v>99800</v>
      </c>
      <c r="AB10" s="136">
        <v>27000</v>
      </c>
      <c r="AC10" s="366">
        <f t="shared" si="4"/>
        <v>832371</v>
      </c>
      <c r="AD10" s="123">
        <v>20287</v>
      </c>
      <c r="AE10" s="124">
        <v>2578010</v>
      </c>
      <c r="AF10" s="326">
        <v>172843</v>
      </c>
      <c r="AG10" s="124">
        <v>954595</v>
      </c>
      <c r="AH10" s="136">
        <v>1463600</v>
      </c>
      <c r="AI10" s="366">
        <f t="shared" si="3"/>
        <v>5189335</v>
      </c>
      <c r="AJ10" s="281">
        <v>0</v>
      </c>
      <c r="AK10" s="124">
        <v>24432</v>
      </c>
      <c r="AL10" s="135">
        <v>0</v>
      </c>
      <c r="AM10" s="590">
        <v>0</v>
      </c>
      <c r="AN10" s="373">
        <f t="shared" si="5"/>
        <v>24432</v>
      </c>
      <c r="AO10" s="374">
        <f t="shared" si="10"/>
        <v>15408165</v>
      </c>
      <c r="AP10" s="281">
        <v>34791860</v>
      </c>
      <c r="AQ10" s="124">
        <v>730024</v>
      </c>
      <c r="AR10" s="135">
        <v>13000</v>
      </c>
      <c r="AS10" s="373">
        <f t="shared" si="6"/>
        <v>35534884</v>
      </c>
      <c r="AT10" s="135">
        <v>3810405</v>
      </c>
      <c r="AU10" s="135">
        <v>33248</v>
      </c>
      <c r="AV10" s="379">
        <f>SUM(AT10,AU10)</f>
        <v>3843653</v>
      </c>
      <c r="AW10" s="373">
        <f t="shared" si="11"/>
        <v>39378537</v>
      </c>
      <c r="AX10" s="592">
        <v>1309181</v>
      </c>
      <c r="AY10" s="592">
        <v>315115</v>
      </c>
      <c r="AZ10" s="592">
        <v>226157</v>
      </c>
      <c r="BA10" s="373">
        <f t="shared" si="8"/>
        <v>1850453</v>
      </c>
      <c r="BB10" s="384">
        <f t="shared" si="9"/>
        <v>126591165</v>
      </c>
    </row>
    <row r="11" spans="1:54" ht="15.75" thickBot="1">
      <c r="A11" s="786" t="s">
        <v>398</v>
      </c>
      <c r="B11" s="206">
        <v>30</v>
      </c>
      <c r="C11" s="123">
        <v>3725</v>
      </c>
      <c r="D11" s="124">
        <v>10962920</v>
      </c>
      <c r="E11" s="124">
        <v>49226</v>
      </c>
      <c r="F11" s="124">
        <v>38365874</v>
      </c>
      <c r="G11" s="124">
        <v>2152000</v>
      </c>
      <c r="H11" s="124">
        <v>9853970</v>
      </c>
      <c r="I11" s="125">
        <v>10182000</v>
      </c>
      <c r="J11" s="366">
        <f t="shared" si="0"/>
        <v>71569715</v>
      </c>
      <c r="K11" s="123">
        <v>21873</v>
      </c>
      <c r="L11" s="124">
        <v>9322</v>
      </c>
      <c r="M11" s="122">
        <v>16600</v>
      </c>
      <c r="N11" s="136">
        <v>12115</v>
      </c>
      <c r="O11" s="366">
        <f t="shared" si="1"/>
        <v>59910</v>
      </c>
      <c r="P11" s="123">
        <v>1170935</v>
      </c>
      <c r="Q11" s="123">
        <v>1215417</v>
      </c>
      <c r="R11" s="123">
        <v>1670466</v>
      </c>
      <c r="S11" s="123">
        <v>3905263</v>
      </c>
      <c r="T11" s="123">
        <v>1085433</v>
      </c>
      <c r="U11" s="125">
        <v>231880</v>
      </c>
      <c r="V11" s="366">
        <f t="shared" si="2"/>
        <v>9279394</v>
      </c>
      <c r="W11" s="123">
        <v>692</v>
      </c>
      <c r="X11" s="124">
        <v>617372</v>
      </c>
      <c r="Y11" s="329">
        <v>689500</v>
      </c>
      <c r="Z11" s="329">
        <v>185246</v>
      </c>
      <c r="AA11" s="124">
        <v>56000</v>
      </c>
      <c r="AB11" s="136">
        <v>71000</v>
      </c>
      <c r="AC11" s="366">
        <f t="shared" si="4"/>
        <v>1619810</v>
      </c>
      <c r="AD11" s="123">
        <v>4800</v>
      </c>
      <c r="AE11" s="124">
        <v>2155614</v>
      </c>
      <c r="AF11" s="326">
        <v>168908</v>
      </c>
      <c r="AG11" s="124">
        <v>813893</v>
      </c>
      <c r="AH11" s="136">
        <v>570100</v>
      </c>
      <c r="AI11" s="366">
        <f t="shared" si="3"/>
        <v>3713315</v>
      </c>
      <c r="AJ11" s="281">
        <v>12225</v>
      </c>
      <c r="AK11" s="124">
        <v>537161</v>
      </c>
      <c r="AL11" s="135">
        <v>116844</v>
      </c>
      <c r="AM11" s="590">
        <v>752500</v>
      </c>
      <c r="AN11" s="373">
        <f t="shared" si="5"/>
        <v>1418730</v>
      </c>
      <c r="AO11" s="374">
        <f t="shared" si="10"/>
        <v>16091159</v>
      </c>
      <c r="AP11" s="281">
        <v>35162124</v>
      </c>
      <c r="AQ11" s="124">
        <v>725599</v>
      </c>
      <c r="AR11" s="136">
        <v>12600</v>
      </c>
      <c r="AS11" s="379">
        <f t="shared" si="6"/>
        <v>35900323</v>
      </c>
      <c r="AT11" s="135">
        <v>4257266</v>
      </c>
      <c r="AU11" s="135">
        <v>42104</v>
      </c>
      <c r="AV11" s="379">
        <f>SUM(AT11,AU11)</f>
        <v>4299370</v>
      </c>
      <c r="AW11" s="373">
        <f t="shared" si="11"/>
        <v>40199693</v>
      </c>
      <c r="AX11" s="592">
        <v>1409773</v>
      </c>
      <c r="AY11" s="592">
        <v>313874</v>
      </c>
      <c r="AZ11" s="592">
        <v>237181</v>
      </c>
      <c r="BA11" s="373">
        <f t="shared" si="8"/>
        <v>1960828</v>
      </c>
      <c r="BB11" s="384">
        <f t="shared" si="9"/>
        <v>129821395</v>
      </c>
    </row>
    <row r="12" spans="1:54" ht="15.75" thickBot="1">
      <c r="A12" s="785" t="s">
        <v>399</v>
      </c>
      <c r="B12" s="206">
        <v>31</v>
      </c>
      <c r="C12" s="123">
        <v>3909</v>
      </c>
      <c r="D12" s="124">
        <v>11188269</v>
      </c>
      <c r="E12" s="124">
        <v>36777</v>
      </c>
      <c r="F12" s="124">
        <v>38902206</v>
      </c>
      <c r="G12" s="124">
        <v>2094300</v>
      </c>
      <c r="H12" s="124">
        <v>9156046</v>
      </c>
      <c r="I12" s="125">
        <v>9788000</v>
      </c>
      <c r="J12" s="366">
        <f t="shared" si="0"/>
        <v>71169507</v>
      </c>
      <c r="K12" s="123">
        <v>10315</v>
      </c>
      <c r="L12" s="124">
        <v>7892</v>
      </c>
      <c r="M12" s="122">
        <v>20700</v>
      </c>
      <c r="N12" s="136">
        <v>32565</v>
      </c>
      <c r="O12" s="366">
        <f t="shared" si="1"/>
        <v>71472</v>
      </c>
      <c r="P12" s="123">
        <v>1130867</v>
      </c>
      <c r="Q12" s="123">
        <v>1215972</v>
      </c>
      <c r="R12" s="123">
        <v>1432470</v>
      </c>
      <c r="S12" s="123">
        <v>4650986</v>
      </c>
      <c r="T12" s="123">
        <v>1160135</v>
      </c>
      <c r="U12" s="125">
        <v>228140</v>
      </c>
      <c r="V12" s="366">
        <f t="shared" si="2"/>
        <v>9818570</v>
      </c>
      <c r="W12" s="123">
        <v>417</v>
      </c>
      <c r="X12" s="124">
        <v>614167</v>
      </c>
      <c r="Y12" s="329">
        <v>504011</v>
      </c>
      <c r="Z12" s="329">
        <v>160320</v>
      </c>
      <c r="AA12" s="124">
        <v>51800</v>
      </c>
      <c r="AB12" s="136">
        <v>129000</v>
      </c>
      <c r="AC12" s="366">
        <f t="shared" si="4"/>
        <v>1459715</v>
      </c>
      <c r="AD12" s="123">
        <v>12104</v>
      </c>
      <c r="AE12" s="124">
        <v>2100987</v>
      </c>
      <c r="AF12" s="326">
        <v>172144</v>
      </c>
      <c r="AG12" s="124">
        <v>362900</v>
      </c>
      <c r="AH12" s="136">
        <v>686700</v>
      </c>
      <c r="AI12" s="366">
        <f t="shared" si="3"/>
        <v>3334835</v>
      </c>
      <c r="AJ12" s="281">
        <v>14700</v>
      </c>
      <c r="AK12" s="124">
        <v>561987</v>
      </c>
      <c r="AL12" s="135">
        <v>562207</v>
      </c>
      <c r="AM12" s="590">
        <v>789500</v>
      </c>
      <c r="AN12" s="373">
        <f t="shared" si="5"/>
        <v>1928394</v>
      </c>
      <c r="AO12" s="374">
        <f t="shared" si="10"/>
        <v>16612986</v>
      </c>
      <c r="AP12" s="281">
        <v>34855164</v>
      </c>
      <c r="AQ12" s="124">
        <v>699772</v>
      </c>
      <c r="AR12" s="136">
        <v>13100</v>
      </c>
      <c r="AS12" s="379">
        <f t="shared" si="6"/>
        <v>35568036</v>
      </c>
      <c r="AT12" s="135">
        <v>4429978</v>
      </c>
      <c r="AU12" s="135">
        <v>44794</v>
      </c>
      <c r="AV12" s="379">
        <f t="shared" si="7"/>
        <v>4474772</v>
      </c>
      <c r="AW12" s="373">
        <f t="shared" si="11"/>
        <v>40042808</v>
      </c>
      <c r="AX12" s="592">
        <v>1290857</v>
      </c>
      <c r="AY12" s="592">
        <v>311506</v>
      </c>
      <c r="AZ12" s="592">
        <v>264836</v>
      </c>
      <c r="BA12" s="373">
        <f t="shared" si="8"/>
        <v>1867199</v>
      </c>
      <c r="BB12" s="384">
        <f t="shared" si="9"/>
        <v>129692500</v>
      </c>
    </row>
    <row r="13" spans="1:54" ht="15.75" thickBot="1">
      <c r="A13" s="786" t="s">
        <v>400</v>
      </c>
      <c r="B13" s="206">
        <v>30</v>
      </c>
      <c r="C13" s="123">
        <v>4130</v>
      </c>
      <c r="D13" s="124">
        <v>11170022</v>
      </c>
      <c r="E13" s="124">
        <v>52774</v>
      </c>
      <c r="F13" s="124">
        <v>41266532</v>
      </c>
      <c r="G13" s="124">
        <v>2384500</v>
      </c>
      <c r="H13" s="124">
        <v>6906888</v>
      </c>
      <c r="I13" s="125">
        <v>8752000</v>
      </c>
      <c r="J13" s="366">
        <f t="shared" si="0"/>
        <v>70536846</v>
      </c>
      <c r="K13" s="123">
        <v>14684</v>
      </c>
      <c r="L13" s="124">
        <v>8570</v>
      </c>
      <c r="M13" s="122">
        <v>18300</v>
      </c>
      <c r="N13" s="136">
        <v>20585</v>
      </c>
      <c r="O13" s="366">
        <f t="shared" si="1"/>
        <v>62139</v>
      </c>
      <c r="P13" s="123">
        <v>1056720</v>
      </c>
      <c r="Q13" s="123">
        <v>1162273</v>
      </c>
      <c r="R13" s="123">
        <v>1281104</v>
      </c>
      <c r="S13" s="123">
        <v>3498426</v>
      </c>
      <c r="T13" s="123">
        <v>1005484</v>
      </c>
      <c r="U13" s="125">
        <v>282744</v>
      </c>
      <c r="V13" s="366">
        <f t="shared" si="2"/>
        <v>8286751</v>
      </c>
      <c r="W13" s="123">
        <v>1523</v>
      </c>
      <c r="X13" s="124">
        <v>833590</v>
      </c>
      <c r="Y13" s="329">
        <v>412216</v>
      </c>
      <c r="Z13" s="329">
        <v>160422</v>
      </c>
      <c r="AA13" s="124">
        <v>43800</v>
      </c>
      <c r="AB13" s="136">
        <v>165000</v>
      </c>
      <c r="AC13" s="366">
        <f t="shared" si="4"/>
        <v>1616551</v>
      </c>
      <c r="AD13" s="123">
        <v>11490</v>
      </c>
      <c r="AE13" s="124">
        <v>2054781</v>
      </c>
      <c r="AF13" s="326">
        <v>184153</v>
      </c>
      <c r="AG13" s="124">
        <v>490700</v>
      </c>
      <c r="AH13" s="136">
        <v>808200</v>
      </c>
      <c r="AI13" s="366">
        <f t="shared" si="3"/>
        <v>3549324</v>
      </c>
      <c r="AJ13" s="281">
        <v>15191</v>
      </c>
      <c r="AK13" s="124">
        <v>577603</v>
      </c>
      <c r="AL13" s="135">
        <v>613215</v>
      </c>
      <c r="AM13" s="590">
        <v>859000</v>
      </c>
      <c r="AN13" s="373">
        <f t="shared" si="5"/>
        <v>2065009</v>
      </c>
      <c r="AO13" s="374">
        <f t="shared" si="10"/>
        <v>15579774</v>
      </c>
      <c r="AP13" s="281">
        <v>31708122</v>
      </c>
      <c r="AQ13" s="124">
        <v>572202</v>
      </c>
      <c r="AR13" s="135">
        <v>16100</v>
      </c>
      <c r="AS13" s="379">
        <f t="shared" si="6"/>
        <v>32296424</v>
      </c>
      <c r="AT13" s="135">
        <v>2887246</v>
      </c>
      <c r="AU13" s="135">
        <v>28921</v>
      </c>
      <c r="AV13" s="373">
        <f t="shared" si="7"/>
        <v>2916167</v>
      </c>
      <c r="AW13" s="373">
        <f t="shared" si="11"/>
        <v>35212591</v>
      </c>
      <c r="AX13" s="593">
        <v>1226712</v>
      </c>
      <c r="AY13" s="593">
        <v>277688</v>
      </c>
      <c r="AZ13" s="593">
        <v>250655</v>
      </c>
      <c r="BA13" s="380">
        <f t="shared" si="8"/>
        <v>1755055</v>
      </c>
      <c r="BB13" s="384">
        <f t="shared" si="9"/>
        <v>123084266</v>
      </c>
    </row>
    <row r="14" spans="1:54" ht="15.75" thickBot="1">
      <c r="A14" s="787" t="s">
        <v>401</v>
      </c>
      <c r="B14" s="207">
        <v>31</v>
      </c>
      <c r="C14" s="129">
        <v>5871</v>
      </c>
      <c r="D14" s="127">
        <v>9863270</v>
      </c>
      <c r="E14" s="127">
        <v>33327</v>
      </c>
      <c r="F14" s="127">
        <v>35871431</v>
      </c>
      <c r="G14" s="127">
        <v>1669200</v>
      </c>
      <c r="H14" s="127">
        <v>6538805</v>
      </c>
      <c r="I14" s="125">
        <v>6932000</v>
      </c>
      <c r="J14" s="366">
        <f t="shared" si="0"/>
        <v>60913904</v>
      </c>
      <c r="K14" s="129">
        <v>14649</v>
      </c>
      <c r="L14" s="127">
        <v>7556</v>
      </c>
      <c r="M14" s="279">
        <v>15100</v>
      </c>
      <c r="N14" s="140">
        <v>26154</v>
      </c>
      <c r="O14" s="366">
        <f t="shared" si="1"/>
        <v>63459</v>
      </c>
      <c r="P14" s="129">
        <v>937355</v>
      </c>
      <c r="Q14" s="129">
        <v>1108277</v>
      </c>
      <c r="R14" s="129">
        <v>895461</v>
      </c>
      <c r="S14" s="129">
        <v>2681951</v>
      </c>
      <c r="T14" s="129">
        <v>738925</v>
      </c>
      <c r="U14" s="128">
        <v>276760</v>
      </c>
      <c r="V14" s="366">
        <f t="shared" si="2"/>
        <v>6638729</v>
      </c>
      <c r="W14" s="129">
        <v>846</v>
      </c>
      <c r="X14" s="127">
        <v>617069</v>
      </c>
      <c r="Y14" s="330">
        <v>269880</v>
      </c>
      <c r="Z14" s="330">
        <v>189422</v>
      </c>
      <c r="AA14" s="127">
        <v>48800</v>
      </c>
      <c r="AB14" s="140">
        <v>123000</v>
      </c>
      <c r="AC14" s="366">
        <f t="shared" si="4"/>
        <v>1249017</v>
      </c>
      <c r="AD14" s="129">
        <v>7989</v>
      </c>
      <c r="AE14" s="127">
        <v>2111765</v>
      </c>
      <c r="AF14" s="327">
        <v>159609</v>
      </c>
      <c r="AG14" s="127">
        <v>521100</v>
      </c>
      <c r="AH14" s="140">
        <v>777200</v>
      </c>
      <c r="AI14" s="366">
        <f t="shared" si="3"/>
        <v>3577663</v>
      </c>
      <c r="AJ14" s="126">
        <v>10264</v>
      </c>
      <c r="AK14" s="331">
        <v>591157</v>
      </c>
      <c r="AL14" s="137">
        <v>619924</v>
      </c>
      <c r="AM14" s="137">
        <v>797000</v>
      </c>
      <c r="AN14" s="375">
        <f t="shared" si="5"/>
        <v>2018345</v>
      </c>
      <c r="AO14" s="376">
        <f t="shared" si="10"/>
        <v>13547213</v>
      </c>
      <c r="AP14" s="126">
        <v>28913136</v>
      </c>
      <c r="AQ14" s="331">
        <v>502245</v>
      </c>
      <c r="AR14" s="128">
        <v>18900</v>
      </c>
      <c r="AS14" s="381">
        <f t="shared" si="6"/>
        <v>29434281</v>
      </c>
      <c r="AT14" s="138">
        <v>2692401</v>
      </c>
      <c r="AU14" s="140">
        <v>29680</v>
      </c>
      <c r="AV14" s="375">
        <f t="shared" si="7"/>
        <v>2722081</v>
      </c>
      <c r="AW14" s="380">
        <f t="shared" si="11"/>
        <v>32156362</v>
      </c>
      <c r="AX14" s="595">
        <v>1329211</v>
      </c>
      <c r="AY14" s="595">
        <v>291699</v>
      </c>
      <c r="AZ14" s="595">
        <v>286913</v>
      </c>
      <c r="BA14" s="381">
        <f t="shared" si="8"/>
        <v>1907823</v>
      </c>
      <c r="BB14" s="384">
        <f t="shared" si="9"/>
        <v>108525302</v>
      </c>
    </row>
    <row r="15" spans="1:54">
      <c r="A15" s="294" t="s">
        <v>38</v>
      </c>
      <c r="B15" s="542">
        <f>SUM(B3:B14)</f>
        <v>365</v>
      </c>
      <c r="C15" s="342">
        <f t="shared" ref="C15:J15" si="12">SUM(C3:C14)</f>
        <v>51783</v>
      </c>
      <c r="D15" s="343">
        <f t="shared" si="12"/>
        <v>128054876</v>
      </c>
      <c r="E15" s="343">
        <f t="shared" si="12"/>
        <v>408331</v>
      </c>
      <c r="F15" s="343">
        <f t="shared" si="12"/>
        <v>429937932</v>
      </c>
      <c r="G15" s="343">
        <f t="shared" si="12"/>
        <v>24191800</v>
      </c>
      <c r="H15" s="343">
        <f t="shared" si="12"/>
        <v>103641413</v>
      </c>
      <c r="I15" s="344">
        <f>SUM(I3:I14)</f>
        <v>100870000</v>
      </c>
      <c r="J15" s="345">
        <f t="shared" si="12"/>
        <v>787156135</v>
      </c>
      <c r="K15" s="342">
        <f t="shared" ref="K15:AI15" si="13">SUM(K3:K14)</f>
        <v>164973</v>
      </c>
      <c r="L15" s="343">
        <f t="shared" si="13"/>
        <v>135563</v>
      </c>
      <c r="M15" s="343">
        <f t="shared" si="13"/>
        <v>330300</v>
      </c>
      <c r="N15" s="346">
        <f t="shared" si="13"/>
        <v>149298</v>
      </c>
      <c r="O15" s="347">
        <f t="shared" si="13"/>
        <v>780134</v>
      </c>
      <c r="P15" s="342">
        <f t="shared" si="13"/>
        <v>12718113</v>
      </c>
      <c r="Q15" s="343">
        <f t="shared" si="13"/>
        <v>15133931</v>
      </c>
      <c r="R15" s="343">
        <f t="shared" si="13"/>
        <v>14841808</v>
      </c>
      <c r="S15" s="343">
        <f t="shared" si="13"/>
        <v>39776779</v>
      </c>
      <c r="T15" s="343">
        <f t="shared" si="13"/>
        <v>9710930</v>
      </c>
      <c r="U15" s="344">
        <f t="shared" si="13"/>
        <v>3327104</v>
      </c>
      <c r="V15" s="345">
        <f t="shared" si="13"/>
        <v>95508665</v>
      </c>
      <c r="W15" s="342">
        <f t="shared" si="13"/>
        <v>58484</v>
      </c>
      <c r="X15" s="343">
        <f t="shared" si="13"/>
        <v>5925928</v>
      </c>
      <c r="Y15" s="343">
        <f t="shared" si="13"/>
        <v>4877329</v>
      </c>
      <c r="Z15" s="343">
        <f t="shared" si="13"/>
        <v>2935539</v>
      </c>
      <c r="AA15" s="343">
        <f t="shared" si="13"/>
        <v>658000</v>
      </c>
      <c r="AB15" s="346">
        <f t="shared" si="13"/>
        <v>1106000</v>
      </c>
      <c r="AC15" s="347">
        <f t="shared" si="13"/>
        <v>15561280</v>
      </c>
      <c r="AD15" s="342">
        <f t="shared" si="13"/>
        <v>641717</v>
      </c>
      <c r="AE15" s="346">
        <f t="shared" si="13"/>
        <v>29638303</v>
      </c>
      <c r="AF15" s="346">
        <f t="shared" si="13"/>
        <v>2279312</v>
      </c>
      <c r="AG15" s="348">
        <f t="shared" si="13"/>
        <v>9125109</v>
      </c>
      <c r="AH15" s="349">
        <f t="shared" si="13"/>
        <v>15882700</v>
      </c>
      <c r="AI15" s="347">
        <f t="shared" si="13"/>
        <v>57567141</v>
      </c>
      <c r="AJ15" s="350">
        <f t="shared" ref="AJ15:AO15" si="14">SUM(AJ3:AJ14)</f>
        <v>52380</v>
      </c>
      <c r="AK15" s="348">
        <f t="shared" si="14"/>
        <v>2292340</v>
      </c>
      <c r="AL15" s="351">
        <f t="shared" si="14"/>
        <v>1912190</v>
      </c>
      <c r="AM15" s="351">
        <f t="shared" si="14"/>
        <v>3198000</v>
      </c>
      <c r="AN15" s="347">
        <f t="shared" si="14"/>
        <v>7454910</v>
      </c>
      <c r="AO15" s="347">
        <f t="shared" si="14"/>
        <v>176872130</v>
      </c>
      <c r="AP15" s="352">
        <f t="shared" ref="AP15:AV15" si="15">SUM(AP3:AP14)</f>
        <v>394142528</v>
      </c>
      <c r="AQ15" s="353">
        <f t="shared" si="15"/>
        <v>7617128</v>
      </c>
      <c r="AR15" s="353">
        <f t="shared" si="15"/>
        <v>175500</v>
      </c>
      <c r="AS15" s="347">
        <f t="shared" si="15"/>
        <v>401935156</v>
      </c>
      <c r="AT15" s="354">
        <f t="shared" si="15"/>
        <v>27283681</v>
      </c>
      <c r="AU15" s="347">
        <f t="shared" si="15"/>
        <v>242813</v>
      </c>
      <c r="AV15" s="347">
        <f t="shared" si="15"/>
        <v>27526494</v>
      </c>
      <c r="AW15" s="347">
        <f t="shared" ref="AW15:BB15" si="16">SUM(AW3:AW14)</f>
        <v>429461650</v>
      </c>
      <c r="AX15" s="347">
        <f t="shared" si="16"/>
        <v>16932070</v>
      </c>
      <c r="AY15" s="347">
        <f t="shared" si="16"/>
        <v>3125367</v>
      </c>
      <c r="AZ15" s="347">
        <f t="shared" si="16"/>
        <v>3018509</v>
      </c>
      <c r="BA15" s="347">
        <f t="shared" si="16"/>
        <v>23075946</v>
      </c>
      <c r="BB15" s="355">
        <f t="shared" si="16"/>
        <v>1416565861</v>
      </c>
    </row>
    <row r="16" spans="1:54" ht="15.75" thickBot="1">
      <c r="A16" s="295" t="s">
        <v>456</v>
      </c>
      <c r="B16" s="295"/>
      <c r="C16" s="543"/>
      <c r="D16" s="544"/>
      <c r="E16" s="544"/>
      <c r="F16" s="544"/>
      <c r="G16" s="357"/>
      <c r="H16" s="357"/>
      <c r="I16" s="358"/>
      <c r="J16" s="359">
        <f>J15/$BB$15</f>
        <v>0.55567916513554894</v>
      </c>
      <c r="K16" s="356"/>
      <c r="L16" s="357"/>
      <c r="M16" s="357"/>
      <c r="N16" s="359"/>
      <c r="O16" s="359">
        <f>O15/$BB$15</f>
        <v>5.50722011223169E-4</v>
      </c>
      <c r="P16" s="356"/>
      <c r="Q16" s="357"/>
      <c r="R16" s="357"/>
      <c r="S16" s="357"/>
      <c r="T16" s="357"/>
      <c r="U16" s="358"/>
      <c r="V16" s="359">
        <f>V15/$BB$15</f>
        <v>6.7422678768057645E-2</v>
      </c>
      <c r="W16" s="356"/>
      <c r="X16" s="357"/>
      <c r="Y16" s="360"/>
      <c r="Z16" s="360"/>
      <c r="AA16" s="357"/>
      <c r="AB16" s="359"/>
      <c r="AC16" s="359">
        <f>AC15/$BB$15</f>
        <v>1.0985214615446673E-2</v>
      </c>
      <c r="AD16" s="356"/>
      <c r="AE16" s="361"/>
      <c r="AF16" s="357"/>
      <c r="AG16" s="357"/>
      <c r="AH16" s="359"/>
      <c r="AI16" s="359">
        <f>AI15/$BB$15</f>
        <v>4.0638520654000143E-2</v>
      </c>
      <c r="AJ16" s="362"/>
      <c r="AK16" s="357"/>
      <c r="AL16" s="361"/>
      <c r="AM16" s="359"/>
      <c r="AN16" s="359">
        <f>AN15/$BB$15</f>
        <v>5.2626638868293329E-3</v>
      </c>
      <c r="AO16" s="363">
        <f>AO15/$BB$15</f>
        <v>0.12485979993555697</v>
      </c>
      <c r="AP16" s="356"/>
      <c r="AQ16" s="357"/>
      <c r="AR16" s="359"/>
      <c r="AS16" s="359">
        <f>AS15/$BB$15</f>
        <v>0.28373912365519022</v>
      </c>
      <c r="AT16" s="363"/>
      <c r="AU16" s="359"/>
      <c r="AV16" s="359">
        <f>AV15/$BB$15</f>
        <v>1.9431849063881967E-2</v>
      </c>
      <c r="AW16" s="359">
        <f>SUM(AS16,AV16)</f>
        <v>0.30317097271907217</v>
      </c>
      <c r="AX16" s="359"/>
      <c r="AY16" s="359"/>
      <c r="AZ16" s="359"/>
      <c r="BA16" s="363">
        <f>BA15/$BB$15</f>
        <v>1.6290062209821956E-2</v>
      </c>
      <c r="BB16" s="364">
        <f>SUM(B16,O16,V16,AC16,J16,AI16,AS16,AV16,AN16,BA16)</f>
        <v>1</v>
      </c>
    </row>
    <row r="17" spans="1:54" ht="15.75" thickBot="1">
      <c r="A17" s="848" t="s">
        <v>457</v>
      </c>
      <c r="B17" s="849"/>
      <c r="C17" s="553"/>
      <c r="D17" s="553"/>
      <c r="E17" s="553"/>
      <c r="F17" s="553"/>
      <c r="G17" s="553"/>
      <c r="H17" s="553"/>
      <c r="I17" s="555"/>
      <c r="J17" s="355">
        <f>LARGE(J3:J14,1)</f>
        <v>71569715</v>
      </c>
      <c r="K17" s="558"/>
      <c r="L17" s="553"/>
      <c r="M17" s="553"/>
      <c r="N17" s="553"/>
      <c r="O17" s="355">
        <f>LARGE(O3:O14,1)</f>
        <v>76748</v>
      </c>
      <c r="P17" s="553"/>
      <c r="Q17" s="553"/>
      <c r="R17" s="553"/>
      <c r="S17" s="553"/>
      <c r="T17" s="553"/>
      <c r="U17" s="553"/>
      <c r="V17" s="355">
        <f>LARGE(V3:V14,1)</f>
        <v>9818570</v>
      </c>
      <c r="W17" s="553"/>
      <c r="X17" s="553"/>
      <c r="Y17" s="553"/>
      <c r="Z17" s="553"/>
      <c r="AA17" s="553"/>
      <c r="AB17" s="553"/>
      <c r="AC17" s="355">
        <f>LARGE(AC3:AC14,1)</f>
        <v>1777259</v>
      </c>
      <c r="AD17" s="553"/>
      <c r="AE17" s="553"/>
      <c r="AF17" s="553"/>
      <c r="AG17" s="553"/>
      <c r="AH17" s="553"/>
      <c r="AI17" s="355">
        <f>LARGE(AI3:AI14,1)</f>
        <v>6257882</v>
      </c>
      <c r="AJ17" s="553"/>
      <c r="AK17" s="553"/>
      <c r="AL17" s="553"/>
      <c r="AM17" s="553"/>
      <c r="AN17" s="376">
        <f>LARGE(AN3:AN14,1)</f>
        <v>2065009</v>
      </c>
      <c r="AO17" s="385">
        <f>SUM(AN17,AI17,AC17,V17,O17)</f>
        <v>19995468</v>
      </c>
      <c r="AP17" s="553"/>
      <c r="AQ17" s="553"/>
      <c r="AR17" s="553"/>
      <c r="AS17" s="355">
        <f>LARGE(AS3:AS14,1)</f>
        <v>38841918</v>
      </c>
      <c r="AT17" s="553"/>
      <c r="AU17" s="553"/>
      <c r="AV17" s="355">
        <f>LARGE(AV3:AV14,1)</f>
        <v>4474772</v>
      </c>
      <c r="AW17" s="355">
        <f>SUM(AV17,AS17)</f>
        <v>43316690</v>
      </c>
      <c r="AX17" s="553"/>
      <c r="AY17" s="553"/>
      <c r="AZ17" s="556"/>
      <c r="BA17" s="355">
        <f>LARGE(BA3:BA14,1)</f>
        <v>2636261</v>
      </c>
      <c r="BB17" s="355">
        <f>SUM(AW17,AO17,J17)</f>
        <v>134881873</v>
      </c>
    </row>
    <row r="18" spans="1:54" ht="15.75" thickBot="1">
      <c r="A18" s="848" t="s">
        <v>458</v>
      </c>
      <c r="B18" s="850"/>
      <c r="C18" s="553"/>
      <c r="D18" s="553"/>
      <c r="E18" s="553"/>
      <c r="F18" s="553"/>
      <c r="G18" s="553"/>
      <c r="H18" s="553"/>
      <c r="I18" s="556"/>
      <c r="J18" s="385">
        <f>J17/B11</f>
        <v>2385657.1666666665</v>
      </c>
      <c r="K18" s="558"/>
      <c r="L18" s="553"/>
      <c r="M18" s="553"/>
      <c r="N18" s="553"/>
      <c r="O18" s="385">
        <f>O17/B3</f>
        <v>2475.7419354838707</v>
      </c>
      <c r="P18" s="553"/>
      <c r="Q18" s="553"/>
      <c r="R18" s="553"/>
      <c r="S18" s="553"/>
      <c r="T18" s="553"/>
      <c r="U18" s="553"/>
      <c r="V18" s="385">
        <f>V17/B12</f>
        <v>316728.06451612903</v>
      </c>
      <c r="W18" s="553"/>
      <c r="X18" s="553"/>
      <c r="Y18" s="553"/>
      <c r="Z18" s="553"/>
      <c r="AA18" s="553"/>
      <c r="AB18" s="553"/>
      <c r="AC18" s="385">
        <f>AC17/B4</f>
        <v>63473.535714285717</v>
      </c>
      <c r="AD18" s="553"/>
      <c r="AE18" s="553"/>
      <c r="AF18" s="553"/>
      <c r="AG18" s="553"/>
      <c r="AH18" s="553"/>
      <c r="AI18" s="385">
        <f>SUM(AC18,V18,O18)</f>
        <v>382677.34216589865</v>
      </c>
      <c r="AJ18" s="553"/>
      <c r="AK18" s="553"/>
      <c r="AL18" s="553"/>
      <c r="AM18" s="553"/>
      <c r="AN18" s="385">
        <f>AN17/B13</f>
        <v>68833.633333333331</v>
      </c>
      <c r="AO18" s="374">
        <f>SUM(AN18,AI18,AC18,V18,O18)</f>
        <v>834188.3176651306</v>
      </c>
      <c r="AP18" s="553"/>
      <c r="AQ18" s="553"/>
      <c r="AR18" s="553"/>
      <c r="AS18" s="385">
        <f>AS17/B8</f>
        <v>1294730.6000000001</v>
      </c>
      <c r="AT18" s="553"/>
      <c r="AU18" s="553"/>
      <c r="AV18" s="385">
        <f>AV17/B12</f>
        <v>144347.48387096773</v>
      </c>
      <c r="AW18" s="551">
        <f>SUM(AV18,AS18)</f>
        <v>1439078.0838709679</v>
      </c>
      <c r="AX18" s="553"/>
      <c r="AY18" s="553"/>
      <c r="AZ18" s="556"/>
      <c r="BA18" s="385">
        <f>BA17/B4</f>
        <v>94152.178571428565</v>
      </c>
      <c r="BB18" s="374">
        <f>SUM(AW18,AO18,J18,BA18)</f>
        <v>4753075.7467741938</v>
      </c>
    </row>
    <row r="19" spans="1:54" s="108" customFormat="1" ht="13.5" thickBot="1">
      <c r="A19" s="843" t="s">
        <v>459</v>
      </c>
      <c r="B19" s="844"/>
      <c r="C19" s="553"/>
      <c r="D19" s="553"/>
      <c r="E19" s="553"/>
      <c r="F19" s="553"/>
      <c r="G19" s="553"/>
      <c r="H19" s="553"/>
      <c r="I19" s="556"/>
      <c r="J19" s="569">
        <f>J18/BB18</f>
        <v>0.50191860886832251</v>
      </c>
      <c r="K19" s="558"/>
      <c r="L19" s="553"/>
      <c r="M19" s="553"/>
      <c r="N19" s="553"/>
      <c r="O19" s="569">
        <f>O18/$BB$18</f>
        <v>5.2087155084033776E-4</v>
      </c>
      <c r="P19" s="553"/>
      <c r="Q19" s="553"/>
      <c r="R19" s="553"/>
      <c r="S19" s="553"/>
      <c r="T19" s="553"/>
      <c r="U19" s="553"/>
      <c r="V19" s="569">
        <f>V18/$BB$18</f>
        <v>6.6636443724063368E-2</v>
      </c>
      <c r="W19" s="553"/>
      <c r="X19" s="553"/>
      <c r="Y19" s="553"/>
      <c r="Z19" s="553"/>
      <c r="AA19" s="553"/>
      <c r="AB19" s="553"/>
      <c r="AC19" s="569">
        <f>AC18/$BB$18</f>
        <v>1.3354202435625771E-2</v>
      </c>
      <c r="AD19" s="553"/>
      <c r="AE19" s="553"/>
      <c r="AF19" s="553"/>
      <c r="AG19" s="553"/>
      <c r="AH19" s="553"/>
      <c r="AI19" s="569">
        <f>AI18/$BB$18</f>
        <v>8.0511517710529487E-2</v>
      </c>
      <c r="AJ19" s="553"/>
      <c r="AK19" s="553"/>
      <c r="AL19" s="553"/>
      <c r="AM19" s="553"/>
      <c r="AN19" s="569">
        <f>AN18/BB18</f>
        <v>1.4481913817605196E-2</v>
      </c>
      <c r="AO19" s="570">
        <f>AO18/BB18</f>
        <v>0.17550494923866417</v>
      </c>
      <c r="AP19" s="553"/>
      <c r="AQ19" s="553"/>
      <c r="AR19" s="553"/>
      <c r="AS19" s="569">
        <f>AS18/$BB$18</f>
        <v>0.27239847815989571</v>
      </c>
      <c r="AT19" s="553"/>
      <c r="AU19" s="553"/>
      <c r="AV19" s="569">
        <f>AV18/$BB$18</f>
        <v>3.0369279086059828E-2</v>
      </c>
      <c r="AW19" s="570">
        <f>AW18/BB18</f>
        <v>0.3027677572459555</v>
      </c>
      <c r="AX19" s="553"/>
      <c r="AY19" s="553"/>
      <c r="AZ19" s="556"/>
      <c r="BA19" s="570">
        <f>BA18/$BB$18</f>
        <v>1.9808684647057758E-2</v>
      </c>
      <c r="BB19" s="568">
        <f>SUM(J19,AO19,AW19,BA19)</f>
        <v>1</v>
      </c>
    </row>
    <row r="20" spans="1:54" ht="15.75" thickBot="1">
      <c r="A20" s="843" t="s">
        <v>460</v>
      </c>
      <c r="B20" s="844"/>
      <c r="C20" s="554"/>
      <c r="D20" s="554"/>
      <c r="E20" s="554"/>
      <c r="F20" s="554"/>
      <c r="G20" s="554"/>
      <c r="H20" s="554"/>
      <c r="I20" s="557"/>
      <c r="J20" s="386">
        <f>J15/$B$15</f>
        <v>2156592.1506849313</v>
      </c>
      <c r="K20" s="559"/>
      <c r="L20" s="554"/>
      <c r="M20" s="554"/>
      <c r="N20" s="554"/>
      <c r="O20" s="386">
        <f>O15/$B$15</f>
        <v>2137.3534246575341</v>
      </c>
      <c r="P20" s="554"/>
      <c r="Q20" s="554"/>
      <c r="R20" s="554"/>
      <c r="S20" s="554"/>
      <c r="T20" s="554"/>
      <c r="U20" s="554"/>
      <c r="V20" s="386">
        <f>V15/$B$15</f>
        <v>261667.57534246575</v>
      </c>
      <c r="W20" s="554"/>
      <c r="X20" s="554"/>
      <c r="Y20" s="554"/>
      <c r="Z20" s="554"/>
      <c r="AA20" s="554"/>
      <c r="AB20" s="554"/>
      <c r="AC20" s="386">
        <f>AC15/$B$15</f>
        <v>42633.643835616436</v>
      </c>
      <c r="AD20" s="554"/>
      <c r="AE20" s="554"/>
      <c r="AF20" s="554"/>
      <c r="AG20" s="554"/>
      <c r="AH20" s="554"/>
      <c r="AI20" s="386">
        <f>AI15/$B$15</f>
        <v>157718.19452054796</v>
      </c>
      <c r="AJ20" s="554"/>
      <c r="AK20" s="554"/>
      <c r="AL20" s="554"/>
      <c r="AM20" s="554"/>
      <c r="AN20" s="386">
        <f>AN15/$B$15</f>
        <v>20424.410958904111</v>
      </c>
      <c r="AO20" s="386">
        <f>AO15/$B$15</f>
        <v>484581.17808219179</v>
      </c>
      <c r="AP20" s="554"/>
      <c r="AQ20" s="554"/>
      <c r="AR20" s="554"/>
      <c r="AS20" s="386">
        <f>AS15/$B$15</f>
        <v>1101192.208219178</v>
      </c>
      <c r="AT20" s="554"/>
      <c r="AU20" s="554"/>
      <c r="AV20" s="386">
        <f>AV15/$B$15</f>
        <v>75415.05205479452</v>
      </c>
      <c r="AW20" s="552">
        <f>AW15/$B$15</f>
        <v>1176607.2602739725</v>
      </c>
      <c r="AX20" s="554"/>
      <c r="AY20" s="554"/>
      <c r="AZ20" s="557"/>
      <c r="BA20" s="386">
        <f>BA15/$B$15</f>
        <v>63221.769863013702</v>
      </c>
      <c r="BB20" s="560">
        <f>SUM(J20,AO20,AW20)</f>
        <v>3817780.5890410957</v>
      </c>
    </row>
    <row r="21" spans="1:54" ht="15.75" thickBot="1">
      <c r="A21" s="285"/>
      <c r="J21" s="550"/>
    </row>
    <row r="22" spans="1:54" ht="15.75" thickBot="1">
      <c r="A22" s="765" t="s">
        <v>461</v>
      </c>
      <c r="B22" s="766">
        <v>0.625</v>
      </c>
      <c r="C22" s="767">
        <v>1</v>
      </c>
      <c r="D22" s="767">
        <v>1.5</v>
      </c>
      <c r="E22" s="767">
        <v>2</v>
      </c>
      <c r="F22" s="767">
        <v>3</v>
      </c>
      <c r="G22" s="767">
        <v>4</v>
      </c>
      <c r="H22" s="767">
        <v>6</v>
      </c>
      <c r="I22" s="768" t="s">
        <v>38</v>
      </c>
    </row>
    <row r="23" spans="1:54" ht="15.75" thickBot="1">
      <c r="A23" s="377" t="s">
        <v>462</v>
      </c>
      <c r="B23" s="491">
        <f>SUM(C15,K15,P15,W15,AD15,AJ15,AP15,AT15,AX15)</f>
        <v>452045729</v>
      </c>
      <c r="C23" s="491">
        <f>SUM(D15,L15,Q15,X15,AE15,AK15,AQ15,AU15,AY15)</f>
        <v>192166249</v>
      </c>
      <c r="D23" s="491">
        <f>SUM(E15,M15,R15,Y15,AF15)</f>
        <v>22737080</v>
      </c>
      <c r="E23" s="491">
        <f>SUM(F15,N15,S15,Z15,AG15,AL15,AR15,AZ15)</f>
        <v>487030856</v>
      </c>
      <c r="F23" s="491">
        <f>SUM(G15,T15,AA15,AH15,AM15)</f>
        <v>53641430</v>
      </c>
      <c r="G23" s="491">
        <f>SUM(H15,U15,AB15)</f>
        <v>108074517</v>
      </c>
      <c r="H23" s="491">
        <f>SUM(I15)</f>
        <v>100870000</v>
      </c>
      <c r="I23" s="492">
        <f>SUM(B23:H23)</f>
        <v>1416565861</v>
      </c>
      <c r="K23" s="526"/>
      <c r="AT23" s="526"/>
    </row>
    <row r="24" spans="1:54" ht="30.75" customHeight="1" thickBot="1">
      <c r="A24" s="755" t="s">
        <v>463</v>
      </c>
      <c r="B24" s="491">
        <v>4062</v>
      </c>
      <c r="C24" s="491">
        <v>31138</v>
      </c>
      <c r="D24" s="491">
        <v>44935</v>
      </c>
      <c r="E24" s="491">
        <v>336587</v>
      </c>
      <c r="F24" s="491">
        <v>443319</v>
      </c>
      <c r="G24" s="491">
        <v>1114171</v>
      </c>
      <c r="H24" s="756">
        <v>7759239</v>
      </c>
      <c r="I24" s="492" t="s">
        <v>79</v>
      </c>
      <c r="AT24" s="526"/>
    </row>
    <row r="25" spans="1:54" ht="15.75" thickBot="1">
      <c r="A25" s="377" t="s">
        <v>456</v>
      </c>
      <c r="B25" s="493">
        <f t="shared" ref="B25:H25" si="17">B23/$I$23</f>
        <v>0.3191138099861352</v>
      </c>
      <c r="C25" s="493">
        <f t="shared" si="17"/>
        <v>0.13565641689567726</v>
      </c>
      <c r="D25" s="493">
        <f t="shared" si="17"/>
        <v>1.605084565849212E-2</v>
      </c>
      <c r="E25" s="493">
        <f t="shared" si="17"/>
        <v>0.34381095112386023</v>
      </c>
      <c r="F25" s="493">
        <f t="shared" si="17"/>
        <v>3.7867233340024703E-2</v>
      </c>
      <c r="G25" s="493">
        <f t="shared" si="17"/>
        <v>7.6293323152448897E-2</v>
      </c>
      <c r="H25" s="493">
        <f t="shared" si="17"/>
        <v>7.1207419843361597E-2</v>
      </c>
      <c r="I25" s="494">
        <f>SUM(B25:H25)</f>
        <v>1</v>
      </c>
    </row>
    <row r="27" spans="1:54">
      <c r="A27" s="108" t="s">
        <v>100</v>
      </c>
    </row>
    <row r="28" spans="1:54">
      <c r="A28" s="108" t="s">
        <v>464</v>
      </c>
    </row>
    <row r="30" spans="1:54" ht="15.75" thickBot="1">
      <c r="B30" s="483"/>
    </row>
    <row r="31" spans="1:54" ht="45.75" thickBot="1">
      <c r="A31" s="87" t="s">
        <v>410</v>
      </c>
      <c r="B31" s="635" t="s">
        <v>465</v>
      </c>
    </row>
    <row r="32" spans="1:54">
      <c r="A32" s="117" t="s">
        <v>390</v>
      </c>
      <c r="B32" s="474">
        <v>108346493</v>
      </c>
      <c r="E32" s="486"/>
    </row>
    <row r="33" spans="1:2">
      <c r="A33" s="118" t="s">
        <v>391</v>
      </c>
      <c r="B33" s="474">
        <v>105167408</v>
      </c>
    </row>
    <row r="34" spans="1:2">
      <c r="A34" s="119" t="s">
        <v>392</v>
      </c>
      <c r="B34" s="474">
        <v>108524378</v>
      </c>
    </row>
    <row r="35" spans="1:2">
      <c r="A35" s="118" t="s">
        <v>393</v>
      </c>
      <c r="B35" s="474">
        <v>107318349</v>
      </c>
    </row>
    <row r="36" spans="1:2">
      <c r="A36" s="119" t="s">
        <v>394</v>
      </c>
      <c r="B36" s="474">
        <v>114440529</v>
      </c>
    </row>
    <row r="37" spans="1:2">
      <c r="A37" s="118" t="s">
        <v>395</v>
      </c>
      <c r="B37" s="474">
        <v>129365317</v>
      </c>
    </row>
    <row r="38" spans="1:2">
      <c r="A38" s="119" t="s">
        <v>396</v>
      </c>
      <c r="B38" s="474">
        <v>120665095</v>
      </c>
    </row>
    <row r="39" spans="1:2">
      <c r="A39" s="118" t="s">
        <v>397</v>
      </c>
      <c r="B39" s="474">
        <v>126054791</v>
      </c>
    </row>
    <row r="40" spans="1:2">
      <c r="A40" s="119" t="s">
        <v>398</v>
      </c>
      <c r="B40" s="474">
        <v>129078793</v>
      </c>
    </row>
    <row r="41" spans="1:2">
      <c r="A41" s="118" t="s">
        <v>399</v>
      </c>
      <c r="B41" s="474">
        <v>129106540</v>
      </c>
    </row>
    <row r="42" spans="1:2">
      <c r="A42" s="119" t="s">
        <v>400</v>
      </c>
      <c r="B42" s="474">
        <v>122451910</v>
      </c>
    </row>
    <row r="43" spans="1:2" ht="15.75" thickBot="1">
      <c r="A43" s="120" t="s">
        <v>401</v>
      </c>
      <c r="B43" s="475">
        <v>108034202</v>
      </c>
    </row>
    <row r="44" spans="1:2">
      <c r="A44" s="770" t="s">
        <v>38</v>
      </c>
      <c r="B44" s="769">
        <f>SUM(B32:B43)</f>
        <v>1408553805</v>
      </c>
    </row>
    <row r="45" spans="1:2" ht="15.75" thickBot="1">
      <c r="A45" s="771"/>
      <c r="B45" s="477"/>
    </row>
    <row r="48" spans="1:2">
      <c r="A48" s="108" t="s">
        <v>466</v>
      </c>
    </row>
    <row r="49" spans="1:1">
      <c r="A49" s="108" t="s">
        <v>404</v>
      </c>
    </row>
    <row r="50" spans="1:1">
      <c r="A50" s="108" t="s">
        <v>467</v>
      </c>
    </row>
  </sheetData>
  <mergeCells count="8">
    <mergeCell ref="AX1:AZ1"/>
    <mergeCell ref="A20:B20"/>
    <mergeCell ref="A19:B19"/>
    <mergeCell ref="C1:J1"/>
    <mergeCell ref="K1:AO1"/>
    <mergeCell ref="AP1:AW1"/>
    <mergeCell ref="A17:B17"/>
    <mergeCell ref="A18:B18"/>
  </mergeCells>
  <pageMargins left="0.7" right="0.7" top="0.75" bottom="0.75" header="0.3" footer="0.3"/>
  <pageSetup paperSize="3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F174F-EE8A-436D-A64A-2E455C6A72C9}">
  <sheetPr>
    <tabColor rgb="FF5D3754"/>
  </sheetPr>
  <dimension ref="A1:H250"/>
  <sheetViews>
    <sheetView topLeftCell="A90" workbookViewId="0">
      <selection sqref="A1:A2"/>
    </sheetView>
  </sheetViews>
  <sheetFormatPr defaultRowHeight="15"/>
  <cols>
    <col min="1" max="1" width="12.42578125" customWidth="1"/>
    <col min="2" max="2" width="49.85546875" customWidth="1"/>
    <col min="3" max="3" width="12.42578125" bestFit="1" customWidth="1"/>
    <col min="5" max="5" width="11.85546875" bestFit="1" customWidth="1"/>
    <col min="6" max="6" width="14.28515625" bestFit="1" customWidth="1"/>
    <col min="7" max="7" width="15.85546875" bestFit="1" customWidth="1"/>
    <col min="8" max="8" width="42" style="22" customWidth="1"/>
  </cols>
  <sheetData>
    <row r="1" spans="1:8" ht="15.75" customHeight="1" thickBot="1">
      <c r="A1" s="792"/>
      <c r="B1" s="853" t="s">
        <v>468</v>
      </c>
      <c r="C1" s="858" t="s">
        <v>469</v>
      </c>
      <c r="D1" s="854" t="s">
        <v>470</v>
      </c>
      <c r="E1" s="851" t="s">
        <v>471</v>
      </c>
      <c r="F1" s="851" t="s">
        <v>458</v>
      </c>
      <c r="G1" s="851" t="s">
        <v>472</v>
      </c>
      <c r="H1" s="851" t="s">
        <v>100</v>
      </c>
    </row>
    <row r="2" spans="1:8" ht="15.75" thickBot="1">
      <c r="A2" s="5"/>
      <c r="B2" s="853"/>
      <c r="C2" s="859"/>
      <c r="D2" s="855"/>
      <c r="E2" s="852"/>
      <c r="F2" s="852"/>
      <c r="G2" s="852"/>
      <c r="H2" s="852"/>
    </row>
    <row r="3" spans="1:8" ht="15.75" thickBot="1">
      <c r="A3" s="262"/>
      <c r="B3" s="141" t="s">
        <v>6</v>
      </c>
      <c r="C3" s="860"/>
      <c r="D3" s="856"/>
      <c r="E3" s="857"/>
      <c r="F3" s="857"/>
      <c r="G3" s="857"/>
      <c r="H3" s="852"/>
    </row>
    <row r="4" spans="1:8">
      <c r="A4" s="243" t="s">
        <v>7</v>
      </c>
      <c r="B4" s="215" t="s">
        <v>106</v>
      </c>
      <c r="C4" s="258"/>
      <c r="D4" s="209"/>
      <c r="E4" s="210"/>
      <c r="F4" s="210"/>
      <c r="G4" s="210"/>
      <c r="H4" s="261"/>
    </row>
    <row r="5" spans="1:8">
      <c r="A5" s="53" t="str">
        <f>Expenses!A5</f>
        <v>601-1001-3</v>
      </c>
      <c r="B5" s="216" t="str">
        <f>Expenses!C5</f>
        <v>Wages- Source (Oper)</v>
      </c>
      <c r="C5" s="61">
        <f>Expenses!D5</f>
        <v>0</v>
      </c>
      <c r="D5" s="242" t="s">
        <v>473</v>
      </c>
      <c r="E5" s="307">
        <f>VLOOKUP(D5,'S-Alloc Met-TY'!$C$8:$D$10,2,FALSE)*C5</f>
        <v>0</v>
      </c>
      <c r="F5" s="307">
        <f>VLOOKUP(D5,'S-Alloc Met-TY'!$C$8:$E$10,3,FALSE)*C5</f>
        <v>0</v>
      </c>
      <c r="G5" s="307">
        <f>VLOOKUP(D5,'S-Alloc Met-TY'!$C$8:$F$10,4,FALSE)*C5</f>
        <v>0</v>
      </c>
      <c r="H5" s="17"/>
    </row>
    <row r="6" spans="1:8">
      <c r="A6" s="53" t="str">
        <f>Expenses!A6</f>
        <v>601-2002-3</v>
      </c>
      <c r="B6" s="216" t="str">
        <f>Expenses!C6</f>
        <v>Wages- Source (Maint)</v>
      </c>
      <c r="C6" s="61">
        <f>Expenses!D6</f>
        <v>0</v>
      </c>
      <c r="D6" s="242" t="s">
        <v>473</v>
      </c>
      <c r="E6" s="307">
        <f>VLOOKUP(D6,'S-Alloc Met-TY'!$C$8:$D$10,2,FALSE)*C6</f>
        <v>0</v>
      </c>
      <c r="F6" s="307">
        <f>VLOOKUP(D6,'S-Alloc Met-TY'!$C$8:$E$10,3,FALSE)*C6</f>
        <v>0</v>
      </c>
      <c r="G6" s="307">
        <f>VLOOKUP(D6,'S-Alloc Met-TY'!$C$8:$F$10,4,FALSE)*C6</f>
        <v>0</v>
      </c>
      <c r="H6" s="17"/>
    </row>
    <row r="7" spans="1:8">
      <c r="A7" s="53" t="str">
        <f>Expenses!A7</f>
        <v>604-1001-3</v>
      </c>
      <c r="B7" s="216" t="str">
        <f>Expenses!C7</f>
        <v>Employee Overhead- Source (Oper)</v>
      </c>
      <c r="C7" s="61">
        <f>Expenses!D7</f>
        <v>0</v>
      </c>
      <c r="D7" s="242" t="s">
        <v>473</v>
      </c>
      <c r="E7" s="307">
        <f>VLOOKUP(D7,'S-Alloc Met-TY'!$C$8:$D$10,2,FALSE)*C7</f>
        <v>0</v>
      </c>
      <c r="F7" s="307">
        <f>VLOOKUP(D7,'S-Alloc Met-TY'!$C$8:$E$10,3,FALSE)*C7</f>
        <v>0</v>
      </c>
      <c r="G7" s="307">
        <f>VLOOKUP(D7,'S-Alloc Met-TY'!$C$8:$F$10,4,FALSE)*C7</f>
        <v>0</v>
      </c>
      <c r="H7" s="17"/>
    </row>
    <row r="8" spans="1:8">
      <c r="A8" s="53" t="str">
        <f>Expenses!A8</f>
        <v>615-5001-3</v>
      </c>
      <c r="B8" s="216" t="str">
        <f>Expenses!C8</f>
        <v>Purchased Power- Source</v>
      </c>
      <c r="C8" s="61">
        <f>Expenses!D8</f>
        <v>157890</v>
      </c>
      <c r="D8" s="242" t="s">
        <v>474</v>
      </c>
      <c r="E8" s="307">
        <f>VLOOKUP(D8,'S-Alloc Met-TY'!$C$8:$D$10,2,FALSE)*C8</f>
        <v>141628.00649698736</v>
      </c>
      <c r="F8" s="307">
        <f>VLOOKUP(D8,'S-Alloc Met-TY'!$C$8:$E$10,3,FALSE)*C8</f>
        <v>16261.993503012638</v>
      </c>
      <c r="G8" s="307">
        <f>VLOOKUP(D8,'S-Alloc Met-TY'!$C$8:$F$10,4,FALSE)*C8</f>
        <v>0</v>
      </c>
      <c r="H8" s="523"/>
    </row>
    <row r="9" spans="1:8">
      <c r="A9" s="53" t="str">
        <f>Expenses!A9</f>
        <v>-</v>
      </c>
      <c r="B9" s="216" t="str">
        <f>Expenses!C9</f>
        <v>Purchased Power- Source (ENERNOC)</v>
      </c>
      <c r="C9" s="61">
        <f>Expenses!D9</f>
        <v>0</v>
      </c>
      <c r="D9" s="242" t="s">
        <v>474</v>
      </c>
      <c r="E9" s="307">
        <f>VLOOKUP(D9,'S-Alloc Met-TY'!$C$8:$D$10,2,FALSE)*C9</f>
        <v>0</v>
      </c>
      <c r="F9" s="307">
        <f>VLOOKUP(D9,'S-Alloc Met-TY'!$C$8:$E$10,3,FALSE)*C9</f>
        <v>0</v>
      </c>
      <c r="G9" s="307">
        <f>VLOOKUP(D9,'S-Alloc Met-TY'!$C$8:$F$10,4,FALSE)*C9</f>
        <v>0</v>
      </c>
      <c r="H9" s="523"/>
    </row>
    <row r="10" spans="1:8">
      <c r="A10" s="53" t="str">
        <f>Expenses!A10</f>
        <v>620-1001-3</v>
      </c>
      <c r="B10" s="216" t="str">
        <f>Expenses!C10</f>
        <v>Materials &amp; Supplies- Source (Oper)</v>
      </c>
      <c r="C10" s="61">
        <f>Expenses!D10</f>
        <v>0</v>
      </c>
      <c r="D10" s="242" t="s">
        <v>473</v>
      </c>
      <c r="E10" s="307">
        <f>VLOOKUP(D10,'S-Alloc Met-TY'!$C$8:$D$10,2,FALSE)*C10</f>
        <v>0</v>
      </c>
      <c r="F10" s="307">
        <f>VLOOKUP(D10,'S-Alloc Met-TY'!$C$8:$E$10,3,FALSE)*C10</f>
        <v>0</v>
      </c>
      <c r="G10" s="307">
        <f>VLOOKUP(D10,'S-Alloc Met-TY'!$C$8:$F$10,4,FALSE)*C10</f>
        <v>0</v>
      </c>
      <c r="H10" s="523"/>
    </row>
    <row r="11" spans="1:8">
      <c r="A11" s="53" t="str">
        <f>Expenses!A11</f>
        <v>620-2002-3</v>
      </c>
      <c r="B11" s="216" t="str">
        <f>Expenses!C11</f>
        <v>Materials &amp; Supplies- Source (Maint)</v>
      </c>
      <c r="C11" s="61">
        <f>Expenses!D11</f>
        <v>0</v>
      </c>
      <c r="D11" s="242" t="s">
        <v>473</v>
      </c>
      <c r="E11" s="307">
        <f>VLOOKUP(D11,'S-Alloc Met-TY'!$C$8:$D$10,2,FALSE)*C11</f>
        <v>0</v>
      </c>
      <c r="F11" s="307">
        <f>VLOOKUP(D11,'S-Alloc Met-TY'!$C$8:$E$10,3,FALSE)*C11</f>
        <v>0</v>
      </c>
      <c r="G11" s="307">
        <f>VLOOKUP(D11,'S-Alloc Met-TY'!$C$8:$F$10,4,FALSE)*C11</f>
        <v>0</v>
      </c>
      <c r="H11" s="523"/>
    </row>
    <row r="12" spans="1:8">
      <c r="A12" s="53" t="str">
        <f>Expenses!A12</f>
        <v>631-1001-3</v>
      </c>
      <c r="B12" s="216" t="str">
        <f>Expenses!C12</f>
        <v>Contract Engineering- Source (Oper)</v>
      </c>
      <c r="C12" s="61">
        <f>Expenses!D12</f>
        <v>0</v>
      </c>
      <c r="D12" s="242" t="s">
        <v>473</v>
      </c>
      <c r="E12" s="307">
        <f>VLOOKUP(D12,'S-Alloc Met-TY'!$C$8:$D$10,2,FALSE)*C12</f>
        <v>0</v>
      </c>
      <c r="F12" s="307">
        <f>VLOOKUP(D12,'S-Alloc Met-TY'!$C$8:$E$10,3,FALSE)*C12</f>
        <v>0</v>
      </c>
      <c r="G12" s="307">
        <f>VLOOKUP(D12,'S-Alloc Met-TY'!$C$8:$F$10,4,FALSE)*C12</f>
        <v>0</v>
      </c>
      <c r="H12" s="523"/>
    </row>
    <row r="13" spans="1:8">
      <c r="A13" s="53" t="str">
        <f>Expenses!A13</f>
        <v>632-1001-3</v>
      </c>
      <c r="B13" s="216" t="str">
        <f>Expenses!C13</f>
        <v>Contract Accounting- Source (Oper)</v>
      </c>
      <c r="C13" s="61">
        <f>Expenses!D13</f>
        <v>1750</v>
      </c>
      <c r="D13" s="242" t="s">
        <v>473</v>
      </c>
      <c r="E13" s="307">
        <f>VLOOKUP(D13,'S-Alloc Met-TY'!$C$8:$D$10,2,FALSE)*C13</f>
        <v>1750</v>
      </c>
      <c r="F13" s="307">
        <f>VLOOKUP(D13,'S-Alloc Met-TY'!$C$8:$E$10,3,FALSE)*C13</f>
        <v>0</v>
      </c>
      <c r="G13" s="307">
        <f>VLOOKUP(D13,'S-Alloc Met-TY'!$C$8:$F$10,4,FALSE)*C13</f>
        <v>0</v>
      </c>
      <c r="H13" s="523"/>
    </row>
    <row r="14" spans="1:8">
      <c r="A14" s="53" t="str">
        <f>Expenses!A14</f>
        <v>632-2002-3</v>
      </c>
      <c r="B14" s="216" t="str">
        <f>Expenses!C14</f>
        <v>Contract Accounting- Source (Maint)</v>
      </c>
      <c r="C14" s="61">
        <f>Expenses!D14</f>
        <v>1750</v>
      </c>
      <c r="D14" s="242" t="s">
        <v>473</v>
      </c>
      <c r="E14" s="307">
        <f>VLOOKUP(D14,'S-Alloc Met-TY'!$C$8:$D$10,2,FALSE)*C14</f>
        <v>1750</v>
      </c>
      <c r="F14" s="307">
        <f>VLOOKUP(D14,'S-Alloc Met-TY'!$C$8:$E$10,3,FALSE)*C14</f>
        <v>0</v>
      </c>
      <c r="G14" s="307">
        <f>VLOOKUP(D14,'S-Alloc Met-TY'!$C$8:$F$10,4,FALSE)*C14</f>
        <v>0</v>
      </c>
      <c r="H14" s="523"/>
    </row>
    <row r="15" spans="1:8">
      <c r="A15" s="53" t="str">
        <f>Expenses!A15</f>
        <v>633-1001-3</v>
      </c>
      <c r="B15" s="216" t="str">
        <f>Expenses!C15</f>
        <v>Contract Legal- Source (Oper)</v>
      </c>
      <c r="C15" s="61">
        <f>Expenses!D15</f>
        <v>0</v>
      </c>
      <c r="D15" s="242" t="s">
        <v>473</v>
      </c>
      <c r="E15" s="307">
        <f>VLOOKUP(D15,'S-Alloc Met-TY'!$C$8:$D$10,2,FALSE)*C15</f>
        <v>0</v>
      </c>
      <c r="F15" s="307">
        <f>VLOOKUP(D15,'S-Alloc Met-TY'!$C$8:$E$10,3,FALSE)*C15</f>
        <v>0</v>
      </c>
      <c r="G15" s="307">
        <f>VLOOKUP(D15,'S-Alloc Met-TY'!$C$8:$F$10,4,FALSE)*C15</f>
        <v>0</v>
      </c>
      <c r="H15" s="523"/>
    </row>
    <row r="16" spans="1:8">
      <c r="A16" s="53" t="str">
        <f>Expenses!A16</f>
        <v>633-2002-3</v>
      </c>
      <c r="B16" s="216" t="str">
        <f>Expenses!C16</f>
        <v>Contract Legal- Source (Maint)</v>
      </c>
      <c r="C16" s="61">
        <f>Expenses!D16</f>
        <v>0</v>
      </c>
      <c r="D16" s="242" t="s">
        <v>473</v>
      </c>
      <c r="E16" s="307">
        <f>VLOOKUP(D16,'S-Alloc Met-TY'!$C$8:$D$10,2,FALSE)*C16</f>
        <v>0</v>
      </c>
      <c r="F16" s="307">
        <f>VLOOKUP(D16,'S-Alloc Met-TY'!$C$8:$E$10,3,FALSE)*C16</f>
        <v>0</v>
      </c>
      <c r="G16" s="307">
        <f>VLOOKUP(D16,'S-Alloc Met-TY'!$C$8:$F$10,4,FALSE)*C16</f>
        <v>0</v>
      </c>
      <c r="H16" s="523"/>
    </row>
    <row r="17" spans="1:8">
      <c r="A17" s="53" t="str">
        <f>Expenses!A17</f>
        <v>635-1001-3</v>
      </c>
      <c r="B17" s="216" t="str">
        <f>Expenses!C17</f>
        <v>Contract Other- Source (Oper)</v>
      </c>
      <c r="C17" s="61">
        <f>Expenses!D17</f>
        <v>0</v>
      </c>
      <c r="D17" s="242" t="s">
        <v>473</v>
      </c>
      <c r="E17" s="307">
        <f>VLOOKUP(D17,'S-Alloc Met-TY'!$C$8:$D$10,2,FALSE)*C17</f>
        <v>0</v>
      </c>
      <c r="F17" s="307">
        <f>VLOOKUP(D17,'S-Alloc Met-TY'!$C$8:$E$10,3,FALSE)*C17</f>
        <v>0</v>
      </c>
      <c r="G17" s="307">
        <f>VLOOKUP(D17,'S-Alloc Met-TY'!$C$8:$F$10,4,FALSE)*C17</f>
        <v>0</v>
      </c>
      <c r="H17" s="523"/>
    </row>
    <row r="18" spans="1:8">
      <c r="A18" s="53" t="str">
        <f>Expenses!A18</f>
        <v>635-1021-3</v>
      </c>
      <c r="B18" s="216" t="str">
        <f>Expenses!C18</f>
        <v>Contract Other- Source (Alarm)</v>
      </c>
      <c r="C18" s="61">
        <f>Expenses!D18</f>
        <v>0</v>
      </c>
      <c r="D18" s="242" t="s">
        <v>473</v>
      </c>
      <c r="E18" s="307">
        <f>VLOOKUP(D18,'S-Alloc Met-TY'!$C$8:$D$10,2,FALSE)*C18</f>
        <v>0</v>
      </c>
      <c r="F18" s="307">
        <f>VLOOKUP(D18,'S-Alloc Met-TY'!$C$8:$E$10,3,FALSE)*C18</f>
        <v>0</v>
      </c>
      <c r="G18" s="307">
        <f>VLOOKUP(D18,'S-Alloc Met-TY'!$C$8:$F$10,4,FALSE)*C18</f>
        <v>0</v>
      </c>
      <c r="H18" s="523"/>
    </row>
    <row r="19" spans="1:8">
      <c r="A19" s="53" t="str">
        <f>Expenses!A19</f>
        <v>635-2002-3</v>
      </c>
      <c r="B19" s="216" t="str">
        <f>Expenses!C19</f>
        <v>Contract Other- Source (Maint)</v>
      </c>
      <c r="C19" s="61">
        <f>Expenses!D19</f>
        <v>0</v>
      </c>
      <c r="D19" s="242" t="s">
        <v>473</v>
      </c>
      <c r="E19" s="307">
        <f>VLOOKUP(D19,'S-Alloc Met-TY'!$C$8:$D$10,2,FALSE)*C19</f>
        <v>0</v>
      </c>
      <c r="F19" s="307">
        <f>VLOOKUP(D19,'S-Alloc Met-TY'!$C$8:$E$10,3,FALSE)*C19</f>
        <v>0</v>
      </c>
      <c r="G19" s="307">
        <f>VLOOKUP(D19,'S-Alloc Met-TY'!$C$8:$F$10,4,FALSE)*C19</f>
        <v>0</v>
      </c>
      <c r="H19" s="523"/>
    </row>
    <row r="20" spans="1:8">
      <c r="A20" s="53" t="str">
        <f>Expenses!A20</f>
        <v>641-1001-3</v>
      </c>
      <c r="B20" s="216" t="str">
        <f>Expenses!C20</f>
        <v>Rent &amp; Utilities- Source (Oper)</v>
      </c>
      <c r="C20" s="61">
        <f>Expenses!D20</f>
        <v>0</v>
      </c>
      <c r="D20" s="242" t="s">
        <v>473</v>
      </c>
      <c r="E20" s="307">
        <f>VLOOKUP(D20,'S-Alloc Met-TY'!$C$8:$D$10,2,FALSE)*C20</f>
        <v>0</v>
      </c>
      <c r="F20" s="307">
        <f>VLOOKUP(D20,'S-Alloc Met-TY'!$C$8:$E$10,3,FALSE)*C20</f>
        <v>0</v>
      </c>
      <c r="G20" s="307">
        <f>VLOOKUP(D20,'S-Alloc Met-TY'!$C$8:$F$10,4,FALSE)*C20</f>
        <v>0</v>
      </c>
      <c r="H20" s="523"/>
    </row>
    <row r="21" spans="1:8">
      <c r="A21" s="53" t="str">
        <f>Expenses!A21</f>
        <v>650-1001-3</v>
      </c>
      <c r="B21" s="216" t="str">
        <f>Expenses!C21</f>
        <v>Equipment Expense- Source (Oper)</v>
      </c>
      <c r="C21" s="61">
        <f>Expenses!D21</f>
        <v>0</v>
      </c>
      <c r="D21" s="242" t="s">
        <v>473</v>
      </c>
      <c r="E21" s="307">
        <f>VLOOKUP(D21,'S-Alloc Met-TY'!$C$8:$D$10,2,FALSE)*C21</f>
        <v>0</v>
      </c>
      <c r="F21" s="307">
        <f>VLOOKUP(D21,'S-Alloc Met-TY'!$C$8:$E$10,3,FALSE)*C21</f>
        <v>0</v>
      </c>
      <c r="G21" s="307">
        <f>VLOOKUP(D21,'S-Alloc Met-TY'!$C$8:$F$10,4,FALSE)*C21</f>
        <v>0</v>
      </c>
      <c r="H21" s="523"/>
    </row>
    <row r="22" spans="1:8">
      <c r="A22" s="53" t="str">
        <f>Expenses!A22</f>
        <v>650-2002-3</v>
      </c>
      <c r="B22" s="216" t="str">
        <f>Expenses!C22</f>
        <v>Equipment Expense- Source (Maint)</v>
      </c>
      <c r="C22" s="61">
        <f>Expenses!D22</f>
        <v>0</v>
      </c>
      <c r="D22" s="242" t="s">
        <v>473</v>
      </c>
      <c r="E22" s="307">
        <f>VLOOKUP(D22,'S-Alloc Met-TY'!$C$8:$D$10,2,FALSE)*C22</f>
        <v>0</v>
      </c>
      <c r="F22" s="307">
        <f>VLOOKUP(D22,'S-Alloc Met-TY'!$C$8:$E$10,3,FALSE)*C22</f>
        <v>0</v>
      </c>
      <c r="G22" s="307">
        <f>VLOOKUP(D22,'S-Alloc Met-TY'!$C$8:$F$10,4,FALSE)*C22</f>
        <v>0</v>
      </c>
      <c r="H22" s="523"/>
    </row>
    <row r="23" spans="1:8">
      <c r="A23" s="53" t="str">
        <f>Expenses!A23</f>
        <v>657-1001-3</v>
      </c>
      <c r="B23" s="216" t="str">
        <f>Expenses!C23</f>
        <v>Insurance G/L- Source (Oper)</v>
      </c>
      <c r="C23" s="61">
        <f>Expenses!D23</f>
        <v>5742</v>
      </c>
      <c r="D23" s="242" t="s">
        <v>473</v>
      </c>
      <c r="E23" s="307">
        <f>VLOOKUP(D23,'S-Alloc Met-TY'!$C$8:$D$10,2,FALSE)*C23</f>
        <v>5742</v>
      </c>
      <c r="F23" s="307">
        <f>VLOOKUP(D23,'S-Alloc Met-TY'!$C$8:$E$10,3,FALSE)*C23</f>
        <v>0</v>
      </c>
      <c r="G23" s="307">
        <f>VLOOKUP(D23,'S-Alloc Met-TY'!$C$8:$F$10,4,FALSE)*C23</f>
        <v>0</v>
      </c>
      <c r="H23" s="523"/>
    </row>
    <row r="24" spans="1:8">
      <c r="A24" s="53" t="str">
        <f>Expenses!A24</f>
        <v>659-1001-3</v>
      </c>
      <c r="B24" s="216" t="str">
        <f>Expenses!C24</f>
        <v>Insurance Other- Source (Oper)</v>
      </c>
      <c r="C24" s="61">
        <f>Expenses!D24</f>
        <v>0</v>
      </c>
      <c r="D24" s="242" t="s">
        <v>473</v>
      </c>
      <c r="E24" s="307">
        <f>VLOOKUP(D24,'S-Alloc Met-TY'!$C$8:$D$10,2,FALSE)*C24</f>
        <v>0</v>
      </c>
      <c r="F24" s="307">
        <f>VLOOKUP(D24,'S-Alloc Met-TY'!$C$8:$E$10,3,FALSE)*C24</f>
        <v>0</v>
      </c>
      <c r="G24" s="307">
        <f>VLOOKUP(D24,'S-Alloc Met-TY'!$C$8:$F$10,4,FALSE)*C24</f>
        <v>0</v>
      </c>
      <c r="H24" s="523"/>
    </row>
    <row r="25" spans="1:8">
      <c r="A25" s="53" t="str">
        <f>Expenses!A25</f>
        <v>675-1001-3</v>
      </c>
      <c r="B25" s="216" t="str">
        <f>Expenses!C25</f>
        <v>Misc Expense- Source (Oper)</v>
      </c>
      <c r="C25" s="61">
        <f>Expenses!D25</f>
        <v>0</v>
      </c>
      <c r="D25" s="242" t="s">
        <v>473</v>
      </c>
      <c r="E25" s="307">
        <f>VLOOKUP(D25,'S-Alloc Met-TY'!$C$8:$D$10,2,FALSE)*C25</f>
        <v>0</v>
      </c>
      <c r="F25" s="307">
        <f>VLOOKUP(D25,'S-Alloc Met-TY'!$C$8:$E$10,3,FALSE)*C25</f>
        <v>0</v>
      </c>
      <c r="G25" s="307">
        <f>VLOOKUP(D25,'S-Alloc Met-TY'!$C$8:$F$10,4,FALSE)*C25</f>
        <v>0</v>
      </c>
      <c r="H25" s="523"/>
    </row>
    <row r="26" spans="1:8">
      <c r="A26" s="53" t="str">
        <f>Expenses!A26</f>
        <v>675-2002-3</v>
      </c>
      <c r="B26" s="216" t="str">
        <f>Expenses!C26</f>
        <v>Misc Expense- Source (Maint)</v>
      </c>
      <c r="C26" s="61">
        <f>Expenses!D26</f>
        <v>0</v>
      </c>
      <c r="D26" s="242" t="s">
        <v>473</v>
      </c>
      <c r="E26" s="307">
        <f>VLOOKUP(D26,'S-Alloc Met-TY'!$C$8:$D$10,2,FALSE)*C26</f>
        <v>0</v>
      </c>
      <c r="F26" s="307">
        <f>VLOOKUP(D26,'S-Alloc Met-TY'!$C$8:$E$10,3,FALSE)*C26</f>
        <v>0</v>
      </c>
      <c r="G26" s="307">
        <f>VLOOKUP(D26,'S-Alloc Met-TY'!$C$8:$F$10,4,FALSE)*C26</f>
        <v>0</v>
      </c>
      <c r="H26" s="523"/>
    </row>
    <row r="27" spans="1:8">
      <c r="A27" s="53" t="str">
        <f>Expenses!A27</f>
        <v>610-1001-3</v>
      </c>
      <c r="B27" s="216" t="str">
        <f>Expenses!C27</f>
        <v xml:space="preserve">Purchased Water </v>
      </c>
      <c r="C27" s="61">
        <f>Expenses!D27</f>
        <v>3377072</v>
      </c>
      <c r="D27" s="242" t="s">
        <v>474</v>
      </c>
      <c r="E27" s="307">
        <f>VLOOKUP(D27,'S-Alloc Met-TY'!$C$8:$D$10,2,FALSE)*C27</f>
        <v>3029248.0534346323</v>
      </c>
      <c r="F27" s="307">
        <f>VLOOKUP(D27,'S-Alloc Met-TY'!$C$8:$E$10,3,FALSE)*C27</f>
        <v>347823.94656536763</v>
      </c>
      <c r="G27" s="307">
        <f>VLOOKUP(D27,'S-Alloc Met-TY'!$C$8:$F$10,4,FALSE)*C27</f>
        <v>0</v>
      </c>
      <c r="H27" s="523"/>
    </row>
    <row r="28" spans="1:8">
      <c r="A28" s="53" t="str">
        <f>Expenses!A28</f>
        <v>610-1100-3</v>
      </c>
      <c r="B28" s="216" t="str">
        <f>Expenses!C28</f>
        <v>Purchased Water - Unbilled (BGMU)</v>
      </c>
      <c r="C28" s="61">
        <f>Expenses!D28</f>
        <v>-3057</v>
      </c>
      <c r="D28" s="242" t="s">
        <v>474</v>
      </c>
      <c r="E28" s="307">
        <f>VLOOKUP(D28,'S-Alloc Met-TY'!$C$8:$D$10,2,FALSE)*C28</f>
        <v>-2742.1420980511139</v>
      </c>
      <c r="F28" s="307">
        <f>VLOOKUP(D28,'S-Alloc Met-TY'!$C$8:$E$10,3,FALSE)*C28</f>
        <v>-314.85790194888614</v>
      </c>
      <c r="G28" s="307">
        <f>VLOOKUP(D28,'S-Alloc Met-TY'!$C$8:$F$10,4,FALSE)*C28</f>
        <v>0</v>
      </c>
      <c r="H28" s="523"/>
    </row>
    <row r="29" spans="1:8">
      <c r="A29" s="53" t="str">
        <f>Expenses!A29</f>
        <v>-</v>
      </c>
      <c r="B29" s="216" t="str">
        <f>Expenses!C29</f>
        <v>Purchased Power Water Treat</v>
      </c>
      <c r="C29" s="61">
        <f>Expenses!D29</f>
        <v>0</v>
      </c>
      <c r="D29" s="242" t="s">
        <v>473</v>
      </c>
      <c r="E29" s="307">
        <f>VLOOKUP(D29,'S-Alloc Met-TY'!$C$8:$D$10,2,FALSE)*C29</f>
        <v>0</v>
      </c>
      <c r="F29" s="307">
        <f>VLOOKUP(D29,'S-Alloc Met-TY'!$C$8:$E$10,3,FALSE)*C29</f>
        <v>0</v>
      </c>
      <c r="G29" s="307">
        <f>VLOOKUP(D29,'S-Alloc Met-TY'!$C$8:$F$10,4,FALSE)*C29</f>
        <v>0</v>
      </c>
      <c r="H29" s="523"/>
    </row>
    <row r="30" spans="1:8">
      <c r="A30" s="53"/>
      <c r="B30" s="216" t="str">
        <f>Expenses!C30</f>
        <v>-</v>
      </c>
      <c r="C30" s="61">
        <f>Expenses!D30</f>
        <v>0</v>
      </c>
      <c r="D30" s="242" t="s">
        <v>473</v>
      </c>
      <c r="E30" s="307">
        <f>VLOOKUP(D30,'S-Alloc Met-TY'!$C$8:$D$10,2,FALSE)*C30</f>
        <v>0</v>
      </c>
      <c r="F30" s="307">
        <f>VLOOKUP(D30,'S-Alloc Met-TY'!$C$8:$E$10,3,FALSE)*C30</f>
        <v>0</v>
      </c>
      <c r="G30" s="307">
        <f>VLOOKUP(D30,'S-Alloc Met-TY'!$C$8:$F$10,4,FALSE)*C30</f>
        <v>0</v>
      </c>
      <c r="H30" s="523"/>
    </row>
    <row r="31" spans="1:8">
      <c r="A31" s="53"/>
      <c r="B31" s="216" t="str">
        <f>Expenses!C31</f>
        <v>-</v>
      </c>
      <c r="C31" s="61">
        <f>Expenses!D31</f>
        <v>0</v>
      </c>
      <c r="D31" s="242" t="s">
        <v>473</v>
      </c>
      <c r="E31" s="307">
        <f>VLOOKUP(D31,'S-Alloc Met-TY'!$C$8:$D$10,2,FALSE)*C31</f>
        <v>0</v>
      </c>
      <c r="F31" s="307">
        <f>VLOOKUP(D31,'S-Alloc Met-TY'!$C$8:$E$10,3,FALSE)*C31</f>
        <v>0</v>
      </c>
      <c r="G31" s="307">
        <f>VLOOKUP(D31,'S-Alloc Met-TY'!$C$8:$F$10,4,FALSE)*C31</f>
        <v>0</v>
      </c>
      <c r="H31" s="523"/>
    </row>
    <row r="32" spans="1:8">
      <c r="A32" s="53"/>
      <c r="B32" s="216" t="str">
        <f>Expenses!C32</f>
        <v>-</v>
      </c>
      <c r="C32" s="61">
        <f>Expenses!D32</f>
        <v>0</v>
      </c>
      <c r="D32" s="242" t="s">
        <v>473</v>
      </c>
      <c r="E32" s="307">
        <f>VLOOKUP(D32,'S-Alloc Met-TY'!$C$8:$D$10,2,FALSE)*C32</f>
        <v>0</v>
      </c>
      <c r="F32" s="307">
        <f>VLOOKUP(D32,'S-Alloc Met-TY'!$C$8:$E$10,3,FALSE)*C32</f>
        <v>0</v>
      </c>
      <c r="G32" s="307">
        <f>VLOOKUP(D32,'S-Alloc Met-TY'!$C$8:$F$10,4,FALSE)*C32</f>
        <v>0</v>
      </c>
      <c r="H32" s="523"/>
    </row>
    <row r="33" spans="1:8">
      <c r="A33" s="53"/>
      <c r="B33" s="216" t="str">
        <f>Expenses!C33</f>
        <v>-</v>
      </c>
      <c r="C33" s="61">
        <f>Expenses!D33</f>
        <v>0</v>
      </c>
      <c r="D33" s="242" t="s">
        <v>473</v>
      </c>
      <c r="E33" s="307">
        <f>VLOOKUP(D33,'S-Alloc Met-TY'!$C$8:$D$10,2,FALSE)*C33</f>
        <v>0</v>
      </c>
      <c r="F33" s="307">
        <f>VLOOKUP(D33,'S-Alloc Met-TY'!$C$8:$E$10,3,FALSE)*C33</f>
        <v>0</v>
      </c>
      <c r="G33" s="307">
        <f>VLOOKUP(D33,'S-Alloc Met-TY'!$C$8:$F$10,4,FALSE)*C33</f>
        <v>0</v>
      </c>
      <c r="H33" s="523"/>
    </row>
    <row r="34" spans="1:8">
      <c r="A34" s="53"/>
      <c r="B34" s="216" t="str">
        <f>Expenses!C34</f>
        <v>-</v>
      </c>
      <c r="C34" s="61">
        <f>Expenses!D34</f>
        <v>0</v>
      </c>
      <c r="D34" s="242" t="s">
        <v>473</v>
      </c>
      <c r="E34" s="307">
        <f>VLOOKUP(D34,'S-Alloc Met-TY'!$C$8:$D$10,2,FALSE)*C34</f>
        <v>0</v>
      </c>
      <c r="F34" s="307">
        <f>VLOOKUP(D34,'S-Alloc Met-TY'!$C$8:$E$10,3,FALSE)*C34</f>
        <v>0</v>
      </c>
      <c r="G34" s="307">
        <f>VLOOKUP(D34,'S-Alloc Met-TY'!$C$8:$F$10,4,FALSE)*C34</f>
        <v>0</v>
      </c>
      <c r="H34" s="523"/>
    </row>
    <row r="35" spans="1:8">
      <c r="A35" s="53"/>
      <c r="B35" s="216" t="str">
        <f>Expenses!C35</f>
        <v>-</v>
      </c>
      <c r="C35" s="61">
        <f>Expenses!D35</f>
        <v>0</v>
      </c>
      <c r="D35" s="242" t="s">
        <v>473</v>
      </c>
      <c r="E35" s="307">
        <f>VLOOKUP(D35,'S-Alloc Met-TY'!$C$8:$D$10,2,FALSE)*C35</f>
        <v>0</v>
      </c>
      <c r="F35" s="307">
        <f>VLOOKUP(D35,'S-Alloc Met-TY'!$C$8:$E$10,3,FALSE)*C35</f>
        <v>0</v>
      </c>
      <c r="G35" s="307">
        <f>VLOOKUP(D35,'S-Alloc Met-TY'!$C$8:$F$10,4,FALSE)*C35</f>
        <v>0</v>
      </c>
      <c r="H35" s="523"/>
    </row>
    <row r="36" spans="1:8">
      <c r="A36" s="793"/>
      <c r="B36" s="290" t="s">
        <v>30</v>
      </c>
      <c r="C36" s="291">
        <f>SUM(C5:C35)</f>
        <v>3541147</v>
      </c>
      <c r="D36" s="291"/>
      <c r="E36" s="291">
        <f>SUM(E5:E35)</f>
        <v>3177375.9178335685</v>
      </c>
      <c r="F36" s="291">
        <f>SUM(F5:F35)</f>
        <v>363771.08216643136</v>
      </c>
      <c r="G36" s="291">
        <f>SUM(G5:G35)</f>
        <v>0</v>
      </c>
      <c r="H36" s="523"/>
    </row>
    <row r="37" spans="1:8">
      <c r="A37" s="53"/>
      <c r="B37" s="218"/>
      <c r="C37" s="61"/>
      <c r="H37" s="523"/>
    </row>
    <row r="38" spans="1:8">
      <c r="A38" s="53"/>
      <c r="B38" s="217" t="s">
        <v>155</v>
      </c>
      <c r="C38" s="259"/>
      <c r="D38" s="148"/>
      <c r="E38" s="148"/>
      <c r="F38" s="148"/>
      <c r="G38" s="148"/>
      <c r="H38" s="523"/>
    </row>
    <row r="39" spans="1:8">
      <c r="A39" s="53" t="str">
        <f>Expenses!A39</f>
        <v>601-5001-3</v>
      </c>
      <c r="B39" s="216" t="str">
        <f>Expenses!C39</f>
        <v>Wages- T&amp;D (Oper)</v>
      </c>
      <c r="C39" s="61">
        <f>Expenses!D39</f>
        <v>63630</v>
      </c>
      <c r="D39" s="242" t="s">
        <v>473</v>
      </c>
      <c r="E39" s="307">
        <f>VLOOKUP(D39,'S-Alloc Met-TY'!$C$8:$D$10,2,FALSE)*C39</f>
        <v>63630</v>
      </c>
      <c r="F39" s="307">
        <f>VLOOKUP(D39,'S-Alloc Met-TY'!$C$8:$E$10,3,FALSE)*C39</f>
        <v>0</v>
      </c>
      <c r="G39" s="307">
        <f>VLOOKUP(D39,'S-Alloc Met-TY'!$C$8:$F$10,4,FALSE)*C39</f>
        <v>0</v>
      </c>
      <c r="H39" s="17"/>
    </row>
    <row r="40" spans="1:8">
      <c r="A40" s="53" t="str">
        <f>Expenses!A40</f>
        <v>601-6002-3</v>
      </c>
      <c r="B40" s="216" t="str">
        <f>Expenses!C40</f>
        <v>Wages- T&amp;D (Maint)</v>
      </c>
      <c r="C40" s="61">
        <f>Expenses!D40</f>
        <v>73232</v>
      </c>
      <c r="D40" s="242" t="s">
        <v>473</v>
      </c>
      <c r="E40" s="307">
        <f>VLOOKUP(D40,'S-Alloc Met-TY'!$C$8:$D$10,2,FALSE)*C40</f>
        <v>73232</v>
      </c>
      <c r="F40" s="307">
        <f>VLOOKUP(D40,'S-Alloc Met-TY'!$C$8:$E$10,3,FALSE)*C40</f>
        <v>0</v>
      </c>
      <c r="G40" s="307">
        <f>VLOOKUP(D40,'S-Alloc Met-TY'!$C$8:$F$10,4,FALSE)*C40</f>
        <v>0</v>
      </c>
      <c r="H40" s="17"/>
    </row>
    <row r="41" spans="1:8">
      <c r="A41" s="53" t="str">
        <f>Expenses!A41</f>
        <v>604-5001-3</v>
      </c>
      <c r="B41" s="216" t="str">
        <f>Expenses!C41</f>
        <v>Employee Overhead T&amp;D (Oper)</v>
      </c>
      <c r="C41" s="61">
        <f>Expenses!D41</f>
        <v>0</v>
      </c>
      <c r="D41" s="242" t="s">
        <v>473</v>
      </c>
      <c r="E41" s="307">
        <f>VLOOKUP(D41,'S-Alloc Met-TY'!$C$8:$D$10,2,FALSE)*C41</f>
        <v>0</v>
      </c>
      <c r="F41" s="307">
        <f>VLOOKUP(D41,'S-Alloc Met-TY'!$C$8:$E$10,3,FALSE)*C41</f>
        <v>0</v>
      </c>
      <c r="G41" s="307">
        <f>VLOOKUP(D41,'S-Alloc Met-TY'!$C$8:$F$10,4,FALSE)*C41</f>
        <v>0</v>
      </c>
      <c r="H41" s="17"/>
    </row>
    <row r="42" spans="1:8">
      <c r="A42" s="53" t="str">
        <f>Expenses!A42</f>
        <v>604-6001-3</v>
      </c>
      <c r="B42" s="216" t="str">
        <f>Expenses!C42</f>
        <v>Employee Overhead- T&amp;D (Maint)</v>
      </c>
      <c r="C42" s="61">
        <f>Expenses!D42</f>
        <v>0</v>
      </c>
      <c r="D42" s="242" t="s">
        <v>473</v>
      </c>
      <c r="E42" s="307">
        <f>VLOOKUP(D42,'S-Alloc Met-TY'!$C$8:$D$10,2,FALSE)*C42</f>
        <v>0</v>
      </c>
      <c r="F42" s="307">
        <f>VLOOKUP(D42,'S-Alloc Met-TY'!$C$8:$E$10,3,FALSE)*C42</f>
        <v>0</v>
      </c>
      <c r="G42" s="307">
        <f>VLOOKUP(D42,'S-Alloc Met-TY'!$C$8:$F$10,4,FALSE)*C42</f>
        <v>0</v>
      </c>
      <c r="H42" s="17"/>
    </row>
    <row r="43" spans="1:8">
      <c r="A43" s="53" t="str">
        <f>Expenses!A43</f>
        <v>615-5001-3</v>
      </c>
      <c r="B43" s="216" t="str">
        <f>Expenses!C43</f>
        <v>Purchased Power- T&amp;D</v>
      </c>
      <c r="C43" s="61">
        <f>Expenses!D43</f>
        <v>0</v>
      </c>
      <c r="D43" s="242" t="s">
        <v>473</v>
      </c>
      <c r="E43" s="307">
        <f>VLOOKUP(D43,'S-Alloc Met-TY'!$C$8:$D$10,2,FALSE)*C43</f>
        <v>0</v>
      </c>
      <c r="F43" s="307">
        <f>VLOOKUP(D43,'S-Alloc Met-TY'!$C$8:$E$10,3,FALSE)*C43</f>
        <v>0</v>
      </c>
      <c r="G43" s="307">
        <f>VLOOKUP(D43,'S-Alloc Met-TY'!$C$8:$F$10,4,FALSE)*C43</f>
        <v>0</v>
      </c>
      <c r="H43" s="523"/>
    </row>
    <row r="44" spans="1:8">
      <c r="A44" s="53" t="str">
        <f>Expenses!A44</f>
        <v>-</v>
      </c>
      <c r="B44" s="216" t="str">
        <f>Expenses!C44</f>
        <v>Purchased Power- T&amp;D (ENERNOC)</v>
      </c>
      <c r="C44" s="61">
        <f>Expenses!D44</f>
        <v>0</v>
      </c>
      <c r="D44" s="242" t="s">
        <v>473</v>
      </c>
      <c r="E44" s="307">
        <f>VLOOKUP(D44,'S-Alloc Met-TY'!$C$8:$D$10,2,FALSE)*C44</f>
        <v>0</v>
      </c>
      <c r="F44" s="307">
        <f>VLOOKUP(D44,'S-Alloc Met-TY'!$C$8:$E$10,3,FALSE)*C44</f>
        <v>0</v>
      </c>
      <c r="G44" s="307">
        <f>VLOOKUP(D44,'S-Alloc Met-TY'!$C$8:$F$10,4,FALSE)*C44</f>
        <v>0</v>
      </c>
      <c r="H44" s="523"/>
    </row>
    <row r="45" spans="1:8">
      <c r="A45" s="53" t="str">
        <f>Expenses!A45</f>
        <v>620-5001-3</v>
      </c>
      <c r="B45" s="216" t="str">
        <f>Expenses!C45</f>
        <v>Materials &amp; Supplies- T&amp;D (Oper)</v>
      </c>
      <c r="C45" s="61">
        <f>Expenses!D45</f>
        <v>6445</v>
      </c>
      <c r="D45" s="242" t="s">
        <v>473</v>
      </c>
      <c r="E45" s="307">
        <f>VLOOKUP(D45,'S-Alloc Met-TY'!$C$8:$D$10,2,FALSE)*C45</f>
        <v>6445</v>
      </c>
      <c r="F45" s="307">
        <f>VLOOKUP(D45,'S-Alloc Met-TY'!$C$8:$E$10,3,FALSE)*C45</f>
        <v>0</v>
      </c>
      <c r="G45" s="307">
        <f>VLOOKUP(D45,'S-Alloc Met-TY'!$C$8:$F$10,4,FALSE)*C45</f>
        <v>0</v>
      </c>
      <c r="H45" s="523"/>
    </row>
    <row r="46" spans="1:8">
      <c r="A46" s="53" t="str">
        <f>Expenses!A46</f>
        <v>620-6002-3</v>
      </c>
      <c r="B46" s="216" t="str">
        <f>Expenses!C46</f>
        <v>Materials &amp; Supplies- T&amp;D (Maint)</v>
      </c>
      <c r="C46" s="61">
        <f>Expenses!D46</f>
        <v>45683</v>
      </c>
      <c r="D46" s="242" t="s">
        <v>473</v>
      </c>
      <c r="E46" s="307">
        <f>VLOOKUP(D46,'S-Alloc Met-TY'!$C$8:$D$10,2,FALSE)*C46</f>
        <v>45683</v>
      </c>
      <c r="F46" s="307">
        <f>VLOOKUP(D46,'S-Alloc Met-TY'!$C$8:$E$10,3,FALSE)*C46</f>
        <v>0</v>
      </c>
      <c r="G46" s="307">
        <f>VLOOKUP(D46,'S-Alloc Met-TY'!$C$8:$F$10,4,FALSE)*C46</f>
        <v>0</v>
      </c>
      <c r="H46" s="523"/>
    </row>
    <row r="47" spans="1:8">
      <c r="A47" s="53" t="str">
        <f>Expenses!A47</f>
        <v>632-5001-3</v>
      </c>
      <c r="B47" s="216" t="str">
        <f>Expenses!C47</f>
        <v>Contract Accounting- T&amp;D (Oper)</v>
      </c>
      <c r="C47" s="61">
        <f>Expenses!D47</f>
        <v>1750</v>
      </c>
      <c r="D47" s="242" t="s">
        <v>473</v>
      </c>
      <c r="E47" s="307">
        <f>VLOOKUP(D47,'S-Alloc Met-TY'!$C$8:$D$10,2,FALSE)*C47</f>
        <v>1750</v>
      </c>
      <c r="F47" s="307">
        <f>VLOOKUP(D47,'S-Alloc Met-TY'!$C$8:$E$10,3,FALSE)*C47</f>
        <v>0</v>
      </c>
      <c r="G47" s="307">
        <f>VLOOKUP(D47,'S-Alloc Met-TY'!$C$8:$F$10,4,FALSE)*C47</f>
        <v>0</v>
      </c>
      <c r="H47" s="523"/>
    </row>
    <row r="48" spans="1:8">
      <c r="A48" s="53" t="str">
        <f>Expenses!A48</f>
        <v>632-6002-3</v>
      </c>
      <c r="B48" s="216" t="str">
        <f>Expenses!C48</f>
        <v>Contract Accounting- T&amp;D (Maint)</v>
      </c>
      <c r="C48" s="61">
        <f>Expenses!D48</f>
        <v>1750</v>
      </c>
      <c r="D48" s="242" t="s">
        <v>473</v>
      </c>
      <c r="E48" s="307">
        <f>VLOOKUP(D48,'S-Alloc Met-TY'!$C$8:$D$10,2,FALSE)*C48</f>
        <v>1750</v>
      </c>
      <c r="F48" s="307">
        <f>VLOOKUP(D48,'S-Alloc Met-TY'!$C$8:$E$10,3,FALSE)*C48</f>
        <v>0</v>
      </c>
      <c r="G48" s="307">
        <f>VLOOKUP(D48,'S-Alloc Met-TY'!$C$8:$F$10,4,FALSE)*C48</f>
        <v>0</v>
      </c>
      <c r="H48" s="523"/>
    </row>
    <row r="49" spans="1:8">
      <c r="A49" s="53" t="str">
        <f>Expenses!A49</f>
        <v>633-5001-3</v>
      </c>
      <c r="B49" s="216" t="str">
        <f>Expenses!C49</f>
        <v>Contract Legal- T&amp;D (Oper)</v>
      </c>
      <c r="C49" s="61">
        <f>Expenses!D49</f>
        <v>0</v>
      </c>
      <c r="D49" s="242" t="s">
        <v>473</v>
      </c>
      <c r="E49" s="307">
        <f>VLOOKUP(D49,'S-Alloc Met-TY'!$C$8:$D$10,2,FALSE)*C49</f>
        <v>0</v>
      </c>
      <c r="F49" s="307">
        <f>VLOOKUP(D49,'S-Alloc Met-TY'!$C$8:$E$10,3,FALSE)*C49</f>
        <v>0</v>
      </c>
      <c r="G49" s="307">
        <f>VLOOKUP(D49,'S-Alloc Met-TY'!$C$8:$F$10,4,FALSE)*C49</f>
        <v>0</v>
      </c>
      <c r="H49" s="523"/>
    </row>
    <row r="50" spans="1:8">
      <c r="A50" s="53" t="str">
        <f>Expenses!A50</f>
        <v>633-6002-3</v>
      </c>
      <c r="B50" s="216" t="str">
        <f>Expenses!C50</f>
        <v>Contract Legal- T&amp;D (Maint)</v>
      </c>
      <c r="C50" s="61">
        <f>Expenses!D50</f>
        <v>0</v>
      </c>
      <c r="D50" s="242" t="s">
        <v>473</v>
      </c>
      <c r="E50" s="307">
        <f>VLOOKUP(D50,'S-Alloc Met-TY'!$C$8:$D$10,2,FALSE)*C50</f>
        <v>0</v>
      </c>
      <c r="F50" s="307">
        <f>VLOOKUP(D50,'S-Alloc Met-TY'!$C$8:$E$10,3,FALSE)*C50</f>
        <v>0</v>
      </c>
      <c r="G50" s="307">
        <f>VLOOKUP(D50,'S-Alloc Met-TY'!$C$8:$F$10,4,FALSE)*C50</f>
        <v>0</v>
      </c>
      <c r="H50" s="523"/>
    </row>
    <row r="51" spans="1:8">
      <c r="A51" s="53" t="str">
        <f>Expenses!A51</f>
        <v>635-5001-3</v>
      </c>
      <c r="B51" s="216" t="str">
        <f>Expenses!C51</f>
        <v>Contract Other- T&amp;D (Oper)</v>
      </c>
      <c r="C51" s="61">
        <f>Expenses!D51</f>
        <v>1637</v>
      </c>
      <c r="D51" s="242" t="s">
        <v>473</v>
      </c>
      <c r="E51" s="307">
        <f>VLOOKUP(D51,'S-Alloc Met-TY'!$C$8:$D$10,2,FALSE)*C51</f>
        <v>1637</v>
      </c>
      <c r="F51" s="307">
        <f>VLOOKUP(D51,'S-Alloc Met-TY'!$C$8:$E$10,3,FALSE)*C51</f>
        <v>0</v>
      </c>
      <c r="G51" s="307">
        <f>VLOOKUP(D51,'S-Alloc Met-TY'!$C$8:$F$10,4,FALSE)*C51</f>
        <v>0</v>
      </c>
      <c r="H51" s="523"/>
    </row>
    <row r="52" spans="1:8">
      <c r="A52" s="53" t="str">
        <f>Expenses!A52</f>
        <v>635-6002-3</v>
      </c>
      <c r="B52" s="216" t="str">
        <f>Expenses!C52</f>
        <v>Contract Other- T&amp;D (Maint)</v>
      </c>
      <c r="C52" s="61">
        <f>Expenses!D52</f>
        <v>94158</v>
      </c>
      <c r="D52" s="242" t="s">
        <v>473</v>
      </c>
      <c r="E52" s="307">
        <f>VLOOKUP(D52,'S-Alloc Met-TY'!$C$8:$D$10,2,FALSE)*C52</f>
        <v>94158</v>
      </c>
      <c r="F52" s="307">
        <f>VLOOKUP(D52,'S-Alloc Met-TY'!$C$8:$E$10,3,FALSE)*C52</f>
        <v>0</v>
      </c>
      <c r="G52" s="307">
        <f>VLOOKUP(D52,'S-Alloc Met-TY'!$C$8:$F$10,4,FALSE)*C52</f>
        <v>0</v>
      </c>
      <c r="H52" s="523"/>
    </row>
    <row r="53" spans="1:8">
      <c r="A53" s="53" t="str">
        <f>Expenses!A53</f>
        <v>641-5001-3</v>
      </c>
      <c r="B53" s="216" t="str">
        <f>Expenses!C53</f>
        <v>Rent &amp; Utilities- T&amp;D (Oper)</v>
      </c>
      <c r="C53" s="61">
        <f>Expenses!D53</f>
        <v>0</v>
      </c>
      <c r="D53" s="242" t="s">
        <v>473</v>
      </c>
      <c r="E53" s="307">
        <f>VLOOKUP(D53,'S-Alloc Met-TY'!$C$8:$D$10,2,FALSE)*C53</f>
        <v>0</v>
      </c>
      <c r="F53" s="307">
        <f>VLOOKUP(D53,'S-Alloc Met-TY'!$C$8:$E$10,3,FALSE)*C53</f>
        <v>0</v>
      </c>
      <c r="G53" s="307">
        <f>VLOOKUP(D53,'S-Alloc Met-TY'!$C$8:$F$10,4,FALSE)*C53</f>
        <v>0</v>
      </c>
      <c r="H53" s="523"/>
    </row>
    <row r="54" spans="1:8">
      <c r="A54" s="53" t="str">
        <f>Expenses!A54</f>
        <v>641-5031-3</v>
      </c>
      <c r="B54" s="216" t="str">
        <f>Expenses!C54</f>
        <v>Rent &amp; Utilities- T&amp;D (Oper)</v>
      </c>
      <c r="C54" s="61">
        <f>Expenses!D54</f>
        <v>0</v>
      </c>
      <c r="D54" s="242" t="s">
        <v>473</v>
      </c>
      <c r="E54" s="307">
        <f>VLOOKUP(D54,'S-Alloc Met-TY'!$C$8:$D$10,2,FALSE)*C54</f>
        <v>0</v>
      </c>
      <c r="F54" s="307">
        <f>VLOOKUP(D54,'S-Alloc Met-TY'!$C$8:$E$10,3,FALSE)*C54</f>
        <v>0</v>
      </c>
      <c r="G54" s="307">
        <f>VLOOKUP(D54,'S-Alloc Met-TY'!$C$8:$F$10,4,FALSE)*C54</f>
        <v>0</v>
      </c>
      <c r="H54" s="523"/>
    </row>
    <row r="55" spans="1:8">
      <c r="A55" s="53" t="str">
        <f>Expenses!A55</f>
        <v>650-5001-3</v>
      </c>
      <c r="B55" s="216" t="str">
        <f>Expenses!C55</f>
        <v>Equipment Expense- T&amp;D (Oper)</v>
      </c>
      <c r="C55" s="61">
        <f>Expenses!D55</f>
        <v>19707</v>
      </c>
      <c r="D55" s="242" t="s">
        <v>473</v>
      </c>
      <c r="E55" s="307">
        <f>VLOOKUP(D55,'S-Alloc Met-TY'!$C$8:$D$10,2,FALSE)*C55</f>
        <v>19707</v>
      </c>
      <c r="F55" s="307">
        <f>VLOOKUP(D55,'S-Alloc Met-TY'!$C$8:$E$10,3,FALSE)*C55</f>
        <v>0</v>
      </c>
      <c r="G55" s="307">
        <f>VLOOKUP(D55,'S-Alloc Met-TY'!$C$8:$F$10,4,FALSE)*C55</f>
        <v>0</v>
      </c>
      <c r="H55" s="523"/>
    </row>
    <row r="56" spans="1:8">
      <c r="A56" s="53" t="str">
        <f>Expenses!A56</f>
        <v>650-6002-3</v>
      </c>
      <c r="B56" s="216" t="str">
        <f>Expenses!C56</f>
        <v>Equipment Expense- T&amp;D (Maint)</v>
      </c>
      <c r="C56" s="61">
        <f>Expenses!D56</f>
        <v>17668</v>
      </c>
      <c r="D56" s="242" t="s">
        <v>473</v>
      </c>
      <c r="E56" s="307">
        <f>VLOOKUP(D56,'S-Alloc Met-TY'!$C$8:$D$10,2,FALSE)*C56</f>
        <v>17668</v>
      </c>
      <c r="F56" s="307">
        <f>VLOOKUP(D56,'S-Alloc Met-TY'!$C$8:$E$10,3,FALSE)*C56</f>
        <v>0</v>
      </c>
      <c r="G56" s="307">
        <f>VLOOKUP(D56,'S-Alloc Met-TY'!$C$8:$F$10,4,FALSE)*C56</f>
        <v>0</v>
      </c>
      <c r="H56" s="523"/>
    </row>
    <row r="57" spans="1:8">
      <c r="A57" s="53" t="str">
        <f>Expenses!A57</f>
        <v>657-5001-3</v>
      </c>
      <c r="B57" s="216" t="str">
        <f>Expenses!C57</f>
        <v>Insurance G/L- T&amp;D (Oper)</v>
      </c>
      <c r="C57" s="61">
        <f>Expenses!D57</f>
        <v>3344</v>
      </c>
      <c r="D57" s="242" t="s">
        <v>473</v>
      </c>
      <c r="E57" s="307">
        <f>VLOOKUP(D57,'S-Alloc Met-TY'!$C$8:$D$10,2,FALSE)*C57</f>
        <v>3344</v>
      </c>
      <c r="F57" s="307">
        <f>VLOOKUP(D57,'S-Alloc Met-TY'!$C$8:$E$10,3,FALSE)*C57</f>
        <v>0</v>
      </c>
      <c r="G57" s="307">
        <f>VLOOKUP(D57,'S-Alloc Met-TY'!$C$8:$F$10,4,FALSE)*C57</f>
        <v>0</v>
      </c>
      <c r="H57" s="523"/>
    </row>
    <row r="58" spans="1:8">
      <c r="A58" s="53" t="str">
        <f>Expenses!A58</f>
        <v>659-5001-3</v>
      </c>
      <c r="B58" s="216" t="str">
        <f>Expenses!C58</f>
        <v>Insurance Other- T&amp;D (Oper)</v>
      </c>
      <c r="C58" s="61">
        <f>Expenses!D58</f>
        <v>0</v>
      </c>
      <c r="D58" s="242" t="s">
        <v>473</v>
      </c>
      <c r="E58" s="307">
        <f>VLOOKUP(D58,'S-Alloc Met-TY'!$C$8:$D$10,2,FALSE)*C58</f>
        <v>0</v>
      </c>
      <c r="F58" s="307">
        <f>VLOOKUP(D58,'S-Alloc Met-TY'!$C$8:$E$10,3,FALSE)*C58</f>
        <v>0</v>
      </c>
      <c r="G58" s="307">
        <f>VLOOKUP(D58,'S-Alloc Met-TY'!$C$8:$F$10,4,FALSE)*C58</f>
        <v>0</v>
      </c>
      <c r="H58" s="523"/>
    </row>
    <row r="59" spans="1:8">
      <c r="A59" s="53" t="str">
        <f>Expenses!A59</f>
        <v>675-5001-3</v>
      </c>
      <c r="B59" s="216" t="str">
        <f>Expenses!C59</f>
        <v>Misc Expense- T&amp;D (Oper)</v>
      </c>
      <c r="C59" s="61">
        <f>Expenses!D59</f>
        <v>0</v>
      </c>
      <c r="D59" s="242" t="s">
        <v>473</v>
      </c>
      <c r="E59" s="307">
        <f>VLOOKUP(D59,'S-Alloc Met-TY'!$C$8:$D$10,2,FALSE)*C59</f>
        <v>0</v>
      </c>
      <c r="F59" s="307">
        <f>VLOOKUP(D59,'S-Alloc Met-TY'!$C$8:$E$10,3,FALSE)*C59</f>
        <v>0</v>
      </c>
      <c r="G59" s="307">
        <f>VLOOKUP(D59,'S-Alloc Met-TY'!$C$8:$F$10,4,FALSE)*C59</f>
        <v>0</v>
      </c>
      <c r="H59" s="523"/>
    </row>
    <row r="60" spans="1:8">
      <c r="A60" s="53" t="str">
        <f>Expenses!A60</f>
        <v>675-6002-3</v>
      </c>
      <c r="B60" s="216" t="str">
        <f>Expenses!C60</f>
        <v>Misc Expense- T&amp;D (Maint)</v>
      </c>
      <c r="C60" s="61">
        <f>Expenses!D60</f>
        <v>0</v>
      </c>
      <c r="D60" s="242" t="s">
        <v>473</v>
      </c>
      <c r="E60" s="307">
        <f>VLOOKUP(D60,'S-Alloc Met-TY'!$C$8:$D$10,2,FALSE)*C60</f>
        <v>0</v>
      </c>
      <c r="F60" s="307">
        <f>VLOOKUP(D60,'S-Alloc Met-TY'!$C$8:$E$10,3,FALSE)*C60</f>
        <v>0</v>
      </c>
      <c r="G60" s="307">
        <f>VLOOKUP(D60,'S-Alloc Met-TY'!$C$8:$F$10,4,FALSE)*C60</f>
        <v>0</v>
      </c>
      <c r="H60" s="523"/>
    </row>
    <row r="61" spans="1:8">
      <c r="A61" s="53" t="str">
        <f>Expenses!A61</f>
        <v>618-6002-3</v>
      </c>
      <c r="B61" s="216" t="str">
        <f>Expenses!C61</f>
        <v>Chemicals</v>
      </c>
      <c r="C61" s="61">
        <f>Expenses!D61</f>
        <v>30983</v>
      </c>
      <c r="D61" s="242" t="s">
        <v>474</v>
      </c>
      <c r="E61" s="307">
        <f>VLOOKUP(D61,'S-Alloc Met-TY'!$C$8:$D$10,2,FALSE)*C61</f>
        <v>27791.883750054843</v>
      </c>
      <c r="F61" s="307">
        <f>VLOOKUP(D61,'S-Alloc Met-TY'!$C$8:$E$10,3,FALSE)*C61</f>
        <v>3191.1162499451552</v>
      </c>
      <c r="G61" s="307">
        <f>VLOOKUP(D61,'S-Alloc Met-TY'!$C$8:$F$10,4,FALSE)*C61</f>
        <v>0</v>
      </c>
      <c r="H61" s="523"/>
    </row>
    <row r="62" spans="1:8">
      <c r="A62" s="53" t="str">
        <f>Expenses!A62</f>
        <v>635-4002-3</v>
      </c>
      <c r="B62" s="216" t="str">
        <f>Expenses!C62</f>
        <v xml:space="preserve">Contract Other- Water (Maint) </v>
      </c>
      <c r="C62" s="61">
        <f>Expenses!D62</f>
        <v>0</v>
      </c>
      <c r="D62" s="242" t="s">
        <v>473</v>
      </c>
      <c r="E62" s="307">
        <f>VLOOKUP(D62,'S-Alloc Met-TY'!$C$8:$D$10,2,FALSE)*C62</f>
        <v>0</v>
      </c>
      <c r="F62" s="307">
        <f>VLOOKUP(D62,'S-Alloc Met-TY'!$C$8:$E$10,3,FALSE)*C62</f>
        <v>0</v>
      </c>
      <c r="G62" s="307">
        <f>VLOOKUP(D62,'S-Alloc Met-TY'!$C$8:$F$10,4,FALSE)*C62</f>
        <v>0</v>
      </c>
      <c r="H62" s="523"/>
    </row>
    <row r="63" spans="1:8">
      <c r="A63" s="53"/>
      <c r="B63" s="216" t="str">
        <f>Expenses!C63</f>
        <v>Payroll Taxes- T&amp;D (Oper)</v>
      </c>
      <c r="C63" s="61">
        <f>Expenses!D63</f>
        <v>5468.1</v>
      </c>
      <c r="D63" s="242" t="s">
        <v>473</v>
      </c>
      <c r="E63" s="307">
        <f>VLOOKUP(D63,'S-Alloc Met-TY'!$C$8:$D$10,2,FALSE)*C63</f>
        <v>5468.1</v>
      </c>
      <c r="F63" s="307">
        <f>VLOOKUP(D63,'S-Alloc Met-TY'!$C$8:$E$10,3,FALSE)*C63</f>
        <v>0</v>
      </c>
      <c r="G63" s="307">
        <f>VLOOKUP(D63,'S-Alloc Met-TY'!$C$8:$F$10,4,FALSE)*C63</f>
        <v>0</v>
      </c>
      <c r="H63" s="523"/>
    </row>
    <row r="64" spans="1:8">
      <c r="A64" s="53"/>
      <c r="B64" s="216" t="str">
        <f>Expenses!C64</f>
        <v>Wages (OH)- T&amp;D (Oper)</v>
      </c>
      <c r="C64" s="61">
        <f>Expenses!D64</f>
        <v>9694.7999999999993</v>
      </c>
      <c r="D64" s="242" t="s">
        <v>473</v>
      </c>
      <c r="E64" s="307">
        <f>VLOOKUP(D64,'S-Alloc Met-TY'!$C$8:$D$10,2,FALSE)*C64</f>
        <v>9694.7999999999993</v>
      </c>
      <c r="F64" s="307">
        <f>VLOOKUP(D64,'S-Alloc Met-TY'!$C$8:$E$10,3,FALSE)*C64</f>
        <v>0</v>
      </c>
      <c r="G64" s="307">
        <f>VLOOKUP(D64,'S-Alloc Met-TY'!$C$8:$F$10,4,FALSE)*C64</f>
        <v>0</v>
      </c>
      <c r="H64" s="523"/>
    </row>
    <row r="65" spans="1:8">
      <c r="A65" s="53"/>
      <c r="B65" s="216" t="str">
        <f>Expenses!C65</f>
        <v>Worker's Compensation- T&amp;D (Oper)</v>
      </c>
      <c r="C65" s="61">
        <f>Expenses!D65</f>
        <v>355.53</v>
      </c>
      <c r="D65" s="242" t="s">
        <v>473</v>
      </c>
      <c r="E65" s="307">
        <f>VLOOKUP(D65,'S-Alloc Met-TY'!$C$8:$D$10,2,FALSE)*C65</f>
        <v>355.53</v>
      </c>
      <c r="F65" s="307">
        <f>VLOOKUP(D65,'S-Alloc Met-TY'!$C$8:$E$10,3,FALSE)*C65</f>
        <v>0</v>
      </c>
      <c r="G65" s="307">
        <f>VLOOKUP(D65,'S-Alloc Met-TY'!$C$8:$F$10,4,FALSE)*C65</f>
        <v>0</v>
      </c>
      <c r="H65" s="523"/>
    </row>
    <row r="66" spans="1:8">
      <c r="A66" s="53"/>
      <c r="B66" s="216" t="str">
        <f>Expenses!C66</f>
        <v>Fringe Benefits- Insurance- T&amp;D (Oper)</v>
      </c>
      <c r="C66" s="61">
        <f>Expenses!D66</f>
        <v>7669.29</v>
      </c>
      <c r="D66" s="242" t="s">
        <v>473</v>
      </c>
      <c r="E66" s="307">
        <f>VLOOKUP(D66,'S-Alloc Met-TY'!$C$8:$D$10,2,FALSE)*C66</f>
        <v>7669.29</v>
      </c>
      <c r="F66" s="307">
        <f>VLOOKUP(D66,'S-Alloc Met-TY'!$C$8:$E$10,3,FALSE)*C66</f>
        <v>0</v>
      </c>
      <c r="G66" s="307">
        <f>VLOOKUP(D66,'S-Alloc Met-TY'!$C$8:$F$10,4,FALSE)*C66</f>
        <v>0</v>
      </c>
      <c r="H66" s="523"/>
    </row>
    <row r="67" spans="1:8">
      <c r="A67" s="53"/>
      <c r="B67" s="216" t="str">
        <f>Expenses!C67</f>
        <v>Retirement- T&amp;D (Oper)</v>
      </c>
      <c r="C67" s="61">
        <f>Expenses!D67</f>
        <v>12704.27</v>
      </c>
      <c r="D67" s="242" t="s">
        <v>473</v>
      </c>
      <c r="E67" s="307">
        <f>VLOOKUP(D67,'S-Alloc Met-TY'!$C$8:$D$10,2,FALSE)*C67</f>
        <v>12704.27</v>
      </c>
      <c r="F67" s="307">
        <f>VLOOKUP(D67,'S-Alloc Met-TY'!$C$8:$E$10,3,FALSE)*C67</f>
        <v>0</v>
      </c>
      <c r="G67" s="307">
        <f>VLOOKUP(D67,'S-Alloc Met-TY'!$C$8:$F$10,4,FALSE)*C67</f>
        <v>0</v>
      </c>
      <c r="H67" s="523"/>
    </row>
    <row r="68" spans="1:8">
      <c r="A68" s="53"/>
      <c r="B68" s="216" t="str">
        <f>Expenses!C68</f>
        <v>Payroll Taxes- T&amp;D (Maint)</v>
      </c>
      <c r="C68" s="61">
        <f>Expenses!D68</f>
        <v>6260.62</v>
      </c>
      <c r="D68" s="242" t="s">
        <v>473</v>
      </c>
      <c r="E68" s="307">
        <f>VLOOKUP(D68,'S-Alloc Met-TY'!$C$8:$D$10,2,FALSE)*C68</f>
        <v>6260.62</v>
      </c>
      <c r="F68" s="307">
        <f>VLOOKUP(D68,'S-Alloc Met-TY'!$C$8:$E$10,3,FALSE)*C68</f>
        <v>0</v>
      </c>
      <c r="G68" s="307">
        <f>VLOOKUP(D68,'S-Alloc Met-TY'!$C$8:$F$10,4,FALSE)*C68</f>
        <v>0</v>
      </c>
      <c r="H68" s="523"/>
    </row>
    <row r="69" spans="1:8">
      <c r="A69" s="53"/>
      <c r="B69" s="216" t="str">
        <f>Expenses!C69</f>
        <v>Wages (OH)- T&amp;D (Maint)</v>
      </c>
      <c r="C69" s="61">
        <f>Expenses!D69</f>
        <v>11099.92</v>
      </c>
      <c r="D69" s="242" t="s">
        <v>473</v>
      </c>
      <c r="E69" s="307">
        <f>VLOOKUP(D69,'S-Alloc Met-TY'!$C$8:$D$10,2,FALSE)*C69</f>
        <v>11099.92</v>
      </c>
      <c r="F69" s="307">
        <f>VLOOKUP(D69,'S-Alloc Met-TY'!$C$8:$E$10,3,FALSE)*C69</f>
        <v>0</v>
      </c>
      <c r="G69" s="307">
        <f>VLOOKUP(D69,'S-Alloc Met-TY'!$C$8:$F$10,4,FALSE)*C69</f>
        <v>0</v>
      </c>
      <c r="H69" s="523"/>
    </row>
    <row r="70" spans="1:8">
      <c r="A70" s="53"/>
      <c r="B70" s="216" t="str">
        <f>Expenses!C70</f>
        <v>Worker's Compensation- T&amp;D (Maint)</v>
      </c>
      <c r="C70" s="61">
        <f>Expenses!D70</f>
        <v>407.06</v>
      </c>
      <c r="D70" s="242" t="s">
        <v>473</v>
      </c>
      <c r="E70" s="307">
        <f>VLOOKUP(D70,'S-Alloc Met-TY'!$C$8:$D$10,2,FALSE)*C70</f>
        <v>407.06</v>
      </c>
      <c r="F70" s="307">
        <f>VLOOKUP(D70,'S-Alloc Met-TY'!$C$8:$E$10,3,FALSE)*C70</f>
        <v>0</v>
      </c>
      <c r="G70" s="307">
        <f>VLOOKUP(D70,'S-Alloc Met-TY'!$C$8:$F$10,4,FALSE)*C70</f>
        <v>0</v>
      </c>
      <c r="H70" s="523"/>
    </row>
    <row r="71" spans="1:8">
      <c r="A71" s="53"/>
      <c r="B71" s="216" t="str">
        <f>Expenses!C71</f>
        <v>Fringe Benefits- Insurance- T&amp;D (Maint)</v>
      </c>
      <c r="C71" s="61">
        <f>Expenses!D71</f>
        <v>8780.84</v>
      </c>
      <c r="D71" s="242" t="s">
        <v>473</v>
      </c>
      <c r="E71" s="307">
        <f>VLOOKUP(D71,'S-Alloc Met-TY'!$C$8:$D$10,2,FALSE)*C71</f>
        <v>8780.84</v>
      </c>
      <c r="F71" s="307">
        <f>VLOOKUP(D71,'S-Alloc Met-TY'!$C$8:$E$10,3,FALSE)*C71</f>
        <v>0</v>
      </c>
      <c r="G71" s="307">
        <f>VLOOKUP(D71,'S-Alloc Met-TY'!$C$8:$F$10,4,FALSE)*C71</f>
        <v>0</v>
      </c>
      <c r="H71" s="523"/>
    </row>
    <row r="72" spans="1:8">
      <c r="A72" s="53"/>
      <c r="B72" s="216" t="str">
        <f>Expenses!C72</f>
        <v>Retirement- T&amp;D (Maint)</v>
      </c>
      <c r="C72" s="61">
        <f>Expenses!D72</f>
        <v>14545.56</v>
      </c>
      <c r="D72" s="242" t="s">
        <v>473</v>
      </c>
      <c r="E72" s="307">
        <f>VLOOKUP(D72,'S-Alloc Met-TY'!$C$8:$D$10,2,FALSE)*C72</f>
        <v>14545.56</v>
      </c>
      <c r="F72" s="307">
        <f>VLOOKUP(D72,'S-Alloc Met-TY'!$C$8:$E$10,3,FALSE)*C72</f>
        <v>0</v>
      </c>
      <c r="G72" s="307">
        <f>VLOOKUP(D72,'S-Alloc Met-TY'!$C$8:$F$10,4,FALSE)*C72</f>
        <v>0</v>
      </c>
      <c r="H72" s="523"/>
    </row>
    <row r="73" spans="1:8">
      <c r="A73" s="793"/>
      <c r="B73" s="290" t="s">
        <v>30</v>
      </c>
      <c r="C73" s="291">
        <f>SUM(C39:C72)</f>
        <v>436972.99</v>
      </c>
      <c r="D73" s="291"/>
      <c r="E73" s="291">
        <f>SUM(E39:E72)</f>
        <v>433781.87375005486</v>
      </c>
      <c r="F73" s="291">
        <f>SUM(F39:F72)</f>
        <v>3191.1162499451552</v>
      </c>
      <c r="G73" s="291">
        <f>SUM(G39:G72)</f>
        <v>0</v>
      </c>
      <c r="H73" s="523"/>
    </row>
    <row r="74" spans="1:8">
      <c r="A74" s="53"/>
      <c r="B74" s="218"/>
      <c r="C74" s="142"/>
      <c r="H74" s="523"/>
    </row>
    <row r="75" spans="1:8">
      <c r="A75" s="53"/>
      <c r="B75" s="217" t="s">
        <v>202</v>
      </c>
      <c r="C75" s="259"/>
      <c r="D75" s="148"/>
      <c r="E75" s="148"/>
      <c r="F75" s="148"/>
      <c r="G75" s="148"/>
      <c r="H75" s="523"/>
    </row>
    <row r="76" spans="1:8">
      <c r="A76" s="53" t="str">
        <f>Expenses!A76</f>
        <v>601-7001-3</v>
      </c>
      <c r="B76" s="216" t="str">
        <f>Expenses!C76</f>
        <v>Wages</v>
      </c>
      <c r="C76" s="61">
        <f>Expenses!D76</f>
        <v>85005</v>
      </c>
      <c r="D76" s="242" t="s">
        <v>473</v>
      </c>
      <c r="E76" s="307">
        <f>VLOOKUP(D76,'S-Alloc Met-TY'!$C$8:$D$10,2,FALSE)*C76</f>
        <v>85005</v>
      </c>
      <c r="F76" s="307">
        <f>VLOOKUP(D76,'S-Alloc Met-TY'!$C$8:$E$10,3,FALSE)*C76</f>
        <v>0</v>
      </c>
      <c r="G76" s="307">
        <f>VLOOKUP(D76,'S-Alloc Met-TY'!$C$8:$F$10,4,FALSE)*C76</f>
        <v>0</v>
      </c>
      <c r="H76" s="17"/>
    </row>
    <row r="77" spans="1:8">
      <c r="A77" s="53" t="str">
        <f>Expenses!A77</f>
        <v>604-7001-3</v>
      </c>
      <c r="B77" s="216" t="str">
        <f>Expenses!C77</f>
        <v>Employee Overhead</v>
      </c>
      <c r="C77" s="61">
        <f>Expenses!D77</f>
        <v>0</v>
      </c>
      <c r="D77" s="242" t="s">
        <v>473</v>
      </c>
      <c r="E77" s="307">
        <f>VLOOKUP(D77,'S-Alloc Met-TY'!$C$8:$D$10,2,FALSE)*C77</f>
        <v>0</v>
      </c>
      <c r="F77" s="307">
        <f>VLOOKUP(D77,'S-Alloc Met-TY'!$C$8:$E$10,3,FALSE)*C77</f>
        <v>0</v>
      </c>
      <c r="G77" s="307">
        <f>VLOOKUP(D77,'S-Alloc Met-TY'!$C$8:$F$10,4,FALSE)*C77</f>
        <v>0</v>
      </c>
      <c r="H77" s="17"/>
    </row>
    <row r="78" spans="1:8">
      <c r="A78" s="53" t="str">
        <f>Expenses!A78</f>
        <v>620-7001-3</v>
      </c>
      <c r="B78" s="216" t="str">
        <f>Expenses!C78</f>
        <v xml:space="preserve">Materials &amp; Supplies </v>
      </c>
      <c r="C78" s="61">
        <f>Expenses!D78</f>
        <v>454</v>
      </c>
      <c r="D78" s="242" t="s">
        <v>473</v>
      </c>
      <c r="E78" s="307">
        <f>VLOOKUP(D78,'S-Alloc Met-TY'!$C$8:$D$10,2,FALSE)*C78</f>
        <v>454</v>
      </c>
      <c r="F78" s="307">
        <f>VLOOKUP(D78,'S-Alloc Met-TY'!$C$8:$E$10,3,FALSE)*C78</f>
        <v>0</v>
      </c>
      <c r="G78" s="307">
        <f>VLOOKUP(D78,'S-Alloc Met-TY'!$C$8:$F$10,4,FALSE)*C78</f>
        <v>0</v>
      </c>
      <c r="H78" s="523"/>
    </row>
    <row r="79" spans="1:8">
      <c r="A79" s="53" t="str">
        <f>Expenses!A79</f>
        <v>631-7001-3</v>
      </c>
      <c r="B79" s="216" t="str">
        <f>Expenses!C79</f>
        <v xml:space="preserve">Contract Engineering </v>
      </c>
      <c r="C79" s="61">
        <f>Expenses!D79</f>
        <v>0</v>
      </c>
      <c r="D79" s="242" t="s">
        <v>473</v>
      </c>
      <c r="E79" s="307">
        <f>VLOOKUP(D79,'S-Alloc Met-TY'!$C$8:$D$10,2,FALSE)*C79</f>
        <v>0</v>
      </c>
      <c r="F79" s="307">
        <f>VLOOKUP(D79,'S-Alloc Met-TY'!$C$8:$E$10,3,FALSE)*C79</f>
        <v>0</v>
      </c>
      <c r="G79" s="307">
        <f>VLOOKUP(D79,'S-Alloc Met-TY'!$C$8:$F$10,4,FALSE)*C79</f>
        <v>0</v>
      </c>
      <c r="H79" s="523"/>
    </row>
    <row r="80" spans="1:8">
      <c r="A80" s="53" t="str">
        <f>Expenses!A80</f>
        <v>632-7001-3</v>
      </c>
      <c r="B80" s="216" t="str">
        <f>Expenses!C80</f>
        <v>Contract Accounting</v>
      </c>
      <c r="C80" s="61">
        <f>Expenses!D80</f>
        <v>3500</v>
      </c>
      <c r="D80" s="242" t="s">
        <v>473</v>
      </c>
      <c r="E80" s="307">
        <f>VLOOKUP(D80,'S-Alloc Met-TY'!$C$8:$D$10,2,FALSE)*C80</f>
        <v>3500</v>
      </c>
      <c r="F80" s="307">
        <f>VLOOKUP(D80,'S-Alloc Met-TY'!$C$8:$E$10,3,FALSE)*C80</f>
        <v>0</v>
      </c>
      <c r="G80" s="307">
        <f>VLOOKUP(D80,'S-Alloc Met-TY'!$C$8:$F$10,4,FALSE)*C80</f>
        <v>0</v>
      </c>
      <c r="H80" s="523"/>
    </row>
    <row r="81" spans="1:8">
      <c r="A81" s="53" t="str">
        <f>Expenses!A81</f>
        <v>633-7001-3</v>
      </c>
      <c r="B81" s="216" t="str">
        <f>Expenses!C81</f>
        <v>Contract Legal</v>
      </c>
      <c r="C81" s="61">
        <f>Expenses!D81</f>
        <v>0</v>
      </c>
      <c r="D81" s="242" t="s">
        <v>473</v>
      </c>
      <c r="E81" s="307">
        <f>VLOOKUP(D81,'S-Alloc Met-TY'!$C$8:$D$10,2,FALSE)*C81</f>
        <v>0</v>
      </c>
      <c r="F81" s="307">
        <f>VLOOKUP(D81,'S-Alloc Met-TY'!$C$8:$E$10,3,FALSE)*C81</f>
        <v>0</v>
      </c>
      <c r="G81" s="307">
        <f>VLOOKUP(D81,'S-Alloc Met-TY'!$C$8:$F$10,4,FALSE)*C81</f>
        <v>0</v>
      </c>
      <c r="H81" s="523"/>
    </row>
    <row r="82" spans="1:8">
      <c r="A82" s="53" t="str">
        <f>Expenses!A82</f>
        <v>635-7001-3</v>
      </c>
      <c r="B82" s="216" t="str">
        <f>Expenses!C82</f>
        <v>Contract Other</v>
      </c>
      <c r="C82" s="61">
        <f>Expenses!D82</f>
        <v>63808</v>
      </c>
      <c r="D82" s="242" t="s">
        <v>473</v>
      </c>
      <c r="E82" s="307">
        <f>VLOOKUP(D82,'S-Alloc Met-TY'!$C$8:$D$10,2,FALSE)*C82</f>
        <v>63808</v>
      </c>
      <c r="F82" s="307">
        <f>VLOOKUP(D82,'S-Alloc Met-TY'!$C$8:$E$10,3,FALSE)*C82</f>
        <v>0</v>
      </c>
      <c r="G82" s="307">
        <f>VLOOKUP(D82,'S-Alloc Met-TY'!$C$8:$F$10,4,FALSE)*C82</f>
        <v>0</v>
      </c>
      <c r="H82" s="523"/>
    </row>
    <row r="83" spans="1:8">
      <c r="A83" s="53" t="str">
        <f>Expenses!A83</f>
        <v>641-7001-3</v>
      </c>
      <c r="B83" s="216" t="str">
        <f>Expenses!C83</f>
        <v xml:space="preserve">Rent &amp; Utilities </v>
      </c>
      <c r="C83" s="61">
        <f>Expenses!D83</f>
        <v>0</v>
      </c>
      <c r="D83" s="242" t="s">
        <v>473</v>
      </c>
      <c r="E83" s="307">
        <f>VLOOKUP(D83,'S-Alloc Met-TY'!$C$8:$D$10,2,FALSE)*C83</f>
        <v>0</v>
      </c>
      <c r="F83" s="307">
        <f>VLOOKUP(D83,'S-Alloc Met-TY'!$C$8:$E$10,3,FALSE)*C83</f>
        <v>0</v>
      </c>
      <c r="G83" s="307">
        <f>VLOOKUP(D83,'S-Alloc Met-TY'!$C$8:$F$10,4,FALSE)*C83</f>
        <v>0</v>
      </c>
      <c r="H83" s="523"/>
    </row>
    <row r="84" spans="1:8">
      <c r="A84" s="53" t="str">
        <f>Expenses!A84</f>
        <v>641-7011-3</v>
      </c>
      <c r="B84" s="216" t="str">
        <f>Expenses!C84</f>
        <v xml:space="preserve">Rent &amp; Utilities </v>
      </c>
      <c r="C84" s="61">
        <f>Expenses!D84</f>
        <v>0</v>
      </c>
      <c r="D84" s="242" t="s">
        <v>473</v>
      </c>
      <c r="E84" s="307">
        <f>VLOOKUP(D84,'S-Alloc Met-TY'!$C$8:$D$10,2,FALSE)*C84</f>
        <v>0</v>
      </c>
      <c r="F84" s="307">
        <f>VLOOKUP(D84,'S-Alloc Met-TY'!$C$8:$E$10,3,FALSE)*C84</f>
        <v>0</v>
      </c>
      <c r="G84" s="307">
        <f>VLOOKUP(D84,'S-Alloc Met-TY'!$C$8:$F$10,4,FALSE)*C84</f>
        <v>0</v>
      </c>
      <c r="H84" s="523"/>
    </row>
    <row r="85" spans="1:8">
      <c r="A85" s="53" t="str">
        <f>Expenses!A85</f>
        <v>650-7001-3</v>
      </c>
      <c r="B85" s="216" t="str">
        <f>Expenses!C85</f>
        <v>Equipment Expenses</v>
      </c>
      <c r="C85" s="61">
        <f>Expenses!D85</f>
        <v>32</v>
      </c>
      <c r="D85" s="242" t="s">
        <v>473</v>
      </c>
      <c r="E85" s="307">
        <f>VLOOKUP(D85,'S-Alloc Met-TY'!$C$8:$D$10,2,FALSE)*C85</f>
        <v>32</v>
      </c>
      <c r="F85" s="307">
        <f>VLOOKUP(D85,'S-Alloc Met-TY'!$C$8:$E$10,3,FALSE)*C85</f>
        <v>0</v>
      </c>
      <c r="G85" s="307">
        <f>VLOOKUP(D85,'S-Alloc Met-TY'!$C$8:$F$10,4,FALSE)*C85</f>
        <v>0</v>
      </c>
      <c r="H85" s="523"/>
    </row>
    <row r="86" spans="1:8">
      <c r="A86" s="53" t="str">
        <f>Expenses!A86</f>
        <v>657-7001-3</v>
      </c>
      <c r="B86" s="216" t="str">
        <f>Expenses!C86</f>
        <v>Insurance G/L</v>
      </c>
      <c r="C86" s="61">
        <f>Expenses!D86</f>
        <v>3344</v>
      </c>
      <c r="D86" s="242" t="s">
        <v>473</v>
      </c>
      <c r="E86" s="307">
        <f>VLOOKUP(D86,'S-Alloc Met-TY'!$C$8:$D$10,2,FALSE)*C86</f>
        <v>3344</v>
      </c>
      <c r="F86" s="307">
        <f>VLOOKUP(D86,'S-Alloc Met-TY'!$C$8:$E$10,3,FALSE)*C86</f>
        <v>0</v>
      </c>
      <c r="G86" s="307">
        <f>VLOOKUP(D86,'S-Alloc Met-TY'!$C$8:$F$10,4,FALSE)*C86</f>
        <v>0</v>
      </c>
      <c r="H86" s="523"/>
    </row>
    <row r="87" spans="1:8">
      <c r="A87" s="53" t="str">
        <f>Expenses!A87</f>
        <v>675-7001-3</v>
      </c>
      <c r="B87" s="216" t="str">
        <f>Expenses!C87</f>
        <v>Misc Expense</v>
      </c>
      <c r="C87" s="61">
        <f>Expenses!D87</f>
        <v>0</v>
      </c>
      <c r="D87" s="242" t="s">
        <v>473</v>
      </c>
      <c r="E87" s="307">
        <f>VLOOKUP(D87,'S-Alloc Met-TY'!$C$8:$D$10,2,FALSE)*C87</f>
        <v>0</v>
      </c>
      <c r="F87" s="307">
        <f>VLOOKUP(D87,'S-Alloc Met-TY'!$C$8:$E$10,3,FALSE)*C87</f>
        <v>0</v>
      </c>
      <c r="G87" s="307">
        <f>VLOOKUP(D87,'S-Alloc Met-TY'!$C$8:$F$10,4,FALSE)*C87</f>
        <v>0</v>
      </c>
      <c r="H87" s="523"/>
    </row>
    <row r="88" spans="1:8">
      <c r="A88" s="53"/>
      <c r="B88" s="216" t="str">
        <f>Expenses!C88</f>
        <v>Payroll Taxes</v>
      </c>
      <c r="C88" s="61">
        <f>Expenses!D88</f>
        <v>7338.34</v>
      </c>
      <c r="D88" s="242" t="s">
        <v>473</v>
      </c>
      <c r="E88" s="307">
        <f>VLOOKUP(D88,'S-Alloc Met-TY'!$C$8:$D$10,2,FALSE)*C88</f>
        <v>7338.34</v>
      </c>
      <c r="F88" s="307">
        <f>VLOOKUP(D88,'S-Alloc Met-TY'!$C$8:$E$10,3,FALSE)*C88</f>
        <v>0</v>
      </c>
      <c r="G88" s="307">
        <f>VLOOKUP(D88,'S-Alloc Met-TY'!$C$8:$F$10,4,FALSE)*C88</f>
        <v>0</v>
      </c>
      <c r="H88" s="523"/>
    </row>
    <row r="89" spans="1:8">
      <c r="A89" s="53"/>
      <c r="B89" s="216" t="str">
        <f>Expenses!C89</f>
        <v>Wages</v>
      </c>
      <c r="C89" s="61">
        <f>Expenses!D89</f>
        <v>13010.68</v>
      </c>
      <c r="D89" s="242" t="s">
        <v>473</v>
      </c>
      <c r="E89" s="307">
        <f>VLOOKUP(D89,'S-Alloc Met-TY'!$C$8:$D$10,2,FALSE)*C89</f>
        <v>13010.68</v>
      </c>
      <c r="F89" s="307">
        <f>VLOOKUP(D89,'S-Alloc Met-TY'!$C$8:$E$10,3,FALSE)*C89</f>
        <v>0</v>
      </c>
      <c r="G89" s="307">
        <f>VLOOKUP(D89,'S-Alloc Met-TY'!$C$8:$F$10,4,FALSE)*C89</f>
        <v>0</v>
      </c>
      <c r="H89" s="523"/>
    </row>
    <row r="90" spans="1:8">
      <c r="A90" s="53"/>
      <c r="B90" s="216" t="str">
        <f>Expenses!C90</f>
        <v>Worker's Compensation</v>
      </c>
      <c r="C90" s="61">
        <f>Expenses!D90</f>
        <v>477.14</v>
      </c>
      <c r="D90" s="242" t="s">
        <v>473</v>
      </c>
      <c r="E90" s="307">
        <f>VLOOKUP(D90,'S-Alloc Met-TY'!$C$8:$D$10,2,FALSE)*C90</f>
        <v>477.14</v>
      </c>
      <c r="F90" s="307">
        <f>VLOOKUP(D90,'S-Alloc Met-TY'!$C$8:$E$10,3,FALSE)*C90</f>
        <v>0</v>
      </c>
      <c r="G90" s="307">
        <f>VLOOKUP(D90,'S-Alloc Met-TY'!$C$8:$F$10,4,FALSE)*C90</f>
        <v>0</v>
      </c>
      <c r="H90" s="523"/>
    </row>
    <row r="91" spans="1:8">
      <c r="A91" s="53"/>
      <c r="B91" s="216" t="str">
        <f>Expenses!C91</f>
        <v xml:space="preserve">Fringe Benefits- Insurance </v>
      </c>
      <c r="C91" s="61">
        <f>Expenses!D91</f>
        <v>10292.39</v>
      </c>
      <c r="D91" s="242" t="s">
        <v>473</v>
      </c>
      <c r="E91" s="307">
        <f>VLOOKUP(D91,'S-Alloc Met-TY'!$C$8:$D$10,2,FALSE)*C91</f>
        <v>10292.39</v>
      </c>
      <c r="F91" s="307">
        <f>VLOOKUP(D91,'S-Alloc Met-TY'!$C$8:$E$10,3,FALSE)*C91</f>
        <v>0</v>
      </c>
      <c r="G91" s="307">
        <f>VLOOKUP(D91,'S-Alloc Met-TY'!$C$8:$F$10,4,FALSE)*C91</f>
        <v>0</v>
      </c>
      <c r="H91" s="523"/>
    </row>
    <row r="92" spans="1:8">
      <c r="A92" s="53"/>
      <c r="B92" s="216" t="str">
        <f>Expenses!C92</f>
        <v xml:space="preserve">Retirement </v>
      </c>
      <c r="C92" s="61">
        <f>Expenses!D92</f>
        <v>17049.46</v>
      </c>
      <c r="D92" s="242" t="s">
        <v>473</v>
      </c>
      <c r="E92" s="307">
        <f>VLOOKUP(D92,'S-Alloc Met-TY'!$C$8:$D$10,2,FALSE)*C92</f>
        <v>17049.46</v>
      </c>
      <c r="F92" s="307">
        <f>VLOOKUP(D92,'S-Alloc Met-TY'!$C$8:$E$10,3,FALSE)*C92</f>
        <v>0</v>
      </c>
      <c r="G92" s="307">
        <f>VLOOKUP(D92,'S-Alloc Met-TY'!$C$8:$F$10,4,FALSE)*C92</f>
        <v>0</v>
      </c>
      <c r="H92" s="523"/>
    </row>
    <row r="93" spans="1:8">
      <c r="A93" s="53"/>
      <c r="B93" s="216" t="str">
        <f>Expenses!C93</f>
        <v>-</v>
      </c>
      <c r="C93" s="61">
        <f>Expenses!D93</f>
        <v>0</v>
      </c>
      <c r="D93" s="241" t="s">
        <v>473</v>
      </c>
      <c r="E93" s="308">
        <f>VLOOKUP(D93,'S-Alloc Met-TY'!$C$8:$D$10,2,FALSE)*C93</f>
        <v>0</v>
      </c>
      <c r="F93" s="308">
        <f>VLOOKUP(D93,'S-Alloc Met-TY'!$C$8:$E$10,3,FALSE)*C93</f>
        <v>0</v>
      </c>
      <c r="G93" s="308">
        <f>VLOOKUP(D93,'S-Alloc Met-TY'!$C$8:$F$10,4,FALSE)*C93</f>
        <v>0</v>
      </c>
      <c r="H93" s="523"/>
    </row>
    <row r="94" spans="1:8">
      <c r="A94" s="793"/>
      <c r="B94" s="290" t="s">
        <v>30</v>
      </c>
      <c r="C94" s="291">
        <f>SUM(C76:C93)</f>
        <v>204311.00999999998</v>
      </c>
      <c r="D94" s="291"/>
      <c r="E94" s="291">
        <f>SUM(E76:E93)</f>
        <v>204311.00999999998</v>
      </c>
      <c r="F94" s="291">
        <f>SUM(F76:F93)</f>
        <v>0</v>
      </c>
      <c r="G94" s="291">
        <f>SUM(G76:G93)</f>
        <v>0</v>
      </c>
      <c r="H94" s="523"/>
    </row>
    <row r="95" spans="1:8">
      <c r="A95" s="53"/>
      <c r="B95" s="219"/>
      <c r="C95" s="142"/>
      <c r="H95" s="523"/>
    </row>
    <row r="96" spans="1:8">
      <c r="A96" s="53"/>
      <c r="B96" s="217" t="s">
        <v>230</v>
      </c>
      <c r="C96" s="259"/>
      <c r="D96" s="148"/>
      <c r="E96" s="148"/>
      <c r="F96" s="148"/>
      <c r="G96" s="148"/>
      <c r="H96" s="523"/>
    </row>
    <row r="97" spans="1:8">
      <c r="A97" s="53" t="str">
        <f>Expenses!A97</f>
        <v>601-8001-3</v>
      </c>
      <c r="B97" s="216" t="str">
        <f>Expenses!C97</f>
        <v>Wages</v>
      </c>
      <c r="C97" s="61">
        <f>Expenses!D97</f>
        <v>95687</v>
      </c>
      <c r="D97" s="242" t="s">
        <v>473</v>
      </c>
      <c r="E97" s="307">
        <f>VLOOKUP(D97,'S-Alloc Met-TY'!$C$8:$D$10,2,FALSE)*C97</f>
        <v>95687</v>
      </c>
      <c r="F97" s="307">
        <f>VLOOKUP(D97,'S-Alloc Met-TY'!$C$8:$E$10,3,FALSE)*C97</f>
        <v>0</v>
      </c>
      <c r="G97" s="307">
        <f>VLOOKUP(D97,'S-Alloc Met-TY'!$C$8:$F$10,4,FALSE)*C97</f>
        <v>0</v>
      </c>
      <c r="H97" s="17"/>
    </row>
    <row r="98" spans="1:8">
      <c r="A98" s="53" t="str">
        <f>Expenses!A98</f>
        <v>604-8001-3</v>
      </c>
      <c r="B98" s="216" t="str">
        <f>Expenses!C98</f>
        <v>Employee Overhead</v>
      </c>
      <c r="C98" s="61">
        <f>Expenses!D98</f>
        <v>0</v>
      </c>
      <c r="D98" s="242" t="s">
        <v>473</v>
      </c>
      <c r="E98" s="307">
        <f>VLOOKUP(D98,'S-Alloc Met-TY'!$C$8:$D$10,2,FALSE)*C98</f>
        <v>0</v>
      </c>
      <c r="F98" s="307">
        <f>VLOOKUP(D98,'S-Alloc Met-TY'!$C$8:$E$10,3,FALSE)*C98</f>
        <v>0</v>
      </c>
      <c r="G98" s="307">
        <f>VLOOKUP(D98,'S-Alloc Met-TY'!$C$8:$F$10,4,FALSE)*C98</f>
        <v>0</v>
      </c>
      <c r="H98" s="17"/>
    </row>
    <row r="99" spans="1:8">
      <c r="A99" s="53" t="str">
        <f>Expenses!A99</f>
        <v>620-8001-3</v>
      </c>
      <c r="B99" s="216" t="str">
        <f>Expenses!C99</f>
        <v xml:space="preserve">Materials &amp; Supplies </v>
      </c>
      <c r="C99" s="61">
        <f>Expenses!D99</f>
        <v>7022</v>
      </c>
      <c r="D99" s="242" t="s">
        <v>473</v>
      </c>
      <c r="E99" s="307">
        <f>VLOOKUP(D99,'S-Alloc Met-TY'!$C$8:$D$10,2,FALSE)*C99</f>
        <v>7022</v>
      </c>
      <c r="F99" s="307">
        <f>VLOOKUP(D99,'S-Alloc Met-TY'!$C$8:$E$10,3,FALSE)*C99</f>
        <v>0</v>
      </c>
      <c r="G99" s="307">
        <f>VLOOKUP(D99,'S-Alloc Met-TY'!$C$8:$F$10,4,FALSE)*C99</f>
        <v>0</v>
      </c>
      <c r="H99" s="523"/>
    </row>
    <row r="100" spans="1:8">
      <c r="A100" s="53" t="str">
        <f>Expenses!A100</f>
        <v>632-8001-3</v>
      </c>
      <c r="B100" s="216" t="str">
        <f>Expenses!C100</f>
        <v>Contract Accounting</v>
      </c>
      <c r="C100" s="61">
        <f>Expenses!D100</f>
        <v>3500</v>
      </c>
      <c r="D100" s="242" t="s">
        <v>473</v>
      </c>
      <c r="E100" s="307">
        <f>VLOOKUP(D100,'S-Alloc Met-TY'!$C$8:$D$10,2,FALSE)*C100</f>
        <v>3500</v>
      </c>
      <c r="F100" s="307">
        <f>VLOOKUP(D100,'S-Alloc Met-TY'!$C$8:$E$10,3,FALSE)*C100</f>
        <v>0</v>
      </c>
      <c r="G100" s="307">
        <f>VLOOKUP(D100,'S-Alloc Met-TY'!$C$8:$F$10,4,FALSE)*C100</f>
        <v>0</v>
      </c>
      <c r="H100" s="523"/>
    </row>
    <row r="101" spans="1:8">
      <c r="A101" s="53" t="str">
        <f>Expenses!A101</f>
        <v>633-8001-3</v>
      </c>
      <c r="B101" s="216" t="str">
        <f>Expenses!C101</f>
        <v>Contract Legal</v>
      </c>
      <c r="C101" s="61">
        <f>Expenses!D101</f>
        <v>5136</v>
      </c>
      <c r="D101" s="242" t="s">
        <v>473</v>
      </c>
      <c r="E101" s="307">
        <f>VLOOKUP(D101,'S-Alloc Met-TY'!$C$8:$D$10,2,FALSE)*C101</f>
        <v>5136</v>
      </c>
      <c r="F101" s="307">
        <f>VLOOKUP(D101,'S-Alloc Met-TY'!$C$8:$E$10,3,FALSE)*C101</f>
        <v>0</v>
      </c>
      <c r="G101" s="307">
        <f>VLOOKUP(D101,'S-Alloc Met-TY'!$C$8:$F$10,4,FALSE)*C101</f>
        <v>0</v>
      </c>
      <c r="H101" s="523"/>
    </row>
    <row r="102" spans="1:8">
      <c r="A102" s="53" t="str">
        <f>Expenses!A102</f>
        <v>635-8001-3</v>
      </c>
      <c r="B102" s="216" t="str">
        <f>Expenses!C102</f>
        <v>Contract Other</v>
      </c>
      <c r="C102" s="61">
        <f>Expenses!D102</f>
        <v>67075</v>
      </c>
      <c r="D102" s="242" t="s">
        <v>473</v>
      </c>
      <c r="E102" s="307">
        <f>VLOOKUP(D102,'S-Alloc Met-TY'!$C$8:$D$10,2,FALSE)*C102</f>
        <v>67075</v>
      </c>
      <c r="F102" s="307">
        <f>VLOOKUP(D102,'S-Alloc Met-TY'!$C$8:$E$10,3,FALSE)*C102</f>
        <v>0</v>
      </c>
      <c r="G102" s="307">
        <f>VLOOKUP(D102,'S-Alloc Met-TY'!$C$8:$F$10,4,FALSE)*C102</f>
        <v>0</v>
      </c>
      <c r="H102" s="523"/>
    </row>
    <row r="103" spans="1:8">
      <c r="A103" s="53" t="str">
        <f>Expenses!A103</f>
        <v>641-8001-3</v>
      </c>
      <c r="B103" s="216" t="str">
        <f>Expenses!C103</f>
        <v xml:space="preserve">Rent &amp; Utilities </v>
      </c>
      <c r="C103" s="61">
        <f>Expenses!D103</f>
        <v>0</v>
      </c>
      <c r="D103" s="242" t="s">
        <v>473</v>
      </c>
      <c r="E103" s="307">
        <f>VLOOKUP(D103,'S-Alloc Met-TY'!$C$8:$D$10,2,FALSE)*C103</f>
        <v>0</v>
      </c>
      <c r="F103" s="307">
        <f>VLOOKUP(D103,'S-Alloc Met-TY'!$C$8:$E$10,3,FALSE)*C103</f>
        <v>0</v>
      </c>
      <c r="G103" s="307">
        <f>VLOOKUP(D103,'S-Alloc Met-TY'!$C$8:$F$10,4,FALSE)*C103</f>
        <v>0</v>
      </c>
      <c r="H103" s="523"/>
    </row>
    <row r="104" spans="1:8">
      <c r="A104" s="53" t="str">
        <f>Expenses!A104</f>
        <v>650-8001-3</v>
      </c>
      <c r="B104" s="216" t="str">
        <f>Expenses!C104</f>
        <v>Equipment Expenses</v>
      </c>
      <c r="C104" s="61">
        <f>Expenses!D104</f>
        <v>213</v>
      </c>
      <c r="D104" s="242" t="s">
        <v>473</v>
      </c>
      <c r="E104" s="307">
        <f>VLOOKUP(D104,'S-Alloc Met-TY'!$C$8:$D$10,2,FALSE)*C104</f>
        <v>213</v>
      </c>
      <c r="F104" s="307">
        <f>VLOOKUP(D104,'S-Alloc Met-TY'!$C$8:$E$10,3,FALSE)*C104</f>
        <v>0</v>
      </c>
      <c r="G104" s="307">
        <f>VLOOKUP(D104,'S-Alloc Met-TY'!$C$8:$F$10,4,FALSE)*C104</f>
        <v>0</v>
      </c>
      <c r="H104" s="523"/>
    </row>
    <row r="105" spans="1:8">
      <c r="A105" s="53" t="str">
        <f>Expenses!A105</f>
        <v>657-8001-3</v>
      </c>
      <c r="B105" s="216" t="str">
        <f>Expenses!C105</f>
        <v>Insurance G/L</v>
      </c>
      <c r="C105" s="61">
        <f>Expenses!D105</f>
        <v>3344</v>
      </c>
      <c r="D105" s="242" t="s">
        <v>473</v>
      </c>
      <c r="E105" s="307">
        <f>VLOOKUP(D105,'S-Alloc Met-TY'!$C$8:$D$10,2,FALSE)*C105</f>
        <v>3344</v>
      </c>
      <c r="F105" s="307">
        <f>VLOOKUP(D105,'S-Alloc Met-TY'!$C$8:$E$10,3,FALSE)*C105</f>
        <v>0</v>
      </c>
      <c r="G105" s="307">
        <f>VLOOKUP(D105,'S-Alloc Met-TY'!$C$8:$F$10,4,FALSE)*C105</f>
        <v>0</v>
      </c>
      <c r="H105" s="523"/>
    </row>
    <row r="106" spans="1:8">
      <c r="A106" s="53" t="str">
        <f>Expenses!A106</f>
        <v>659-8001-3</v>
      </c>
      <c r="B106" s="216" t="str">
        <f>Expenses!C106</f>
        <v xml:space="preserve">Insurance Other </v>
      </c>
      <c r="C106" s="61">
        <f>Expenses!D106</f>
        <v>2545</v>
      </c>
      <c r="D106" s="242" t="s">
        <v>473</v>
      </c>
      <c r="E106" s="307">
        <f>VLOOKUP(D106,'S-Alloc Met-TY'!$C$8:$D$10,2,FALSE)*C106</f>
        <v>2545</v>
      </c>
      <c r="F106" s="307">
        <f>VLOOKUP(D106,'S-Alloc Met-TY'!$C$8:$E$10,3,FALSE)*C106</f>
        <v>0</v>
      </c>
      <c r="G106" s="307">
        <f>VLOOKUP(D106,'S-Alloc Met-TY'!$C$8:$F$10,4,FALSE)*C106</f>
        <v>0</v>
      </c>
      <c r="H106" s="523"/>
    </row>
    <row r="107" spans="1:8">
      <c r="A107" s="53" t="str">
        <f>Expenses!A107</f>
        <v>675-8001-3</v>
      </c>
      <c r="B107" s="216" t="str">
        <f>Expenses!C107</f>
        <v>Misc Expesne</v>
      </c>
      <c r="C107" s="61">
        <f>Expenses!D107</f>
        <v>17777</v>
      </c>
      <c r="D107" s="242" t="s">
        <v>473</v>
      </c>
      <c r="E107" s="307">
        <f>VLOOKUP(D107,'S-Alloc Met-TY'!$C$8:$D$10,2,FALSE)*C107</f>
        <v>17777</v>
      </c>
      <c r="F107" s="307">
        <f>VLOOKUP(D107,'S-Alloc Met-TY'!$C$8:$E$10,3,FALSE)*C107</f>
        <v>0</v>
      </c>
      <c r="G107" s="307">
        <f>VLOOKUP(D107,'S-Alloc Met-TY'!$C$8:$F$10,4,FALSE)*C107</f>
        <v>0</v>
      </c>
      <c r="H107" s="523"/>
    </row>
    <row r="108" spans="1:8">
      <c r="A108" s="53" t="str">
        <f>Expenses!A108</f>
        <v>675-8011-3</v>
      </c>
      <c r="B108" s="216" t="str">
        <f>Expenses!C108</f>
        <v>Misc Expense- Commissioner Fee</v>
      </c>
      <c r="C108" s="61">
        <f>Expenses!D108</f>
        <v>15000</v>
      </c>
      <c r="D108" s="242" t="s">
        <v>473</v>
      </c>
      <c r="E108" s="307">
        <f>VLOOKUP(D108,'S-Alloc Met-TY'!$C$8:$D$10,2,FALSE)*C108</f>
        <v>15000</v>
      </c>
      <c r="F108" s="307">
        <f>VLOOKUP(D108,'S-Alloc Met-TY'!$C$8:$E$10,3,FALSE)*C108</f>
        <v>0</v>
      </c>
      <c r="G108" s="307">
        <f>VLOOKUP(D108,'S-Alloc Met-TY'!$C$8:$F$10,4,FALSE)*C108</f>
        <v>0</v>
      </c>
      <c r="H108" s="523"/>
    </row>
    <row r="109" spans="1:8">
      <c r="A109" s="53" t="str">
        <f>Expenses!A109</f>
        <v>604-8011-3</v>
      </c>
      <c r="B109" s="216" t="str">
        <f>Expenses!C109</f>
        <v>Commissioner SS &amp; Medicare</v>
      </c>
      <c r="C109" s="61">
        <f>Expenses!D109</f>
        <v>0</v>
      </c>
      <c r="D109" s="242" t="s">
        <v>473</v>
      </c>
      <c r="E109" s="307">
        <f>VLOOKUP(D109,'S-Alloc Met-TY'!$C$8:$D$10,2,FALSE)*C109</f>
        <v>0</v>
      </c>
      <c r="F109" s="307">
        <f>VLOOKUP(D109,'S-Alloc Met-TY'!$C$8:$E$10,3,FALSE)*C109</f>
        <v>0</v>
      </c>
      <c r="G109" s="307">
        <f>VLOOKUP(D109,'S-Alloc Met-TY'!$C$8:$F$10,4,FALSE)*C109</f>
        <v>0</v>
      </c>
      <c r="H109" s="523"/>
    </row>
    <row r="110" spans="1:8">
      <c r="A110" s="53"/>
      <c r="B110" s="216" t="str">
        <f>Expenses!C110</f>
        <v>Payroll Taxes</v>
      </c>
      <c r="C110" s="61">
        <f>Expenses!D110</f>
        <v>8300.73</v>
      </c>
      <c r="D110" s="242" t="s">
        <v>473</v>
      </c>
      <c r="E110" s="307">
        <f>VLOOKUP(D110,'S-Alloc Met-TY'!$C$8:$D$10,2,FALSE)*C110</f>
        <v>8300.73</v>
      </c>
      <c r="F110" s="307">
        <f>VLOOKUP(D110,'S-Alloc Met-TY'!$C$8:$E$10,3,FALSE)*C110</f>
        <v>0</v>
      </c>
      <c r="G110" s="307">
        <f>VLOOKUP(D110,'S-Alloc Met-TY'!$C$8:$F$10,4,FALSE)*C110</f>
        <v>0</v>
      </c>
      <c r="H110" s="523"/>
    </row>
    <row r="111" spans="1:8">
      <c r="A111" s="53"/>
      <c r="B111" s="216" t="str">
        <f>Expenses!C111</f>
        <v>Wages</v>
      </c>
      <c r="C111" s="61">
        <f>Expenses!D111</f>
        <v>14716.96</v>
      </c>
      <c r="D111" s="242" t="s">
        <v>473</v>
      </c>
      <c r="E111" s="307">
        <f>VLOOKUP(D111,'S-Alloc Met-TY'!$C$8:$D$10,2,FALSE)*C111</f>
        <v>14716.96</v>
      </c>
      <c r="F111" s="307">
        <f>VLOOKUP(D111,'S-Alloc Met-TY'!$C$8:$E$10,3,FALSE)*C111</f>
        <v>0</v>
      </c>
      <c r="G111" s="307">
        <f>VLOOKUP(D111,'S-Alloc Met-TY'!$C$8:$F$10,4,FALSE)*C111</f>
        <v>0</v>
      </c>
      <c r="H111" s="523"/>
    </row>
    <row r="112" spans="1:8">
      <c r="A112" s="53"/>
      <c r="B112" s="216" t="str">
        <f>Expenses!C112</f>
        <v>Worker's Compensation</v>
      </c>
      <c r="C112" s="61">
        <f>Expenses!D112</f>
        <v>539.71</v>
      </c>
      <c r="D112" s="242" t="s">
        <v>473</v>
      </c>
      <c r="E112" s="307">
        <f>VLOOKUP(D112,'S-Alloc Met-TY'!$C$8:$D$10,2,FALSE)*C112</f>
        <v>539.71</v>
      </c>
      <c r="F112" s="307">
        <f>VLOOKUP(D112,'S-Alloc Met-TY'!$C$8:$E$10,3,FALSE)*C112</f>
        <v>0</v>
      </c>
      <c r="G112" s="307">
        <f>VLOOKUP(D112,'S-Alloc Met-TY'!$C$8:$F$10,4,FALSE)*C112</f>
        <v>0</v>
      </c>
      <c r="H112" s="523"/>
    </row>
    <row r="113" spans="1:8">
      <c r="A113" s="53"/>
      <c r="B113" s="216" t="str">
        <f>Expenses!C113</f>
        <v xml:space="preserve">Fringe Benefits- Insurance </v>
      </c>
      <c r="C113" s="61">
        <f>Expenses!D113</f>
        <v>11642.18</v>
      </c>
      <c r="D113" s="242" t="s">
        <v>473</v>
      </c>
      <c r="E113" s="307">
        <f>VLOOKUP(D113,'S-Alloc Met-TY'!$C$8:$D$10,2,FALSE)*C113</f>
        <v>11642.18</v>
      </c>
      <c r="F113" s="307">
        <f>VLOOKUP(D113,'S-Alloc Met-TY'!$C$8:$E$10,3,FALSE)*C113</f>
        <v>0</v>
      </c>
      <c r="G113" s="307">
        <f>VLOOKUP(D113,'S-Alloc Met-TY'!$C$8:$F$10,4,FALSE)*C113</f>
        <v>0</v>
      </c>
      <c r="H113" s="523"/>
    </row>
    <row r="114" spans="1:8">
      <c r="A114" s="53"/>
      <c r="B114" s="216" t="str">
        <f>Expenses!C114</f>
        <v xml:space="preserve">Retirement </v>
      </c>
      <c r="C114" s="61">
        <f>Expenses!D114</f>
        <v>19285.419999999998</v>
      </c>
      <c r="D114" s="242" t="s">
        <v>473</v>
      </c>
      <c r="E114" s="307">
        <f>VLOOKUP(D114,'S-Alloc Met-TY'!$C$8:$D$10,2,FALSE)*C114</f>
        <v>19285.419999999998</v>
      </c>
      <c r="F114" s="307">
        <f>VLOOKUP(D114,'S-Alloc Met-TY'!$C$8:$E$10,3,FALSE)*C114</f>
        <v>0</v>
      </c>
      <c r="G114" s="307">
        <f>VLOOKUP(D114,'S-Alloc Met-TY'!$C$8:$F$10,4,FALSE)*C114</f>
        <v>0</v>
      </c>
      <c r="H114" s="523"/>
    </row>
    <row r="115" spans="1:8">
      <c r="A115" s="53"/>
      <c r="B115" s="216" t="str">
        <f>Expenses!C115</f>
        <v>-</v>
      </c>
      <c r="C115" s="61">
        <f>Expenses!D115</f>
        <v>0</v>
      </c>
      <c r="D115" s="242" t="s">
        <v>473</v>
      </c>
      <c r="E115" s="307">
        <f>VLOOKUP(D115,'S-Alloc Met-TY'!$C$8:$D$10,2,FALSE)*C115</f>
        <v>0</v>
      </c>
      <c r="F115" s="307">
        <f>VLOOKUP(D115,'S-Alloc Met-TY'!$C$8:$E$10,3,FALSE)*C115</f>
        <v>0</v>
      </c>
      <c r="G115" s="307">
        <f>VLOOKUP(D115,'S-Alloc Met-TY'!$C$8:$F$10,4,FALSE)*C115</f>
        <v>0</v>
      </c>
      <c r="H115" s="523"/>
    </row>
    <row r="116" spans="1:8">
      <c r="A116" s="793"/>
      <c r="B116" s="290" t="s">
        <v>30</v>
      </c>
      <c r="C116" s="291">
        <f>SUM(C97:C115)</f>
        <v>271784</v>
      </c>
      <c r="D116" s="291"/>
      <c r="E116" s="291">
        <f>SUM(E97:E115)</f>
        <v>271784</v>
      </c>
      <c r="F116" s="291">
        <f>SUM(F97:F115)</f>
        <v>0</v>
      </c>
      <c r="G116" s="291">
        <f>SUM(G97:G115)</f>
        <v>0</v>
      </c>
      <c r="H116" s="523"/>
    </row>
    <row r="117" spans="1:8">
      <c r="A117" s="53"/>
      <c r="B117" s="218"/>
      <c r="C117" s="142"/>
      <c r="H117" s="523"/>
    </row>
    <row r="118" spans="1:8">
      <c r="A118" s="53"/>
      <c r="B118" s="217" t="s">
        <v>85</v>
      </c>
      <c r="C118" s="259"/>
      <c r="D118" s="148"/>
      <c r="E118" s="148"/>
      <c r="F118" s="148"/>
      <c r="G118" s="148"/>
      <c r="H118" s="523"/>
    </row>
    <row r="119" spans="1:8">
      <c r="A119" s="53" t="str">
        <f>Expenses!A119</f>
        <v>604-8200-3</v>
      </c>
      <c r="B119" s="216" t="str">
        <f>Expenses!C119</f>
        <v>Employee Overhead- Reimbursement Acct</v>
      </c>
      <c r="C119" s="61">
        <f>Expenses!D119</f>
        <v>0</v>
      </c>
      <c r="D119" s="242" t="s">
        <v>473</v>
      </c>
      <c r="E119" s="307">
        <f>VLOOKUP(D119,'S-Alloc Met-TY'!$C$8:$D$10,2,FALSE)*C119</f>
        <v>0</v>
      </c>
      <c r="F119" s="307">
        <f>VLOOKUP(D119,'S-Alloc Met-TY'!$C$8:$E$10,3,FALSE)*C119</f>
        <v>0</v>
      </c>
      <c r="G119" s="307">
        <f>VLOOKUP(D119,'S-Alloc Met-TY'!$C$8:$F$10,4,FALSE)*C119</f>
        <v>0</v>
      </c>
      <c r="H119" s="17"/>
    </row>
    <row r="120" spans="1:8">
      <c r="A120" s="53" t="str">
        <f>Expenses!A120</f>
        <v>615-5011-3</v>
      </c>
      <c r="B120" s="216" t="str">
        <f>Expenses!C120</f>
        <v>Purchased Power- Master Mtrs</v>
      </c>
      <c r="C120" s="61">
        <f>Expenses!D120</f>
        <v>0</v>
      </c>
      <c r="D120" s="242" t="s">
        <v>473</v>
      </c>
      <c r="E120" s="307">
        <f>VLOOKUP(D120,'S-Alloc Met-TY'!$C$8:$D$10,2,FALSE)*C120</f>
        <v>0</v>
      </c>
      <c r="F120" s="307">
        <f>VLOOKUP(D120,'S-Alloc Met-TY'!$C$8:$E$10,3,FALSE)*C120</f>
        <v>0</v>
      </c>
      <c r="G120" s="307">
        <f>VLOOKUP(D120,'S-Alloc Met-TY'!$C$8:$F$10,4,FALSE)*C120</f>
        <v>0</v>
      </c>
      <c r="H120" s="523"/>
    </row>
    <row r="121" spans="1:8">
      <c r="A121" s="53" t="str">
        <f>Expenses!A121</f>
        <v>-</v>
      </c>
      <c r="B121" s="216" t="str">
        <f>Expenses!C121</f>
        <v>Purchased Power- Property</v>
      </c>
      <c r="C121" s="61">
        <f>Expenses!D121</f>
        <v>0</v>
      </c>
      <c r="D121" s="242" t="s">
        <v>473</v>
      </c>
      <c r="E121" s="307">
        <f>VLOOKUP(D121,'S-Alloc Met-TY'!$C$8:$D$10,2,FALSE)*C121</f>
        <v>0</v>
      </c>
      <c r="F121" s="307">
        <f>VLOOKUP(D121,'S-Alloc Met-TY'!$C$8:$E$10,3,FALSE)*C121</f>
        <v>0</v>
      </c>
      <c r="G121" s="307">
        <f>VLOOKUP(D121,'S-Alloc Met-TY'!$C$8:$F$10,4,FALSE)*C121</f>
        <v>0</v>
      </c>
      <c r="H121" s="523"/>
    </row>
    <row r="122" spans="1:8">
      <c r="A122" s="53" t="str">
        <f>Expenses!A122</f>
        <v>-</v>
      </c>
      <c r="B122" s="216" t="str">
        <f>Expenses!C122</f>
        <v xml:space="preserve">Reimbursement- Trucks &amp; Equipment </v>
      </c>
      <c r="C122" s="61">
        <f>Expenses!D122</f>
        <v>0</v>
      </c>
      <c r="D122" s="242" t="s">
        <v>473</v>
      </c>
      <c r="E122" s="307">
        <f>VLOOKUP(D122,'S-Alloc Met-TY'!$C$8:$D$10,2,FALSE)*C122</f>
        <v>0</v>
      </c>
      <c r="F122" s="307">
        <f>VLOOKUP(D122,'S-Alloc Met-TY'!$C$8:$E$10,3,FALSE)*C122</f>
        <v>0</v>
      </c>
      <c r="G122" s="307">
        <f>VLOOKUP(D122,'S-Alloc Met-TY'!$C$8:$F$10,4,FALSE)*C122</f>
        <v>0</v>
      </c>
      <c r="H122" s="523"/>
    </row>
    <row r="123" spans="1:8">
      <c r="A123" s="53" t="str">
        <f>Expenses!A123</f>
        <v>-</v>
      </c>
      <c r="B123" s="216" t="str">
        <f>Expenses!C123</f>
        <v xml:space="preserve">Expense - Trucks &amp; Equipment </v>
      </c>
      <c r="C123" s="61">
        <f>Expenses!D123</f>
        <v>0</v>
      </c>
      <c r="D123" s="242" t="s">
        <v>473</v>
      </c>
      <c r="E123" s="307">
        <f>VLOOKUP(D123,'S-Alloc Met-TY'!$C$8:$D$10,2,FALSE)*C123</f>
        <v>0</v>
      </c>
      <c r="F123" s="307">
        <f>VLOOKUP(D123,'S-Alloc Met-TY'!$C$8:$E$10,3,FALSE)*C123</f>
        <v>0</v>
      </c>
      <c r="G123" s="307">
        <f>VLOOKUP(D123,'S-Alloc Met-TY'!$C$8:$F$10,4,FALSE)*C123</f>
        <v>0</v>
      </c>
      <c r="H123" s="523"/>
    </row>
    <row r="124" spans="1:8">
      <c r="A124" s="53" t="str">
        <f>Expenses!A124</f>
        <v>408-0000-3</v>
      </c>
      <c r="B124" s="216" t="str">
        <f>Expenses!C124</f>
        <v>PSC Assessment</v>
      </c>
      <c r="C124" s="61">
        <f>Expenses!D124</f>
        <v>8006</v>
      </c>
      <c r="D124" s="242" t="s">
        <v>473</v>
      </c>
      <c r="E124" s="307">
        <f>VLOOKUP(D124,'S-Alloc Met-TY'!$C$8:$D$10,2,FALSE)*C124</f>
        <v>8006</v>
      </c>
      <c r="F124" s="307">
        <f>VLOOKUP(D124,'S-Alloc Met-TY'!$C$8:$E$10,3,FALSE)*C124</f>
        <v>0</v>
      </c>
      <c r="G124" s="307">
        <f>VLOOKUP(D124,'S-Alloc Met-TY'!$C$8:$F$10,4,FALSE)*C124</f>
        <v>0</v>
      </c>
      <c r="H124" s="523"/>
    </row>
    <row r="125" spans="1:8">
      <c r="A125" s="53" t="str">
        <f>Expenses!A125</f>
        <v>670-7001-3</v>
      </c>
      <c r="B125" s="216" t="str">
        <f>Expenses!C125</f>
        <v>Bad Debt Expense</v>
      </c>
      <c r="C125" s="61">
        <f>Expenses!D125</f>
        <v>4466</v>
      </c>
      <c r="D125" s="242" t="s">
        <v>473</v>
      </c>
      <c r="E125" s="307">
        <f>VLOOKUP(D125,'S-Alloc Met-TY'!$C$8:$D$10,2,FALSE)*C125</f>
        <v>4466</v>
      </c>
      <c r="F125" s="307">
        <f>VLOOKUP(D125,'S-Alloc Met-TY'!$C$8:$E$10,3,FALSE)*C125</f>
        <v>0</v>
      </c>
      <c r="G125" s="307">
        <f>VLOOKUP(D125,'S-Alloc Met-TY'!$C$8:$F$10,4,FALSE)*C125</f>
        <v>0</v>
      </c>
      <c r="H125" s="523"/>
    </row>
    <row r="126" spans="1:8">
      <c r="A126" s="53" t="str">
        <f>Expenses!A126</f>
        <v>670-7010-3</v>
      </c>
      <c r="B126" s="216" t="str">
        <f>Expenses!C126</f>
        <v>Bad Debt Expense</v>
      </c>
      <c r="C126" s="61">
        <f>Expenses!D126</f>
        <v>0</v>
      </c>
      <c r="D126" s="242" t="s">
        <v>473</v>
      </c>
      <c r="E126" s="307">
        <f>VLOOKUP(D126,'S-Alloc Met-TY'!$C$8:$D$10,2,FALSE)*C126</f>
        <v>0</v>
      </c>
      <c r="F126" s="307">
        <f>VLOOKUP(D126,'S-Alloc Met-TY'!$C$8:$E$10,3,FALSE)*C126</f>
        <v>0</v>
      </c>
      <c r="G126" s="307">
        <f>VLOOKUP(D126,'S-Alloc Met-TY'!$C$8:$F$10,4,FALSE)*C126</f>
        <v>0</v>
      </c>
      <c r="H126" s="523"/>
    </row>
    <row r="127" spans="1:8">
      <c r="A127" s="53" t="str">
        <f>Expenses!A127</f>
        <v>675-7021-3</v>
      </c>
      <c r="B127" s="216" t="str">
        <f>Expenses!C127</f>
        <v>Misc Expense- Cash Over/Short (CIS)</v>
      </c>
      <c r="C127" s="61">
        <f>Expenses!D127</f>
        <v>0</v>
      </c>
      <c r="D127" s="242" t="s">
        <v>473</v>
      </c>
      <c r="E127" s="307">
        <f>VLOOKUP(D127,'S-Alloc Met-TY'!$C$8:$D$10,2,FALSE)*C127</f>
        <v>0</v>
      </c>
      <c r="F127" s="307">
        <f>VLOOKUP(D127,'S-Alloc Met-TY'!$C$8:$E$10,3,FALSE)*C127</f>
        <v>0</v>
      </c>
      <c r="G127" s="307">
        <f>VLOOKUP(D127,'S-Alloc Met-TY'!$C$8:$F$10,4,FALSE)*C127</f>
        <v>0</v>
      </c>
      <c r="H127" s="523"/>
    </row>
    <row r="128" spans="1:8">
      <c r="A128" s="53" t="str">
        <f>Expenses!A128</f>
        <v>675-7025-3</v>
      </c>
      <c r="B128" s="216" t="str">
        <f>Expenses!C128</f>
        <v>Misc Expense- Customer FB (CIS)</v>
      </c>
      <c r="C128" s="61">
        <f>Expenses!D128</f>
        <v>0</v>
      </c>
      <c r="D128" s="242" t="s">
        <v>473</v>
      </c>
      <c r="E128" s="307">
        <f>VLOOKUP(D128,'S-Alloc Met-TY'!$C$8:$D$10,2,FALSE)*C128</f>
        <v>0</v>
      </c>
      <c r="F128" s="307">
        <f>VLOOKUP(D128,'S-Alloc Met-TY'!$C$8:$E$10,3,FALSE)*C128</f>
        <v>0</v>
      </c>
      <c r="G128" s="307">
        <f>VLOOKUP(D128,'S-Alloc Met-TY'!$C$8:$F$10,4,FALSE)*C128</f>
        <v>0</v>
      </c>
      <c r="H128" s="523"/>
    </row>
    <row r="129" spans="1:8">
      <c r="A129" s="53" t="str">
        <f>Expenses!A129</f>
        <v>421-0000-3</v>
      </c>
      <c r="B129" s="216" t="str">
        <f>Expenses!C129</f>
        <v>Non-Utility Income</v>
      </c>
      <c r="C129" s="61">
        <f>Expenses!D129</f>
        <v>-4</v>
      </c>
      <c r="D129" s="242" t="s">
        <v>473</v>
      </c>
      <c r="E129" s="307">
        <f>VLOOKUP(D129,'S-Alloc Met-TY'!$C$8:$D$10,2,FALSE)*C129</f>
        <v>-4</v>
      </c>
      <c r="F129" s="307">
        <f>VLOOKUP(D129,'S-Alloc Met-TY'!$C$8:$E$10,3,FALSE)*C129</f>
        <v>0</v>
      </c>
      <c r="G129" s="307">
        <f>VLOOKUP(D129,'S-Alloc Met-TY'!$C$8:$F$10,4,FALSE)*C129</f>
        <v>0</v>
      </c>
      <c r="H129" s="523"/>
    </row>
    <row r="130" spans="1:8">
      <c r="A130" s="53" t="str">
        <f>Expenses!A130</f>
        <v>421-0001-3</v>
      </c>
      <c r="B130" s="216" t="str">
        <f>Expenses!C130</f>
        <v>Non-Utility Income- Miscellaneous</v>
      </c>
      <c r="C130" s="61">
        <f>Expenses!D130</f>
        <v>0</v>
      </c>
      <c r="D130" s="242" t="s">
        <v>473</v>
      </c>
      <c r="E130" s="307">
        <f>VLOOKUP(D130,'S-Alloc Met-TY'!$C$8:$D$10,2,FALSE)*C130</f>
        <v>0</v>
      </c>
      <c r="F130" s="307">
        <f>VLOOKUP(D130,'S-Alloc Met-TY'!$C$8:$E$10,3,FALSE)*C130</f>
        <v>0</v>
      </c>
      <c r="G130" s="307">
        <f>VLOOKUP(D130,'S-Alloc Met-TY'!$C$8:$F$10,4,FALSE)*C130</f>
        <v>0</v>
      </c>
      <c r="H130" s="523"/>
    </row>
    <row r="131" spans="1:8">
      <c r="A131" s="53" t="str">
        <f>Expenses!A131</f>
        <v>426-0000-3</v>
      </c>
      <c r="B131" s="216" t="str">
        <f>Expenses!C131</f>
        <v>Unrealized (Gain)/Loss on Investments</v>
      </c>
      <c r="C131" s="61">
        <f>Expenses!D131</f>
        <v>-39712</v>
      </c>
      <c r="D131" s="242" t="s">
        <v>473</v>
      </c>
      <c r="E131" s="307">
        <f>VLOOKUP(D131,'S-Alloc Met-TY'!$C$8:$D$10,2,FALSE)*C131</f>
        <v>-39712</v>
      </c>
      <c r="F131" s="307">
        <f>VLOOKUP(D131,'S-Alloc Met-TY'!$C$8:$E$10,3,FALSE)*C131</f>
        <v>0</v>
      </c>
      <c r="G131" s="307">
        <f>VLOOKUP(D131,'S-Alloc Met-TY'!$C$8:$F$10,4,FALSE)*C131</f>
        <v>0</v>
      </c>
      <c r="H131" s="523"/>
    </row>
    <row r="132" spans="1:8">
      <c r="A132" s="53"/>
      <c r="B132" s="216" t="str">
        <f>Expenses!C132</f>
        <v>Rate Case Expenses</v>
      </c>
      <c r="C132" s="61">
        <f>Expenses!D132</f>
        <v>0</v>
      </c>
      <c r="D132" s="242" t="s">
        <v>473</v>
      </c>
      <c r="E132" s="307">
        <f>VLOOKUP(D132,'S-Alloc Met-TY'!$C$8:$D$10,2,FALSE)*C132</f>
        <v>0</v>
      </c>
      <c r="F132" s="307">
        <f>VLOOKUP(D132,'S-Alloc Met-TY'!$C$8:$E$10,3,FALSE)*C132</f>
        <v>0</v>
      </c>
      <c r="G132" s="307">
        <f>VLOOKUP(D132,'S-Alloc Met-TY'!$C$8:$F$10,4,FALSE)*C132</f>
        <v>0</v>
      </c>
      <c r="H132" s="523"/>
    </row>
    <row r="133" spans="1:8">
      <c r="A133" s="53"/>
      <c r="B133" s="216" t="str">
        <f>Expenses!C133</f>
        <v>-</v>
      </c>
      <c r="C133" s="61">
        <f>Expenses!D133</f>
        <v>0</v>
      </c>
      <c r="D133" s="242" t="s">
        <v>473</v>
      </c>
      <c r="E133" s="307">
        <f>VLOOKUP(D133,'S-Alloc Met-TY'!$C$8:$D$10,2,FALSE)*C133</f>
        <v>0</v>
      </c>
      <c r="F133" s="307">
        <f>VLOOKUP(D133,'S-Alloc Met-TY'!$C$8:$E$10,3,FALSE)*C133</f>
        <v>0</v>
      </c>
      <c r="G133" s="307">
        <f>VLOOKUP(D133,'S-Alloc Met-TY'!$C$8:$F$10,4,FALSE)*C133</f>
        <v>0</v>
      </c>
      <c r="H133" s="523"/>
    </row>
    <row r="134" spans="1:8">
      <c r="A134" s="53"/>
      <c r="B134" s="216" t="str">
        <f>Expenses!C134</f>
        <v>-</v>
      </c>
      <c r="C134" s="61">
        <f>Expenses!D134</f>
        <v>0</v>
      </c>
      <c r="D134" s="242" t="s">
        <v>473</v>
      </c>
      <c r="E134" s="307">
        <f>VLOOKUP(D134,'S-Alloc Met-TY'!$C$8:$D$10,2,FALSE)*C134</f>
        <v>0</v>
      </c>
      <c r="F134" s="307">
        <f>VLOOKUP(D134,'S-Alloc Met-TY'!$C$8:$E$10,3,FALSE)*C134</f>
        <v>0</v>
      </c>
      <c r="G134" s="307">
        <f>VLOOKUP(D134,'S-Alloc Met-TY'!$C$8:$F$10,4,FALSE)*C134</f>
        <v>0</v>
      </c>
      <c r="H134" s="523"/>
    </row>
    <row r="135" spans="1:8">
      <c r="A135" s="53"/>
      <c r="B135" s="216" t="str">
        <f>Expenses!C135</f>
        <v>-</v>
      </c>
      <c r="C135" s="61">
        <f>Expenses!D135</f>
        <v>0</v>
      </c>
      <c r="D135" s="242" t="s">
        <v>473</v>
      </c>
      <c r="E135" s="307">
        <f>VLOOKUP(D135,'S-Alloc Met-TY'!$C$8:$D$10,2,FALSE)*C135</f>
        <v>0</v>
      </c>
      <c r="F135" s="307">
        <f>VLOOKUP(D135,'S-Alloc Met-TY'!$C$8:$E$10,3,FALSE)*C135</f>
        <v>0</v>
      </c>
      <c r="G135" s="307">
        <f>VLOOKUP(D135,'S-Alloc Met-TY'!$C$8:$F$10,4,FALSE)*C135</f>
        <v>0</v>
      </c>
      <c r="H135" s="523"/>
    </row>
    <row r="136" spans="1:8">
      <c r="A136" s="53"/>
      <c r="B136" s="216" t="str">
        <f>Expenses!C136</f>
        <v>-</v>
      </c>
      <c r="C136" s="61">
        <f>Expenses!D136</f>
        <v>0</v>
      </c>
      <c r="D136" s="242" t="s">
        <v>473</v>
      </c>
      <c r="E136" s="307">
        <f>VLOOKUP(D136,'S-Alloc Met-TY'!$C$8:$D$10,2,FALSE)*C136</f>
        <v>0</v>
      </c>
      <c r="F136" s="307">
        <f>VLOOKUP(D136,'S-Alloc Met-TY'!$C$8:$E$10,3,FALSE)*C136</f>
        <v>0</v>
      </c>
      <c r="G136" s="307">
        <f>VLOOKUP(D136,'S-Alloc Met-TY'!$C$8:$F$10,4,FALSE)*C136</f>
        <v>0</v>
      </c>
      <c r="H136" s="523"/>
    </row>
    <row r="137" spans="1:8">
      <c r="A137" s="53"/>
      <c r="B137" s="216" t="str">
        <f>Expenses!C137</f>
        <v>-</v>
      </c>
      <c r="C137" s="61">
        <f>Expenses!D137</f>
        <v>0</v>
      </c>
      <c r="D137" s="242" t="s">
        <v>473</v>
      </c>
      <c r="E137" s="307">
        <f>VLOOKUP(D137,'S-Alloc Met-TY'!$C$8:$D$10,2,FALSE)*C137</f>
        <v>0</v>
      </c>
      <c r="F137" s="307">
        <f>VLOOKUP(D137,'S-Alloc Met-TY'!$C$8:$E$10,3,FALSE)*C137</f>
        <v>0</v>
      </c>
      <c r="G137" s="307">
        <f>VLOOKUP(D137,'S-Alloc Met-TY'!$C$8:$F$10,4,FALSE)*C137</f>
        <v>0</v>
      </c>
      <c r="H137" s="523"/>
    </row>
    <row r="138" spans="1:8">
      <c r="A138" s="793"/>
      <c r="B138" s="290" t="s">
        <v>30</v>
      </c>
      <c r="C138" s="291">
        <f>SUM(C119:C137)</f>
        <v>-27244</v>
      </c>
      <c r="D138" s="291"/>
      <c r="E138" s="291">
        <f>SUM(E119:E137)</f>
        <v>-27244</v>
      </c>
      <c r="F138" s="291">
        <f>SUM(F119:F137)</f>
        <v>0</v>
      </c>
      <c r="G138" s="291">
        <f>SUM(G119:G137)</f>
        <v>0</v>
      </c>
      <c r="H138" s="523"/>
    </row>
    <row r="139" spans="1:8">
      <c r="A139" s="53"/>
      <c r="B139" s="220"/>
      <c r="C139" s="42"/>
      <c r="H139" s="523"/>
    </row>
    <row r="140" spans="1:8">
      <c r="A140" s="53"/>
      <c r="B140" s="217" t="s">
        <v>281</v>
      </c>
      <c r="C140" s="259"/>
      <c r="D140" s="148"/>
      <c r="E140" s="148"/>
      <c r="F140" s="148"/>
      <c r="G140" s="148"/>
      <c r="H140" s="523"/>
    </row>
    <row r="141" spans="1:8">
      <c r="A141" s="53" t="str">
        <f>Expenses!A141</f>
        <v>403-3041-3</v>
      </c>
      <c r="B141" s="221" t="str">
        <f>Expenses!C141</f>
        <v>Improvement (Land)</v>
      </c>
      <c r="C141" s="61">
        <f>Expenses!D141</f>
        <v>1764</v>
      </c>
      <c r="D141" s="242" t="s">
        <v>473</v>
      </c>
      <c r="E141" s="307">
        <f>VLOOKUP(D141,'S-Alloc Met-TY'!$C$8:$D$10,2,FALSE)*C141</f>
        <v>1764</v>
      </c>
      <c r="F141" s="307">
        <f>VLOOKUP(D141,'S-Alloc Met-TY'!$C$8:$E$10,3,FALSE)*C141</f>
        <v>0</v>
      </c>
      <c r="G141" s="307">
        <f>VLOOKUP(D141,'S-Alloc Met-TY'!$C$8:$F$10,4,FALSE)*C141</f>
        <v>0</v>
      </c>
      <c r="H141" s="524"/>
    </row>
    <row r="142" spans="1:8">
      <c r="A142" s="53" t="str">
        <f>Expenses!A142</f>
        <v>403-3043-3</v>
      </c>
      <c r="B142" s="221" t="str">
        <f>Expenses!C142</f>
        <v>Structures</v>
      </c>
      <c r="C142" s="61">
        <f>Expenses!D142</f>
        <v>466097</v>
      </c>
      <c r="D142" s="242" t="s">
        <v>473</v>
      </c>
      <c r="E142" s="307">
        <f>VLOOKUP(D142,'S-Alloc Met-TY'!$C$8:$D$10,2,FALSE)*C142</f>
        <v>466097</v>
      </c>
      <c r="F142" s="307">
        <f>VLOOKUP(D142,'S-Alloc Met-TY'!$C$8:$E$10,3,FALSE)*C142</f>
        <v>0</v>
      </c>
      <c r="G142" s="307">
        <f>VLOOKUP(D142,'S-Alloc Met-TY'!$C$8:$F$10,4,FALSE)*C142</f>
        <v>0</v>
      </c>
      <c r="H142" s="523"/>
    </row>
    <row r="143" spans="1:8">
      <c r="A143" s="53" t="str">
        <f>Expenses!A143</f>
        <v>403-3044-3</v>
      </c>
      <c r="B143" s="221" t="str">
        <f>Expenses!C143</f>
        <v>Office Building</v>
      </c>
      <c r="C143" s="61">
        <f>Expenses!D143</f>
        <v>86689</v>
      </c>
      <c r="D143" s="242" t="s">
        <v>473</v>
      </c>
      <c r="E143" s="307">
        <f>VLOOKUP(D143,'S-Alloc Met-TY'!$C$8:$D$10,2,FALSE)*C143</f>
        <v>86689</v>
      </c>
      <c r="F143" s="307">
        <f>VLOOKUP(D143,'S-Alloc Met-TY'!$C$8:$E$10,3,FALSE)*C143</f>
        <v>0</v>
      </c>
      <c r="G143" s="307">
        <f>VLOOKUP(D143,'S-Alloc Met-TY'!$C$8:$F$10,4,FALSE)*C143</f>
        <v>0</v>
      </c>
      <c r="H143" s="523"/>
    </row>
    <row r="144" spans="1:8">
      <c r="A144" s="53" t="str">
        <f>Expenses!A144</f>
        <v>403-3112-3</v>
      </c>
      <c r="B144" s="221" t="str">
        <f>Expenses!C144</f>
        <v>Equip (Elec Plumbing)</v>
      </c>
      <c r="C144" s="61">
        <f>Expenses!D144</f>
        <v>86600</v>
      </c>
      <c r="D144" s="242" t="s">
        <v>473</v>
      </c>
      <c r="E144" s="307">
        <f>VLOOKUP(D144,'S-Alloc Met-TY'!$C$8:$D$10,2,FALSE)*C144</f>
        <v>86600</v>
      </c>
      <c r="F144" s="307">
        <f>VLOOKUP(D144,'S-Alloc Met-TY'!$C$8:$E$10,3,FALSE)*C144</f>
        <v>0</v>
      </c>
      <c r="G144" s="307">
        <f>VLOOKUP(D144,'S-Alloc Met-TY'!$C$8:$F$10,4,FALSE)*C144</f>
        <v>0</v>
      </c>
      <c r="H144" s="523"/>
    </row>
    <row r="145" spans="1:8">
      <c r="A145" s="53" t="str">
        <f>Expenses!A145</f>
        <v>403-3304-3</v>
      </c>
      <c r="B145" s="221" t="str">
        <f>Expenses!C145</f>
        <v>Standpipes</v>
      </c>
      <c r="C145" s="61">
        <f>Expenses!D145</f>
        <v>0</v>
      </c>
      <c r="D145" s="242" t="s">
        <v>473</v>
      </c>
      <c r="E145" s="307">
        <f>VLOOKUP(D145,'S-Alloc Met-TY'!$C$8:$D$10,2,FALSE)*C145</f>
        <v>0</v>
      </c>
      <c r="F145" s="307">
        <f>VLOOKUP(D145,'S-Alloc Met-TY'!$C$8:$E$10,3,FALSE)*C145</f>
        <v>0</v>
      </c>
      <c r="G145" s="307">
        <f>VLOOKUP(D145,'S-Alloc Met-TY'!$C$8:$F$10,4,FALSE)*C145</f>
        <v>0</v>
      </c>
      <c r="H145" s="523"/>
    </row>
    <row r="146" spans="1:8">
      <c r="A146" s="53" t="str">
        <f>Expenses!A146</f>
        <v>403-3314-3</v>
      </c>
      <c r="B146" s="221" t="str">
        <f>Expenses!C146</f>
        <v>Mains (T&amp;D)</v>
      </c>
      <c r="C146" s="61">
        <f>Expenses!D146</f>
        <v>931730</v>
      </c>
      <c r="D146" s="242" t="s">
        <v>473</v>
      </c>
      <c r="E146" s="307">
        <f>VLOOKUP(D146,'S-Alloc Met-TY'!$C$8:$D$10,2,FALSE)*C146</f>
        <v>931730</v>
      </c>
      <c r="F146" s="307">
        <f>VLOOKUP(D146,'S-Alloc Met-TY'!$C$8:$E$10,3,FALSE)*C146</f>
        <v>0</v>
      </c>
      <c r="G146" s="307">
        <f>VLOOKUP(D146,'S-Alloc Met-TY'!$C$8:$F$10,4,FALSE)*C146</f>
        <v>0</v>
      </c>
      <c r="H146" s="523"/>
    </row>
    <row r="147" spans="1:8">
      <c r="A147" s="53" t="str">
        <f>Expenses!A147</f>
        <v>403-3324-3</v>
      </c>
      <c r="B147" s="221" t="str">
        <f>Expenses!C147</f>
        <v>SCADA</v>
      </c>
      <c r="C147" s="61">
        <f>Expenses!D147</f>
        <v>12441</v>
      </c>
      <c r="D147" s="242" t="s">
        <v>473</v>
      </c>
      <c r="E147" s="307">
        <f>VLOOKUP(D147,'S-Alloc Met-TY'!$C$8:$D$10,2,FALSE)*C147</f>
        <v>12441</v>
      </c>
      <c r="F147" s="307">
        <f>VLOOKUP(D147,'S-Alloc Met-TY'!$C$8:$E$10,3,FALSE)*C147</f>
        <v>0</v>
      </c>
      <c r="G147" s="307">
        <f>VLOOKUP(D147,'S-Alloc Met-TY'!$C$8:$F$10,4,FALSE)*C147</f>
        <v>0</v>
      </c>
      <c r="H147" s="523"/>
    </row>
    <row r="148" spans="1:8">
      <c r="A148" s="53" t="str">
        <f>Expenses!A148</f>
        <v>403-3334-3</v>
      </c>
      <c r="B148" s="221" t="str">
        <f>Expenses!C148</f>
        <v>Meters  (Services)</v>
      </c>
      <c r="C148" s="61">
        <f>Expenses!D148</f>
        <v>241093</v>
      </c>
      <c r="D148" s="242" t="s">
        <v>473</v>
      </c>
      <c r="E148" s="307">
        <f>VLOOKUP(D148,'S-Alloc Met-TY'!$C$8:$D$10,2,FALSE)*C148</f>
        <v>241093</v>
      </c>
      <c r="F148" s="307">
        <f>VLOOKUP(D148,'S-Alloc Met-TY'!$C$8:$E$10,3,FALSE)*C148</f>
        <v>0</v>
      </c>
      <c r="G148" s="307">
        <f>VLOOKUP(D148,'S-Alloc Met-TY'!$C$8:$F$10,4,FALSE)*C148</f>
        <v>0</v>
      </c>
      <c r="H148" s="523"/>
    </row>
    <row r="149" spans="1:8">
      <c r="A149" s="53" t="str">
        <f>Expenses!A149</f>
        <v>403-3344-3</v>
      </c>
      <c r="B149" s="221" t="str">
        <f>Expenses!C149</f>
        <v>Meters</v>
      </c>
      <c r="C149" s="61">
        <f>Expenses!D149</f>
        <v>67295</v>
      </c>
      <c r="D149" s="242" t="s">
        <v>473</v>
      </c>
      <c r="E149" s="307">
        <f>VLOOKUP(D149,'S-Alloc Met-TY'!$C$8:$D$10,2,FALSE)*C149</f>
        <v>67295</v>
      </c>
      <c r="F149" s="307">
        <f>VLOOKUP(D149,'S-Alloc Met-TY'!$C$8:$E$10,3,FALSE)*C149</f>
        <v>0</v>
      </c>
      <c r="G149" s="307">
        <f>VLOOKUP(D149,'S-Alloc Met-TY'!$C$8:$F$10,4,FALSE)*C149</f>
        <v>0</v>
      </c>
      <c r="H149" s="523"/>
    </row>
    <row r="150" spans="1:8">
      <c r="A150" s="53" t="str">
        <f>Expenses!A150</f>
        <v>403-3345-3</v>
      </c>
      <c r="B150" s="221" t="str">
        <f>Expenses!C150</f>
        <v>Meters (Installations)</v>
      </c>
      <c r="C150" s="61">
        <f>Expenses!D150</f>
        <v>1661</v>
      </c>
      <c r="D150" s="242" t="s">
        <v>473</v>
      </c>
      <c r="E150" s="307">
        <f>VLOOKUP(D150,'S-Alloc Met-TY'!$C$8:$D$10,2,FALSE)*C150</f>
        <v>1661</v>
      </c>
      <c r="F150" s="307">
        <f>VLOOKUP(D150,'S-Alloc Met-TY'!$C$8:$E$10,3,FALSE)*C150</f>
        <v>0</v>
      </c>
      <c r="G150" s="307">
        <f>VLOOKUP(D150,'S-Alloc Met-TY'!$C$8:$F$10,4,FALSE)*C150</f>
        <v>0</v>
      </c>
      <c r="H150" s="523"/>
    </row>
    <row r="151" spans="1:8">
      <c r="A151" s="53" t="str">
        <f>Expenses!A151</f>
        <v>403-3354-3</v>
      </c>
      <c r="B151" s="221" t="str">
        <f>Expenses!C151</f>
        <v>Hydrants</v>
      </c>
      <c r="C151" s="61">
        <f>Expenses!D151</f>
        <v>0</v>
      </c>
      <c r="D151" s="242" t="s">
        <v>473</v>
      </c>
      <c r="E151" s="307">
        <f>VLOOKUP(D151,'S-Alloc Met-TY'!$C$8:$D$10,2,FALSE)*C151</f>
        <v>0</v>
      </c>
      <c r="F151" s="307">
        <f>VLOOKUP(D151,'S-Alloc Met-TY'!$C$8:$E$10,3,FALSE)*C151</f>
        <v>0</v>
      </c>
      <c r="G151" s="307">
        <f>VLOOKUP(D151,'S-Alloc Met-TY'!$C$8:$F$10,4,FALSE)*C151</f>
        <v>0</v>
      </c>
      <c r="H151" s="523"/>
    </row>
    <row r="152" spans="1:8">
      <c r="A152" s="53" t="str">
        <f>Expenses!A152</f>
        <v>403-3392-3</v>
      </c>
      <c r="B152" s="221" t="str">
        <f>Expenses!C152</f>
        <v>Equipment (Plumbing)</v>
      </c>
      <c r="C152" s="61">
        <f>Expenses!D152</f>
        <v>0</v>
      </c>
      <c r="D152" s="242" t="s">
        <v>473</v>
      </c>
      <c r="E152" s="307">
        <f>VLOOKUP(D152,'S-Alloc Met-TY'!$C$8:$D$10,2,FALSE)*C152</f>
        <v>0</v>
      </c>
      <c r="F152" s="307">
        <f>VLOOKUP(D152,'S-Alloc Met-TY'!$C$8:$E$10,3,FALSE)*C152</f>
        <v>0</v>
      </c>
      <c r="G152" s="307">
        <f>VLOOKUP(D152,'S-Alloc Met-TY'!$C$8:$F$10,4,FALSE)*C152</f>
        <v>0</v>
      </c>
      <c r="H152" s="523"/>
    </row>
    <row r="153" spans="1:8">
      <c r="A153" s="53" t="str">
        <f>Expenses!A153</f>
        <v>403-3400-3</v>
      </c>
      <c r="B153" s="221" t="str">
        <f>Expenses!C153</f>
        <v>Software</v>
      </c>
      <c r="C153" s="61">
        <f>Expenses!D153</f>
        <v>14772</v>
      </c>
      <c r="D153" s="242" t="s">
        <v>473</v>
      </c>
      <c r="E153" s="307">
        <f>VLOOKUP(D153,'S-Alloc Met-TY'!$C$8:$D$10,2,FALSE)*C153</f>
        <v>14772</v>
      </c>
      <c r="F153" s="307">
        <f>VLOOKUP(D153,'S-Alloc Met-TY'!$C$8:$E$10,3,FALSE)*C153</f>
        <v>0</v>
      </c>
      <c r="G153" s="307">
        <f>VLOOKUP(D153,'S-Alloc Met-TY'!$C$8:$F$10,4,FALSE)*C153</f>
        <v>0</v>
      </c>
      <c r="H153" s="523"/>
    </row>
    <row r="154" spans="1:8">
      <c r="A154" s="53" t="str">
        <f>Expenses!A154</f>
        <v>403-3401-3</v>
      </c>
      <c r="B154" s="221" t="str">
        <f>Expenses!C154</f>
        <v>Hardware</v>
      </c>
      <c r="C154" s="61">
        <f>Expenses!D154</f>
        <v>3278</v>
      </c>
      <c r="D154" s="242" t="s">
        <v>473</v>
      </c>
      <c r="E154" s="307">
        <f>VLOOKUP(D154,'S-Alloc Met-TY'!$C$8:$D$10,2,FALSE)*C154</f>
        <v>3278</v>
      </c>
      <c r="F154" s="307">
        <f>VLOOKUP(D154,'S-Alloc Met-TY'!$C$8:$E$10,3,FALSE)*C154</f>
        <v>0</v>
      </c>
      <c r="G154" s="307">
        <f>VLOOKUP(D154,'S-Alloc Met-TY'!$C$8:$F$10,4,FALSE)*C154</f>
        <v>0</v>
      </c>
      <c r="H154" s="523"/>
    </row>
    <row r="155" spans="1:8">
      <c r="A155" s="53" t="str">
        <f>Expenses!A155</f>
        <v>403-3402-3</v>
      </c>
      <c r="B155" s="221" t="str">
        <f>Expenses!C155</f>
        <v>Datamatic</v>
      </c>
      <c r="C155" s="61">
        <f>Expenses!D155</f>
        <v>0</v>
      </c>
      <c r="D155" s="242" t="s">
        <v>473</v>
      </c>
      <c r="E155" s="307">
        <f>VLOOKUP(D155,'S-Alloc Met-TY'!$C$8:$D$10,2,FALSE)*C155</f>
        <v>0</v>
      </c>
      <c r="F155" s="307">
        <f>VLOOKUP(D155,'S-Alloc Met-TY'!$C$8:$E$10,3,FALSE)*C155</f>
        <v>0</v>
      </c>
      <c r="G155" s="307">
        <f>VLOOKUP(D155,'S-Alloc Met-TY'!$C$8:$F$10,4,FALSE)*C155</f>
        <v>0</v>
      </c>
      <c r="H155" s="523"/>
    </row>
    <row r="156" spans="1:8">
      <c r="A156" s="53" t="str">
        <f>Expenses!A156</f>
        <v>403-3405-3</v>
      </c>
      <c r="B156" s="221" t="str">
        <f>Expenses!C156</f>
        <v xml:space="preserve">Furniture &amp; Equipment </v>
      </c>
      <c r="C156" s="61">
        <f>Expenses!D156</f>
        <v>1092</v>
      </c>
      <c r="D156" s="242" t="s">
        <v>473</v>
      </c>
      <c r="E156" s="307">
        <f>VLOOKUP(D156,'S-Alloc Met-TY'!$C$8:$D$10,2,FALSE)*C156</f>
        <v>1092</v>
      </c>
      <c r="F156" s="307">
        <f>VLOOKUP(D156,'S-Alloc Met-TY'!$C$8:$E$10,3,FALSE)*C156</f>
        <v>0</v>
      </c>
      <c r="G156" s="307">
        <f>VLOOKUP(D156,'S-Alloc Met-TY'!$C$8:$F$10,4,FALSE)*C156</f>
        <v>0</v>
      </c>
      <c r="H156" s="523"/>
    </row>
    <row r="157" spans="1:8">
      <c r="A157" s="53" t="str">
        <f>Expenses!A157</f>
        <v>403-3415-3</v>
      </c>
      <c r="B157" s="221" t="str">
        <f>Expenses!C157</f>
        <v>Trucks &amp; Equipment</v>
      </c>
      <c r="C157" s="61">
        <f>Expenses!D157</f>
        <v>0</v>
      </c>
      <c r="D157" s="242" t="s">
        <v>473</v>
      </c>
      <c r="E157" s="307">
        <f>VLOOKUP(D157,'S-Alloc Met-TY'!$C$8:$D$10,2,FALSE)*C157</f>
        <v>0</v>
      </c>
      <c r="F157" s="307">
        <f>VLOOKUP(D157,'S-Alloc Met-TY'!$C$8:$E$10,3,FALSE)*C157</f>
        <v>0</v>
      </c>
      <c r="G157" s="307">
        <f>VLOOKUP(D157,'S-Alloc Met-TY'!$C$8:$F$10,4,FALSE)*C157</f>
        <v>0</v>
      </c>
      <c r="H157" s="523"/>
    </row>
    <row r="158" spans="1:8">
      <c r="A158" s="53" t="str">
        <f>Expenses!A158</f>
        <v>403-3435-3</v>
      </c>
      <c r="B158" s="221" t="str">
        <f>Expenses!C158</f>
        <v>Equipment (Tools)</v>
      </c>
      <c r="C158" s="61">
        <f>Expenses!D158</f>
        <v>950</v>
      </c>
      <c r="D158" s="242" t="s">
        <v>473</v>
      </c>
      <c r="E158" s="307">
        <f>VLOOKUP(D158,'S-Alloc Met-TY'!$C$8:$D$10,2,FALSE)*C158</f>
        <v>950</v>
      </c>
      <c r="F158" s="307">
        <f>VLOOKUP(D158,'S-Alloc Met-TY'!$C$8:$E$10,3,FALSE)*C158</f>
        <v>0</v>
      </c>
      <c r="G158" s="307">
        <f>VLOOKUP(D158,'S-Alloc Met-TY'!$C$8:$F$10,4,FALSE)*C158</f>
        <v>0</v>
      </c>
      <c r="H158" s="523"/>
    </row>
    <row r="159" spans="1:8">
      <c r="A159" s="53" t="str">
        <f>Expenses!A159</f>
        <v>403-3465-3</v>
      </c>
      <c r="B159" s="221" t="str">
        <f>Expenses!C159</f>
        <v>Equip (Communication)</v>
      </c>
      <c r="C159" s="61">
        <f>Expenses!D159</f>
        <v>2814</v>
      </c>
      <c r="D159" s="242" t="s">
        <v>473</v>
      </c>
      <c r="E159" s="307">
        <f>VLOOKUP(D159,'S-Alloc Met-TY'!$C$8:$D$10,2,FALSE)*C159</f>
        <v>2814</v>
      </c>
      <c r="F159" s="307">
        <f>VLOOKUP(D159,'S-Alloc Met-TY'!$C$8:$E$10,3,FALSE)*C159</f>
        <v>0</v>
      </c>
      <c r="G159" s="307">
        <f>VLOOKUP(D159,'S-Alloc Met-TY'!$C$8:$F$10,4,FALSE)*C159</f>
        <v>0</v>
      </c>
      <c r="H159" s="523"/>
    </row>
    <row r="160" spans="1:8">
      <c r="A160" s="53" t="str">
        <f>Expenses!A160</f>
        <v>403-9000-3</v>
      </c>
      <c r="B160" s="221" t="str">
        <f>Expenses!C160</f>
        <v>Depreciation Expense (Old)</v>
      </c>
      <c r="C160" s="61">
        <f>Expenses!D160</f>
        <v>0</v>
      </c>
      <c r="D160" s="242" t="s">
        <v>473</v>
      </c>
      <c r="E160" s="307">
        <f>VLOOKUP(D160,'S-Alloc Met-TY'!$C$8:$D$10,2,FALSE)*C160</f>
        <v>0</v>
      </c>
      <c r="F160" s="307">
        <f>VLOOKUP(D160,'S-Alloc Met-TY'!$C$8:$E$10,3,FALSE)*C160</f>
        <v>0</v>
      </c>
      <c r="G160" s="307">
        <f>VLOOKUP(D160,'S-Alloc Met-TY'!$C$8:$F$10,4,FALSE)*C160</f>
        <v>0</v>
      </c>
      <c r="H160" s="523"/>
    </row>
    <row r="161" spans="1:8">
      <c r="A161" s="53" t="str">
        <f>Expenses!A161</f>
        <v>-</v>
      </c>
      <c r="B161" s="221" t="str">
        <f>Expenses!C161</f>
        <v>Structures</v>
      </c>
      <c r="C161" s="61">
        <f>Expenses!D161</f>
        <v>0</v>
      </c>
      <c r="D161" s="242" t="s">
        <v>473</v>
      </c>
      <c r="E161" s="307">
        <f>VLOOKUP(D161,'S-Alloc Met-TY'!$C$8:$D$10,2,FALSE)*C161</f>
        <v>0</v>
      </c>
      <c r="F161" s="307">
        <f>VLOOKUP(D161,'S-Alloc Met-TY'!$C$8:$E$10,3,FALSE)*C161</f>
        <v>0</v>
      </c>
      <c r="G161" s="307">
        <f>VLOOKUP(D161,'S-Alloc Met-TY'!$C$8:$F$10,4,FALSE)*C161</f>
        <v>0</v>
      </c>
      <c r="H161" s="523"/>
    </row>
    <row r="162" spans="1:8">
      <c r="A162" s="53"/>
      <c r="B162" s="221" t="str">
        <f>Expenses!C162</f>
        <v>505 Hwy 31 W (Block Bldg)</v>
      </c>
      <c r="C162" s="61">
        <f>Expenses!D162</f>
        <v>0</v>
      </c>
      <c r="D162" s="242" t="s">
        <v>473</v>
      </c>
      <c r="E162" s="307">
        <f>VLOOKUP(D162,'S-Alloc Met-TY'!$C$8:$D$10,2,FALSE)*C162</f>
        <v>0</v>
      </c>
      <c r="F162" s="307">
        <f>VLOOKUP(D162,'S-Alloc Met-TY'!$C$8:$E$10,3,FALSE)*C162</f>
        <v>0</v>
      </c>
      <c r="G162" s="307">
        <f>VLOOKUP(D162,'S-Alloc Met-TY'!$C$8:$F$10,4,FALSE)*C162</f>
        <v>0</v>
      </c>
      <c r="H162" s="523"/>
    </row>
    <row r="163" spans="1:8">
      <c r="A163" s="53"/>
      <c r="B163" s="221" t="str">
        <f>Expenses!C163</f>
        <v>505 Hwy 31 W (Rental Bldg)</v>
      </c>
      <c r="C163" s="61">
        <f>Expenses!D163</f>
        <v>0</v>
      </c>
      <c r="D163" s="242" t="s">
        <v>473</v>
      </c>
      <c r="E163" s="307">
        <f>VLOOKUP(D163,'S-Alloc Met-TY'!$C$8:$D$10,2,FALSE)*C163</f>
        <v>0</v>
      </c>
      <c r="F163" s="307">
        <f>VLOOKUP(D163,'S-Alloc Met-TY'!$C$8:$E$10,3,FALSE)*C163</f>
        <v>0</v>
      </c>
      <c r="G163" s="307">
        <f>VLOOKUP(D163,'S-Alloc Met-TY'!$C$8:$F$10,4,FALSE)*C163</f>
        <v>0</v>
      </c>
      <c r="H163" s="523"/>
    </row>
    <row r="164" spans="1:8">
      <c r="A164" s="53"/>
      <c r="B164" s="221" t="str">
        <f>Expenses!C164</f>
        <v xml:space="preserve">Equipment </v>
      </c>
      <c r="C164" s="61">
        <f>Expenses!D164</f>
        <v>0</v>
      </c>
      <c r="D164" s="242" t="s">
        <v>473</v>
      </c>
      <c r="E164" s="307">
        <f>VLOOKUP(D164,'S-Alloc Met-TY'!$C$8:$D$10,2,FALSE)*C164</f>
        <v>0</v>
      </c>
      <c r="F164" s="307">
        <f>VLOOKUP(D164,'S-Alloc Met-TY'!$C$8:$E$10,3,FALSE)*C164</f>
        <v>0</v>
      </c>
      <c r="G164" s="307">
        <f>VLOOKUP(D164,'S-Alloc Met-TY'!$C$8:$F$10,4,FALSE)*C164</f>
        <v>0</v>
      </c>
      <c r="H164" s="523"/>
    </row>
    <row r="165" spans="1:8">
      <c r="A165" s="53"/>
      <c r="B165" s="221" t="str">
        <f>Expenses!C165</f>
        <v>Unidentified Assets</v>
      </c>
      <c r="C165" s="61">
        <f>Expenses!D165</f>
        <v>0</v>
      </c>
      <c r="D165" s="242" t="s">
        <v>473</v>
      </c>
      <c r="E165" s="307">
        <f>VLOOKUP(D165,'S-Alloc Met-TY'!$C$8:$D$10,2,FALSE)*C165</f>
        <v>0</v>
      </c>
      <c r="F165" s="307">
        <f>VLOOKUP(D165,'S-Alloc Met-TY'!$C$8:$E$10,3,FALSE)*C165</f>
        <v>0</v>
      </c>
      <c r="G165" s="307">
        <f>VLOOKUP(D165,'S-Alloc Met-TY'!$C$8:$F$10,4,FALSE)*C165</f>
        <v>0</v>
      </c>
      <c r="H165" s="523"/>
    </row>
    <row r="166" spans="1:8">
      <c r="A166" s="53"/>
      <c r="B166" s="221" t="str">
        <f>Expenses!C166</f>
        <v>Equipment (T&amp;D)</v>
      </c>
      <c r="C166" s="61">
        <f>Expenses!D166</f>
        <v>0</v>
      </c>
      <c r="D166" s="242" t="s">
        <v>473</v>
      </c>
      <c r="E166" s="307">
        <f>VLOOKUP(D166,'S-Alloc Met-TY'!$C$8:$D$10,2,FALSE)*C166</f>
        <v>0</v>
      </c>
      <c r="F166" s="307">
        <f>VLOOKUP(D166,'S-Alloc Met-TY'!$C$8:$E$10,3,FALSE)*C166</f>
        <v>0</v>
      </c>
      <c r="G166" s="307">
        <f>VLOOKUP(D166,'S-Alloc Met-TY'!$C$8:$F$10,4,FALSE)*C166</f>
        <v>0</v>
      </c>
      <c r="H166" s="523"/>
    </row>
    <row r="167" spans="1:8">
      <c r="A167" s="53"/>
      <c r="B167" s="221" t="str">
        <f>Expenses!C167</f>
        <v>-</v>
      </c>
      <c r="C167" s="61">
        <f>Expenses!D167</f>
        <v>0</v>
      </c>
      <c r="D167" s="242" t="s">
        <v>473</v>
      </c>
      <c r="E167" s="307">
        <f>VLOOKUP(D167,'S-Alloc Met-TY'!$C$8:$D$10,2,FALSE)*C167</f>
        <v>0</v>
      </c>
      <c r="F167" s="307">
        <f>VLOOKUP(D167,'S-Alloc Met-TY'!$C$8:$E$10,3,FALSE)*C167</f>
        <v>0</v>
      </c>
      <c r="G167" s="307">
        <f>VLOOKUP(D167,'S-Alloc Met-TY'!$C$8:$F$10,4,FALSE)*C167</f>
        <v>0</v>
      </c>
      <c r="H167" s="523"/>
    </row>
    <row r="168" spans="1:8">
      <c r="A168" s="53"/>
      <c r="B168" s="221" t="str">
        <f>Expenses!C168</f>
        <v>-</v>
      </c>
      <c r="C168" s="61">
        <f>Expenses!D168</f>
        <v>0</v>
      </c>
      <c r="D168" s="242" t="s">
        <v>473</v>
      </c>
      <c r="E168" s="307">
        <f>VLOOKUP(D168,'S-Alloc Met-TY'!$C$8:$D$10,2,FALSE)*C168</f>
        <v>0</v>
      </c>
      <c r="F168" s="307">
        <f>VLOOKUP(D168,'S-Alloc Met-TY'!$C$8:$E$10,3,FALSE)*C168</f>
        <v>0</v>
      </c>
      <c r="G168" s="307">
        <f>VLOOKUP(D168,'S-Alloc Met-TY'!$C$8:$F$10,4,FALSE)*C168</f>
        <v>0</v>
      </c>
      <c r="H168" s="523"/>
    </row>
    <row r="169" spans="1:8">
      <c r="A169" s="53"/>
      <c r="B169" s="221" t="str">
        <f>Expenses!C169</f>
        <v>-</v>
      </c>
      <c r="C169" s="61">
        <f>Expenses!D169</f>
        <v>0</v>
      </c>
      <c r="D169" s="242" t="s">
        <v>473</v>
      </c>
      <c r="E169" s="307">
        <f>VLOOKUP(D169,'S-Alloc Met-TY'!$C$8:$D$10,2,FALSE)*C169</f>
        <v>0</v>
      </c>
      <c r="F169" s="307">
        <f>VLOOKUP(D169,'S-Alloc Met-TY'!$C$8:$E$10,3,FALSE)*C169</f>
        <v>0</v>
      </c>
      <c r="G169" s="307">
        <f>VLOOKUP(D169,'S-Alloc Met-TY'!$C$8:$F$10,4,FALSE)*C169</f>
        <v>0</v>
      </c>
      <c r="H169" s="523"/>
    </row>
    <row r="170" spans="1:8">
      <c r="A170" s="53"/>
      <c r="B170" s="221" t="str">
        <f>Expenses!C170</f>
        <v>-</v>
      </c>
      <c r="C170" s="61">
        <f>Expenses!D170</f>
        <v>0</v>
      </c>
      <c r="D170" s="242" t="s">
        <v>473</v>
      </c>
      <c r="E170" s="307">
        <f>VLOOKUP(D170,'S-Alloc Met-TY'!$C$8:$D$10,2,FALSE)*C170</f>
        <v>0</v>
      </c>
      <c r="F170" s="307">
        <f>VLOOKUP(D170,'S-Alloc Met-TY'!$C$8:$E$10,3,FALSE)*C170</f>
        <v>0</v>
      </c>
      <c r="G170" s="307">
        <f>VLOOKUP(D170,'S-Alloc Met-TY'!$C$8:$F$10,4,FALSE)*C170</f>
        <v>0</v>
      </c>
      <c r="H170" s="523"/>
    </row>
    <row r="171" spans="1:8">
      <c r="A171" s="53"/>
      <c r="B171" s="221" t="str">
        <f>Expenses!C171</f>
        <v>-</v>
      </c>
      <c r="C171" s="61">
        <f>Expenses!D171</f>
        <v>0</v>
      </c>
      <c r="D171" s="242" t="s">
        <v>473</v>
      </c>
      <c r="E171" s="307">
        <f>VLOOKUP(D171,'S-Alloc Met-TY'!$C$8:$D$10,2,FALSE)*C171</f>
        <v>0</v>
      </c>
      <c r="F171" s="307">
        <f>VLOOKUP(D171,'S-Alloc Met-TY'!$C$8:$E$10,3,FALSE)*C171</f>
        <v>0</v>
      </c>
      <c r="G171" s="307">
        <f>VLOOKUP(D171,'S-Alloc Met-TY'!$C$8:$F$10,4,FALSE)*C171</f>
        <v>0</v>
      </c>
      <c r="H171" s="523"/>
    </row>
    <row r="172" spans="1:8">
      <c r="A172" s="53"/>
      <c r="B172" s="221" t="str">
        <f>Expenses!C172</f>
        <v>-</v>
      </c>
      <c r="C172" s="61">
        <f>Expenses!D172</f>
        <v>0</v>
      </c>
      <c r="D172" s="241" t="s">
        <v>473</v>
      </c>
      <c r="E172" s="307">
        <f>VLOOKUP(D172,'S-Alloc Met-TY'!$C$8:$D$10,2,FALSE)*C172</f>
        <v>0</v>
      </c>
      <c r="F172" s="307">
        <f>VLOOKUP(D172,'S-Alloc Met-TY'!$C$8:$E$10,3,FALSE)*C172</f>
        <v>0</v>
      </c>
      <c r="G172" s="514">
        <f>VLOOKUP(D172,'S-Alloc Met-TY'!$C$8:$F$10,4,FALSE)*C172</f>
        <v>0</v>
      </c>
      <c r="H172" s="523"/>
    </row>
    <row r="173" spans="1:8">
      <c r="A173" s="793"/>
      <c r="B173" s="290" t="s">
        <v>30</v>
      </c>
      <c r="C173" s="291">
        <f>SUM(C141:C172)</f>
        <v>1918276</v>
      </c>
      <c r="D173" s="291"/>
      <c r="E173" s="291">
        <f>SUM(E141:E172)</f>
        <v>1918276</v>
      </c>
      <c r="F173" s="291">
        <f>SUM(F141:F172)</f>
        <v>0</v>
      </c>
      <c r="G173" s="291">
        <f>SUM(G141:G172)</f>
        <v>0</v>
      </c>
      <c r="H173" s="523"/>
    </row>
    <row r="174" spans="1:8">
      <c r="A174" s="53"/>
      <c r="B174" s="220"/>
      <c r="C174" s="42"/>
      <c r="H174" s="523"/>
    </row>
    <row r="175" spans="1:8">
      <c r="A175" s="53"/>
      <c r="B175" s="217" t="s">
        <v>35</v>
      </c>
      <c r="C175" s="259"/>
      <c r="D175" s="148"/>
      <c r="E175" s="148"/>
      <c r="F175" s="148"/>
      <c r="G175" s="148"/>
      <c r="H175" s="523"/>
    </row>
    <row r="176" spans="1:8">
      <c r="A176" s="53" t="s">
        <v>331</v>
      </c>
      <c r="B176" s="221" t="str">
        <f>Expenses!C176</f>
        <v>Series 1970, USDA</v>
      </c>
      <c r="C176" s="61">
        <f>Expenses!D176</f>
        <v>0</v>
      </c>
      <c r="D176" s="242" t="s">
        <v>473</v>
      </c>
      <c r="E176" s="307">
        <f>VLOOKUP(D176,'S-Alloc Met-TY'!$C$8:$D$10,2,FALSE)*C176</f>
        <v>0</v>
      </c>
      <c r="F176" s="307">
        <f>VLOOKUP(D176,'S-Alloc Met-TY'!$C$8:$E$10,3,FALSE)*C176</f>
        <v>0</v>
      </c>
      <c r="G176" s="307">
        <f>VLOOKUP(D176,'S-Alloc Met-TY'!$C$8:$F$10,4,FALSE)*C176</f>
        <v>0</v>
      </c>
      <c r="H176" s="523"/>
    </row>
    <row r="177" spans="1:8">
      <c r="A177" s="53" t="s">
        <v>333</v>
      </c>
      <c r="B177" s="221" t="str">
        <f>Expenses!C177</f>
        <v>Series 1993, USDA</v>
      </c>
      <c r="C177" s="61">
        <f>Expenses!D177</f>
        <v>0</v>
      </c>
      <c r="D177" s="242" t="s">
        <v>473</v>
      </c>
      <c r="E177" s="307">
        <f>VLOOKUP(D177,'S-Alloc Met-TY'!$C$8:$D$10,2,FALSE)*C177</f>
        <v>0</v>
      </c>
      <c r="F177" s="307">
        <f>VLOOKUP(D177,'S-Alloc Met-TY'!$C$8:$E$10,3,FALSE)*C177</f>
        <v>0</v>
      </c>
      <c r="G177" s="307">
        <f>VLOOKUP(D177,'S-Alloc Met-TY'!$C$8:$F$10,4,FALSE)*C177</f>
        <v>0</v>
      </c>
      <c r="H177" s="523"/>
    </row>
    <row r="178" spans="1:8">
      <c r="A178" s="53" t="s">
        <v>335</v>
      </c>
      <c r="B178" s="221" t="str">
        <f>Expenses!C178</f>
        <v>Series 1995, USDA</v>
      </c>
      <c r="C178" s="61">
        <f>Expenses!D178</f>
        <v>0</v>
      </c>
      <c r="D178" s="242" t="s">
        <v>473</v>
      </c>
      <c r="E178" s="307">
        <f>VLOOKUP(D178,'S-Alloc Met-TY'!$C$8:$D$10,2,FALSE)*C178</f>
        <v>0</v>
      </c>
      <c r="F178" s="307">
        <f>VLOOKUP(D178,'S-Alloc Met-TY'!$C$8:$E$10,3,FALSE)*C178</f>
        <v>0</v>
      </c>
      <c r="G178" s="307">
        <f>VLOOKUP(D178,'S-Alloc Met-TY'!$C$8:$F$10,4,FALSE)*C178</f>
        <v>0</v>
      </c>
      <c r="H178" s="523"/>
    </row>
    <row r="179" spans="1:8">
      <c r="A179" s="53" t="s">
        <v>337</v>
      </c>
      <c r="B179" s="221" t="str">
        <f>Expenses!C179</f>
        <v>KIA Russellville Rd</v>
      </c>
      <c r="C179" s="61">
        <f>Expenses!D179</f>
        <v>0</v>
      </c>
      <c r="D179" s="242" t="s">
        <v>473</v>
      </c>
      <c r="E179" s="307">
        <f>VLOOKUP(D179,'S-Alloc Met-TY'!$C$8:$D$10,2,FALSE)*C179</f>
        <v>0</v>
      </c>
      <c r="F179" s="307">
        <f>VLOOKUP(D179,'S-Alloc Met-TY'!$C$8:$E$10,3,FALSE)*C179</f>
        <v>0</v>
      </c>
      <c r="G179" s="307">
        <f>VLOOKUP(D179,'S-Alloc Met-TY'!$C$8:$F$10,4,FALSE)*C179</f>
        <v>0</v>
      </c>
      <c r="H179" s="523"/>
    </row>
    <row r="180" spans="1:8">
      <c r="A180" s="53" t="s">
        <v>338</v>
      </c>
      <c r="B180" s="221" t="str">
        <f>Expenses!C180</f>
        <v>KIA Barren River Rd (A98-02)</v>
      </c>
      <c r="C180" s="61">
        <f>Expenses!D180</f>
        <v>0</v>
      </c>
      <c r="D180" s="242" t="s">
        <v>473</v>
      </c>
      <c r="E180" s="307">
        <f>VLOOKUP(D180,'S-Alloc Met-TY'!$C$8:$D$10,2,FALSE)*C180</f>
        <v>0</v>
      </c>
      <c r="F180" s="307">
        <f>VLOOKUP(D180,'S-Alloc Met-TY'!$C$8:$E$10,3,FALSE)*C180</f>
        <v>0</v>
      </c>
      <c r="G180" s="307">
        <f>VLOOKUP(D180,'S-Alloc Met-TY'!$C$8:$F$10,4,FALSE)*C180</f>
        <v>0</v>
      </c>
      <c r="H180" s="523"/>
    </row>
    <row r="181" spans="1:8">
      <c r="A181" s="53" t="s">
        <v>339</v>
      </c>
      <c r="B181" s="221" t="str">
        <f>Expenses!C181</f>
        <v>2019 USDA</v>
      </c>
      <c r="C181" s="61">
        <f>Expenses!D181</f>
        <v>14819</v>
      </c>
      <c r="D181" s="242" t="s">
        <v>473</v>
      </c>
      <c r="E181" s="307">
        <f>VLOOKUP(D181,'S-Alloc Met-TY'!$C$8:$D$10,2,FALSE)*C181</f>
        <v>14819</v>
      </c>
      <c r="F181" s="307">
        <f>VLOOKUP(D181,'S-Alloc Met-TY'!$C$8:$E$10,3,FALSE)*C181</f>
        <v>0</v>
      </c>
      <c r="G181" s="307">
        <f>VLOOKUP(D181,'S-Alloc Met-TY'!$C$8:$F$10,4,FALSE)*C181</f>
        <v>0</v>
      </c>
      <c r="H181" s="523"/>
    </row>
    <row r="182" spans="1:8">
      <c r="A182" s="53" t="s">
        <v>340</v>
      </c>
      <c r="B182" s="221" t="str">
        <f>Expenses!C182</f>
        <v>Series 2003C, KRWFC</v>
      </c>
      <c r="C182" s="61">
        <f>Expenses!D182</f>
        <v>0</v>
      </c>
      <c r="D182" s="242" t="s">
        <v>473</v>
      </c>
      <c r="E182" s="307">
        <f>VLOOKUP(D182,'S-Alloc Met-TY'!$C$8:$D$10,2,FALSE)*C182</f>
        <v>0</v>
      </c>
      <c r="F182" s="307">
        <f>VLOOKUP(D182,'S-Alloc Met-TY'!$C$8:$E$10,3,FALSE)*C182</f>
        <v>0</v>
      </c>
      <c r="G182" s="307">
        <f>VLOOKUP(D182,'S-Alloc Met-TY'!$C$8:$F$10,4,FALSE)*C182</f>
        <v>0</v>
      </c>
      <c r="H182" s="523"/>
    </row>
    <row r="183" spans="1:8">
      <c r="A183" s="53" t="s">
        <v>341</v>
      </c>
      <c r="B183" s="221" t="str">
        <f>Expenses!C183</f>
        <v>KIA, Buchanon Park (C11-02)</v>
      </c>
      <c r="C183" s="61">
        <f>Expenses!D183</f>
        <v>14144</v>
      </c>
      <c r="D183" s="242" t="s">
        <v>473</v>
      </c>
      <c r="E183" s="307">
        <f>VLOOKUP(D183,'S-Alloc Met-TY'!$C$8:$D$10,2,FALSE)*C183</f>
        <v>14144</v>
      </c>
      <c r="F183" s="307">
        <f>VLOOKUP(D183,'S-Alloc Met-TY'!$C$8:$E$10,3,FALSE)*C183</f>
        <v>0</v>
      </c>
      <c r="G183" s="307">
        <f>VLOOKUP(D183,'S-Alloc Met-TY'!$C$8:$F$10,4,FALSE)*C183</f>
        <v>0</v>
      </c>
      <c r="H183" s="523"/>
    </row>
    <row r="184" spans="1:8">
      <c r="A184" s="53" t="s">
        <v>342</v>
      </c>
      <c r="B184" s="221" t="str">
        <f>Expenses!C184</f>
        <v>Series 2013B, KRWFC</v>
      </c>
      <c r="C184" s="61">
        <f>Expenses!D184</f>
        <v>1292</v>
      </c>
      <c r="D184" s="242" t="s">
        <v>473</v>
      </c>
      <c r="E184" s="307">
        <f>VLOOKUP(D184,'S-Alloc Met-TY'!$C$8:$D$10,2,FALSE)*C184</f>
        <v>1292</v>
      </c>
      <c r="F184" s="307">
        <f>VLOOKUP(D184,'S-Alloc Met-TY'!$C$8:$E$10,3,FALSE)*C184</f>
        <v>0</v>
      </c>
      <c r="G184" s="307">
        <f>VLOOKUP(D184,'S-Alloc Met-TY'!$C$8:$F$10,4,FALSE)*C184</f>
        <v>0</v>
      </c>
      <c r="H184" s="523"/>
    </row>
    <row r="185" spans="1:8">
      <c r="A185" s="53" t="s">
        <v>343</v>
      </c>
      <c r="B185" s="221" t="str">
        <f>Expenses!C185</f>
        <v>KIA, Alvanton Area Improvement</v>
      </c>
      <c r="C185" s="61">
        <f>Expenses!D185</f>
        <v>0</v>
      </c>
      <c r="D185" s="242" t="s">
        <v>473</v>
      </c>
      <c r="E185" s="307">
        <f>VLOOKUP(D185,'S-Alloc Met-TY'!$C$8:$D$10,2,FALSE)*C185</f>
        <v>0</v>
      </c>
      <c r="F185" s="307">
        <f>VLOOKUP(D185,'S-Alloc Met-TY'!$C$8:$E$10,3,FALSE)*C185</f>
        <v>0</v>
      </c>
      <c r="G185" s="307">
        <f>VLOOKUP(D185,'S-Alloc Met-TY'!$C$8:$F$10,4,FALSE)*C185</f>
        <v>0</v>
      </c>
      <c r="H185" s="523"/>
    </row>
    <row r="186" spans="1:8">
      <c r="A186" s="53" t="s">
        <v>344</v>
      </c>
      <c r="B186" s="221" t="str">
        <f>Expenses!C186</f>
        <v>KIA, Plum Springs Rehab</v>
      </c>
      <c r="C186" s="61">
        <f>Expenses!D186</f>
        <v>36109</v>
      </c>
      <c r="D186" s="242" t="s">
        <v>473</v>
      </c>
      <c r="E186" s="307">
        <f>VLOOKUP(D186,'S-Alloc Met-TY'!$C$8:$D$10,2,FALSE)*C186</f>
        <v>36109</v>
      </c>
      <c r="F186" s="307">
        <f>VLOOKUP(D186,'S-Alloc Met-TY'!$C$8:$E$10,3,FALSE)*C186</f>
        <v>0</v>
      </c>
      <c r="G186" s="307">
        <f>VLOOKUP(D186,'S-Alloc Met-TY'!$C$8:$F$10,4,FALSE)*C186</f>
        <v>0</v>
      </c>
      <c r="H186" s="523"/>
    </row>
    <row r="187" spans="1:8">
      <c r="A187" s="53" t="s">
        <v>345</v>
      </c>
      <c r="B187" s="221" t="str">
        <f>Expenses!C187</f>
        <v>Series 2021A, KRWFC</v>
      </c>
      <c r="C187" s="61">
        <f>Expenses!D187</f>
        <v>35129</v>
      </c>
      <c r="D187" s="242" t="s">
        <v>473</v>
      </c>
      <c r="E187" s="307">
        <f>VLOOKUP(D187,'S-Alloc Met-TY'!$C$8:$D$10,2,FALSE)*C187</f>
        <v>35129</v>
      </c>
      <c r="F187" s="307">
        <f>VLOOKUP(D187,'S-Alloc Met-TY'!$C$8:$E$10,3,FALSE)*C187</f>
        <v>0</v>
      </c>
      <c r="G187" s="307">
        <f>VLOOKUP(D187,'S-Alloc Met-TY'!$C$8:$F$10,4,FALSE)*C187</f>
        <v>0</v>
      </c>
      <c r="H187" s="523"/>
    </row>
    <row r="188" spans="1:8">
      <c r="A188" s="53" t="s">
        <v>346</v>
      </c>
      <c r="B188" s="221" t="str">
        <f>Expenses!C188</f>
        <v>Series 2022D, KRWFC</v>
      </c>
      <c r="C188" s="61">
        <f>Expenses!D188</f>
        <v>277409</v>
      </c>
      <c r="D188" s="242" t="s">
        <v>473</v>
      </c>
      <c r="E188" s="307">
        <f>VLOOKUP(D188,'S-Alloc Met-TY'!$C$8:$D$10,2,FALSE)*C188</f>
        <v>277409</v>
      </c>
      <c r="F188" s="307">
        <f>VLOOKUP(D188,'S-Alloc Met-TY'!$C$8:$E$10,3,FALSE)*C188</f>
        <v>0</v>
      </c>
      <c r="G188" s="307">
        <f>VLOOKUP(D188,'S-Alloc Met-TY'!$C$8:$F$10,4,FALSE)*C188</f>
        <v>0</v>
      </c>
      <c r="H188" s="523"/>
    </row>
    <row r="189" spans="1:8">
      <c r="A189" s="53" t="s">
        <v>347</v>
      </c>
      <c r="B189" s="221" t="str">
        <f>Expenses!C189</f>
        <v>Consumer Deposits</v>
      </c>
      <c r="C189" s="61">
        <f>Expenses!D189</f>
        <v>4926</v>
      </c>
      <c r="D189" s="242" t="s">
        <v>473</v>
      </c>
      <c r="E189" s="307">
        <f>VLOOKUP(D189,'S-Alloc Met-TY'!$C$8:$D$10,2,FALSE)*C189</f>
        <v>4926</v>
      </c>
      <c r="F189" s="307">
        <f>VLOOKUP(D189,'S-Alloc Met-TY'!$C$8:$E$10,3,FALSE)*C189</f>
        <v>0</v>
      </c>
      <c r="G189" s="307">
        <f>VLOOKUP(D189,'S-Alloc Met-TY'!$C$8:$F$10,4,FALSE)*C189</f>
        <v>0</v>
      </c>
      <c r="H189" s="523"/>
    </row>
    <row r="190" spans="1:8">
      <c r="A190" s="53" t="s">
        <v>348</v>
      </c>
      <c r="B190" s="221" t="str">
        <f>Expenses!C190</f>
        <v>Other</v>
      </c>
      <c r="C190" s="61">
        <f>Expenses!D190</f>
        <v>0</v>
      </c>
      <c r="D190" s="242" t="s">
        <v>473</v>
      </c>
      <c r="E190" s="307">
        <f>VLOOKUP(D190,'S-Alloc Met-TY'!$C$8:$D$10,2,FALSE)*C190</f>
        <v>0</v>
      </c>
      <c r="F190" s="307">
        <f>VLOOKUP(D190,'S-Alloc Met-TY'!$C$8:$E$10,3,FALSE)*C190</f>
        <v>0</v>
      </c>
      <c r="G190" s="307">
        <f>VLOOKUP(D190,'S-Alloc Met-TY'!$C$8:$F$10,4,FALSE)*C190</f>
        <v>0</v>
      </c>
      <c r="H190" s="523"/>
    </row>
    <row r="191" spans="1:8">
      <c r="A191" s="53" t="s">
        <v>349</v>
      </c>
      <c r="B191" s="221" t="str">
        <f>Expenses!C191</f>
        <v>Amortized Debt Expense</v>
      </c>
      <c r="C191" s="61">
        <f>Expenses!D191</f>
        <v>0</v>
      </c>
      <c r="D191" s="242" t="s">
        <v>473</v>
      </c>
      <c r="E191" s="307">
        <f>VLOOKUP(D191,'S-Alloc Met-TY'!$C$8:$D$10,2,FALSE)*C191</f>
        <v>0</v>
      </c>
      <c r="F191" s="307">
        <f>VLOOKUP(D191,'S-Alloc Met-TY'!$C$8:$E$10,3,FALSE)*C191</f>
        <v>0</v>
      </c>
      <c r="G191" s="307">
        <f>VLOOKUP(D191,'S-Alloc Met-TY'!$C$8:$F$10,4,FALSE)*C191</f>
        <v>0</v>
      </c>
      <c r="H191" s="523"/>
    </row>
    <row r="192" spans="1:8">
      <c r="A192" s="53" t="s">
        <v>350</v>
      </c>
      <c r="B192" s="221" t="str">
        <f>Expenses!C192</f>
        <v>Am Prem/Disc-KRWFC, Series 2021A</v>
      </c>
      <c r="C192" s="61">
        <f>Expenses!D192</f>
        <v>-12259</v>
      </c>
      <c r="D192" s="242" t="s">
        <v>473</v>
      </c>
      <c r="E192" s="307">
        <f>VLOOKUP(D192,'S-Alloc Met-TY'!$C$8:$D$10,2,FALSE)*C192</f>
        <v>-12259</v>
      </c>
      <c r="F192" s="307">
        <f>VLOOKUP(D192,'S-Alloc Met-TY'!$C$8:$E$10,3,FALSE)*C192</f>
        <v>0</v>
      </c>
      <c r="G192" s="307">
        <f>VLOOKUP(D192,'S-Alloc Met-TY'!$C$8:$F$10,4,FALSE)*C192</f>
        <v>0</v>
      </c>
      <c r="H192" s="523"/>
    </row>
    <row r="193" spans="1:8">
      <c r="A193" s="53"/>
      <c r="B193" s="221" t="str">
        <f>Expenses!C193</f>
        <v>Series 2004A, Refunding</v>
      </c>
      <c r="C193" s="61">
        <f>Expenses!D193</f>
        <v>0</v>
      </c>
      <c r="D193" s="242" t="s">
        <v>473</v>
      </c>
      <c r="E193" s="307">
        <f>VLOOKUP(D193,'S-Alloc Met-TY'!$C$8:$D$10,2,FALSE)*C193</f>
        <v>0</v>
      </c>
      <c r="F193" s="307">
        <f>VLOOKUP(D193,'S-Alloc Met-TY'!$C$8:$E$10,3,FALSE)*C193</f>
        <v>0</v>
      </c>
      <c r="G193" s="307">
        <f>VLOOKUP(D193,'S-Alloc Met-TY'!$C$8:$F$10,4,FALSE)*C193</f>
        <v>0</v>
      </c>
      <c r="H193" s="523"/>
    </row>
    <row r="194" spans="1:8">
      <c r="A194" s="53"/>
      <c r="B194" s="221" t="str">
        <f>Expenses!C194</f>
        <v>KIA, So KY Industrial/Hwy 31W</v>
      </c>
      <c r="C194" s="61">
        <f>Expenses!D194</f>
        <v>0</v>
      </c>
      <c r="D194" s="242" t="s">
        <v>473</v>
      </c>
      <c r="E194" s="307">
        <f>VLOOKUP(D194,'S-Alloc Met-TY'!$C$8:$D$10,2,FALSE)*C194</f>
        <v>0</v>
      </c>
      <c r="F194" s="307">
        <f>VLOOKUP(D194,'S-Alloc Met-TY'!$C$8:$E$10,3,FALSE)*C194</f>
        <v>0</v>
      </c>
      <c r="G194" s="307">
        <f>VLOOKUP(D194,'S-Alloc Met-TY'!$C$8:$F$10,4,FALSE)*C194</f>
        <v>0</v>
      </c>
      <c r="H194" s="523"/>
    </row>
    <row r="195" spans="1:8">
      <c r="A195" s="53"/>
      <c r="B195" s="221" t="str">
        <f>Expenses!C195</f>
        <v>KIA, So KY Industrial Park</v>
      </c>
      <c r="C195" s="61">
        <f>Expenses!D195</f>
        <v>0</v>
      </c>
      <c r="D195" s="242" t="s">
        <v>473</v>
      </c>
      <c r="E195" s="307">
        <f>VLOOKUP(D195,'S-Alloc Met-TY'!$C$8:$D$10,2,FALSE)*C195</f>
        <v>0</v>
      </c>
      <c r="F195" s="307">
        <f>VLOOKUP(D195,'S-Alloc Met-TY'!$C$8:$E$10,3,FALSE)*C195</f>
        <v>0</v>
      </c>
      <c r="G195" s="307">
        <f>VLOOKUP(D195,'S-Alloc Met-TY'!$C$8:$F$10,4,FALSE)*C195</f>
        <v>0</v>
      </c>
      <c r="H195" s="523"/>
    </row>
    <row r="196" spans="1:8">
      <c r="A196" s="53"/>
      <c r="B196" s="221" t="str">
        <f>Expenses!C196</f>
        <v xml:space="preserve">Series 2005A, USDA </v>
      </c>
      <c r="C196" s="61">
        <f>Expenses!D196</f>
        <v>0</v>
      </c>
      <c r="D196" s="242" t="s">
        <v>473</v>
      </c>
      <c r="E196" s="307">
        <f>VLOOKUP(D196,'S-Alloc Met-TY'!$C$8:$D$10,2,FALSE)*C196</f>
        <v>0</v>
      </c>
      <c r="F196" s="307">
        <f>VLOOKUP(D196,'S-Alloc Met-TY'!$C$8:$E$10,3,FALSE)*C196</f>
        <v>0</v>
      </c>
      <c r="G196" s="307">
        <f>VLOOKUP(D196,'S-Alloc Met-TY'!$C$8:$F$10,4,FALSE)*C196</f>
        <v>0</v>
      </c>
      <c r="H196" s="523"/>
    </row>
    <row r="197" spans="1:8">
      <c r="A197" s="53"/>
      <c r="B197" s="221" t="str">
        <f>Expenses!C197</f>
        <v>-</v>
      </c>
      <c r="C197" s="61">
        <f>Expenses!D197</f>
        <v>0</v>
      </c>
      <c r="D197" s="242" t="s">
        <v>473</v>
      </c>
      <c r="E197" s="307">
        <f>VLOOKUP(D197,'S-Alloc Met-TY'!$C$8:$D$10,2,FALSE)*C197</f>
        <v>0</v>
      </c>
      <c r="F197" s="307">
        <f>VLOOKUP(D197,'S-Alloc Met-TY'!$C$8:$E$10,3,FALSE)*C197</f>
        <v>0</v>
      </c>
      <c r="G197" s="307">
        <f>VLOOKUP(D197,'S-Alloc Met-TY'!$C$8:$F$10,4,FALSE)*C197</f>
        <v>0</v>
      </c>
      <c r="H197" s="523"/>
    </row>
    <row r="198" spans="1:8">
      <c r="A198" s="53"/>
      <c r="B198" s="221" t="str">
        <f>Expenses!C198</f>
        <v>Series 1998, Refunding</v>
      </c>
      <c r="C198" s="61">
        <f>Expenses!D198</f>
        <v>0</v>
      </c>
      <c r="D198" s="242" t="s">
        <v>473</v>
      </c>
      <c r="E198" s="307">
        <f>VLOOKUP(D198,'S-Alloc Met-TY'!$C$8:$D$10,2,FALSE)*C198</f>
        <v>0</v>
      </c>
      <c r="F198" s="307">
        <f>VLOOKUP(D198,'S-Alloc Met-TY'!$C$8:$E$10,3,FALSE)*C198</f>
        <v>0</v>
      </c>
      <c r="G198" s="307">
        <f>VLOOKUP(D198,'S-Alloc Met-TY'!$C$8:$F$10,4,FALSE)*C198</f>
        <v>0</v>
      </c>
      <c r="H198" s="523"/>
    </row>
    <row r="199" spans="1:8">
      <c r="A199" s="53"/>
      <c r="B199" s="221" t="str">
        <f>Expenses!C199</f>
        <v>Series 1998B, Revenue</v>
      </c>
      <c r="C199" s="61">
        <f>Expenses!D199</f>
        <v>0</v>
      </c>
      <c r="D199" s="242" t="s">
        <v>473</v>
      </c>
      <c r="E199" s="307">
        <f>VLOOKUP(D199,'S-Alloc Met-TY'!$C$8:$D$10,2,FALSE)*C199</f>
        <v>0</v>
      </c>
      <c r="F199" s="307">
        <f>VLOOKUP(D199,'S-Alloc Met-TY'!$C$8:$E$10,3,FALSE)*C199</f>
        <v>0</v>
      </c>
      <c r="G199" s="307">
        <f>VLOOKUP(D199,'S-Alloc Met-TY'!$C$8:$F$10,4,FALSE)*C199</f>
        <v>0</v>
      </c>
      <c r="H199" s="523"/>
    </row>
    <row r="200" spans="1:8">
      <c r="A200" s="53"/>
      <c r="B200" s="221" t="str">
        <f>Expenses!C200</f>
        <v>Series 1999 A, USDA</v>
      </c>
      <c r="C200" s="61">
        <f>Expenses!D200</f>
        <v>0</v>
      </c>
      <c r="D200" s="242" t="s">
        <v>473</v>
      </c>
      <c r="E200" s="307">
        <f>VLOOKUP(D200,'S-Alloc Met-TY'!$C$8:$D$10,2,FALSE)*C200</f>
        <v>0</v>
      </c>
      <c r="F200" s="307">
        <f>VLOOKUP(D200,'S-Alloc Met-TY'!$C$8:$E$10,3,FALSE)*C200</f>
        <v>0</v>
      </c>
      <c r="G200" s="307">
        <f>VLOOKUP(D200,'S-Alloc Met-TY'!$C$8:$F$10,4,FALSE)*C200</f>
        <v>0</v>
      </c>
      <c r="H200" s="523"/>
    </row>
    <row r="201" spans="1:8">
      <c r="A201" s="53"/>
      <c r="B201" s="221" t="str">
        <f>Expenses!C201</f>
        <v>KRWFC 2003, KRWFC</v>
      </c>
      <c r="C201" s="61">
        <f>Expenses!D201</f>
        <v>0</v>
      </c>
      <c r="D201" s="242" t="s">
        <v>473</v>
      </c>
      <c r="E201" s="307">
        <f>VLOOKUP(D201,'S-Alloc Met-TY'!$C$8:$D$10,2,FALSE)*C201</f>
        <v>0</v>
      </c>
      <c r="F201" s="307">
        <f>VLOOKUP(D201,'S-Alloc Met-TY'!$C$8:$E$10,3,FALSE)*C201</f>
        <v>0</v>
      </c>
      <c r="G201" s="307">
        <f>VLOOKUP(D201,'S-Alloc Met-TY'!$C$8:$F$10,4,FALSE)*C201</f>
        <v>0</v>
      </c>
      <c r="H201" s="523"/>
    </row>
    <row r="202" spans="1:8">
      <c r="A202" s="53"/>
      <c r="B202" s="221" t="str">
        <f>Expenses!C202</f>
        <v>Series 2003C, KRWFC</v>
      </c>
      <c r="C202" s="61">
        <f>Expenses!D202</f>
        <v>0</v>
      </c>
      <c r="D202" s="242" t="s">
        <v>473</v>
      </c>
      <c r="E202" s="307">
        <f>VLOOKUP(D202,'S-Alloc Met-TY'!$C$8:$D$10,2,FALSE)*C202</f>
        <v>0</v>
      </c>
      <c r="F202" s="307">
        <f>VLOOKUP(D202,'S-Alloc Met-TY'!$C$8:$E$10,3,FALSE)*C202</f>
        <v>0</v>
      </c>
      <c r="G202" s="307">
        <f>VLOOKUP(D202,'S-Alloc Met-TY'!$C$8:$F$10,4,FALSE)*C202</f>
        <v>0</v>
      </c>
      <c r="H202" s="523"/>
    </row>
    <row r="203" spans="1:8">
      <c r="A203" s="53"/>
      <c r="B203" s="221" t="str">
        <f>Expenses!C203</f>
        <v>Series 2013B, KRWFC</v>
      </c>
      <c r="C203" s="61">
        <f>Expenses!D203</f>
        <v>0</v>
      </c>
      <c r="D203" s="242" t="s">
        <v>473</v>
      </c>
      <c r="E203" s="307">
        <f>VLOOKUP(D203,'S-Alloc Met-TY'!$C$8:$D$10,2,FALSE)*C203</f>
        <v>0</v>
      </c>
      <c r="F203" s="307">
        <f>VLOOKUP(D203,'S-Alloc Met-TY'!$C$8:$E$10,3,FALSE)*C203</f>
        <v>0</v>
      </c>
      <c r="G203" s="307">
        <f>VLOOKUP(D203,'S-Alloc Met-TY'!$C$8:$F$10,4,FALSE)*C203</f>
        <v>0</v>
      </c>
      <c r="H203" s="523"/>
    </row>
    <row r="204" spans="1:8">
      <c r="A204" s="53"/>
      <c r="B204" s="221" t="str">
        <f>Expenses!C204</f>
        <v>Series 2016B, KRWFC</v>
      </c>
      <c r="C204" s="61">
        <f>Expenses!D204</f>
        <v>0</v>
      </c>
      <c r="D204" s="242" t="s">
        <v>473</v>
      </c>
      <c r="E204" s="307">
        <f>VLOOKUP(D204,'S-Alloc Met-TY'!$C$8:$D$10,2,FALSE)*C204</f>
        <v>0</v>
      </c>
      <c r="F204" s="307">
        <f>VLOOKUP(D204,'S-Alloc Met-TY'!$C$8:$E$10,3,FALSE)*C204</f>
        <v>0</v>
      </c>
      <c r="G204" s="307">
        <f>VLOOKUP(D204,'S-Alloc Met-TY'!$C$8:$F$10,4,FALSE)*C204</f>
        <v>0</v>
      </c>
      <c r="H204" s="523"/>
    </row>
    <row r="205" spans="1:8">
      <c r="A205" s="53"/>
      <c r="B205" s="221" t="str">
        <f>Expenses!C205</f>
        <v>KIA Morgantown Rd Improvements</v>
      </c>
      <c r="C205" s="61">
        <f>Expenses!D205</f>
        <v>0</v>
      </c>
      <c r="D205" s="242" t="s">
        <v>473</v>
      </c>
      <c r="E205" s="307">
        <f>VLOOKUP(D205,'S-Alloc Met-TY'!$C$8:$D$10,2,FALSE)*C205</f>
        <v>0</v>
      </c>
      <c r="F205" s="307">
        <f>VLOOKUP(D205,'S-Alloc Met-TY'!$C$8:$E$10,3,FALSE)*C205</f>
        <v>0</v>
      </c>
      <c r="G205" s="307">
        <f>VLOOKUP(D205,'S-Alloc Met-TY'!$C$8:$F$10,4,FALSE)*C205</f>
        <v>0</v>
      </c>
      <c r="H205" s="523"/>
    </row>
    <row r="206" spans="1:8">
      <c r="A206" s="53"/>
      <c r="B206" s="221" t="str">
        <f>Expenses!C206</f>
        <v>Series 2021A, KRWFC</v>
      </c>
      <c r="C206" s="61">
        <f>Expenses!D206</f>
        <v>0</v>
      </c>
      <c r="D206" s="242" t="s">
        <v>473</v>
      </c>
      <c r="E206" s="307">
        <f>VLOOKUP(D206,'S-Alloc Met-TY'!$C$8:$D$10,2,FALSE)*C206</f>
        <v>0</v>
      </c>
      <c r="F206" s="307">
        <f>VLOOKUP(D206,'S-Alloc Met-TY'!$C$8:$E$10,3,FALSE)*C206</f>
        <v>0</v>
      </c>
      <c r="G206" s="307">
        <f>VLOOKUP(D206,'S-Alloc Met-TY'!$C$8:$F$10,4,FALSE)*C206</f>
        <v>0</v>
      </c>
      <c r="H206" s="523"/>
    </row>
    <row r="207" spans="1:8">
      <c r="A207" s="53"/>
      <c r="B207" s="221" t="str">
        <f>Expenses!C207</f>
        <v>Series 2022D, KRWFC</v>
      </c>
      <c r="C207" s="61">
        <f>Expenses!D207</f>
        <v>0</v>
      </c>
      <c r="D207" s="242" t="s">
        <v>473</v>
      </c>
      <c r="E207" s="307">
        <f>VLOOKUP(D207,'S-Alloc Met-TY'!$C$8:$D$10,2,FALSE)*C207</f>
        <v>0</v>
      </c>
      <c r="F207" s="307">
        <f>VLOOKUP(D207,'S-Alloc Met-TY'!$C$8:$E$10,3,FALSE)*C207</f>
        <v>0</v>
      </c>
      <c r="G207" s="307">
        <f>VLOOKUP(D207,'S-Alloc Met-TY'!$C$8:$F$10,4,FALSE)*C207</f>
        <v>0</v>
      </c>
      <c r="H207" s="523"/>
    </row>
    <row r="208" spans="1:8">
      <c r="A208" s="53"/>
      <c r="B208" s="221" t="str">
        <f>Expenses!C208</f>
        <v>Consumer Deposits</v>
      </c>
      <c r="C208" s="61">
        <f>Expenses!D208</f>
        <v>0</v>
      </c>
      <c r="D208" s="242" t="s">
        <v>473</v>
      </c>
      <c r="E208" s="307">
        <f>VLOOKUP(D208,'S-Alloc Met-TY'!$C$8:$D$10,2,FALSE)*C208</f>
        <v>0</v>
      </c>
      <c r="F208" s="307">
        <f>VLOOKUP(D208,'S-Alloc Met-TY'!$C$8:$E$10,3,FALSE)*C208</f>
        <v>0</v>
      </c>
      <c r="G208" s="307">
        <f>VLOOKUP(D208,'S-Alloc Met-TY'!$C$8:$F$10,4,FALSE)*C208</f>
        <v>0</v>
      </c>
      <c r="H208" s="523"/>
    </row>
    <row r="209" spans="1:8">
      <c r="A209" s="53"/>
      <c r="B209" s="221" t="str">
        <f>Expenses!C209</f>
        <v>Other</v>
      </c>
      <c r="C209" s="61">
        <f>Expenses!D209</f>
        <v>0</v>
      </c>
      <c r="D209" s="242" t="s">
        <v>473</v>
      </c>
      <c r="E209" s="307">
        <f>VLOOKUP(D209,'S-Alloc Met-TY'!$C$8:$D$10,2,FALSE)*C209</f>
        <v>0</v>
      </c>
      <c r="F209" s="307">
        <f>VLOOKUP(D209,'S-Alloc Met-TY'!$C$8:$E$10,3,FALSE)*C209</f>
        <v>0</v>
      </c>
      <c r="G209" s="307">
        <f>VLOOKUP(D209,'S-Alloc Met-TY'!$C$8:$F$10,4,FALSE)*C209</f>
        <v>0</v>
      </c>
      <c r="H209" s="523"/>
    </row>
    <row r="210" spans="1:8">
      <c r="A210" s="53"/>
      <c r="B210" s="221" t="str">
        <f>Expenses!C210</f>
        <v>Amortized Prem/Disc Exp- Rev Bonds, Series 2004A</v>
      </c>
      <c r="C210" s="61">
        <f>Expenses!D210</f>
        <v>0</v>
      </c>
      <c r="D210" s="242" t="s">
        <v>473</v>
      </c>
      <c r="E210" s="307">
        <f>VLOOKUP(D210,'S-Alloc Met-TY'!$C$8:$D$10,2,FALSE)*C210</f>
        <v>0</v>
      </c>
      <c r="F210" s="307">
        <f>VLOOKUP(D210,'S-Alloc Met-TY'!$C$8:$E$10,3,FALSE)*C210</f>
        <v>0</v>
      </c>
      <c r="G210" s="307">
        <f>VLOOKUP(D210,'S-Alloc Met-TY'!$C$8:$F$10,4,FALSE)*C210</f>
        <v>0</v>
      </c>
      <c r="H210" s="523"/>
    </row>
    <row r="211" spans="1:8">
      <c r="A211" s="53"/>
      <c r="B211" s="221" t="str">
        <f>Expenses!C211</f>
        <v>Amortized Prem/Disc Exp- KRWFC, Series 2006A</v>
      </c>
      <c r="C211" s="61">
        <f>Expenses!D211</f>
        <v>0</v>
      </c>
      <c r="D211" s="242" t="s">
        <v>473</v>
      </c>
      <c r="E211" s="307">
        <f>VLOOKUP(D211,'S-Alloc Met-TY'!$C$8:$D$10,2,FALSE)*C211</f>
        <v>0</v>
      </c>
      <c r="F211" s="307">
        <f>VLOOKUP(D211,'S-Alloc Met-TY'!$C$8:$E$10,3,FALSE)*C211</f>
        <v>0</v>
      </c>
      <c r="G211" s="307">
        <f>VLOOKUP(D211,'S-Alloc Met-TY'!$C$8:$F$10,4,FALSE)*C211</f>
        <v>0</v>
      </c>
      <c r="H211" s="523"/>
    </row>
    <row r="212" spans="1:8">
      <c r="A212" s="53"/>
      <c r="B212" s="221" t="str">
        <f>Expenses!C212</f>
        <v>Amortized Prem/Disc Exp- KRWFC, Series 2012B</v>
      </c>
      <c r="C212" s="61">
        <f>Expenses!D212</f>
        <v>0</v>
      </c>
      <c r="D212" s="242" t="s">
        <v>473</v>
      </c>
      <c r="E212" s="307">
        <f>VLOOKUP(D212,'S-Alloc Met-TY'!$C$8:$D$10,2,FALSE)*C212</f>
        <v>0</v>
      </c>
      <c r="F212" s="307">
        <f>VLOOKUP(D212,'S-Alloc Met-TY'!$C$8:$E$10,3,FALSE)*C212</f>
        <v>0</v>
      </c>
      <c r="G212" s="307">
        <f>VLOOKUP(D212,'S-Alloc Met-TY'!$C$8:$F$10,4,FALSE)*C212</f>
        <v>0</v>
      </c>
      <c r="H212" s="523"/>
    </row>
    <row r="213" spans="1:8">
      <c r="A213" s="53"/>
      <c r="B213" s="221" t="str">
        <f>Expenses!C213</f>
        <v>Amortized Prem/Disc Exp- KRWFC, Series 2013B</v>
      </c>
      <c r="C213" s="61">
        <f>Expenses!D213</f>
        <v>0</v>
      </c>
      <c r="D213" s="242" t="s">
        <v>473</v>
      </c>
      <c r="E213" s="307">
        <f>VLOOKUP(D213,'S-Alloc Met-TY'!$C$8:$D$10,2,FALSE)*C213</f>
        <v>0</v>
      </c>
      <c r="F213" s="307">
        <f>VLOOKUP(D213,'S-Alloc Met-TY'!$C$8:$E$10,3,FALSE)*C213</f>
        <v>0</v>
      </c>
      <c r="G213" s="307">
        <f>VLOOKUP(D213,'S-Alloc Met-TY'!$C$8:$F$10,4,FALSE)*C213</f>
        <v>0</v>
      </c>
      <c r="H213" s="523"/>
    </row>
    <row r="214" spans="1:8">
      <c r="A214" s="53"/>
      <c r="B214" s="221" t="str">
        <f>Expenses!C214</f>
        <v>Amortized Prem/Disc Exp- KRWFC, Series 2016B</v>
      </c>
      <c r="C214" s="61">
        <f>Expenses!D214</f>
        <v>0</v>
      </c>
      <c r="D214" s="242" t="s">
        <v>473</v>
      </c>
      <c r="E214" s="307">
        <f>VLOOKUP(D214,'S-Alloc Met-TY'!$C$8:$D$10,2,FALSE)*C214</f>
        <v>0</v>
      </c>
      <c r="F214" s="307">
        <f>VLOOKUP(D214,'S-Alloc Met-TY'!$C$8:$E$10,3,FALSE)*C214</f>
        <v>0</v>
      </c>
      <c r="G214" s="307">
        <f>VLOOKUP(D214,'S-Alloc Met-TY'!$C$8:$F$10,4,FALSE)*C214</f>
        <v>0</v>
      </c>
      <c r="H214" s="523"/>
    </row>
    <row r="215" spans="1:8">
      <c r="A215" s="53"/>
      <c r="B215" s="221" t="str">
        <f>Expenses!C215</f>
        <v>Amortized Prem/Disc Exp- KRWFC, Series 2021A</v>
      </c>
      <c r="C215" s="61">
        <f>Expenses!D215</f>
        <v>0</v>
      </c>
      <c r="D215" s="242" t="s">
        <v>473</v>
      </c>
      <c r="E215" s="307">
        <f>VLOOKUP(D215,'S-Alloc Met-TY'!$C$8:$D$10,2,FALSE)*C215</f>
        <v>0</v>
      </c>
      <c r="F215" s="307">
        <f>VLOOKUP(D215,'S-Alloc Met-TY'!$C$8:$E$10,3,FALSE)*C215</f>
        <v>0</v>
      </c>
      <c r="G215" s="307">
        <f>VLOOKUP(D215,'S-Alloc Met-TY'!$C$8:$F$10,4,FALSE)*C215</f>
        <v>0</v>
      </c>
      <c r="H215" s="523"/>
    </row>
    <row r="216" spans="1:8">
      <c r="A216" s="53"/>
      <c r="B216" s="221" t="str">
        <f>Expenses!C216</f>
        <v>-</v>
      </c>
      <c r="C216" s="61">
        <f>Expenses!D216</f>
        <v>0</v>
      </c>
      <c r="D216" s="242" t="s">
        <v>473</v>
      </c>
      <c r="E216" s="307">
        <f>VLOOKUP(D216,'S-Alloc Met-TY'!$C$8:$D$10,2,FALSE)*C216</f>
        <v>0</v>
      </c>
      <c r="F216" s="307">
        <f>VLOOKUP(D216,'S-Alloc Met-TY'!$C$8:$E$10,3,FALSE)*C216</f>
        <v>0</v>
      </c>
      <c r="G216" s="307">
        <f>VLOOKUP(D216,'S-Alloc Met-TY'!$C$8:$F$10,4,FALSE)*C216</f>
        <v>0</v>
      </c>
      <c r="H216" s="523"/>
    </row>
    <row r="217" spans="1:8">
      <c r="A217" s="53"/>
      <c r="B217" s="221" t="str">
        <f>Expenses!C217</f>
        <v>-</v>
      </c>
      <c r="C217" s="61">
        <f>Expenses!D217</f>
        <v>0</v>
      </c>
      <c r="D217" s="242" t="s">
        <v>473</v>
      </c>
      <c r="E217" s="307">
        <f>VLOOKUP(D217,'S-Alloc Met-TY'!$C$8:$D$10,2,FALSE)*C217</f>
        <v>0</v>
      </c>
      <c r="F217" s="307">
        <f>VLOOKUP(D217,'S-Alloc Met-TY'!$C$8:$E$10,3,FALSE)*C217</f>
        <v>0</v>
      </c>
      <c r="G217" s="307">
        <f>VLOOKUP(D217,'S-Alloc Met-TY'!$C$8:$F$10,4,FALSE)*C217</f>
        <v>0</v>
      </c>
      <c r="H217" s="523"/>
    </row>
    <row r="218" spans="1:8">
      <c r="A218" s="53"/>
      <c r="B218" s="221" t="str">
        <f>Expenses!C218</f>
        <v>-</v>
      </c>
      <c r="C218" s="61">
        <f>Expenses!D218</f>
        <v>0</v>
      </c>
      <c r="D218" s="242" t="s">
        <v>473</v>
      </c>
      <c r="E218" s="307">
        <f>VLOOKUP(D218,'S-Alloc Met-TY'!$C$8:$D$10,2,FALSE)*C218</f>
        <v>0</v>
      </c>
      <c r="F218" s="307">
        <f>VLOOKUP(D218,'S-Alloc Met-TY'!$C$8:$E$10,3,FALSE)*C218</f>
        <v>0</v>
      </c>
      <c r="G218" s="307">
        <f>VLOOKUP(D218,'S-Alloc Met-TY'!$C$8:$F$10,4,FALSE)*C218</f>
        <v>0</v>
      </c>
      <c r="H218" s="523"/>
    </row>
    <row r="219" spans="1:8">
      <c r="A219" s="53"/>
      <c r="B219" s="221" t="str">
        <f>Expenses!C219</f>
        <v>-</v>
      </c>
      <c r="C219" s="61">
        <f>Expenses!D219</f>
        <v>0</v>
      </c>
      <c r="D219" s="242" t="s">
        <v>473</v>
      </c>
      <c r="E219" s="307">
        <f>VLOOKUP(D219,'S-Alloc Met-TY'!$C$8:$D$10,2,FALSE)*C219</f>
        <v>0</v>
      </c>
      <c r="F219" s="307">
        <f>VLOOKUP(D219,'S-Alloc Met-TY'!$C$8:$E$10,3,FALSE)*C219</f>
        <v>0</v>
      </c>
      <c r="G219" s="307">
        <f>VLOOKUP(D219,'S-Alloc Met-TY'!$C$8:$F$10,4,FALSE)*C219</f>
        <v>0</v>
      </c>
      <c r="H219" s="523"/>
    </row>
    <row r="220" spans="1:8">
      <c r="A220" s="53"/>
      <c r="B220" s="221" t="str">
        <f>Expenses!C220</f>
        <v>-</v>
      </c>
      <c r="C220" s="61">
        <f>Expenses!D220</f>
        <v>0</v>
      </c>
      <c r="D220" s="242" t="s">
        <v>473</v>
      </c>
      <c r="E220" s="307">
        <f>VLOOKUP(D220,'S-Alloc Met-TY'!$C$8:$D$10,2,FALSE)*C220</f>
        <v>0</v>
      </c>
      <c r="F220" s="307">
        <f>VLOOKUP(D220,'S-Alloc Met-TY'!$C$8:$E$10,3,FALSE)*C220</f>
        <v>0</v>
      </c>
      <c r="G220" s="307">
        <f>VLOOKUP(D220,'S-Alloc Met-TY'!$C$8:$F$10,4,FALSE)*C220</f>
        <v>0</v>
      </c>
      <c r="H220" s="523"/>
    </row>
    <row r="221" spans="1:8">
      <c r="A221" s="53"/>
      <c r="B221" s="221" t="str">
        <f>Expenses!C220</f>
        <v>-</v>
      </c>
      <c r="C221" s="61">
        <f>Expenses!D221</f>
        <v>0</v>
      </c>
      <c r="D221" s="241" t="s">
        <v>473</v>
      </c>
      <c r="E221" s="307">
        <f>VLOOKUP(D221,'S-Alloc Met-TY'!$C$8:$D$10,2,FALSE)*C221</f>
        <v>0</v>
      </c>
      <c r="F221" s="307">
        <f>VLOOKUP(D221,'S-Alloc Met-TY'!$C$8:$E$10,3,FALSE)*C221</f>
        <v>0</v>
      </c>
      <c r="G221" s="514">
        <f>VLOOKUP(D221,'S-Alloc Met-TY'!$C$8:$F$10,4,FALSE)*C221</f>
        <v>0</v>
      </c>
      <c r="H221" s="523"/>
    </row>
    <row r="222" spans="1:8">
      <c r="A222" s="793"/>
      <c r="B222" s="290" t="s">
        <v>30</v>
      </c>
      <c r="C222" s="291">
        <f>SUM(C176:C221)</f>
        <v>371569</v>
      </c>
      <c r="D222" s="291"/>
      <c r="E222" s="291">
        <f>SUM(E176:E221)</f>
        <v>371569</v>
      </c>
      <c r="F222" s="291">
        <f>SUM(F176:F221)</f>
        <v>0</v>
      </c>
      <c r="G222" s="291">
        <f>SUM(G176:G221)</f>
        <v>0</v>
      </c>
      <c r="H222" s="523"/>
    </row>
    <row r="223" spans="1:8">
      <c r="A223" s="53"/>
      <c r="B223" s="220"/>
      <c r="C223" s="42"/>
      <c r="H223" s="523"/>
    </row>
    <row r="224" spans="1:8">
      <c r="A224" s="53"/>
      <c r="B224" s="217" t="s">
        <v>36</v>
      </c>
      <c r="C224" s="259"/>
      <c r="D224" s="148"/>
      <c r="E224" s="148"/>
      <c r="F224" s="148"/>
      <c r="G224" s="148"/>
      <c r="H224" s="523"/>
    </row>
    <row r="225" spans="1:8">
      <c r="A225" s="53" t="s">
        <v>373</v>
      </c>
      <c r="B225" s="221" t="str">
        <f>Expenses!C225</f>
        <v>Amortized Debt Expense</v>
      </c>
      <c r="C225" s="61">
        <f>Expenses!D225</f>
        <v>0</v>
      </c>
      <c r="D225" s="242" t="s">
        <v>473</v>
      </c>
      <c r="E225" s="307">
        <f>VLOOKUP(D225,'S-Alloc Met-TY'!$C$8:$D$10,2,FALSE)*C225</f>
        <v>0</v>
      </c>
      <c r="F225" s="307">
        <f>VLOOKUP(D225,'S-Alloc Met-TY'!$C$8:$E$10,3,FALSE)*C225</f>
        <v>0</v>
      </c>
      <c r="G225" s="307">
        <f>VLOOKUP(D225,'S-Alloc Met-TY'!$C$8:$F$10,4,FALSE)*C225</f>
        <v>0</v>
      </c>
      <c r="H225" s="523"/>
    </row>
    <row r="226" spans="1:8">
      <c r="A226" s="53"/>
      <c r="B226" s="221" t="str">
        <f>Expenses!C226</f>
        <v>Amortized Debt Gain/Loss KRWFC Series 2016B</v>
      </c>
      <c r="C226" s="61">
        <f>Expenses!D226</f>
        <v>0</v>
      </c>
      <c r="D226" s="242" t="s">
        <v>473</v>
      </c>
      <c r="E226" s="307">
        <f>VLOOKUP(D226,'S-Alloc Met-TY'!$C$8:$D$10,2,FALSE)*C226</f>
        <v>0</v>
      </c>
      <c r="F226" s="307">
        <f>VLOOKUP(D226,'S-Alloc Met-TY'!$C$8:$E$10,3,FALSE)*C226</f>
        <v>0</v>
      </c>
      <c r="G226" s="307">
        <f>VLOOKUP(D226,'S-Alloc Met-TY'!$C$8:$F$10,4,FALSE)*C226</f>
        <v>0</v>
      </c>
      <c r="H226" s="523"/>
    </row>
    <row r="227" spans="1:8">
      <c r="A227" s="53" t="s">
        <v>376</v>
      </c>
      <c r="B227" s="221" t="str">
        <f>Expenses!C227</f>
        <v>Amortized Debt Gain/Loss KRWFC Series 2021A</v>
      </c>
      <c r="C227" s="61">
        <f>Expenses!D227</f>
        <v>0</v>
      </c>
      <c r="D227" s="242" t="s">
        <v>473</v>
      </c>
      <c r="E227" s="307">
        <f>VLOOKUP(D227,'S-Alloc Met-TY'!$C$8:$D$10,2,FALSE)*C227</f>
        <v>0</v>
      </c>
      <c r="F227" s="307">
        <f>VLOOKUP(D227,'S-Alloc Met-TY'!$C$8:$E$10,3,FALSE)*C227</f>
        <v>0</v>
      </c>
      <c r="G227" s="307">
        <f>VLOOKUP(D227,'S-Alloc Met-TY'!$C$8:$F$10,4,FALSE)*C227</f>
        <v>0</v>
      </c>
      <c r="H227" s="523"/>
    </row>
    <row r="228" spans="1:8">
      <c r="A228" s="53" t="s">
        <v>378</v>
      </c>
      <c r="B228" s="221" t="str">
        <f>Expenses!C228</f>
        <v>Amortized Debt Expense</v>
      </c>
      <c r="C228" s="61">
        <f>Expenses!D228</f>
        <v>-7049</v>
      </c>
      <c r="D228" s="242" t="s">
        <v>473</v>
      </c>
      <c r="E228" s="307">
        <f>VLOOKUP(D228,'S-Alloc Met-TY'!$C$8:$D$10,2,FALSE)*C228</f>
        <v>-7049</v>
      </c>
      <c r="F228" s="307">
        <f>VLOOKUP(D228,'S-Alloc Met-TY'!$C$8:$E$10,3,FALSE)*C228</f>
        <v>0</v>
      </c>
      <c r="G228" s="307">
        <f>VLOOKUP(D228,'S-Alloc Met-TY'!$C$8:$F$10,4,FALSE)*C228</f>
        <v>0</v>
      </c>
      <c r="H228" s="523"/>
    </row>
    <row r="229" spans="1:8">
      <c r="A229" s="53"/>
      <c r="B229" s="221" t="str">
        <f>Expenses!C229</f>
        <v>Debt Issuance Expense</v>
      </c>
      <c r="C229" s="61">
        <f>Expenses!D229</f>
        <v>0</v>
      </c>
      <c r="D229" s="242" t="s">
        <v>473</v>
      </c>
      <c r="E229" s="307">
        <f>VLOOKUP(D229,'S-Alloc Met-TY'!$C$8:$D$10,2,FALSE)*C229</f>
        <v>0</v>
      </c>
      <c r="F229" s="307">
        <f>VLOOKUP(D229,'S-Alloc Met-TY'!$C$8:$E$10,3,FALSE)*C229</f>
        <v>0</v>
      </c>
      <c r="G229" s="307">
        <f>VLOOKUP(D229,'S-Alloc Met-TY'!$C$8:$F$10,4,FALSE)*C229</f>
        <v>0</v>
      </c>
      <c r="H229" s="523"/>
    </row>
    <row r="230" spans="1:8">
      <c r="A230" s="53" t="s">
        <v>380</v>
      </c>
      <c r="B230" s="221" t="str">
        <f>Expenses!C230</f>
        <v>OPEB Expense</v>
      </c>
      <c r="C230" s="61">
        <f>Expenses!D230</f>
        <v>8618</v>
      </c>
      <c r="D230" s="242" t="s">
        <v>473</v>
      </c>
      <c r="E230" s="307">
        <f>VLOOKUP(D230,'S-Alloc Met-TY'!$C$8:$D$10,2,FALSE)*C230</f>
        <v>8618</v>
      </c>
      <c r="F230" s="307">
        <f>VLOOKUP(D230,'S-Alloc Met-TY'!$C$8:$E$10,3,FALSE)*C230</f>
        <v>0</v>
      </c>
      <c r="G230" s="307">
        <f>VLOOKUP(D230,'S-Alloc Met-TY'!$C$8:$F$10,4,FALSE)*C230</f>
        <v>0</v>
      </c>
      <c r="H230" s="523"/>
    </row>
    <row r="231" spans="1:8">
      <c r="A231" s="53"/>
      <c r="B231" s="221" t="str">
        <f>Expenses!C231</f>
        <v xml:space="preserve">Bonds- Series 2020, USDA </v>
      </c>
      <c r="C231" s="61">
        <f>Expenses!D231</f>
        <v>7500</v>
      </c>
      <c r="D231" s="242" t="s">
        <v>473</v>
      </c>
      <c r="E231" s="307">
        <f>VLOOKUP(D231,'S-Alloc Met-TY'!$C$8:$D$10,2,FALSE)*C231</f>
        <v>7500</v>
      </c>
      <c r="F231" s="307">
        <f>VLOOKUP(D231,'S-Alloc Met-TY'!$C$8:$E$10,3,FALSE)*C231</f>
        <v>0</v>
      </c>
      <c r="G231" s="307">
        <f>VLOOKUP(D231,'S-Alloc Met-TY'!$C$8:$F$10,4,FALSE)*C231</f>
        <v>0</v>
      </c>
      <c r="H231" s="523"/>
    </row>
    <row r="232" spans="1:8">
      <c r="A232" s="53"/>
      <c r="B232" s="221" t="str">
        <f>Expenses!C232</f>
        <v>Loan- KIA, Buchanon Park (C11-02)</v>
      </c>
      <c r="C232" s="61">
        <f>Expenses!D232</f>
        <v>40586.54</v>
      </c>
      <c r="D232" s="242" t="s">
        <v>473</v>
      </c>
      <c r="E232" s="307">
        <f>VLOOKUP(D232,'S-Alloc Met-TY'!$C$8:$D$10,2,FALSE)*C232</f>
        <v>40586.54</v>
      </c>
      <c r="F232" s="307">
        <f>VLOOKUP(D232,'S-Alloc Met-TY'!$C$8:$E$10,3,FALSE)*C232</f>
        <v>0</v>
      </c>
      <c r="G232" s="307">
        <f>VLOOKUP(D232,'S-Alloc Met-TY'!$C$8:$F$10,4,FALSE)*C232</f>
        <v>0</v>
      </c>
      <c r="H232" s="523"/>
    </row>
    <row r="233" spans="1:8">
      <c r="A233" s="53"/>
      <c r="B233" s="221" t="str">
        <f>Expenses!C233</f>
        <v>Loan- Series 2013B, RWFA</v>
      </c>
      <c r="C233" s="61">
        <f>Expenses!D233</f>
        <v>9870.9500000000007</v>
      </c>
      <c r="D233" s="242" t="s">
        <v>473</v>
      </c>
      <c r="E233" s="307">
        <f>VLOOKUP(D233,'S-Alloc Met-TY'!$C$8:$D$10,2,FALSE)*C233</f>
        <v>9870.9500000000007</v>
      </c>
      <c r="F233" s="307">
        <f>VLOOKUP(D233,'S-Alloc Met-TY'!$C$8:$E$10,3,FALSE)*C233</f>
        <v>0</v>
      </c>
      <c r="G233" s="307">
        <f>VLOOKUP(D233,'S-Alloc Met-TY'!$C$8:$F$10,4,FALSE)*C233</f>
        <v>0</v>
      </c>
      <c r="H233" s="523"/>
    </row>
    <row r="234" spans="1:8">
      <c r="A234" s="53"/>
      <c r="B234" s="221" t="str">
        <f>Expenses!C234</f>
        <v>Loan - KIA, Plum Springs Rehab (B19-006)</v>
      </c>
      <c r="C234" s="61">
        <f>Expenses!D234</f>
        <v>85570.44</v>
      </c>
      <c r="D234" s="242" t="s">
        <v>473</v>
      </c>
      <c r="E234" s="307">
        <f>VLOOKUP(D234,'S-Alloc Met-TY'!$C$8:$D$10,2,FALSE)*C234</f>
        <v>85570.44</v>
      </c>
      <c r="F234" s="307">
        <f>VLOOKUP(D234,'S-Alloc Met-TY'!$C$8:$E$10,3,FALSE)*C234</f>
        <v>0</v>
      </c>
      <c r="G234" s="307">
        <f>VLOOKUP(D234,'S-Alloc Met-TY'!$C$8:$F$10,4,FALSE)*C234</f>
        <v>0</v>
      </c>
      <c r="H234" s="523"/>
    </row>
    <row r="235" spans="1:8">
      <c r="A235" s="53"/>
      <c r="B235" s="221" t="str">
        <f>Expenses!C235</f>
        <v>Loan- Series 2021A, KRWFC</v>
      </c>
      <c r="C235" s="61">
        <f>Expenses!D235</f>
        <v>100000</v>
      </c>
      <c r="D235" s="242" t="s">
        <v>473</v>
      </c>
      <c r="E235" s="307">
        <f>VLOOKUP(D235,'S-Alloc Met-TY'!$C$8:$D$10,2,FALSE)*C235</f>
        <v>100000</v>
      </c>
      <c r="F235" s="307">
        <f>VLOOKUP(D235,'S-Alloc Met-TY'!$C$8:$E$10,3,FALSE)*C235</f>
        <v>0</v>
      </c>
      <c r="G235" s="307">
        <f>VLOOKUP(D235,'S-Alloc Met-TY'!$C$8:$F$10,4,FALSE)*C235</f>
        <v>0</v>
      </c>
      <c r="H235" s="523"/>
    </row>
    <row r="236" spans="1:8">
      <c r="A236" s="53"/>
      <c r="B236" s="221" t="str">
        <f>Expenses!C236</f>
        <v>Loan- Series 2022D, KRWFC</v>
      </c>
      <c r="C236" s="61">
        <f>Expenses!D236</f>
        <v>0</v>
      </c>
      <c r="D236" s="242" t="s">
        <v>473</v>
      </c>
      <c r="E236" s="307">
        <f>VLOOKUP(D236,'S-Alloc Met-TY'!$C$8:$D$10,2,FALSE)*C236</f>
        <v>0</v>
      </c>
      <c r="F236" s="307">
        <f>VLOOKUP(D236,'S-Alloc Met-TY'!$C$8:$E$10,3,FALSE)*C236</f>
        <v>0</v>
      </c>
      <c r="G236" s="307">
        <f>VLOOKUP(D236,'S-Alloc Met-TY'!$C$8:$F$10,4,FALSE)*C236</f>
        <v>0</v>
      </c>
      <c r="H236" s="523"/>
    </row>
    <row r="237" spans="1:8">
      <c r="A237" s="53"/>
      <c r="B237" s="221" t="str">
        <f>Expenses!C237</f>
        <v>Bond- Series 2005A, USDA (RD)</v>
      </c>
      <c r="C237" s="61">
        <f>Expenses!D237</f>
        <v>0</v>
      </c>
      <c r="D237" s="242" t="s">
        <v>473</v>
      </c>
      <c r="E237" s="307">
        <f>VLOOKUP(D237,'S-Alloc Met-TY'!$C$8:$D$10,2,FALSE)*C237</f>
        <v>0</v>
      </c>
      <c r="F237" s="307">
        <f>VLOOKUP(D237,'S-Alloc Met-TY'!$C$8:$E$10,3,FALSE)*C237</f>
        <v>0</v>
      </c>
      <c r="G237" s="307">
        <f>VLOOKUP(D237,'S-Alloc Met-TY'!$C$8:$F$10,4,FALSE)*C237</f>
        <v>0</v>
      </c>
      <c r="H237" s="523"/>
    </row>
    <row r="238" spans="1:8">
      <c r="A238" s="53"/>
      <c r="B238" s="221" t="str">
        <f>Expenses!C238</f>
        <v>Loan- Series 2013B, KRWFC</v>
      </c>
      <c r="C238" s="61">
        <f>Expenses!D238</f>
        <v>0</v>
      </c>
      <c r="D238" s="242" t="s">
        <v>473</v>
      </c>
      <c r="E238" s="307">
        <f>VLOOKUP(D238,'S-Alloc Met-TY'!$C$8:$D$10,2,FALSE)*C238</f>
        <v>0</v>
      </c>
      <c r="F238" s="307">
        <f>VLOOKUP(D238,'S-Alloc Met-TY'!$C$8:$E$10,3,FALSE)*C238</f>
        <v>0</v>
      </c>
      <c r="G238" s="307">
        <f>VLOOKUP(D238,'S-Alloc Met-TY'!$C$8:$F$10,4,FALSE)*C238</f>
        <v>0</v>
      </c>
      <c r="H238" s="523"/>
    </row>
    <row r="239" spans="1:8">
      <c r="A239" s="53"/>
      <c r="B239" s="221" t="str">
        <f>Expenses!C239</f>
        <v>Loan- Series 2016B, KRWFC</v>
      </c>
      <c r="C239" s="61">
        <f>Expenses!D239</f>
        <v>0</v>
      </c>
      <c r="D239" s="242" t="s">
        <v>473</v>
      </c>
      <c r="E239" s="307">
        <f>VLOOKUP(D239,'S-Alloc Met-TY'!$C$8:$D$10,2,FALSE)*C239</f>
        <v>0</v>
      </c>
      <c r="F239" s="307">
        <f>VLOOKUP(D239,'S-Alloc Met-TY'!$C$8:$E$10,3,FALSE)*C239</f>
        <v>0</v>
      </c>
      <c r="G239" s="307">
        <f>VLOOKUP(D239,'S-Alloc Met-TY'!$C$8:$F$10,4,FALSE)*C239</f>
        <v>0</v>
      </c>
      <c r="H239" s="523"/>
    </row>
    <row r="240" spans="1:8">
      <c r="A240" s="53"/>
      <c r="B240" s="221" t="str">
        <f>Expenses!C240</f>
        <v xml:space="preserve">Loan- Series 2020 KIA </v>
      </c>
      <c r="C240" s="61">
        <f>Expenses!D240</f>
        <v>0</v>
      </c>
      <c r="D240" s="242" t="s">
        <v>473</v>
      </c>
      <c r="E240" s="307">
        <f>VLOOKUP(D240,'S-Alloc Met-TY'!$C$8:$D$10,2,FALSE)*C240</f>
        <v>0</v>
      </c>
      <c r="F240" s="307">
        <f>VLOOKUP(D240,'S-Alloc Met-TY'!$C$8:$E$10,3,FALSE)*C240</f>
        <v>0</v>
      </c>
      <c r="G240" s="307">
        <f>VLOOKUP(D240,'S-Alloc Met-TY'!$C$8:$F$10,4,FALSE)*C240</f>
        <v>0</v>
      </c>
      <c r="H240" s="523"/>
    </row>
    <row r="241" spans="1:8">
      <c r="A241" s="53"/>
      <c r="B241" s="221" t="str">
        <f>Expenses!C241</f>
        <v>-</v>
      </c>
      <c r="C241" s="61">
        <f>Expenses!D241</f>
        <v>0</v>
      </c>
      <c r="D241" s="242" t="s">
        <v>473</v>
      </c>
      <c r="E241" s="307">
        <f>VLOOKUP(D241,'S-Alloc Met-TY'!$C$8:$D$10,2,FALSE)*C241</f>
        <v>0</v>
      </c>
      <c r="F241" s="307">
        <f>VLOOKUP(D241,'S-Alloc Met-TY'!$C$8:$E$10,3,FALSE)*C241</f>
        <v>0</v>
      </c>
      <c r="G241" s="307">
        <f>VLOOKUP(D241,'S-Alloc Met-TY'!$C$8:$F$10,4,FALSE)*C241</f>
        <v>0</v>
      </c>
      <c r="H241" s="523"/>
    </row>
    <row r="242" spans="1:8">
      <c r="A242" s="53"/>
      <c r="B242" s="221" t="str">
        <f>Expenses!C242</f>
        <v>-</v>
      </c>
      <c r="C242" s="61">
        <f>Expenses!D242</f>
        <v>0</v>
      </c>
      <c r="D242" s="242" t="s">
        <v>473</v>
      </c>
      <c r="E242" s="307">
        <f>VLOOKUP(D242,'S-Alloc Met-TY'!$C$8:$D$10,2,FALSE)*C242</f>
        <v>0</v>
      </c>
      <c r="F242" s="307">
        <f>VLOOKUP(D242,'S-Alloc Met-TY'!$C$8:$E$10,3,FALSE)*C242</f>
        <v>0</v>
      </c>
      <c r="G242" s="307">
        <f>VLOOKUP(D242,'S-Alloc Met-TY'!$C$8:$F$10,4,FALSE)*C242</f>
        <v>0</v>
      </c>
      <c r="H242" s="523"/>
    </row>
    <row r="243" spans="1:8">
      <c r="A243" s="53"/>
      <c r="B243" s="221" t="str">
        <f>Expenses!C243</f>
        <v>-</v>
      </c>
      <c r="C243" s="61">
        <f>Expenses!D243</f>
        <v>0</v>
      </c>
      <c r="D243" s="242" t="s">
        <v>473</v>
      </c>
      <c r="E243" s="307">
        <f>VLOOKUP(D243,'S-Alloc Met-TY'!$C$8:$D$10,2,FALSE)*C243</f>
        <v>0</v>
      </c>
      <c r="F243" s="307">
        <f>VLOOKUP(D243,'S-Alloc Met-TY'!$C$8:$E$10,3,FALSE)*C243</f>
        <v>0</v>
      </c>
      <c r="G243" s="307">
        <f>VLOOKUP(D243,'S-Alloc Met-TY'!$C$8:$F$10,4,FALSE)*C243</f>
        <v>0</v>
      </c>
      <c r="H243" s="523"/>
    </row>
    <row r="244" spans="1:8">
      <c r="A244" s="793"/>
      <c r="B244" s="290" t="s">
        <v>30</v>
      </c>
      <c r="C244" s="291">
        <f>SUM(C225:C243)</f>
        <v>245096.93</v>
      </c>
      <c r="D244" s="291"/>
      <c r="E244" s="291">
        <f>SUM(E225:E243)</f>
        <v>245096.93</v>
      </c>
      <c r="F244" s="291">
        <f>SUM(F225:F243)</f>
        <v>0</v>
      </c>
      <c r="G244" s="291">
        <f>SUM(G225:G243)</f>
        <v>0</v>
      </c>
      <c r="H244" s="523"/>
    </row>
    <row r="245" spans="1:8">
      <c r="A245" s="53"/>
      <c r="B245" s="222"/>
      <c r="C245" s="42"/>
      <c r="H245" s="523"/>
    </row>
    <row r="246" spans="1:8" ht="15.75" thickBot="1">
      <c r="A246" s="793"/>
      <c r="B246" s="292" t="s">
        <v>38</v>
      </c>
      <c r="C246" s="293">
        <f>SUM(C36,C73,C94,C116,C138,C173,C222,C244)</f>
        <v>6961912.9299999997</v>
      </c>
      <c r="D246" s="293"/>
      <c r="E246" s="293">
        <f>SUM(E36,E73,E94,E116,E138,E173,E222,E244)</f>
        <v>6594950.7315836232</v>
      </c>
      <c r="F246" s="293">
        <f>SUM(F36,F73,F94,F116,F138,F173,F222,F244)</f>
        <v>366962.19841637649</v>
      </c>
      <c r="G246" s="293">
        <f>SUM(G36,G73,G94,G116,G138,G173,G222,G244)</f>
        <v>0</v>
      </c>
      <c r="H246" s="525"/>
    </row>
    <row r="249" spans="1:8">
      <c r="A249" s="108" t="s">
        <v>100</v>
      </c>
    </row>
    <row r="250" spans="1:8">
      <c r="A250" s="108" t="s">
        <v>475</v>
      </c>
    </row>
  </sheetData>
  <mergeCells count="7">
    <mergeCell ref="H1:H3"/>
    <mergeCell ref="B1:B2"/>
    <mergeCell ref="D1:D3"/>
    <mergeCell ref="E1:E3"/>
    <mergeCell ref="F1:F3"/>
    <mergeCell ref="G1:G3"/>
    <mergeCell ref="C1:C3"/>
  </mergeCells>
  <pageMargins left="0.7" right="0.7" top="0.75" bottom="0.75" header="0.3" footer="0.3"/>
  <pageSetup paperSize="3" orientation="landscape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17352-9F4F-4D6D-8B27-A27962F00667}">
  <sheetPr>
    <tabColor rgb="FF5D3754"/>
  </sheetPr>
  <dimension ref="A1:N12"/>
  <sheetViews>
    <sheetView workbookViewId="0">
      <selection sqref="A1:A2"/>
    </sheetView>
  </sheetViews>
  <sheetFormatPr defaultRowHeight="15"/>
  <cols>
    <col min="1" max="1" width="15.5703125" customWidth="1"/>
    <col min="2" max="2" width="11.85546875" bestFit="1" customWidth="1"/>
    <col min="3" max="3" width="13.42578125" customWidth="1"/>
    <col min="4" max="4" width="9.7109375" customWidth="1"/>
    <col min="5" max="5" width="10.42578125" customWidth="1"/>
    <col min="6" max="6" width="12.42578125" bestFit="1" customWidth="1"/>
    <col min="7" max="7" width="13.140625" customWidth="1"/>
    <col min="8" max="8" width="10.140625" customWidth="1"/>
    <col min="9" max="9" width="14.140625" bestFit="1" customWidth="1"/>
    <col min="10" max="10" width="11.28515625" customWidth="1"/>
    <col min="11" max="13" width="12.7109375" customWidth="1"/>
    <col min="14" max="14" width="12.140625" customWidth="1"/>
  </cols>
  <sheetData>
    <row r="1" spans="1:14" ht="15" customHeight="1">
      <c r="A1" s="861" t="s">
        <v>468</v>
      </c>
      <c r="B1" s="863" t="s">
        <v>106</v>
      </c>
      <c r="C1" s="863" t="s">
        <v>155</v>
      </c>
      <c r="D1" s="863" t="s">
        <v>202</v>
      </c>
      <c r="E1" s="863" t="s">
        <v>476</v>
      </c>
      <c r="F1" s="863" t="s">
        <v>85</v>
      </c>
      <c r="G1" s="863" t="s">
        <v>281</v>
      </c>
      <c r="H1" s="863" t="s">
        <v>35</v>
      </c>
      <c r="I1" s="863" t="s">
        <v>36</v>
      </c>
      <c r="J1" s="872" t="s">
        <v>477</v>
      </c>
      <c r="K1" s="866" t="s">
        <v>406</v>
      </c>
      <c r="L1" s="869" t="s">
        <v>478</v>
      </c>
      <c r="M1" s="866" t="s">
        <v>408</v>
      </c>
      <c r="N1" s="866" t="s">
        <v>409</v>
      </c>
    </row>
    <row r="2" spans="1:14" ht="42" customHeight="1" thickBot="1">
      <c r="A2" s="862"/>
      <c r="B2" s="864"/>
      <c r="C2" s="864"/>
      <c r="D2" s="864"/>
      <c r="E2" s="864"/>
      <c r="F2" s="864"/>
      <c r="G2" s="864"/>
      <c r="H2" s="864"/>
      <c r="I2" s="864"/>
      <c r="J2" s="873"/>
      <c r="K2" s="867"/>
      <c r="L2" s="870"/>
      <c r="M2" s="867"/>
      <c r="N2" s="867"/>
    </row>
    <row r="3" spans="1:14" ht="15.75" thickBot="1">
      <c r="A3" s="143" t="s">
        <v>6</v>
      </c>
      <c r="B3" s="865"/>
      <c r="C3" s="865"/>
      <c r="D3" s="865"/>
      <c r="E3" s="865"/>
      <c r="F3" s="865"/>
      <c r="G3" s="865"/>
      <c r="H3" s="865"/>
      <c r="I3" s="865"/>
      <c r="J3" s="874"/>
      <c r="K3" s="868"/>
      <c r="L3" s="871"/>
      <c r="M3" s="868"/>
      <c r="N3" s="868"/>
    </row>
    <row r="4" spans="1:14">
      <c r="A4" s="144" t="s">
        <v>471</v>
      </c>
      <c r="B4" s="301">
        <f>'S-Exp Alloc-TY'!E36</f>
        <v>3177375.9178335685</v>
      </c>
      <c r="C4" s="301">
        <f>'S-Exp Alloc-TY'!E73</f>
        <v>433781.87375005486</v>
      </c>
      <c r="D4" s="301">
        <f>'S-Exp Alloc-TY'!E94</f>
        <v>204311.00999999998</v>
      </c>
      <c r="E4" s="301">
        <f>'S-Exp Alloc-TY'!E116</f>
        <v>271784</v>
      </c>
      <c r="F4" s="301">
        <f>'S-Exp Alloc-TY'!E138</f>
        <v>-27244</v>
      </c>
      <c r="G4" s="301">
        <f>'S-Exp Alloc-TY'!E173</f>
        <v>1918276</v>
      </c>
      <c r="H4" s="301">
        <f>'S-Exp Alloc-TY'!E222</f>
        <v>371569</v>
      </c>
      <c r="I4" s="301">
        <f>'S-Exp Alloc-TY'!E244</f>
        <v>245096.93</v>
      </c>
      <c r="J4" s="388">
        <f>'S-Exp Alloc-TY'!E246</f>
        <v>6594950.7315836232</v>
      </c>
      <c r="K4" s="387">
        <f>($B$4*'S-Alloc Met-TY'!C22)+($C$4*'S-Alloc Met-TY'!C22)+($D$4*'S-Alloc Met-TY'!C22)+($E$4*'S-Alloc Met-TY'!C22)+($F$4*'S-Alloc Met-TY'!C22)+($G$4*'S-Alloc Met-TY'!C22)+($H$4*'S-Alloc Met-TY'!C22)+($I$4*'S-Alloc Met-TY'!C22)</f>
        <v>3664676.7166364654</v>
      </c>
      <c r="L4" s="302">
        <f>($B$4*'S-Alloc Met-TY'!D22)+($C$4*'S-Alloc Met-TY'!D22)+($D$4*'S-Alloc Met-TY'!D22)+($E$4*'S-Alloc Met-TY'!D22)+($F$4*'S-Alloc Met-TY'!D22)+($G$4*'S-Alloc Met-TY'!D22)+($H$4*'S-Alloc Met-TY'!D22)+($I$4*'S-Alloc Met-TY'!D22)</f>
        <v>823444.22893038637</v>
      </c>
      <c r="M4" s="302">
        <f>($B$4*'S-Alloc Met-TY'!E22)+($C$4*'S-Alloc Met-TY'!E22)+($D$4*'S-Alloc Met-TY'!E22)+($E$4*'S-Alloc Met-TY'!E22)+($F$4*'S-Alloc Met-TY'!E22)+($G$4*'S-Alloc Met-TY'!E22)+($H$4*'S-Alloc Met-TY'!E22)+($I$4*'S-Alloc Met-TY'!E22)</f>
        <v>1999397.6283285636</v>
      </c>
      <c r="N4" s="302">
        <f>($B$4*'S-Alloc Met-TY'!F22)+($C$4*'S-Alloc Met-TY'!F22)+($D$4*'S-Alloc Met-TY'!F22)+($E$4*'S-Alloc Met-TY'!F22)+($F$4*'S-Alloc Met-TY'!F22)+($G$4*'S-Alloc Met-TY'!F22)+($H$4*'S-Alloc Met-TY'!F22)+($I$4*'S-Alloc Met-TY'!F22)</f>
        <v>107432.15768820804</v>
      </c>
    </row>
    <row r="5" spans="1:14">
      <c r="A5" s="145" t="s">
        <v>458</v>
      </c>
      <c r="B5" s="303">
        <f>'S-Exp Alloc-TY'!F36</f>
        <v>363771.08216643136</v>
      </c>
      <c r="C5" s="303">
        <f>'S-Exp Alloc-TY'!F73</f>
        <v>3191.1162499451552</v>
      </c>
      <c r="D5" s="303">
        <f>'S-Exp Alloc-TY'!F94</f>
        <v>0</v>
      </c>
      <c r="E5" s="303">
        <f>'S-Exp Alloc-TY'!F116</f>
        <v>0</v>
      </c>
      <c r="F5" s="303">
        <f>'S-Exp Alloc-TY'!F138</f>
        <v>0</v>
      </c>
      <c r="G5" s="303">
        <f>'S-Exp Alloc-TY'!F173</f>
        <v>0</v>
      </c>
      <c r="H5" s="303">
        <f>'S-Exp Alloc-TY'!F222</f>
        <v>0</v>
      </c>
      <c r="I5" s="303">
        <f>'S-Exp Alloc-TY'!F244</f>
        <v>0</v>
      </c>
      <c r="J5" s="304">
        <f>'S-Exp Alloc-TY'!F246</f>
        <v>366962.19841637649</v>
      </c>
      <c r="K5" s="387">
        <f>($B$5*'S-Alloc Met-TY'!C23)+($C$5*'S-Alloc Met-TY'!C23)+($D$5*'S-Alloc Met-TY'!C23)+($E$5*'S-Alloc Met-TY'!C23)+($F$5*'S-Alloc Met-TY'!C23)+($G$5*'S-Alloc Met-TY'!C23)+($H$5*'S-Alloc Met-TY'!C23)+($I$5*'S-Alloc Met-TY'!C23)</f>
        <v>184185.15613640906</v>
      </c>
      <c r="L5" s="302">
        <f>($B$5*'S-Alloc Met-TY'!D23)+($C$5*'S-Alloc Met-TY'!D23)+($D$5*'S-Alloc Met-TY'!D23)+($E$5*'S-Alloc Met-TY'!D23)+($F$5*'S-Alloc Met-TY'!D23)+($G$5*'S-Alloc Met-TY'!D23)+($H$5*'S-Alloc Met-TY'!D23)+($I$5*'S-Alloc Met-TY'!D23)</f>
        <v>64403.682005574767</v>
      </c>
      <c r="M5" s="302">
        <f>($B$5*'S-Alloc Met-TY'!E23)+($C$5*'S-Alloc Met-TY'!E23)+($D$5*'S-Alloc Met-TY'!E23)+($E$5*'S-Alloc Met-TY'!E23)+($F$5*'S-Alloc Met-TY'!E23)+($G$5*'S-Alloc Met-TY'!E23)+($H$5*'S-Alloc Met-TY'!E23)+($I$5*'S-Alloc Met-TY'!E23)</f>
        <v>111104.32180857165</v>
      </c>
      <c r="N5" s="302">
        <f>($B$5*'S-Alloc Met-TY'!F23)+($C$5*'S-Alloc Met-TY'!F23)+($D$5*'S-Alloc Met-TY'!F23)+($E$5*'S-Alloc Met-TY'!F23)+($F$5*'S-Alloc Met-TY'!F23)+($G$5*'S-Alloc Met-TY'!F23)+($H$5*'S-Alloc Met-TY'!F23)+($I$5*'S-Alloc Met-TY'!F23)</f>
        <v>7269.0384658210405</v>
      </c>
    </row>
    <row r="6" spans="1:14" ht="15.75" thickBot="1">
      <c r="A6" s="146" t="s">
        <v>472</v>
      </c>
      <c r="B6" s="305">
        <f>'S-Exp Alloc-TY'!G36</f>
        <v>0</v>
      </c>
      <c r="C6" s="305">
        <f>'S-Exp Alloc-TY'!G73</f>
        <v>0</v>
      </c>
      <c r="D6" s="305">
        <f>'S-Exp Alloc-TY'!G94</f>
        <v>0</v>
      </c>
      <c r="E6" s="305">
        <f>'S-Exp Alloc-TY'!G116</f>
        <v>0</v>
      </c>
      <c r="F6" s="305">
        <f>'S-Exp Alloc-TY'!G138</f>
        <v>0</v>
      </c>
      <c r="G6" s="305">
        <f>'S-Exp Alloc-TY'!G173</f>
        <v>0</v>
      </c>
      <c r="H6" s="305">
        <f>'S-Exp Alloc-TY'!G222</f>
        <v>0</v>
      </c>
      <c r="I6" s="305">
        <f>'S-Exp Alloc-TY'!G244</f>
        <v>0</v>
      </c>
      <c r="J6" s="306">
        <f>'S-Exp Alloc-TY'!G246</f>
        <v>0</v>
      </c>
      <c r="K6" s="387">
        <f>($B$6*'S-Alloc Met-TY'!C24)+($C$6*'S-Alloc Met-TY'!C24)+($D$6*'S-Alloc Met-TY'!C24)+($E$6*'S-Alloc Met-TY'!C24)+($F$6*'S-Alloc Met-TY'!C24)+($G$6*'S-Alloc Met-TY'!C24)+($H$6*'S-Alloc Met-TY'!C24)+($I$6*'S-Alloc Met-TY'!C24)</f>
        <v>0</v>
      </c>
      <c r="L6" s="302">
        <f>($B$6*'S-Alloc Met-TY'!D24)+($C$6*'S-Alloc Met-TY'!D24)+($D$6*'S-Alloc Met-TY'!D24)+($E$6*'S-Alloc Met-TY'!D24)+($F$6*'S-Alloc Met-TY'!D24)+($G$6*'S-Alloc Met-TY'!D24)+($H$6*'S-Alloc Met-TY'!D24)+($I$6*'S-Alloc Met-TY'!D24)</f>
        <v>0</v>
      </c>
      <c r="M6" s="302">
        <f>($B$6*'S-Alloc Met-TY'!E24)+($C$6*'S-Alloc Met-TY'!E24)+($D$6*'S-Alloc Met-TY'!E24)+($E$6*'S-Alloc Met-TY'!E24)+($F$6*'S-Alloc Met-TY'!E24)+($G$6*'S-Alloc Met-TY'!E24)+($H$6*'S-Alloc Met-TY'!E24)+($I$6*'S-Alloc Met-TY'!E24)</f>
        <v>0</v>
      </c>
      <c r="N6" s="302">
        <f>($B$6*'S-Alloc Met-TY'!F24)+($C$6*'S-Alloc Met-TY'!F24)+($D$6*'S-Alloc Met-TY'!F24)+($E$6*'S-Alloc Met-TY'!F24)+($F$6*'S-Alloc Met-TY'!F24)+($G$6*'S-Alloc Met-TY'!F24)+($H$6*'S-Alloc Met-TY'!F24)+($I$6*'S-Alloc Met-TY'!F24)</f>
        <v>0</v>
      </c>
    </row>
    <row r="7" spans="1:14" ht="15.75" thickBot="1">
      <c r="A7" s="298" t="s">
        <v>38</v>
      </c>
      <c r="B7" s="299">
        <f t="shared" ref="B7:N7" si="0">SUM(B4:B6)</f>
        <v>3541147</v>
      </c>
      <c r="C7" s="299">
        <f t="shared" si="0"/>
        <v>436972.99</v>
      </c>
      <c r="D7" s="299">
        <f t="shared" si="0"/>
        <v>204311.00999999998</v>
      </c>
      <c r="E7" s="299">
        <f t="shared" si="0"/>
        <v>271784</v>
      </c>
      <c r="F7" s="299">
        <f t="shared" si="0"/>
        <v>-27244</v>
      </c>
      <c r="G7" s="299">
        <f t="shared" si="0"/>
        <v>1918276</v>
      </c>
      <c r="H7" s="299">
        <f t="shared" si="0"/>
        <v>371569</v>
      </c>
      <c r="I7" s="299">
        <f t="shared" si="0"/>
        <v>245096.93</v>
      </c>
      <c r="J7" s="300">
        <f t="shared" si="0"/>
        <v>6961912.9299999997</v>
      </c>
      <c r="K7" s="300">
        <f t="shared" si="0"/>
        <v>3848861.8727728743</v>
      </c>
      <c r="L7" s="300">
        <f t="shared" si="0"/>
        <v>887847.91093596118</v>
      </c>
      <c r="M7" s="300">
        <f t="shared" si="0"/>
        <v>2110501.9501371351</v>
      </c>
      <c r="N7" s="300">
        <f t="shared" si="0"/>
        <v>114701.19615402908</v>
      </c>
    </row>
    <row r="8" spans="1:14" ht="15.75" thickBot="1">
      <c r="A8" s="147" t="s">
        <v>479</v>
      </c>
      <c r="B8" s="147"/>
      <c r="C8" s="147"/>
      <c r="D8" s="147"/>
      <c r="E8" s="147"/>
      <c r="F8" s="147"/>
      <c r="G8" s="147"/>
      <c r="H8" s="147"/>
      <c r="I8" s="147"/>
      <c r="J8" s="309">
        <f>SUM(K8:N8)</f>
        <v>1</v>
      </c>
      <c r="K8" s="309">
        <f>K7/$J$7</f>
        <v>0.55284544800718649</v>
      </c>
      <c r="L8" s="309">
        <f>L7/$J$7</f>
        <v>0.12752930406671451</v>
      </c>
      <c r="M8" s="309">
        <f>M7/$J$7</f>
        <v>0.30314971924492817</v>
      </c>
      <c r="N8" s="309">
        <f>N7/$J$7</f>
        <v>1.6475528681170835E-2</v>
      </c>
    </row>
    <row r="11" spans="1:14">
      <c r="A11" s="108" t="s">
        <v>100</v>
      </c>
    </row>
    <row r="12" spans="1:14">
      <c r="A12" s="108" t="s">
        <v>480</v>
      </c>
    </row>
  </sheetData>
  <mergeCells count="14">
    <mergeCell ref="N1:N3"/>
    <mergeCell ref="L1:L3"/>
    <mergeCell ref="M1:M3"/>
    <mergeCell ref="K1:K3"/>
    <mergeCell ref="F1:F3"/>
    <mergeCell ref="G1:G3"/>
    <mergeCell ref="H1:H3"/>
    <mergeCell ref="I1:I3"/>
    <mergeCell ref="J1:J3"/>
    <mergeCell ref="A1:A2"/>
    <mergeCell ref="B1:B3"/>
    <mergeCell ref="C1:C3"/>
    <mergeCell ref="D1:D3"/>
    <mergeCell ref="E1:E3"/>
  </mergeCells>
  <pageMargins left="0.7" right="0.7" top="0.75" bottom="0.75" header="0.3" footer="0.3"/>
  <pageSetup paperSize="3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E27C0-E1F7-4297-A9E3-0A1CB736A9FB}">
  <sheetPr>
    <tabColor rgb="FF5D3754"/>
  </sheetPr>
  <dimension ref="A1:L28"/>
  <sheetViews>
    <sheetView workbookViewId="0">
      <selection sqref="A1:A2"/>
    </sheetView>
  </sheetViews>
  <sheetFormatPr defaultRowHeight="15"/>
  <cols>
    <col min="3" max="3" width="11.7109375" bestFit="1" customWidth="1"/>
    <col min="4" max="4" width="12.7109375" customWidth="1"/>
    <col min="5" max="5" width="14.7109375" bestFit="1" customWidth="1"/>
    <col min="6" max="6" width="15" bestFit="1" customWidth="1"/>
    <col min="7" max="9" width="12.28515625" customWidth="1"/>
    <col min="10" max="10" width="12.7109375" customWidth="1"/>
    <col min="11" max="11" width="9.85546875" customWidth="1"/>
    <col min="12" max="12" width="11.140625" bestFit="1" customWidth="1"/>
  </cols>
  <sheetData>
    <row r="1" spans="1:12" ht="15.75" thickBot="1">
      <c r="A1" s="188" t="s">
        <v>481</v>
      </c>
      <c r="B1" s="188"/>
      <c r="C1" s="189"/>
      <c r="D1" s="189"/>
      <c r="E1" s="189"/>
      <c r="F1" s="189"/>
      <c r="G1" s="190"/>
      <c r="H1" s="190"/>
      <c r="I1" s="190"/>
    </row>
    <row r="2" spans="1:12" ht="15.75" thickBot="1">
      <c r="A2" s="879" t="s">
        <v>104</v>
      </c>
      <c r="B2" s="880"/>
      <c r="C2" s="191" t="s">
        <v>482</v>
      </c>
      <c r="D2" s="191" t="s">
        <v>483</v>
      </c>
      <c r="E2" s="189"/>
      <c r="F2" s="189"/>
      <c r="G2" s="190"/>
      <c r="H2" s="190"/>
      <c r="I2" s="190"/>
    </row>
    <row r="3" spans="1:12">
      <c r="A3" s="881" t="s">
        <v>460</v>
      </c>
      <c r="B3" s="882"/>
      <c r="C3" s="707">
        <f>'S-Sales By Meter'!BB15/'S-Sales By Meter Adj'!B15</f>
        <v>3881002.3589041098</v>
      </c>
      <c r="D3" s="707">
        <f>C3/(24*60)</f>
        <v>2695.1405270167429</v>
      </c>
      <c r="E3" s="189"/>
      <c r="F3" s="189"/>
      <c r="G3" s="190"/>
      <c r="H3" s="190"/>
      <c r="I3" s="190"/>
    </row>
    <row r="4" spans="1:12" ht="15.75" thickBot="1">
      <c r="A4" s="883" t="s">
        <v>458</v>
      </c>
      <c r="B4" s="884"/>
      <c r="C4" s="708">
        <f>'S-Sales By Meter'!BB8/'S-Sales By Meter Adj'!B8</f>
        <v>4326626.333333333</v>
      </c>
      <c r="D4" s="709">
        <f>C4/(24*60)</f>
        <v>3004.6016203703703</v>
      </c>
      <c r="E4" s="189"/>
      <c r="F4" s="189"/>
      <c r="G4" s="190"/>
      <c r="H4" s="190"/>
      <c r="I4" s="190"/>
    </row>
    <row r="5" spans="1:12">
      <c r="A5" s="189"/>
      <c r="B5" s="189"/>
      <c r="C5" s="193"/>
      <c r="D5" s="194"/>
      <c r="E5" s="189"/>
      <c r="F5" s="189"/>
      <c r="G5" s="190"/>
      <c r="H5" s="190"/>
      <c r="I5" s="190"/>
    </row>
    <row r="6" spans="1:12" ht="15.75" thickBot="1">
      <c r="A6" s="189"/>
      <c r="B6" s="189"/>
      <c r="C6" s="189"/>
      <c r="D6" s="189"/>
      <c r="E6" s="189"/>
      <c r="F6" s="190"/>
      <c r="G6" s="190"/>
      <c r="H6" s="190"/>
      <c r="I6" s="190"/>
    </row>
    <row r="7" spans="1:12" ht="39" customHeight="1" thickBot="1">
      <c r="A7" s="885" t="s">
        <v>484</v>
      </c>
      <c r="B7" s="886"/>
      <c r="C7" s="195" t="s">
        <v>470</v>
      </c>
      <c r="D7" s="196" t="s">
        <v>471</v>
      </c>
      <c r="E7" s="196" t="s">
        <v>485</v>
      </c>
      <c r="F7" s="196" t="s">
        <v>472</v>
      </c>
      <c r="G7" s="190"/>
      <c r="H7" s="190"/>
      <c r="I7" s="190"/>
    </row>
    <row r="8" spans="1:12">
      <c r="A8" s="881" t="s">
        <v>486</v>
      </c>
      <c r="B8" s="882"/>
      <c r="C8" s="192" t="s">
        <v>473</v>
      </c>
      <c r="D8" s="574">
        <f>D3/D3</f>
        <v>1</v>
      </c>
      <c r="E8" s="575">
        <v>0</v>
      </c>
      <c r="F8" s="576">
        <v>0</v>
      </c>
      <c r="G8" s="190"/>
      <c r="H8" s="190"/>
      <c r="I8" s="190"/>
    </row>
    <row r="9" spans="1:12">
      <c r="A9" s="894" t="s">
        <v>487</v>
      </c>
      <c r="B9" s="895"/>
      <c r="C9" s="199" t="s">
        <v>474</v>
      </c>
      <c r="D9" s="577">
        <f>D3/D4</f>
        <v>0.89700428460945825</v>
      </c>
      <c r="E9" s="577">
        <f>1-D9</f>
        <v>0.10299571539054175</v>
      </c>
      <c r="F9" s="578">
        <v>0</v>
      </c>
      <c r="G9" s="190"/>
      <c r="H9" s="190"/>
      <c r="I9" s="190"/>
    </row>
    <row r="10" spans="1:12" ht="15.75" thickBot="1">
      <c r="A10" s="883" t="s">
        <v>472</v>
      </c>
      <c r="B10" s="887"/>
      <c r="C10" s="208" t="s">
        <v>488</v>
      </c>
      <c r="D10" s="579">
        <v>0</v>
      </c>
      <c r="E10" s="579">
        <v>0</v>
      </c>
      <c r="F10" s="580">
        <v>1</v>
      </c>
      <c r="G10" s="190"/>
      <c r="H10" s="190"/>
      <c r="I10" s="190"/>
    </row>
    <row r="11" spans="1:12">
      <c r="A11" s="194"/>
      <c r="B11" s="194"/>
      <c r="C11" s="194"/>
      <c r="D11" s="203"/>
      <c r="E11" s="203"/>
      <c r="F11" s="204"/>
      <c r="G11" s="190"/>
      <c r="H11" s="190"/>
      <c r="I11" s="190"/>
    </row>
    <row r="12" spans="1:12" ht="15.75" thickBot="1">
      <c r="A12" s="190"/>
      <c r="B12" s="190"/>
      <c r="C12" s="190"/>
      <c r="D12" s="190"/>
      <c r="E12" s="190"/>
      <c r="F12" s="190"/>
      <c r="G12" s="190"/>
      <c r="H12" s="190"/>
      <c r="I12" s="190"/>
    </row>
    <row r="13" spans="1:12" ht="33.75" customHeight="1">
      <c r="A13" s="888" t="s">
        <v>489</v>
      </c>
      <c r="B13" s="889"/>
      <c r="C13" s="875" t="s">
        <v>490</v>
      </c>
      <c r="D13" s="892" t="s">
        <v>407</v>
      </c>
      <c r="E13" s="875" t="s">
        <v>491</v>
      </c>
      <c r="F13" s="900" t="s">
        <v>406</v>
      </c>
      <c r="G13" s="875" t="s">
        <v>492</v>
      </c>
      <c r="H13" s="875" t="s">
        <v>493</v>
      </c>
      <c r="I13" s="875" t="s">
        <v>494</v>
      </c>
      <c r="J13" s="875" t="s">
        <v>495</v>
      </c>
      <c r="K13" s="875" t="s">
        <v>409</v>
      </c>
      <c r="L13" s="877" t="s">
        <v>38</v>
      </c>
    </row>
    <row r="14" spans="1:12" ht="30.75" customHeight="1" thickBot="1">
      <c r="A14" s="890"/>
      <c r="B14" s="891"/>
      <c r="C14" s="876"/>
      <c r="D14" s="893"/>
      <c r="E14" s="876"/>
      <c r="F14" s="901"/>
      <c r="G14" s="876"/>
      <c r="H14" s="876"/>
      <c r="I14" s="876"/>
      <c r="J14" s="902"/>
      <c r="K14" s="876"/>
      <c r="L14" s="878"/>
    </row>
    <row r="15" spans="1:12">
      <c r="A15" s="896" t="s">
        <v>471</v>
      </c>
      <c r="B15" s="897"/>
      <c r="C15" s="211">
        <f>'S-Sales By Meter'!O16</f>
        <v>5.50722011223169E-4</v>
      </c>
      <c r="D15" s="211">
        <f>'S-Sales By Meter'!V16</f>
        <v>6.7422678768057645E-2</v>
      </c>
      <c r="E15" s="211">
        <f>'S-Sales By Meter'!AC16</f>
        <v>1.0985214615446673E-2</v>
      </c>
      <c r="F15" s="211">
        <f>'S-Sales By Meter'!J16</f>
        <v>0.55567916513554894</v>
      </c>
      <c r="G15" s="212">
        <f>'S-Sales By Meter'!AI16</f>
        <v>4.0638520654000143E-2</v>
      </c>
      <c r="H15" s="212">
        <f>'S-Sales By Meter'!AN16</f>
        <v>5.2626638868293329E-3</v>
      </c>
      <c r="I15" s="212">
        <f>'S-Sales By Meter'!AV16</f>
        <v>1.9431849063881967E-2</v>
      </c>
      <c r="J15" s="213">
        <f>'S-Sales By Meter'!AS16</f>
        <v>0.28373912365519022</v>
      </c>
      <c r="K15" s="596">
        <f>'S-Sales By Meter'!BA16</f>
        <v>1.6290062209821956E-2</v>
      </c>
      <c r="L15" s="296">
        <f>SUM(C15:K15)</f>
        <v>1</v>
      </c>
    </row>
    <row r="16" spans="1:12">
      <c r="A16" s="896" t="s">
        <v>458</v>
      </c>
      <c r="B16" s="897"/>
      <c r="C16" s="566">
        <f>'S-Sales By Meter'!O19</f>
        <v>5.2087155084033776E-4</v>
      </c>
      <c r="D16" s="598">
        <f>'S-Sales By Meter'!V19</f>
        <v>6.6636443724063368E-2</v>
      </c>
      <c r="E16" s="598">
        <f>'S-Sales By Meter'!AC19</f>
        <v>1.3354202435625771E-2</v>
      </c>
      <c r="F16" s="598">
        <f>'S-Sales By Meter'!J19</f>
        <v>0.50191860886832251</v>
      </c>
      <c r="G16" s="599">
        <f>'S-Sales By Meter'!AI19</f>
        <v>8.0511517710529487E-2</v>
      </c>
      <c r="H16" s="598">
        <f>'S-Sales By Meter'!AN19</f>
        <v>1.4481913817605196E-2</v>
      </c>
      <c r="I16" s="598">
        <f>'S-Sales By Meter'!AV19</f>
        <v>3.0369279086059828E-2</v>
      </c>
      <c r="J16" s="598">
        <f>'S-Sales By Meter'!AS19</f>
        <v>0.27239847815989571</v>
      </c>
      <c r="K16" s="601">
        <f>'S-Sales By Meter'!BA19</f>
        <v>1.9808684647057758E-2</v>
      </c>
      <c r="L16" s="296">
        <f>SUM(C16:K16)</f>
        <v>0.99999999999999989</v>
      </c>
    </row>
    <row r="17" spans="1:12" ht="15.75" thickBot="1">
      <c r="A17" s="898" t="s">
        <v>496</v>
      </c>
      <c r="B17" s="899"/>
      <c r="C17" s="573">
        <v>0</v>
      </c>
      <c r="D17" s="573">
        <v>0</v>
      </c>
      <c r="E17" s="573">
        <v>0</v>
      </c>
      <c r="F17" s="573">
        <v>0</v>
      </c>
      <c r="G17" s="573">
        <v>0</v>
      </c>
      <c r="H17" s="573">
        <v>0</v>
      </c>
      <c r="I17" s="573">
        <v>0</v>
      </c>
      <c r="J17" s="573">
        <v>0</v>
      </c>
      <c r="K17" s="573">
        <v>0</v>
      </c>
      <c r="L17" s="297">
        <f>SUM(C17:G17)</f>
        <v>0</v>
      </c>
    </row>
    <row r="18" spans="1:12">
      <c r="A18" s="287"/>
      <c r="B18" s="287"/>
      <c r="C18" s="288"/>
      <c r="D18" s="289"/>
      <c r="F18" s="190"/>
    </row>
    <row r="19" spans="1:12" ht="15.75" thickBot="1"/>
    <row r="20" spans="1:12" ht="30" customHeight="1">
      <c r="A20" s="888" t="s">
        <v>489</v>
      </c>
      <c r="B20" s="889"/>
      <c r="C20" s="900" t="s">
        <v>406</v>
      </c>
      <c r="D20" s="900" t="s">
        <v>407</v>
      </c>
      <c r="E20" s="900" t="s">
        <v>408</v>
      </c>
      <c r="F20" s="875" t="s">
        <v>409</v>
      </c>
      <c r="G20" s="877" t="s">
        <v>38</v>
      </c>
    </row>
    <row r="21" spans="1:12" ht="27.75" customHeight="1" thickBot="1">
      <c r="A21" s="890"/>
      <c r="B21" s="891"/>
      <c r="C21" s="901"/>
      <c r="D21" s="901"/>
      <c r="E21" s="901"/>
      <c r="F21" s="876"/>
      <c r="G21" s="878"/>
    </row>
    <row r="22" spans="1:12">
      <c r="A22" s="896" t="s">
        <v>471</v>
      </c>
      <c r="B22" s="897"/>
      <c r="C22" s="211">
        <f>'S-Sales By Meter'!J16</f>
        <v>0.55567916513554894</v>
      </c>
      <c r="D22" s="211">
        <f>'S-Sales By Meter'!AO16</f>
        <v>0.12485979993555697</v>
      </c>
      <c r="E22" s="211">
        <f>'S-Sales By Meter'!AW16</f>
        <v>0.30317097271907217</v>
      </c>
      <c r="F22" s="596">
        <f>'S-Sales By Meter'!BA16</f>
        <v>1.6290062209821956E-2</v>
      </c>
      <c r="G22" s="296">
        <f>SUM(C22:F22)</f>
        <v>1</v>
      </c>
    </row>
    <row r="23" spans="1:12">
      <c r="A23" s="896" t="s">
        <v>458</v>
      </c>
      <c r="B23" s="897"/>
      <c r="C23" s="566">
        <f>'S-Sales By Meter'!J19</f>
        <v>0.50191860886832251</v>
      </c>
      <c r="D23" s="566">
        <f>'S-Sales By Meter'!AO19</f>
        <v>0.17550494923866417</v>
      </c>
      <c r="E23" s="565">
        <f>'S-Sales By Meter'!AW19</f>
        <v>0.3027677572459555</v>
      </c>
      <c r="F23" s="601">
        <f>'S-Sales By Meter'!BA19</f>
        <v>1.9808684647057758E-2</v>
      </c>
      <c r="G23" s="296">
        <f>SUM(C23:F23)</f>
        <v>1</v>
      </c>
    </row>
    <row r="24" spans="1:12" ht="15.75" thickBot="1">
      <c r="A24" s="898" t="s">
        <v>496</v>
      </c>
      <c r="B24" s="899"/>
      <c r="C24" s="639">
        <f>C22</f>
        <v>0.55567916513554894</v>
      </c>
      <c r="D24" s="748">
        <f>D22</f>
        <v>0.12485979993555697</v>
      </c>
      <c r="E24" s="748">
        <f>E22</f>
        <v>0.30317097271907217</v>
      </c>
      <c r="F24" s="749">
        <f>F22</f>
        <v>1.6290062209821956E-2</v>
      </c>
      <c r="G24" s="296">
        <f>SUM(C24:F24)</f>
        <v>1</v>
      </c>
    </row>
    <row r="27" spans="1:12">
      <c r="A27" s="108" t="s">
        <v>100</v>
      </c>
    </row>
    <row r="28" spans="1:12">
      <c r="A28" s="108" t="s">
        <v>497</v>
      </c>
    </row>
  </sheetData>
  <mergeCells count="30">
    <mergeCell ref="A22:B22"/>
    <mergeCell ref="A23:B23"/>
    <mergeCell ref="A24:B24"/>
    <mergeCell ref="L13:L14"/>
    <mergeCell ref="A20:B21"/>
    <mergeCell ref="C20:C21"/>
    <mergeCell ref="D20:D21"/>
    <mergeCell ref="E20:E21"/>
    <mergeCell ref="H13:H14"/>
    <mergeCell ref="J13:J14"/>
    <mergeCell ref="E13:E14"/>
    <mergeCell ref="F13:F14"/>
    <mergeCell ref="A16:B16"/>
    <mergeCell ref="A17:B17"/>
    <mergeCell ref="G13:G14"/>
    <mergeCell ref="A15:B15"/>
    <mergeCell ref="I13:I14"/>
    <mergeCell ref="G20:G21"/>
    <mergeCell ref="K13:K14"/>
    <mergeCell ref="A2:B2"/>
    <mergeCell ref="A3:B3"/>
    <mergeCell ref="A4:B4"/>
    <mergeCell ref="A7:B7"/>
    <mergeCell ref="A8:B8"/>
    <mergeCell ref="A10:B10"/>
    <mergeCell ref="A13:B14"/>
    <mergeCell ref="C13:C14"/>
    <mergeCell ref="D13:D14"/>
    <mergeCell ref="A9:B9"/>
    <mergeCell ref="F20:F21"/>
  </mergeCells>
  <pageMargins left="0.7" right="0.7" top="0.75" bottom="0.75" header="0.3" footer="0.3"/>
  <pageSetup paperSize="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13</vt:i4>
      </vt:variant>
    </vt:vector>
  </HeadingPairs>
  <TitlesOfParts>
    <vt:vector size="31" baseType="lpstr">
      <vt:lpstr>Expenses-Summary</vt:lpstr>
      <vt:lpstr>Revenues- Summary</vt:lpstr>
      <vt:lpstr>Revenues</vt:lpstr>
      <vt:lpstr>Expenses</vt:lpstr>
      <vt:lpstr>S-Disposed-TY</vt:lpstr>
      <vt:lpstr>S-Sales By Meter</vt:lpstr>
      <vt:lpstr>S-Exp Alloc-TY</vt:lpstr>
      <vt:lpstr>S-Alloc %-TY</vt:lpstr>
      <vt:lpstr>S-Alloc Met-TY</vt:lpstr>
      <vt:lpstr>S-Summary-TY</vt:lpstr>
      <vt:lpstr> Flow Adjustments</vt:lpstr>
      <vt:lpstr>S-Disposed-TY Adj</vt:lpstr>
      <vt:lpstr>S-Sales By Meter Adj</vt:lpstr>
      <vt:lpstr>S-Alloc Met-TY Adj</vt:lpstr>
      <vt:lpstr>S-Exp Alloc-TY Adj</vt:lpstr>
      <vt:lpstr>S-Alloc %-TY Adj</vt:lpstr>
      <vt:lpstr>S-Summary-TY Adj</vt:lpstr>
      <vt:lpstr>SAO</vt:lpstr>
      <vt:lpstr>Expenses!Print_Area</vt:lpstr>
      <vt:lpstr>Revenues!Print_Area</vt:lpstr>
      <vt:lpstr>'S-Alloc %-TY'!Print_Area</vt:lpstr>
      <vt:lpstr>'S-Alloc %-TY Adj'!Print_Area</vt:lpstr>
      <vt:lpstr>'S-Alloc Met-TY'!Print_Area</vt:lpstr>
      <vt:lpstr>'S-Alloc Met-TY Adj'!Print_Area</vt:lpstr>
      <vt:lpstr>SAO!Print_Area</vt:lpstr>
      <vt:lpstr>'S-Exp Alloc-TY'!Print_Area</vt:lpstr>
      <vt:lpstr>'S-Exp Alloc-TY Adj'!Print_Area</vt:lpstr>
      <vt:lpstr>'S-Sales By Meter'!Print_Area</vt:lpstr>
      <vt:lpstr>'S-Sales By Meter Adj'!Print_Area</vt:lpstr>
      <vt:lpstr>'S-Summary-TY'!Print_Area</vt:lpstr>
      <vt:lpstr>'S-Summary-TY Adj'!Print_Area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2024-08-13T02:46:22Z</dcterms:created>
  <dcterms:modified xsi:type="dcterms:W3CDTF">2024-08-13T02:48:42Z</dcterms:modified>
  <cp:category/>
  <cp:contentStatus/>
</cp:coreProperties>
</file>