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3/"/>
    </mc:Choice>
  </mc:AlternateContent>
  <xr:revisionPtr revIDLastSave="0" documentId="8_{A63A7968-DD1F-4162-8EFE-29C3D965469C}" xr6:coauthVersionLast="47" xr6:coauthVersionMax="47" xr10:uidLastSave="{00000000-0000-0000-0000-000000000000}"/>
  <bookViews>
    <workbookView xWindow="-16500" yWindow="-20190" windowWidth="20160" windowHeight="16305" xr2:uid="{D5074D01-BABF-474A-8425-392E69AE4F80}"/>
  </bookViews>
  <sheets>
    <sheet name="Proforma" sheetId="4" r:id="rId1"/>
    <sheet name="COLA" sheetId="1" r:id="rId2"/>
    <sheet name="Merit" sheetId="6" r:id="rId3"/>
    <sheet name="New Employees " sheetId="15" r:id="rId4"/>
    <sheet name="CSR" sheetId="11" r:id="rId5"/>
    <sheet name="Employee Overhead" sheetId="17" r:id="rId6"/>
    <sheet name="Principal &amp; Interest" sheetId="2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G30" i="4"/>
  <c r="B14" i="20"/>
  <c r="C14" i="20"/>
  <c r="D14" i="20"/>
  <c r="B25" i="20"/>
  <c r="C25" i="20"/>
  <c r="D25" i="20"/>
  <c r="E24" i="20"/>
  <c r="E23" i="20"/>
  <c r="E22" i="20"/>
  <c r="E21" i="20"/>
  <c r="E13" i="20"/>
  <c r="E12" i="20"/>
  <c r="E14" i="20" s="1"/>
  <c r="E11" i="20"/>
  <c r="E10" i="20"/>
  <c r="E9" i="20"/>
  <c r="E8" i="20"/>
  <c r="E6" i="20"/>
  <c r="E7" i="20"/>
  <c r="E17" i="20"/>
  <c r="E18" i="20"/>
  <c r="E19" i="20"/>
  <c r="E20" i="20"/>
  <c r="E25" i="20" l="1"/>
  <c r="D27" i="20"/>
  <c r="C27" i="20"/>
  <c r="B27" i="20"/>
  <c r="E27" i="20" l="1"/>
  <c r="E29" i="20" s="1"/>
  <c r="E31" i="20" l="1"/>
  <c r="E33" i="20" s="1"/>
  <c r="C6" i="4" l="1"/>
  <c r="G28" i="4"/>
  <c r="G27" i="4"/>
  <c r="G25" i="4"/>
  <c r="G24" i="4"/>
  <c r="G22" i="4"/>
  <c r="G21" i="4"/>
  <c r="G18" i="4"/>
  <c r="G16" i="4"/>
  <c r="G15" i="4"/>
  <c r="G13" i="4"/>
  <c r="G11" i="4"/>
  <c r="G8" i="4"/>
  <c r="G10" i="4"/>
  <c r="G19" i="4"/>
  <c r="G7" i="4"/>
  <c r="F15" i="11"/>
  <c r="D15" i="11"/>
  <c r="B19" i="6" l="1"/>
  <c r="B21" i="6" s="1"/>
  <c r="B22" i="17" l="1"/>
  <c r="B25" i="17" s="1"/>
  <c r="C21" i="17"/>
  <c r="C19" i="17"/>
  <c r="C14" i="17"/>
  <c r="C13" i="17"/>
  <c r="C8" i="17"/>
  <c r="C43" i="17"/>
  <c r="C22" i="17" l="1"/>
  <c r="C25" i="17" s="1"/>
  <c r="D13" i="17" l="1"/>
  <c r="F37" i="17" s="1"/>
  <c r="F39" i="17" s="1"/>
  <c r="D19" i="17"/>
  <c r="J37" i="17" s="1"/>
  <c r="J42" i="17" s="1"/>
  <c r="D8" i="17"/>
  <c r="D37" i="17" s="1"/>
  <c r="D41" i="17" s="1"/>
  <c r="D21" i="17"/>
  <c r="L37" i="17" s="1"/>
  <c r="L42" i="17" s="1"/>
  <c r="D14" i="17"/>
  <c r="H37" i="17" s="1"/>
  <c r="H41" i="17" s="1"/>
  <c r="D40" i="17" l="1"/>
  <c r="D39" i="17"/>
  <c r="D42" i="17"/>
  <c r="J41" i="17"/>
  <c r="J40" i="17"/>
  <c r="F40" i="17"/>
  <c r="F42" i="17"/>
  <c r="F41" i="17"/>
  <c r="H40" i="17"/>
  <c r="H39" i="17"/>
  <c r="H42" i="17"/>
  <c r="J39" i="17"/>
  <c r="D22" i="17"/>
  <c r="L41" i="17"/>
  <c r="L39" i="17"/>
  <c r="L40" i="17"/>
  <c r="D43" i="17" l="1"/>
  <c r="D55" i="17" s="1"/>
  <c r="J43" i="17"/>
  <c r="L43" i="17"/>
  <c r="F43" i="17"/>
  <c r="D37" i="15"/>
  <c r="B37" i="15"/>
  <c r="A37" i="15"/>
  <c r="A54" i="15" s="1"/>
  <c r="D36" i="15"/>
  <c r="B36" i="15"/>
  <c r="A36" i="15"/>
  <c r="D35" i="15"/>
  <c r="B35" i="15"/>
  <c r="A35" i="15"/>
  <c r="D34" i="15"/>
  <c r="B34" i="15"/>
  <c r="A34" i="15"/>
  <c r="D33" i="15"/>
  <c r="B33" i="15"/>
  <c r="A33" i="15"/>
  <c r="A50" i="15" s="1"/>
  <c r="D32" i="15"/>
  <c r="B32" i="15"/>
  <c r="B49" i="15" s="1"/>
  <c r="A32" i="15"/>
  <c r="D31" i="15"/>
  <c r="B31" i="15"/>
  <c r="A31" i="15"/>
  <c r="A48" i="15" s="1"/>
  <c r="D30" i="15"/>
  <c r="B30" i="15"/>
  <c r="A30" i="15"/>
  <c r="D29" i="15"/>
  <c r="B29" i="15"/>
  <c r="B46" i="15" s="1"/>
  <c r="A29" i="15"/>
  <c r="E18" i="15"/>
  <c r="L17" i="15"/>
  <c r="I17" i="15"/>
  <c r="G17" i="15"/>
  <c r="F17" i="15"/>
  <c r="L16" i="15"/>
  <c r="I16" i="15"/>
  <c r="G16" i="15"/>
  <c r="O16" i="15" s="1"/>
  <c r="F16" i="15"/>
  <c r="E36" i="15" s="1"/>
  <c r="L15" i="15"/>
  <c r="I15" i="15"/>
  <c r="G15" i="15"/>
  <c r="F15" i="15"/>
  <c r="L14" i="15"/>
  <c r="I14" i="15"/>
  <c r="G14" i="15"/>
  <c r="O14" i="15" s="1"/>
  <c r="F14" i="15"/>
  <c r="E34" i="15" s="1"/>
  <c r="L13" i="15"/>
  <c r="I13" i="15"/>
  <c r="G13" i="15"/>
  <c r="F13" i="15"/>
  <c r="L12" i="15"/>
  <c r="I12" i="15"/>
  <c r="G12" i="15"/>
  <c r="O12" i="15" s="1"/>
  <c r="F12" i="15"/>
  <c r="E32" i="15" s="1"/>
  <c r="L11" i="15"/>
  <c r="I11" i="15"/>
  <c r="G11" i="15"/>
  <c r="O11" i="15" s="1"/>
  <c r="F11" i="15"/>
  <c r="L10" i="15"/>
  <c r="I10" i="15"/>
  <c r="G10" i="15"/>
  <c r="O10" i="15" s="1"/>
  <c r="F10" i="15"/>
  <c r="L9" i="15"/>
  <c r="I9" i="15"/>
  <c r="H9" i="15"/>
  <c r="G9" i="15"/>
  <c r="O9" i="15" s="1"/>
  <c r="F9" i="15"/>
  <c r="E29" i="15" s="1"/>
  <c r="B31" i="17" l="1"/>
  <c r="B15" i="1" s="1"/>
  <c r="B15" i="4"/>
  <c r="B34" i="17"/>
  <c r="B18" i="1" s="1"/>
  <c r="B24" i="4"/>
  <c r="B33" i="17"/>
  <c r="B17" i="1" s="1"/>
  <c r="B20" i="1" s="1"/>
  <c r="B21" i="4"/>
  <c r="B30" i="17"/>
  <c r="B14" i="1" s="1"/>
  <c r="B13" i="4"/>
  <c r="D45" i="17"/>
  <c r="D51" i="17" s="1"/>
  <c r="N10" i="15"/>
  <c r="P10" i="15" s="1"/>
  <c r="N13" i="15"/>
  <c r="F33" i="15" s="1"/>
  <c r="N14" i="15"/>
  <c r="F34" i="15" s="1"/>
  <c r="B50" i="15"/>
  <c r="N17" i="15"/>
  <c r="P17" i="15" s="1"/>
  <c r="N15" i="15"/>
  <c r="P15" i="15" s="1"/>
  <c r="N12" i="15"/>
  <c r="P12" i="15" s="1"/>
  <c r="B47" i="15"/>
  <c r="B48" i="15"/>
  <c r="A49" i="15"/>
  <c r="N11" i="15"/>
  <c r="P11" i="15" s="1"/>
  <c r="B51" i="15"/>
  <c r="O13" i="15"/>
  <c r="E30" i="15"/>
  <c r="N16" i="15"/>
  <c r="P16" i="15" s="1"/>
  <c r="B54" i="15"/>
  <c r="N9" i="15"/>
  <c r="P9" i="15" s="1"/>
  <c r="E31" i="15"/>
  <c r="A51" i="15"/>
  <c r="O17" i="15"/>
  <c r="E37" i="15"/>
  <c r="O15" i="15"/>
  <c r="A47" i="15"/>
  <c r="E35" i="15"/>
  <c r="A53" i="15"/>
  <c r="E33" i="15"/>
  <c r="B53" i="15"/>
  <c r="A46" i="15"/>
  <c r="B52" i="15"/>
  <c r="A52" i="15"/>
  <c r="H14" i="11"/>
  <c r="H13" i="11"/>
  <c r="H12" i="11"/>
  <c r="H11" i="11"/>
  <c r="H10" i="11"/>
  <c r="H8" i="11"/>
  <c r="G8" i="11"/>
  <c r="G14" i="11"/>
  <c r="G13" i="11"/>
  <c r="G12" i="11"/>
  <c r="G11" i="11"/>
  <c r="G10" i="11"/>
  <c r="G9" i="11"/>
  <c r="E8" i="11"/>
  <c r="E14" i="11"/>
  <c r="E13" i="11"/>
  <c r="E12" i="11"/>
  <c r="E11" i="11"/>
  <c r="E10" i="11"/>
  <c r="E9" i="11"/>
  <c r="H9" i="11"/>
  <c r="E15" i="11" l="1"/>
  <c r="G15" i="11"/>
  <c r="H15" i="11"/>
  <c r="P13" i="15"/>
  <c r="F30" i="15"/>
  <c r="F32" i="15"/>
  <c r="G32" i="15" s="1"/>
  <c r="I32" i="15" s="1"/>
  <c r="J32" i="15" s="1"/>
  <c r="F37" i="15"/>
  <c r="F29" i="15"/>
  <c r="G29" i="15" s="1"/>
  <c r="I29" i="15" s="1"/>
  <c r="P14" i="15"/>
  <c r="F35" i="15"/>
  <c r="G35" i="15" s="1"/>
  <c r="I35" i="15" s="1"/>
  <c r="J35" i="15" s="1"/>
  <c r="K35" i="15" s="1"/>
  <c r="G34" i="15"/>
  <c r="I34" i="15" s="1"/>
  <c r="J34" i="15" s="1"/>
  <c r="F31" i="15"/>
  <c r="G30" i="15"/>
  <c r="I30" i="15" s="1"/>
  <c r="J30" i="15" s="1"/>
  <c r="F36" i="15"/>
  <c r="G33" i="15"/>
  <c r="I33" i="15" s="1"/>
  <c r="J33" i="15" s="1"/>
  <c r="G37" i="15"/>
  <c r="I37" i="15" s="1"/>
  <c r="J37" i="15" s="1"/>
  <c r="K37" i="15" s="1"/>
  <c r="O18" i="15"/>
  <c r="I10" i="11"/>
  <c r="I11" i="11"/>
  <c r="I12" i="11"/>
  <c r="I13" i="11"/>
  <c r="I14" i="11"/>
  <c r="I8" i="11"/>
  <c r="I9" i="11"/>
  <c r="K32" i="15" l="1"/>
  <c r="L32" i="15" s="1"/>
  <c r="E50" i="15"/>
  <c r="F50" i="15" s="1"/>
  <c r="K33" i="15"/>
  <c r="E47" i="15"/>
  <c r="F47" i="15" s="1"/>
  <c r="K30" i="15"/>
  <c r="E51" i="15"/>
  <c r="F51" i="15" s="1"/>
  <c r="H51" i="15" s="1"/>
  <c r="K34" i="15"/>
  <c r="L34" i="15" s="1"/>
  <c r="I15" i="11"/>
  <c r="L8" i="11"/>
  <c r="P18" i="15"/>
  <c r="J14" i="11"/>
  <c r="K14" i="11" s="1"/>
  <c r="L14" i="11"/>
  <c r="J13" i="11"/>
  <c r="K13" i="11" s="1"/>
  <c r="L13" i="11"/>
  <c r="J12" i="11"/>
  <c r="K12" i="11" s="1"/>
  <c r="L12" i="11"/>
  <c r="J11" i="11"/>
  <c r="K11" i="11" s="1"/>
  <c r="L11" i="11"/>
  <c r="J10" i="11"/>
  <c r="K10" i="11" s="1"/>
  <c r="L10" i="11"/>
  <c r="J9" i="11"/>
  <c r="L9" i="11"/>
  <c r="E49" i="15"/>
  <c r="F49" i="15" s="1"/>
  <c r="J49" i="15" s="1"/>
  <c r="G31" i="15"/>
  <c r="I31" i="15" s="1"/>
  <c r="J31" i="15" s="1"/>
  <c r="G36" i="15"/>
  <c r="I36" i="15" s="1"/>
  <c r="J36" i="15" s="1"/>
  <c r="K36" i="15" s="1"/>
  <c r="L35" i="15"/>
  <c r="E52" i="15"/>
  <c r="F52" i="15" s="1"/>
  <c r="L37" i="15"/>
  <c r="E54" i="15"/>
  <c r="F54" i="15" s="1"/>
  <c r="J29" i="15"/>
  <c r="K29" i="15" s="1"/>
  <c r="J8" i="11"/>
  <c r="J51" i="15" l="1"/>
  <c r="I51" i="15"/>
  <c r="K51" i="15"/>
  <c r="G51" i="15"/>
  <c r="E48" i="15"/>
  <c r="F48" i="15" s="1"/>
  <c r="K48" i="15" s="1"/>
  <c r="K31" i="15"/>
  <c r="K38" i="15" s="1"/>
  <c r="K49" i="15"/>
  <c r="I38" i="15"/>
  <c r="H49" i="15"/>
  <c r="G49" i="15"/>
  <c r="I49" i="15"/>
  <c r="J15" i="11"/>
  <c r="L15" i="11"/>
  <c r="K9" i="11"/>
  <c r="Q31" i="15"/>
  <c r="G38" i="15"/>
  <c r="L36" i="15"/>
  <c r="Q32" i="15" s="1"/>
  <c r="E53" i="15"/>
  <c r="F53" i="15" s="1"/>
  <c r="H52" i="15"/>
  <c r="G52" i="15"/>
  <c r="K52" i="15"/>
  <c r="J52" i="15"/>
  <c r="I52" i="15"/>
  <c r="J38" i="15"/>
  <c r="E46" i="15"/>
  <c r="L29" i="15"/>
  <c r="K54" i="15"/>
  <c r="K63" i="15" s="1"/>
  <c r="I54" i="15"/>
  <c r="I63" i="15" s="1"/>
  <c r="J54" i="15"/>
  <c r="J63" i="15" s="1"/>
  <c r="H54" i="15"/>
  <c r="H63" i="15" s="1"/>
  <c r="G54" i="15"/>
  <c r="K8" i="11"/>
  <c r="G48" i="15" l="1"/>
  <c r="H48" i="15"/>
  <c r="I48" i="15"/>
  <c r="J48" i="15"/>
  <c r="L31" i="15"/>
  <c r="L38" i="15" s="1"/>
  <c r="G63" i="15"/>
  <c r="K15" i="11"/>
  <c r="H23" i="11"/>
  <c r="F47" i="17" s="1"/>
  <c r="K23" i="11"/>
  <c r="L48" i="17" s="1"/>
  <c r="J23" i="11"/>
  <c r="J48" i="17" s="1"/>
  <c r="I23" i="11"/>
  <c r="H48" i="17" s="1"/>
  <c r="K53" i="15"/>
  <c r="K64" i="15" s="1"/>
  <c r="J53" i="15"/>
  <c r="J64" i="15" s="1"/>
  <c r="I53" i="15"/>
  <c r="I64" i="15" s="1"/>
  <c r="H53" i="15"/>
  <c r="H64" i="15" s="1"/>
  <c r="G53" i="15"/>
  <c r="G64" i="15" s="1"/>
  <c r="E55" i="15"/>
  <c r="F46" i="15"/>
  <c r="Q30" i="15"/>
  <c r="Q33" i="15" s="1"/>
  <c r="F55" i="15" l="1"/>
  <c r="K46" i="15"/>
  <c r="J46" i="15"/>
  <c r="I46" i="15"/>
  <c r="G46" i="15"/>
  <c r="H46" i="15"/>
  <c r="H62" i="15" l="1"/>
  <c r="H65" i="15" s="1"/>
  <c r="H55" i="15"/>
  <c r="I62" i="15"/>
  <c r="I65" i="15" s="1"/>
  <c r="I55" i="15"/>
  <c r="K62" i="15"/>
  <c r="K65" i="15" s="1"/>
  <c r="K55" i="15"/>
  <c r="G62" i="15"/>
  <c r="G65" i="15" s="1"/>
  <c r="D56" i="17" s="1"/>
  <c r="G55" i="15"/>
  <c r="J62" i="15"/>
  <c r="J65" i="15" s="1"/>
  <c r="J55" i="15"/>
  <c r="L47" i="17" l="1"/>
  <c r="L49" i="17" s="1"/>
  <c r="L51" i="17" s="1"/>
  <c r="H47" i="17"/>
  <c r="H49" i="17" s="1"/>
  <c r="J47" i="17"/>
  <c r="J49" i="17" s="1"/>
  <c r="J51" i="17" s="1"/>
  <c r="F48" i="17"/>
  <c r="F49" i="17" s="1"/>
  <c r="F51" i="17" s="1"/>
  <c r="B8" i="6" l="1"/>
  <c r="B10" i="6" s="1"/>
  <c r="B7" i="1" l="1"/>
  <c r="B31" i="1" l="1"/>
  <c r="B30" i="1"/>
  <c r="B32" i="1" l="1"/>
  <c r="B33" i="1" s="1"/>
  <c r="B9" i="1" l="1"/>
  <c r="H43" i="17"/>
  <c r="B18" i="4" l="1"/>
  <c r="H51" i="17"/>
  <c r="B32" i="17"/>
  <c r="B35" i="17" l="1"/>
  <c r="B16" i="1"/>
  <c r="B19" i="1" s="1"/>
  <c r="B21" i="1" s="1"/>
  <c r="B23" i="1" s="1"/>
  <c r="G23" i="11"/>
  <c r="D57" i="17" l="1"/>
  <c r="D58" i="17" s="1"/>
  <c r="D62" i="17" s="1"/>
  <c r="L23" i="11"/>
</calcChain>
</file>

<file path=xl/sharedStrings.xml><?xml version="1.0" encoding="utf-8"?>
<sst xmlns="http://schemas.openxmlformats.org/spreadsheetml/2006/main" count="422" uniqueCount="266">
  <si>
    <t>2023 Base Year Salaries and Wages</t>
  </si>
  <si>
    <t>Employee Overhead</t>
  </si>
  <si>
    <t>B</t>
  </si>
  <si>
    <t>Payroll Taxes</t>
  </si>
  <si>
    <t>Wages</t>
  </si>
  <si>
    <t>Worker's Comp</t>
  </si>
  <si>
    <t>Retirement</t>
  </si>
  <si>
    <t>Equals:</t>
  </si>
  <si>
    <t>Cost of Living Adjustment:</t>
  </si>
  <si>
    <t>2024 COLA</t>
  </si>
  <si>
    <t>Increase in CPI :</t>
  </si>
  <si>
    <t>October, 2022 Consumer Price Index</t>
  </si>
  <si>
    <t>Divided by: October, 2022 Consumer Price Index</t>
  </si>
  <si>
    <t>2024 COLA Calculation:</t>
  </si>
  <si>
    <t>2024 Merits</t>
  </si>
  <si>
    <t>A</t>
  </si>
  <si>
    <t>COLA</t>
  </si>
  <si>
    <t>Merit</t>
  </si>
  <si>
    <t>C</t>
  </si>
  <si>
    <t xml:space="preserve">Principal and Interest Payments </t>
  </si>
  <si>
    <t>K</t>
  </si>
  <si>
    <t>L</t>
  </si>
  <si>
    <t>A cost-of-living adjustment is made on January 1. The adjustment is based on the change in the Consumer Price Index (CPI-U) for the 12-</t>
  </si>
  <si>
    <t>month period ending October 31. Cost-of-living increases are limited to a total of 8 percent in a calendar year.</t>
  </si>
  <si>
    <t>STATEMENT OF ADJUSTED OPERATIONS</t>
  </si>
  <si>
    <t>NEW EMPLOYEE DATA</t>
  </si>
  <si>
    <t>Wages Not in Base Year</t>
  </si>
  <si>
    <t>No.</t>
  </si>
  <si>
    <t>Title</t>
  </si>
  <si>
    <t>Hire Date</t>
  </si>
  <si>
    <t>Annual</t>
  </si>
  <si>
    <t>Hourly</t>
  </si>
  <si>
    <t>Factor</t>
  </si>
  <si>
    <t>Total</t>
  </si>
  <si>
    <t>Holiday</t>
  </si>
  <si>
    <t>BH</t>
  </si>
  <si>
    <t>UWD</t>
  </si>
  <si>
    <t>SL</t>
  </si>
  <si>
    <t>AL</t>
  </si>
  <si>
    <t>Working</t>
  </si>
  <si>
    <t>2H-225</t>
  </si>
  <si>
    <t>CMMS Administrator</t>
  </si>
  <si>
    <t>2B-198</t>
  </si>
  <si>
    <t>GIS Analyst</t>
  </si>
  <si>
    <t>2K-235</t>
  </si>
  <si>
    <t>Safety Specialist</t>
  </si>
  <si>
    <t>2H-154</t>
  </si>
  <si>
    <t>IT Supervisor</t>
  </si>
  <si>
    <t>2F-218</t>
  </si>
  <si>
    <t>Engineering Technician</t>
  </si>
  <si>
    <t>2O-113</t>
  </si>
  <si>
    <t>Lead Dispatch Operator</t>
  </si>
  <si>
    <t>2J-238</t>
  </si>
  <si>
    <t>Accountant</t>
  </si>
  <si>
    <t>Lead Meter Technician</t>
  </si>
  <si>
    <t>2B-210</t>
  </si>
  <si>
    <t>Utility Locate Specialist</t>
  </si>
  <si>
    <t>Expense</t>
  </si>
  <si>
    <t>Capital</t>
  </si>
  <si>
    <t>Rates &amp; Allocation Memo</t>
  </si>
  <si>
    <t>Direct Time - Engineering</t>
  </si>
  <si>
    <t>Direct Time - Operations</t>
  </si>
  <si>
    <t>Hire</t>
  </si>
  <si>
    <t>WCWD</t>
  </si>
  <si>
    <t>Wage</t>
  </si>
  <si>
    <t>Description</t>
  </si>
  <si>
    <t>Date</t>
  </si>
  <si>
    <t>Rate</t>
  </si>
  <si>
    <t>Allocation %</t>
  </si>
  <si>
    <t>Adjustment</t>
  </si>
  <si>
    <t>Expense Wages</t>
  </si>
  <si>
    <t>Comments</t>
  </si>
  <si>
    <t>Allocation Memo - No. of Customers</t>
  </si>
  <si>
    <t xml:space="preserve">     Total</t>
  </si>
  <si>
    <t>Employee OH</t>
  </si>
  <si>
    <t>New Employees</t>
  </si>
  <si>
    <t>Category</t>
  </si>
  <si>
    <t>Admin</t>
  </si>
  <si>
    <t>Capital (Not Included)</t>
  </si>
  <si>
    <t>T&amp;D Operations</t>
  </si>
  <si>
    <t>T&amp;D Maint</t>
  </si>
  <si>
    <t>New Employees- WATER DIVISION</t>
  </si>
  <si>
    <t>Year 2024</t>
  </si>
  <si>
    <t>Total Wages by Category</t>
  </si>
  <si>
    <t>T&amp;D Oper</t>
  </si>
  <si>
    <t xml:space="preserve">Allocation Memo - No. of Customers </t>
  </si>
  <si>
    <t xml:space="preserve">(Excl Wage Adj) </t>
  </si>
  <si>
    <t>Worker Comp</t>
  </si>
  <si>
    <t>Insurance</t>
  </si>
  <si>
    <t>Position</t>
  </si>
  <si>
    <t>Job Title</t>
  </si>
  <si>
    <t>Customer Service Supervisor</t>
  </si>
  <si>
    <t xml:space="preserve">Customer Service Representative </t>
  </si>
  <si>
    <t>Operations Clerk</t>
  </si>
  <si>
    <t>Customer Service Representative</t>
  </si>
  <si>
    <t>Applications Clerk</t>
  </si>
  <si>
    <t>OT Hours</t>
  </si>
  <si>
    <t>2I-60</t>
  </si>
  <si>
    <t>2I-199</t>
  </si>
  <si>
    <t>2I-217</t>
  </si>
  <si>
    <t>2I-222</t>
  </si>
  <si>
    <t>2I-224</t>
  </si>
  <si>
    <t>2I-49</t>
  </si>
  <si>
    <t>Wage Adjustment</t>
  </si>
  <si>
    <t xml:space="preserve"> Pay Rate</t>
  </si>
  <si>
    <t>Subtotal</t>
  </si>
  <si>
    <t>Workman's Compensation</t>
  </si>
  <si>
    <t>Total Employee Overhead Costs</t>
  </si>
  <si>
    <t>Wage Base</t>
  </si>
  <si>
    <t xml:space="preserve">Birthday Holiday </t>
  </si>
  <si>
    <t>United Way Day Holiday</t>
  </si>
  <si>
    <t>Sick Leave</t>
  </si>
  <si>
    <t>Annual Leave Accrual</t>
  </si>
  <si>
    <t xml:space="preserve">Holiday Pay </t>
  </si>
  <si>
    <t>Workers Compensation</t>
  </si>
  <si>
    <t>Insurance - Medical \ Drugs</t>
  </si>
  <si>
    <t>Insurance - Dental</t>
  </si>
  <si>
    <t>Insurance - LT. Disability</t>
  </si>
  <si>
    <t xml:space="preserve">Insurance - Life </t>
  </si>
  <si>
    <t>Wellness Awards</t>
  </si>
  <si>
    <t>Fringe Benefits - Insurance</t>
  </si>
  <si>
    <t xml:space="preserve">401(a) Contribution </t>
  </si>
  <si>
    <t xml:space="preserve">Pension </t>
  </si>
  <si>
    <t>GL Acct #</t>
  </si>
  <si>
    <t xml:space="preserve">Employee Overhead </t>
  </si>
  <si>
    <t xml:space="preserve">604-5001-2 </t>
  </si>
  <si>
    <t>T&amp;D (Oper)</t>
  </si>
  <si>
    <t>604-6002-2</t>
  </si>
  <si>
    <t>T&amp;D (Maint)</t>
  </si>
  <si>
    <t>604-7001-2</t>
  </si>
  <si>
    <t>Customer Accounts</t>
  </si>
  <si>
    <t>604-8001-2</t>
  </si>
  <si>
    <t>Admin &amp; General</t>
  </si>
  <si>
    <t>Employee  Overhead Costs</t>
  </si>
  <si>
    <t>2023 Actual Cost</t>
  </si>
  <si>
    <t>% Allocation</t>
  </si>
  <si>
    <t>2023 Water GL Expense</t>
  </si>
  <si>
    <t>A1</t>
  </si>
  <si>
    <t>A2</t>
  </si>
  <si>
    <t>A3</t>
  </si>
  <si>
    <t>A4</t>
  </si>
  <si>
    <t xml:space="preserve">Benefit Wages </t>
  </si>
  <si>
    <t>Benefit Wages</t>
  </si>
  <si>
    <t>B2</t>
  </si>
  <si>
    <t>Benefit Wages (Vacation, Sick Leave, Holiday)</t>
  </si>
  <si>
    <t>Applied to Expense Wages</t>
  </si>
  <si>
    <t>B,J</t>
  </si>
  <si>
    <t>B3</t>
  </si>
  <si>
    <t>CSRs</t>
  </si>
  <si>
    <t>B4</t>
  </si>
  <si>
    <t>B5</t>
  </si>
  <si>
    <t>B6</t>
  </si>
  <si>
    <t>B7</t>
  </si>
  <si>
    <t>B8</t>
  </si>
  <si>
    <t>C1</t>
  </si>
  <si>
    <t>C2</t>
  </si>
  <si>
    <t>B9</t>
  </si>
  <si>
    <t xml:space="preserve"> COLA</t>
  </si>
  <si>
    <t>B1</t>
  </si>
  <si>
    <t>CSR</t>
  </si>
  <si>
    <t xml:space="preserve">CSR </t>
  </si>
  <si>
    <t>Item</t>
  </si>
  <si>
    <t>Sub-Total</t>
  </si>
  <si>
    <t xml:space="preserve">Series 2005A, USDA </t>
  </si>
  <si>
    <t>Bond- Series 2005A, USDA (RD)</t>
  </si>
  <si>
    <t xml:space="preserve">Loan- Series 2020 KIA </t>
  </si>
  <si>
    <t>2024</t>
  </si>
  <si>
    <t>2025</t>
  </si>
  <si>
    <t>2026</t>
  </si>
  <si>
    <t>Total - Principal &amp; Interest</t>
  </si>
  <si>
    <t>Salaries and Wages- Employees:</t>
  </si>
  <si>
    <t xml:space="preserve">     COLA</t>
  </si>
  <si>
    <t xml:space="preserve">     Merit</t>
  </si>
  <si>
    <t xml:space="preserve">     New Employees</t>
  </si>
  <si>
    <t>Employee Overhead:</t>
  </si>
  <si>
    <t xml:space="preserve">     Payroll Taxes</t>
  </si>
  <si>
    <t xml:space="preserve">     Benefit Wages</t>
  </si>
  <si>
    <t xml:space="preserve">     Worker's Comp</t>
  </si>
  <si>
    <t xml:space="preserve">     Retirement</t>
  </si>
  <si>
    <t>Principal &amp; Interest</t>
  </si>
  <si>
    <t xml:space="preserve">     Fringe Benefits - Insurance </t>
  </si>
  <si>
    <t>OPERATING EXPENSE</t>
  </si>
  <si>
    <t>TEST YEAR</t>
  </si>
  <si>
    <t>ADJUSTMENT</t>
  </si>
  <si>
    <t>REF</t>
  </si>
  <si>
    <t>CALCULATION TAB</t>
  </si>
  <si>
    <t>CALCULATION ID</t>
  </si>
  <si>
    <t>CALCULATION AMOUNT</t>
  </si>
  <si>
    <t>Employee Overhead by Category</t>
  </si>
  <si>
    <t>Capital to Expense</t>
  </si>
  <si>
    <t>Calculations for A,B,C,K, and L</t>
  </si>
  <si>
    <t>Additional Working Capital (DSC)</t>
  </si>
  <si>
    <t xml:space="preserve">Employee Overhead - CSR Shift from Capital to Expense </t>
  </si>
  <si>
    <t>Reclassification of Commissioner Taxes</t>
  </si>
  <si>
    <t>Employee Overhead - New Employees</t>
  </si>
  <si>
    <t>New Employee Wages</t>
  </si>
  <si>
    <t>COLA Employee Overhead:</t>
  </si>
  <si>
    <t>Total - COLA Employee Overhead</t>
  </si>
  <si>
    <t>Total - COLA Salaries and Wages</t>
  </si>
  <si>
    <t>Less: Insurance</t>
  </si>
  <si>
    <t>COLA Salaries and Wages:</t>
  </si>
  <si>
    <t>Hours</t>
  </si>
  <si>
    <t>Proforma</t>
  </si>
  <si>
    <t>Wages Not In Base Year</t>
  </si>
  <si>
    <t>Regular Wages</t>
  </si>
  <si>
    <t>Captial Wages - CSR's (Year 2023)</t>
  </si>
  <si>
    <t>Capital Hrs</t>
  </si>
  <si>
    <t>Regular Hours</t>
  </si>
  <si>
    <t>OT Wages</t>
  </si>
  <si>
    <t>Total Capital Wages</t>
  </si>
  <si>
    <t>(Shift to Expense)</t>
  </si>
  <si>
    <t>(1) Total Employee overhead costs before allocations to Warren, Sewer, Simpson, and Butler:</t>
  </si>
  <si>
    <t>Employee Overhead Cost Recovery Rate</t>
  </si>
  <si>
    <t>(2) Breakdown of employee overhead costs allocated to Warren:</t>
  </si>
  <si>
    <t>Total Employee Overhead Costs (Warren)</t>
  </si>
  <si>
    <t>CSR's</t>
  </si>
  <si>
    <t>Reclassify to: Taxes Other Than Income</t>
  </si>
  <si>
    <t>Ref</t>
  </si>
  <si>
    <t>Subtotal - Proforma Adjustments</t>
  </si>
  <si>
    <t>Total - Proforma Breakdown</t>
  </si>
  <si>
    <t>Taxes Other Than Income:</t>
  </si>
  <si>
    <t>Reclassify from: Payroll Taxes</t>
  </si>
  <si>
    <t>Total - Proforma</t>
  </si>
  <si>
    <t>TOTAL</t>
  </si>
  <si>
    <t>October, 2023  Consumer Price Index</t>
  </si>
  <si>
    <t>Merit - Employee Overhead:</t>
  </si>
  <si>
    <t>Cost-of-Living Adjustment</t>
  </si>
  <si>
    <t>Approved at the November 29, 2023 board meeting by the Board of Commissioners</t>
  </si>
  <si>
    <t>Effective on January 1, 2024.</t>
  </si>
  <si>
    <t>Merit Increases</t>
  </si>
  <si>
    <t>Budgeted 2% of wages for employee merit increases.</t>
  </si>
  <si>
    <t>Employees who did not work the entire test year.</t>
  </si>
  <si>
    <t>Employees hired after the test year.</t>
  </si>
  <si>
    <t>CSR Wage Shift to 100% Expense</t>
  </si>
  <si>
    <t>Proforma uses the customer service representative (CSR) hours allocated to capital in year 2023 to calculate the amount that will be recorded to expense.</t>
  </si>
  <si>
    <t>Breakdown of employee overhead costs.</t>
  </si>
  <si>
    <t>Principal &amp; Interest Payments</t>
  </si>
  <si>
    <t>Merit - Salaries and Wages:</t>
  </si>
  <si>
    <t>Total Merit - Salaries and Wages</t>
  </si>
  <si>
    <t>Total Merit - Employee Overhead</t>
  </si>
  <si>
    <t>(Revised)</t>
  </si>
  <si>
    <t>A3 (Revised)</t>
  </si>
  <si>
    <t>Wages Worked</t>
  </si>
  <si>
    <t>K (Revised)</t>
  </si>
  <si>
    <t>L (Revised)</t>
  </si>
  <si>
    <t>Principal</t>
  </si>
  <si>
    <t>Interest</t>
  </si>
  <si>
    <t>Series 2013B, RWFA</t>
  </si>
  <si>
    <t>Series 2016B, RWFA</t>
  </si>
  <si>
    <t>Series 2021A, RWFA</t>
  </si>
  <si>
    <t>Series 2022D, RWFA</t>
  </si>
  <si>
    <t>Series 2024D, RWFA</t>
  </si>
  <si>
    <t>Series 2025D, RWFA</t>
  </si>
  <si>
    <t>Series 2025D, RWFA (Estimated)</t>
  </si>
  <si>
    <t>Assumed same annual interest as Series 2024D</t>
  </si>
  <si>
    <t>COMMENTS</t>
  </si>
  <si>
    <t>Revised due to formula corrrection.  Previously reported as $189,075.</t>
  </si>
  <si>
    <t>Revised calculation to include principal &amp; interest only.</t>
  </si>
  <si>
    <t>Loan- Series 2013B, RWFA</t>
  </si>
  <si>
    <t>Loan- Series 2016B, RWFA</t>
  </si>
  <si>
    <t>Loan- Series 2021A, RWFA</t>
  </si>
  <si>
    <t>2K-41</t>
  </si>
  <si>
    <t>Total - Shift from Captial to Expense</t>
  </si>
  <si>
    <t>K - Principal &amp; Interest Payments (3-Year Average)</t>
  </si>
  <si>
    <t>Total - P &amp; I and Working Capital</t>
  </si>
  <si>
    <t>L -  Working Capital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</si>
</sst>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_(* #,##0.00000_);_(* \(#,##0.00000\);_(* &quot;-&quot;??_);_(@_)"/>
    <numFmt numFmtId="169" formatCode="0E+00"/>
    <numFmt numFmtId="170" formatCode="0.0%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 val="singleAccounting"/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i/>
      <sz val="10"/>
      <color rgb="FF4A7729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4A7729"/>
      <name val="Arial"/>
      <family val="2"/>
    </font>
    <font>
      <b/>
      <sz val="11"/>
      <color rgb="FF7030A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FFC6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Border="1"/>
    <xf numFmtId="43" fontId="3" fillId="0" borderId="0" xfId="0" applyNumberFormat="1" applyFont="1"/>
    <xf numFmtId="43" fontId="3" fillId="0" borderId="3" xfId="1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0" xfId="1" applyFont="1"/>
    <xf numFmtId="0" fontId="4" fillId="0" borderId="0" xfId="0" applyFont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43" fontId="3" fillId="0" borderId="0" xfId="1" applyFont="1" applyFill="1"/>
    <xf numFmtId="43" fontId="4" fillId="0" borderId="0" xfId="0" applyNumberFormat="1" applyFont="1"/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0" fontId="3" fillId="0" borderId="1" xfId="0" applyNumberFormat="1" applyFont="1" applyBorder="1"/>
    <xf numFmtId="44" fontId="3" fillId="0" borderId="0" xfId="0" applyNumberFormat="1" applyFont="1"/>
    <xf numFmtId="44" fontId="3" fillId="0" borderId="9" xfId="0" applyNumberFormat="1" applyFont="1" applyBorder="1"/>
    <xf numFmtId="43" fontId="3" fillId="0" borderId="9" xfId="1" applyFont="1" applyFill="1" applyBorder="1"/>
    <xf numFmtId="10" fontId="3" fillId="0" borderId="0" xfId="3" applyNumberFormat="1" applyFont="1" applyBorder="1" applyAlignment="1">
      <alignment horizontal="center"/>
    </xf>
    <xf numFmtId="44" fontId="4" fillId="0" borderId="0" xfId="2" applyFont="1"/>
    <xf numFmtId="0" fontId="3" fillId="0" borderId="20" xfId="0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11" fillId="0" borderId="0" xfId="13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1" applyNumberFormat="1" applyFont="1"/>
    <xf numFmtId="165" fontId="4" fillId="0" borderId="0" xfId="0" applyNumberFormat="1" applyFont="1"/>
    <xf numFmtId="43" fontId="4" fillId="0" borderId="1" xfId="1" applyFont="1" applyBorder="1" applyAlignment="1">
      <alignment horizontal="left"/>
    </xf>
    <xf numFmtId="166" fontId="3" fillId="0" borderId="0" xfId="1" applyNumberFormat="1" applyFont="1"/>
    <xf numFmtId="43" fontId="3" fillId="0" borderId="0" xfId="1" applyFont="1" applyAlignment="1">
      <alignment horizontal="left"/>
    </xf>
    <xf numFmtId="165" fontId="3" fillId="0" borderId="0" xfId="0" applyNumberFormat="1" applyFont="1"/>
    <xf numFmtId="164" fontId="3" fillId="0" borderId="1" xfId="0" applyNumberFormat="1" applyFont="1" applyBorder="1"/>
    <xf numFmtId="166" fontId="21" fillId="0" borderId="0" xfId="1" applyNumberFormat="1" applyFont="1"/>
    <xf numFmtId="43" fontId="3" fillId="0" borderId="0" xfId="1" applyFont="1" applyFill="1" applyAlignment="1">
      <alignment horizontal="left"/>
    </xf>
    <xf numFmtId="165" fontId="4" fillId="2" borderId="3" xfId="2" applyNumberFormat="1" applyFont="1" applyFill="1" applyBorder="1"/>
    <xf numFmtId="166" fontId="4" fillId="2" borderId="0" xfId="1" applyNumberFormat="1" applyFont="1" applyFill="1" applyAlignment="1">
      <alignment horizontal="center"/>
    </xf>
    <xf numFmtId="166" fontId="3" fillId="0" borderId="0" xfId="1" applyNumberFormat="1" applyFont="1" applyAlignment="1">
      <alignment horizontal="left"/>
    </xf>
    <xf numFmtId="44" fontId="3" fillId="0" borderId="0" xfId="2" applyFont="1" applyFill="1"/>
    <xf numFmtId="166" fontId="3" fillId="0" borderId="0" xfId="1" applyNumberFormat="1" applyFont="1" applyFill="1"/>
    <xf numFmtId="0" fontId="22" fillId="0" borderId="0" xfId="0" applyFont="1" applyAlignment="1">
      <alignment horizontal="center"/>
    </xf>
    <xf numFmtId="167" fontId="5" fillId="0" borderId="0" xfId="1" applyNumberFormat="1" applyFont="1"/>
    <xf numFmtId="43" fontId="5" fillId="0" borderId="0" xfId="1" applyFont="1" applyFill="1" applyAlignment="1"/>
    <xf numFmtId="167" fontId="5" fillId="0" borderId="1" xfId="0" applyNumberFormat="1" applyFont="1" applyBorder="1"/>
    <xf numFmtId="168" fontId="5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2" applyNumberFormat="1" applyFont="1"/>
    <xf numFmtId="10" fontId="3" fillId="0" borderId="0" xfId="3" applyNumberFormat="1" applyFont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4" fontId="3" fillId="0" borderId="0" xfId="2" applyFont="1" applyFill="1" applyBorder="1"/>
    <xf numFmtId="10" fontId="3" fillId="0" borderId="8" xfId="0" applyNumberFormat="1" applyFont="1" applyBorder="1" applyAlignment="1">
      <alignment horizontal="center"/>
    </xf>
    <xf numFmtId="10" fontId="3" fillId="0" borderId="9" xfId="3" applyNumberFormat="1" applyFont="1" applyBorder="1" applyAlignment="1">
      <alignment horizontal="center"/>
    </xf>
    <xf numFmtId="0" fontId="17" fillId="0" borderId="12" xfId="0" applyFont="1" applyBorder="1"/>
    <xf numFmtId="165" fontId="17" fillId="0" borderId="12" xfId="2" applyNumberFormat="1" applyFont="1" applyBorder="1" applyAlignment="1">
      <alignment horizontal="center"/>
    </xf>
    <xf numFmtId="166" fontId="17" fillId="0" borderId="12" xfId="1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1" applyNumberFormat="1" applyFont="1" applyBorder="1" applyAlignment="1">
      <alignment horizontal="center"/>
    </xf>
    <xf numFmtId="165" fontId="18" fillId="0" borderId="23" xfId="2" applyNumberFormat="1" applyFont="1" applyBorder="1"/>
    <xf numFmtId="165" fontId="17" fillId="0" borderId="12" xfId="2" applyNumberFormat="1" applyFont="1" applyBorder="1"/>
    <xf numFmtId="166" fontId="17" fillId="0" borderId="12" xfId="1" applyNumberFormat="1" applyFont="1" applyBorder="1"/>
    <xf numFmtId="0" fontId="17" fillId="0" borderId="4" xfId="0" applyFont="1" applyBorder="1"/>
    <xf numFmtId="0" fontId="19" fillId="0" borderId="12" xfId="0" applyFont="1" applyBorder="1" applyAlignment="1">
      <alignment horizontal="left"/>
    </xf>
    <xf numFmtId="166" fontId="17" fillId="0" borderId="12" xfId="1" applyNumberFormat="1" applyFont="1" applyFill="1" applyBorder="1"/>
    <xf numFmtId="0" fontId="17" fillId="0" borderId="12" xfId="0" applyFont="1" applyBorder="1" applyAlignment="1">
      <alignment horizontal="left"/>
    </xf>
    <xf numFmtId="166" fontId="17" fillId="0" borderId="0" xfId="0" applyNumberFormat="1" applyFont="1"/>
    <xf numFmtId="0" fontId="20" fillId="0" borderId="12" xfId="0" applyFont="1" applyBorder="1" applyAlignment="1">
      <alignment horizontal="left"/>
    </xf>
    <xf numFmtId="43" fontId="17" fillId="0" borderId="0" xfId="0" applyNumberFormat="1" applyFont="1"/>
    <xf numFmtId="0" fontId="5" fillId="0" borderId="12" xfId="0" applyFont="1" applyBorder="1" applyAlignment="1">
      <alignment horizontal="right"/>
    </xf>
    <xf numFmtId="166" fontId="18" fillId="0" borderId="12" xfId="1" applyNumberFormat="1" applyFont="1" applyFill="1" applyBorder="1"/>
    <xf numFmtId="0" fontId="18" fillId="0" borderId="4" xfId="0" applyFont="1" applyBorder="1" applyAlignment="1">
      <alignment horizontal="center"/>
    </xf>
    <xf numFmtId="0" fontId="18" fillId="0" borderId="12" xfId="0" applyFont="1" applyBorder="1"/>
    <xf numFmtId="43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18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165" fontId="17" fillId="0" borderId="0" xfId="2" applyNumberFormat="1" applyFont="1"/>
    <xf numFmtId="0" fontId="17" fillId="0" borderId="0" xfId="1" applyNumberFormat="1" applyFont="1" applyAlignment="1">
      <alignment horizontal="center"/>
    </xf>
    <xf numFmtId="165" fontId="17" fillId="0" borderId="0" xfId="2" applyNumberFormat="1" applyFont="1" applyBorder="1"/>
    <xf numFmtId="166" fontId="4" fillId="0" borderId="0" xfId="1" applyNumberFormat="1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12" xfId="1" applyNumberFormat="1" applyFont="1" applyBorder="1" applyAlignment="1">
      <alignment horizontal="center"/>
    </xf>
    <xf numFmtId="165" fontId="17" fillId="0" borderId="25" xfId="2" applyNumberFormat="1" applyFont="1" applyBorder="1"/>
    <xf numFmtId="166" fontId="17" fillId="0" borderId="25" xfId="1" applyNumberFormat="1" applyFont="1" applyFill="1" applyBorder="1"/>
    <xf numFmtId="166" fontId="17" fillId="0" borderId="25" xfId="1" applyNumberFormat="1" applyFont="1" applyBorder="1"/>
    <xf numFmtId="43" fontId="17" fillId="0" borderId="25" xfId="1" applyFont="1" applyBorder="1"/>
    <xf numFmtId="0" fontId="17" fillId="0" borderId="29" xfId="0" applyFont="1" applyBorder="1" applyAlignment="1">
      <alignment horizontal="center"/>
    </xf>
    <xf numFmtId="0" fontId="17" fillId="0" borderId="30" xfId="1" applyNumberFormat="1" applyFont="1" applyBorder="1" applyAlignment="1">
      <alignment horizontal="center"/>
    </xf>
    <xf numFmtId="165" fontId="24" fillId="0" borderId="0" xfId="0" applyNumberFormat="1" applyFont="1"/>
    <xf numFmtId="165" fontId="3" fillId="0" borderId="10" xfId="2" applyNumberFormat="1" applyFont="1" applyFill="1" applyBorder="1"/>
    <xf numFmtId="165" fontId="4" fillId="2" borderId="1" xfId="2" applyNumberFormat="1" applyFont="1" applyFill="1" applyBorder="1"/>
    <xf numFmtId="165" fontId="4" fillId="2" borderId="11" xfId="2" applyNumberFormat="1" applyFont="1" applyFill="1" applyBorder="1"/>
    <xf numFmtId="165" fontId="3" fillId="0" borderId="0" xfId="2" applyNumberFormat="1" applyFont="1" applyFill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9" fontId="3" fillId="0" borderId="0" xfId="3" applyFont="1" applyAlignment="1">
      <alignment horizontal="center"/>
    </xf>
    <xf numFmtId="9" fontId="5" fillId="0" borderId="0" xfId="3" applyFont="1" applyBorder="1" applyAlignment="1">
      <alignment horizontal="center"/>
    </xf>
    <xf numFmtId="9" fontId="3" fillId="0" borderId="0" xfId="3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0" borderId="0" xfId="1" applyNumberFormat="1" applyFont="1" applyFill="1" applyAlignment="1"/>
    <xf numFmtId="170" fontId="3" fillId="0" borderId="0" xfId="3" applyNumberFormat="1" applyFont="1" applyFill="1" applyAlignment="1">
      <alignment horizontal="center"/>
    </xf>
    <xf numFmtId="44" fontId="4" fillId="0" borderId="6" xfId="2" applyFont="1" applyFill="1" applyBorder="1"/>
    <xf numFmtId="43" fontId="3" fillId="0" borderId="7" xfId="0" applyNumberFormat="1" applyFont="1" applyBorder="1"/>
    <xf numFmtId="43" fontId="4" fillId="0" borderId="8" xfId="1" applyFont="1" applyFill="1" applyBorder="1"/>
    <xf numFmtId="43" fontId="3" fillId="0" borderId="9" xfId="0" applyNumberFormat="1" applyFont="1" applyBorder="1"/>
    <xf numFmtId="43" fontId="4" fillId="0" borderId="10" xfId="1" applyFont="1" applyFill="1" applyBorder="1"/>
    <xf numFmtId="43" fontId="3" fillId="0" borderId="11" xfId="0" applyNumberFormat="1" applyFont="1" applyBorder="1"/>
    <xf numFmtId="43" fontId="4" fillId="2" borderId="0" xfId="0" applyNumberFormat="1" applyFont="1" applyFill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166" fontId="3" fillId="0" borderId="0" xfId="1" applyNumberFormat="1" applyFont="1" applyFill="1" applyBorder="1" applyAlignment="1"/>
    <xf numFmtId="44" fontId="3" fillId="0" borderId="6" xfId="2" applyFont="1" applyFill="1" applyBorder="1"/>
    <xf numFmtId="44" fontId="3" fillId="0" borderId="13" xfId="2" applyFont="1" applyFill="1" applyBorder="1"/>
    <xf numFmtId="44" fontId="3" fillId="0" borderId="7" xfId="2" applyFont="1" applyFill="1" applyBorder="1"/>
    <xf numFmtId="44" fontId="3" fillId="0" borderId="0" xfId="2" applyFont="1" applyBorder="1"/>
    <xf numFmtId="43" fontId="3" fillId="0" borderId="8" xfId="1" applyFont="1" applyFill="1" applyBorder="1"/>
    <xf numFmtId="43" fontId="3" fillId="0" borderId="9" xfId="1" applyFont="1" applyFill="1" applyBorder="1" applyAlignment="1">
      <alignment horizontal="center"/>
    </xf>
    <xf numFmtId="43" fontId="4" fillId="0" borderId="0" xfId="1" applyFont="1" applyBorder="1"/>
    <xf numFmtId="43" fontId="3" fillId="0" borderId="10" xfId="1" applyFont="1" applyFill="1" applyBorder="1"/>
    <xf numFmtId="43" fontId="3" fillId="0" borderId="1" xfId="1" applyFont="1" applyFill="1" applyBorder="1"/>
    <xf numFmtId="43" fontId="3" fillId="0" borderId="11" xfId="1" applyFont="1" applyFill="1" applyBorder="1"/>
    <xf numFmtId="43" fontId="3" fillId="0" borderId="3" xfId="1" applyFont="1" applyFill="1" applyBorder="1"/>
    <xf numFmtId="0" fontId="4" fillId="0" borderId="8" xfId="0" applyFont="1" applyBorder="1" applyAlignment="1">
      <alignment horizontal="center"/>
    </xf>
    <xf numFmtId="9" fontId="4" fillId="0" borderId="0" xfId="3" applyFont="1" applyBorder="1" applyAlignment="1">
      <alignment horizontal="center"/>
    </xf>
    <xf numFmtId="166" fontId="4" fillId="0" borderId="0" xfId="0" applyNumberFormat="1" applyFont="1"/>
    <xf numFmtId="43" fontId="3" fillId="0" borderId="1" xfId="1" applyFont="1" applyBorder="1"/>
    <xf numFmtId="43" fontId="3" fillId="0" borderId="1" xfId="0" applyNumberFormat="1" applyFont="1" applyBorder="1"/>
    <xf numFmtId="165" fontId="4" fillId="0" borderId="0" xfId="2" applyNumberFormat="1" applyFont="1" applyFill="1"/>
    <xf numFmtId="166" fontId="4" fillId="0" borderId="1" xfId="0" applyNumberFormat="1" applyFont="1" applyBorder="1"/>
    <xf numFmtId="0" fontId="23" fillId="0" borderId="0" xfId="0" applyFont="1" applyAlignment="1">
      <alignment horizontal="left"/>
    </xf>
    <xf numFmtId="43" fontId="3" fillId="0" borderId="0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6" fontId="3" fillId="0" borderId="1" xfId="1" applyNumberFormat="1" applyFont="1" applyFill="1" applyBorder="1"/>
    <xf numFmtId="166" fontId="3" fillId="0" borderId="1" xfId="1" applyNumberFormat="1" applyFont="1" applyBorder="1"/>
    <xf numFmtId="167" fontId="5" fillId="0" borderId="1" xfId="1" applyNumberFormat="1" applyFont="1" applyBorder="1"/>
    <xf numFmtId="164" fontId="10" fillId="0" borderId="0" xfId="3" applyNumberFormat="1" applyFont="1" applyFill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/>
    <xf numFmtId="0" fontId="3" fillId="0" borderId="12" xfId="0" applyFont="1" applyBorder="1"/>
    <xf numFmtId="165" fontId="3" fillId="0" borderId="12" xfId="2" applyNumberFormat="1" applyFont="1" applyBorder="1" applyAlignment="1">
      <alignment horizontal="center"/>
    </xf>
    <xf numFmtId="10" fontId="4" fillId="0" borderId="2" xfId="3" applyNumberFormat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6" fontId="3" fillId="0" borderId="0" xfId="0" applyNumberFormat="1" applyFont="1"/>
    <xf numFmtId="166" fontId="3" fillId="0" borderId="12" xfId="1" applyNumberFormat="1" applyFont="1" applyBorder="1" applyAlignment="1">
      <alignment horizontal="center"/>
    </xf>
    <xf numFmtId="3" fontId="3" fillId="0" borderId="0" xfId="0" applyNumberFormat="1" applyFont="1"/>
    <xf numFmtId="10" fontId="4" fillId="0" borderId="0" xfId="3" applyNumberFormat="1" applyFont="1" applyAlignment="1">
      <alignment horizontal="center"/>
    </xf>
    <xf numFmtId="10" fontId="4" fillId="0" borderId="0" xfId="3" applyNumberFormat="1" applyFont="1" applyFill="1" applyAlignment="1">
      <alignment horizontal="center"/>
    </xf>
    <xf numFmtId="3" fontId="3" fillId="0" borderId="1" xfId="0" applyNumberFormat="1" applyFont="1" applyBorder="1"/>
    <xf numFmtId="10" fontId="4" fillId="0" borderId="1" xfId="3" applyNumberFormat="1" applyFont="1" applyFill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0" fontId="4" fillId="0" borderId="2" xfId="3" applyNumberFormat="1" applyFont="1" applyBorder="1" applyAlignment="1">
      <alignment horizontal="center"/>
    </xf>
    <xf numFmtId="10" fontId="4" fillId="0" borderId="1" xfId="3" applyNumberFormat="1" applyFont="1" applyBorder="1" applyAlignment="1">
      <alignment horizontal="center"/>
    </xf>
    <xf numFmtId="165" fontId="3" fillId="0" borderId="3" xfId="2" applyNumberFormat="1" applyFont="1" applyBorder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5" fontId="3" fillId="0" borderId="0" xfId="2" applyNumberFormat="1" applyFont="1" applyBorder="1"/>
    <xf numFmtId="0" fontId="4" fillId="0" borderId="0" xfId="0" applyFont="1" applyAlignment="1">
      <alignment horizontal="left"/>
    </xf>
    <xf numFmtId="165" fontId="4" fillId="0" borderId="0" xfId="2" applyNumberFormat="1" applyFont="1" applyAlignment="1">
      <alignment horizontal="right"/>
    </xf>
    <xf numFmtId="10" fontId="4" fillId="2" borderId="0" xfId="3" applyNumberFormat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70" fontId="3" fillId="0" borderId="0" xfId="0" applyNumberFormat="1" applyFont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0" fontId="4" fillId="3" borderId="17" xfId="0" applyFont="1" applyFill="1" applyBorder="1" applyAlignment="1">
      <alignment horizontal="center"/>
    </xf>
    <xf numFmtId="166" fontId="4" fillId="2" borderId="18" xfId="1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/>
    <xf numFmtId="166" fontId="3" fillId="0" borderId="19" xfId="1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66" fontId="3" fillId="0" borderId="22" xfId="1" applyNumberFormat="1" applyFont="1" applyBorder="1"/>
    <xf numFmtId="165" fontId="4" fillId="2" borderId="0" xfId="2" applyNumberFormat="1" applyFont="1" applyFill="1"/>
    <xf numFmtId="44" fontId="4" fillId="0" borderId="0" xfId="2" applyFont="1" applyFill="1"/>
    <xf numFmtId="44" fontId="3" fillId="0" borderId="0" xfId="2" applyFont="1" applyFill="1" applyAlignment="1">
      <alignment horizontal="center"/>
    </xf>
    <xf numFmtId="0" fontId="26" fillId="0" borderId="0" xfId="0" applyFont="1"/>
    <xf numFmtId="165" fontId="3" fillId="0" borderId="1" xfId="0" applyNumberFormat="1" applyFont="1" applyBorder="1"/>
    <xf numFmtId="165" fontId="3" fillId="0" borderId="10" xfId="2" applyNumberFormat="1" applyFont="1" applyBorder="1"/>
    <xf numFmtId="6" fontId="3" fillId="0" borderId="3" xfId="0" applyNumberFormat="1" applyFont="1" applyBorder="1"/>
    <xf numFmtId="165" fontId="4" fillId="0" borderId="3" xfId="0" applyNumberFormat="1" applyFont="1" applyBorder="1"/>
    <xf numFmtId="0" fontId="4" fillId="0" borderId="19" xfId="0" applyFont="1" applyBorder="1" applyAlignment="1">
      <alignment horizontal="left"/>
    </xf>
    <xf numFmtId="44" fontId="4" fillId="2" borderId="0" xfId="2" applyFont="1" applyFill="1"/>
    <xf numFmtId="166" fontId="3" fillId="0" borderId="18" xfId="1" applyNumberFormat="1" applyFont="1" applyBorder="1"/>
    <xf numFmtId="44" fontId="4" fillId="0" borderId="3" xfId="0" applyNumberFormat="1" applyFont="1" applyBorder="1"/>
    <xf numFmtId="44" fontId="24" fillId="0" borderId="0" xfId="0" applyNumberFormat="1" applyFont="1"/>
    <xf numFmtId="0" fontId="4" fillId="0" borderId="3" xfId="0" applyFont="1" applyBorder="1"/>
    <xf numFmtId="0" fontId="23" fillId="0" borderId="0" xfId="0" applyFont="1"/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44" fontId="3" fillId="0" borderId="8" xfId="2" applyFont="1" applyFill="1" applyBorder="1"/>
    <xf numFmtId="44" fontId="3" fillId="0" borderId="3" xfId="2" applyFont="1" applyBorder="1"/>
    <xf numFmtId="165" fontId="4" fillId="2" borderId="33" xfId="2" applyNumberFormat="1" applyFont="1" applyFill="1" applyBorder="1"/>
    <xf numFmtId="44" fontId="3" fillId="0" borderId="3" xfId="2" applyFont="1" applyFill="1" applyBorder="1"/>
    <xf numFmtId="43" fontId="5" fillId="0" borderId="0" xfId="1" applyFont="1" applyAlignment="1">
      <alignment horizontal="left"/>
    </xf>
    <xf numFmtId="43" fontId="10" fillId="0" borderId="0" xfId="1" applyFont="1" applyAlignment="1">
      <alignment horizontal="left"/>
    </xf>
    <xf numFmtId="166" fontId="17" fillId="0" borderId="0" xfId="1" applyNumberFormat="1" applyFont="1" applyAlignment="1">
      <alignment horizontal="center"/>
    </xf>
    <xf numFmtId="166" fontId="17" fillId="0" borderId="0" xfId="1" applyNumberFormat="1" applyFont="1" applyBorder="1"/>
    <xf numFmtId="0" fontId="27" fillId="0" borderId="0" xfId="0" applyFont="1"/>
    <xf numFmtId="166" fontId="7" fillId="0" borderId="0" xfId="1" applyNumberFormat="1" applyFont="1"/>
    <xf numFmtId="165" fontId="3" fillId="0" borderId="0" xfId="2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Border="1"/>
    <xf numFmtId="165" fontId="3" fillId="0" borderId="0" xfId="0" applyNumberFormat="1" applyFont="1" applyAlignment="1">
      <alignment horizontal="center"/>
    </xf>
    <xf numFmtId="166" fontId="17" fillId="0" borderId="31" xfId="1" applyNumberFormat="1" applyFont="1" applyFill="1" applyBorder="1"/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165" fontId="14" fillId="0" borderId="12" xfId="13" applyNumberFormat="1" applyFont="1" applyBorder="1" applyAlignment="1">
      <alignment horizontal="center"/>
    </xf>
    <xf numFmtId="165" fontId="3" fillId="0" borderId="12" xfId="2" applyNumberFormat="1" applyFont="1" applyFill="1" applyBorder="1" applyAlignment="1">
      <alignment horizontal="center"/>
    </xf>
    <xf numFmtId="0" fontId="5" fillId="0" borderId="12" xfId="13" applyBorder="1" applyAlignment="1">
      <alignment horizontal="center" vertical="center"/>
    </xf>
    <xf numFmtId="165" fontId="5" fillId="0" borderId="12" xfId="2" quotePrefix="1" applyNumberFormat="1" applyFont="1" applyBorder="1" applyAlignment="1">
      <alignment horizontal="center" vertical="center" wrapText="1"/>
    </xf>
    <xf numFmtId="165" fontId="10" fillId="0" borderId="12" xfId="13" applyNumberFormat="1" applyFont="1" applyBorder="1" applyAlignment="1">
      <alignment horizontal="center" vertical="center"/>
    </xf>
    <xf numFmtId="0" fontId="10" fillId="0" borderId="12" xfId="13" applyFont="1" applyBorder="1" applyAlignment="1">
      <alignment horizontal="center" vertical="center" wrapText="1"/>
    </xf>
    <xf numFmtId="0" fontId="10" fillId="4" borderId="12" xfId="13" applyFont="1" applyFill="1" applyBorder="1" applyAlignment="1">
      <alignment horizontal="center"/>
    </xf>
    <xf numFmtId="0" fontId="5" fillId="0" borderId="12" xfId="13" applyBorder="1" applyAlignment="1">
      <alignment horizontal="left"/>
    </xf>
    <xf numFmtId="0" fontId="5" fillId="0" borderId="12" xfId="13" applyBorder="1"/>
    <xf numFmtId="0" fontId="12" fillId="0" borderId="12" xfId="13" applyFont="1" applyBorder="1" applyAlignment="1">
      <alignment horizontal="center"/>
    </xf>
    <xf numFmtId="0" fontId="10" fillId="6" borderId="12" xfId="13" applyFont="1" applyFill="1" applyBorder="1" applyAlignment="1">
      <alignment horizontal="center"/>
    </xf>
    <xf numFmtId="165" fontId="5" fillId="6" borderId="12" xfId="2" applyNumberFormat="1" applyFont="1" applyFill="1" applyBorder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15" fillId="0" borderId="12" xfId="1" applyNumberFormat="1" applyFont="1" applyBorder="1" applyAlignment="1">
      <alignment horizontal="center"/>
    </xf>
    <xf numFmtId="166" fontId="5" fillId="5" borderId="12" xfId="1" applyNumberFormat="1" applyFont="1" applyFill="1" applyBorder="1" applyAlignment="1">
      <alignment horizontal="center"/>
    </xf>
    <xf numFmtId="166" fontId="10" fillId="5" borderId="12" xfId="1" applyNumberFormat="1" applyFont="1" applyFill="1" applyBorder="1" applyAlignment="1">
      <alignment horizontal="center"/>
    </xf>
    <xf numFmtId="166" fontId="12" fillId="0" borderId="12" xfId="1" applyNumberFormat="1" applyFont="1" applyFill="1" applyBorder="1" applyAlignment="1">
      <alignment horizontal="center"/>
    </xf>
    <xf numFmtId="166" fontId="16" fillId="0" borderId="12" xfId="1" applyNumberFormat="1" applyFont="1" applyBorder="1"/>
    <xf numFmtId="166" fontId="14" fillId="0" borderId="12" xfId="1" applyNumberFormat="1" applyFont="1" applyBorder="1" applyAlignment="1">
      <alignment horizontal="center"/>
    </xf>
    <xf numFmtId="166" fontId="10" fillId="5" borderId="12" xfId="1" applyNumberFormat="1" applyFont="1" applyFill="1" applyBorder="1"/>
    <xf numFmtId="165" fontId="15" fillId="0" borderId="12" xfId="2" applyNumberFormat="1" applyFont="1" applyBorder="1" applyAlignment="1">
      <alignment horizontal="center"/>
    </xf>
    <xf numFmtId="165" fontId="10" fillId="6" borderId="12" xfId="2" applyNumberFormat="1" applyFont="1" applyFill="1" applyBorder="1"/>
    <xf numFmtId="0" fontId="10" fillId="5" borderId="12" xfId="13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0" fillId="0" borderId="3" xfId="0" applyNumberFormat="1" applyBorder="1"/>
    <xf numFmtId="0" fontId="3" fillId="0" borderId="12" xfId="0" applyFont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10" fillId="6" borderId="12" xfId="0" applyFont="1" applyFill="1" applyBorder="1" applyAlignment="1">
      <alignment horizontal="left"/>
    </xf>
    <xf numFmtId="165" fontId="18" fillId="0" borderId="34" xfId="2" applyNumberFormat="1" applyFont="1" applyBorder="1" applyAlignment="1">
      <alignment horizontal="center"/>
    </xf>
    <xf numFmtId="165" fontId="17" fillId="0" borderId="26" xfId="2" applyNumberFormat="1" applyFont="1" applyBorder="1"/>
    <xf numFmtId="166" fontId="17" fillId="0" borderId="26" xfId="1" applyNumberFormat="1" applyFont="1" applyFill="1" applyBorder="1"/>
    <xf numFmtId="166" fontId="17" fillId="0" borderId="26" xfId="1" applyNumberFormat="1" applyFont="1" applyBorder="1"/>
    <xf numFmtId="43" fontId="17" fillId="0" borderId="26" xfId="1" applyFont="1" applyBorder="1"/>
    <xf numFmtId="166" fontId="17" fillId="0" borderId="35" xfId="1" applyNumberFormat="1" applyFont="1" applyFill="1" applyBorder="1"/>
    <xf numFmtId="165" fontId="3" fillId="2" borderId="0" xfId="2" applyNumberFormat="1" applyFont="1" applyFill="1" applyAlignment="1">
      <alignment horizontal="left"/>
    </xf>
    <xf numFmtId="165" fontId="3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165" fontId="2" fillId="2" borderId="0" xfId="2" applyNumberFormat="1" applyFont="1" applyFill="1"/>
    <xf numFmtId="165" fontId="8" fillId="2" borderId="0" xfId="0" applyNumberFormat="1" applyFont="1" applyFill="1"/>
    <xf numFmtId="9" fontId="13" fillId="2" borderId="0" xfId="3" applyFont="1" applyFill="1" applyAlignment="1">
      <alignment horizontal="left"/>
    </xf>
    <xf numFmtId="166" fontId="3" fillId="0" borderId="0" xfId="0" applyNumberFormat="1" applyFont="1"/>
    <xf numFmtId="166" fontId="3" fillId="0" borderId="3" xfId="1" applyNumberFormat="1" applyFont="1" applyBorder="1"/>
    <xf numFmtId="166" fontId="3" fillId="0" borderId="3" xfId="0" applyNumberFormat="1" applyFont="1" applyBorder="1"/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</cellXfs>
  <cellStyles count="14">
    <cellStyle name="Comma" xfId="1" builtinId="3"/>
    <cellStyle name="Comma 2" xfId="8" xr:uid="{4C6D47E0-71E3-460C-8A00-F199215C3B25}"/>
    <cellStyle name="Comma 2 2" xfId="12" xr:uid="{941268B0-5A97-4B33-BCDD-F59B8FEB75CF}"/>
    <cellStyle name="Comma 3" xfId="5" xr:uid="{5385DA4F-44F4-4BC7-B764-C7B34E237ABA}"/>
    <cellStyle name="Currency" xfId="2" builtinId="4"/>
    <cellStyle name="Currency 2" xfId="9" xr:uid="{71597793-BAE6-4A5D-BFEE-A089F301DC43}"/>
    <cellStyle name="Currency 3" xfId="10" xr:uid="{8ABA5D2E-E1D8-4B3E-81CD-4EE8F4557EDE}"/>
    <cellStyle name="Currency 4" xfId="6" xr:uid="{EA50008F-B4D0-4269-9208-BFDBA5F75EE3}"/>
    <cellStyle name="Normal" xfId="0" builtinId="0"/>
    <cellStyle name="Normal 2" xfId="7" xr:uid="{35088353-E7DD-4031-96A7-4F56E5FBBD84}"/>
    <cellStyle name="Normal 2 3" xfId="13" xr:uid="{C0538A80-DE03-4B69-9786-42EA35DA1EC2}"/>
    <cellStyle name="Normal 3" xfId="4" xr:uid="{69697658-F280-414A-8CA4-EB199EFEB40D}"/>
    <cellStyle name="Percent" xfId="3" builtinId="5"/>
    <cellStyle name="Percent 2" xfId="11" xr:uid="{F7441F83-1453-4312-A043-C04100FD9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58</xdr:row>
      <xdr:rowOff>0</xdr:rowOff>
    </xdr:from>
    <xdr:to>
      <xdr:col>16</xdr:col>
      <xdr:colOff>304800</xdr:colOff>
      <xdr:row>59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EE34C92-207D-4702-ABA9-E9EC6205B986}"/>
            </a:ext>
          </a:extLst>
        </xdr:cNvPr>
        <xdr:cNvSpPr>
          <a:spLocks noChangeAspect="1" noChangeArrowheads="1"/>
        </xdr:cNvSpPr>
      </xdr:nvSpPr>
      <xdr:spPr bwMode="auto">
        <a:xfrm>
          <a:off x="15106650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C97D-8416-4E17-8766-7343EAC5939D}">
  <dimension ref="A1:O34"/>
  <sheetViews>
    <sheetView tabSelected="1" zoomScale="70" zoomScaleNormal="70" workbookViewId="0">
      <selection activeCell="F36" sqref="F36"/>
    </sheetView>
  </sheetViews>
  <sheetFormatPr defaultColWidth="9.1640625" defaultRowHeight="14" x14ac:dyDescent="0.3"/>
  <cols>
    <col min="1" max="1" width="35.83203125" style="35" customWidth="1"/>
    <col min="2" max="2" width="17.4140625" style="89" customWidth="1"/>
    <col min="3" max="3" width="15.25" style="37" customWidth="1"/>
    <col min="4" max="4" width="8" style="35" customWidth="1"/>
    <col min="5" max="5" width="22.83203125" style="36" customWidth="1"/>
    <col min="6" max="6" width="21.58203125" style="90" customWidth="1"/>
    <col min="7" max="7" width="27.1640625" style="91" customWidth="1"/>
    <col min="8" max="8" width="66.25" style="35" customWidth="1"/>
    <col min="9" max="9" width="16.4140625" style="36" bestFit="1" customWidth="1"/>
    <col min="10" max="10" width="12.58203125" style="35" bestFit="1" customWidth="1"/>
    <col min="11" max="11" width="17.4140625" style="35" customWidth="1"/>
    <col min="12" max="12" width="9.1640625" style="35"/>
    <col min="13" max="13" width="13.25" style="35" bestFit="1" customWidth="1"/>
    <col min="14" max="14" width="9.1640625" style="35"/>
    <col min="15" max="15" width="10.58203125" style="35" bestFit="1" customWidth="1"/>
    <col min="16" max="16" width="9.1640625" style="35"/>
    <col min="17" max="17" width="13.1640625" style="35" customWidth="1"/>
    <col min="18" max="16384" width="9.1640625" style="35"/>
  </cols>
  <sheetData>
    <row r="1" spans="1:14" ht="18" x14ac:dyDescent="0.4">
      <c r="A1" s="269" t="s">
        <v>24</v>
      </c>
      <c r="B1" s="269"/>
      <c r="C1" s="269"/>
      <c r="D1" s="269"/>
      <c r="E1" s="269"/>
      <c r="F1" s="269"/>
      <c r="G1" s="269"/>
      <c r="H1" s="269"/>
    </row>
    <row r="2" spans="1:14" ht="17.5" x14ac:dyDescent="0.35">
      <c r="A2" s="270" t="s">
        <v>190</v>
      </c>
      <c r="B2" s="270"/>
      <c r="C2" s="270"/>
      <c r="D2" s="270"/>
      <c r="E2" s="270"/>
      <c r="F2" s="270"/>
      <c r="G2" s="270"/>
      <c r="H2" s="270"/>
    </row>
    <row r="3" spans="1:14" ht="14.5" thickBot="1" x14ac:dyDescent="0.35">
      <c r="A3" s="36"/>
      <c r="B3" s="36"/>
      <c r="C3" s="36"/>
      <c r="D3" s="36"/>
      <c r="F3" s="36"/>
      <c r="G3" s="36"/>
    </row>
    <row r="4" spans="1:14" x14ac:dyDescent="0.3">
      <c r="A4" s="65" t="s">
        <v>181</v>
      </c>
      <c r="B4" s="66" t="s">
        <v>182</v>
      </c>
      <c r="C4" s="67" t="s">
        <v>183</v>
      </c>
      <c r="D4" s="68" t="s">
        <v>184</v>
      </c>
      <c r="E4" s="69" t="s">
        <v>185</v>
      </c>
      <c r="F4" s="70" t="s">
        <v>186</v>
      </c>
      <c r="G4" s="71" t="s">
        <v>187</v>
      </c>
      <c r="H4" s="254" t="s">
        <v>255</v>
      </c>
    </row>
    <row r="5" spans="1:14" x14ac:dyDescent="0.3">
      <c r="A5" s="65"/>
      <c r="B5" s="72"/>
      <c r="C5" s="73"/>
      <c r="D5" s="74"/>
      <c r="E5" s="93"/>
      <c r="F5" s="94"/>
      <c r="G5" s="95"/>
      <c r="H5" s="255"/>
    </row>
    <row r="6" spans="1:14" x14ac:dyDescent="0.3">
      <c r="A6" s="75" t="s">
        <v>170</v>
      </c>
      <c r="B6" s="73">
        <v>1761749</v>
      </c>
      <c r="C6" s="76">
        <f>SUM(C7:C11)</f>
        <v>349604.73508999997</v>
      </c>
      <c r="D6" s="68" t="s">
        <v>15</v>
      </c>
      <c r="E6" s="93"/>
      <c r="F6" s="94"/>
      <c r="G6" s="96"/>
      <c r="H6" s="256"/>
      <c r="I6" s="35"/>
    </row>
    <row r="7" spans="1:14" x14ac:dyDescent="0.3">
      <c r="A7" s="77" t="s">
        <v>171</v>
      </c>
      <c r="B7" s="73"/>
      <c r="C7" s="76">
        <v>57098.285090000005</v>
      </c>
      <c r="D7" s="68" t="s">
        <v>15</v>
      </c>
      <c r="E7" s="93" t="s">
        <v>157</v>
      </c>
      <c r="F7" s="94" t="s">
        <v>137</v>
      </c>
      <c r="G7" s="96">
        <f>COLA!B9</f>
        <v>57098.285090000005</v>
      </c>
      <c r="H7" s="256"/>
      <c r="I7" s="35"/>
      <c r="J7" s="78"/>
    </row>
    <row r="8" spans="1:14" x14ac:dyDescent="0.3">
      <c r="A8" s="77" t="s">
        <v>172</v>
      </c>
      <c r="B8" s="73"/>
      <c r="C8" s="76">
        <v>35234.980000000003</v>
      </c>
      <c r="D8" s="68" t="s">
        <v>15</v>
      </c>
      <c r="E8" s="93" t="s">
        <v>17</v>
      </c>
      <c r="F8" s="94" t="s">
        <v>138</v>
      </c>
      <c r="G8" s="97">
        <f>+Merit!B10</f>
        <v>35234.980000000003</v>
      </c>
      <c r="H8" s="257"/>
      <c r="I8" s="35"/>
      <c r="J8" s="78"/>
    </row>
    <row r="9" spans="1:14" x14ac:dyDescent="0.3">
      <c r="A9" s="77"/>
      <c r="B9" s="73"/>
      <c r="C9" s="76"/>
      <c r="D9" s="68"/>
      <c r="E9" s="93"/>
      <c r="F9" s="94"/>
      <c r="G9" s="97"/>
      <c r="H9" s="257"/>
      <c r="I9" s="35"/>
      <c r="J9" s="78"/>
    </row>
    <row r="10" spans="1:14" x14ac:dyDescent="0.3">
      <c r="A10" s="79" t="s">
        <v>173</v>
      </c>
      <c r="B10" s="73"/>
      <c r="C10" s="76">
        <v>257271.47</v>
      </c>
      <c r="D10" s="68" t="s">
        <v>15</v>
      </c>
      <c r="E10" s="93" t="s">
        <v>75</v>
      </c>
      <c r="F10" s="94" t="s">
        <v>241</v>
      </c>
      <c r="G10" s="96">
        <f>'New Employees '!L38</f>
        <v>183960.53916694692</v>
      </c>
      <c r="H10" s="256" t="s">
        <v>256</v>
      </c>
      <c r="I10" s="80"/>
    </row>
    <row r="11" spans="1:14" x14ac:dyDescent="0.3">
      <c r="A11" s="81"/>
      <c r="B11" s="73"/>
      <c r="C11" s="82"/>
      <c r="D11" s="83"/>
      <c r="E11" s="93" t="s">
        <v>159</v>
      </c>
      <c r="F11" s="94" t="s">
        <v>140</v>
      </c>
      <c r="G11" s="97">
        <f>+CSR!K15</f>
        <v>68196.496266149989</v>
      </c>
      <c r="H11" s="257"/>
      <c r="I11" s="78"/>
    </row>
    <row r="12" spans="1:14" x14ac:dyDescent="0.3">
      <c r="A12" s="84" t="s">
        <v>174</v>
      </c>
      <c r="B12" s="76">
        <v>997517</v>
      </c>
      <c r="C12" s="73"/>
      <c r="D12" s="68"/>
      <c r="E12" s="93"/>
      <c r="F12" s="94"/>
      <c r="G12" s="97"/>
      <c r="H12" s="257"/>
      <c r="I12" s="85"/>
      <c r="J12" s="37"/>
    </row>
    <row r="13" spans="1:14" x14ac:dyDescent="0.3">
      <c r="A13" s="77" t="s">
        <v>175</v>
      </c>
      <c r="B13" s="76">
        <f>+'Employee Overhead'!D43</f>
        <v>151970.53736619095</v>
      </c>
      <c r="C13" s="73">
        <v>-151971</v>
      </c>
      <c r="D13" s="68" t="s">
        <v>146</v>
      </c>
      <c r="E13" s="93" t="s">
        <v>1</v>
      </c>
      <c r="F13" s="94" t="s">
        <v>158</v>
      </c>
      <c r="G13" s="97">
        <f>+'Employee Overhead'!D45</f>
        <v>-151970.53736619095</v>
      </c>
      <c r="H13" s="257"/>
      <c r="I13" s="85"/>
      <c r="J13" s="37"/>
    </row>
    <row r="14" spans="1:14" x14ac:dyDescent="0.3">
      <c r="A14" s="77"/>
      <c r="B14" s="76"/>
      <c r="C14" s="73"/>
      <c r="D14" s="68"/>
      <c r="E14" s="93"/>
      <c r="F14" s="94"/>
      <c r="G14" s="98"/>
      <c r="H14" s="258"/>
      <c r="I14" s="85"/>
      <c r="J14" s="37"/>
    </row>
    <row r="15" spans="1:14" x14ac:dyDescent="0.3">
      <c r="A15" s="77" t="s">
        <v>176</v>
      </c>
      <c r="B15" s="76">
        <f>+'Employee Overhead'!F43</f>
        <v>269439.68328583136</v>
      </c>
      <c r="C15" s="73">
        <v>38297.973907741354</v>
      </c>
      <c r="D15" s="68" t="s">
        <v>2</v>
      </c>
      <c r="E15" s="93" t="s">
        <v>75</v>
      </c>
      <c r="F15" s="94" t="s">
        <v>143</v>
      </c>
      <c r="G15" s="97">
        <f>+'New Employees '!H55</f>
        <v>27940.344555504118</v>
      </c>
      <c r="H15" s="257"/>
      <c r="J15" s="37"/>
      <c r="N15" s="78"/>
    </row>
    <row r="16" spans="1:14" x14ac:dyDescent="0.3">
      <c r="A16" s="77"/>
      <c r="B16" s="76"/>
      <c r="C16" s="73"/>
      <c r="D16" s="68"/>
      <c r="E16" s="93" t="s">
        <v>159</v>
      </c>
      <c r="F16" s="94" t="s">
        <v>147</v>
      </c>
      <c r="G16" s="97">
        <f>+CSR!H23</f>
        <v>10357.62935223724</v>
      </c>
      <c r="H16" s="257"/>
      <c r="I16" s="86"/>
      <c r="J16" s="37"/>
      <c r="N16" s="78"/>
    </row>
    <row r="17" spans="1:15" x14ac:dyDescent="0.3">
      <c r="A17" s="77"/>
      <c r="B17" s="76"/>
      <c r="C17" s="73"/>
      <c r="D17" s="68"/>
      <c r="E17" s="93"/>
      <c r="F17" s="94"/>
      <c r="G17" s="97"/>
      <c r="H17" s="257"/>
      <c r="I17" s="86"/>
      <c r="J17" s="37"/>
      <c r="N17" s="78"/>
    </row>
    <row r="18" spans="1:15" x14ac:dyDescent="0.3">
      <c r="A18" s="77" t="s">
        <v>177</v>
      </c>
      <c r="B18" s="76">
        <f>+'Employee Overhead'!H43</f>
        <v>9881.091353514099</v>
      </c>
      <c r="C18" s="73">
        <v>1404.4916258138708</v>
      </c>
      <c r="D18" s="68" t="s">
        <v>2</v>
      </c>
      <c r="E18" s="93" t="s">
        <v>75</v>
      </c>
      <c r="F18" s="94" t="s">
        <v>149</v>
      </c>
      <c r="G18" s="97">
        <f>+'New Employees '!I55</f>
        <v>1024.6489813036176</v>
      </c>
      <c r="H18" s="257"/>
      <c r="J18" s="37"/>
    </row>
    <row r="19" spans="1:15" x14ac:dyDescent="0.3">
      <c r="A19" s="77"/>
      <c r="B19" s="76"/>
      <c r="C19" s="73"/>
      <c r="D19" s="68"/>
      <c r="E19" s="93" t="s">
        <v>160</v>
      </c>
      <c r="F19" s="94" t="s">
        <v>150</v>
      </c>
      <c r="G19" s="96">
        <f>CSR!I23</f>
        <v>379.84264451025308</v>
      </c>
      <c r="H19" s="256"/>
      <c r="I19" s="85"/>
      <c r="J19" s="37"/>
    </row>
    <row r="20" spans="1:15" x14ac:dyDescent="0.3">
      <c r="A20" s="77"/>
      <c r="B20" s="76"/>
      <c r="C20" s="73"/>
      <c r="D20" s="68"/>
      <c r="E20" s="93"/>
      <c r="F20" s="94"/>
      <c r="G20" s="97"/>
      <c r="H20" s="257"/>
      <c r="I20" s="85"/>
      <c r="J20" s="37"/>
    </row>
    <row r="21" spans="1:15" x14ac:dyDescent="0.3">
      <c r="A21" s="77" t="s">
        <v>180</v>
      </c>
      <c r="B21" s="76">
        <f>+'Employee Overhead'!J43</f>
        <v>213146.31247256309</v>
      </c>
      <c r="C21" s="73">
        <v>30296.472346079128</v>
      </c>
      <c r="D21" s="68" t="s">
        <v>2</v>
      </c>
      <c r="E21" s="93" t="s">
        <v>75</v>
      </c>
      <c r="F21" s="94" t="s">
        <v>151</v>
      </c>
      <c r="G21" s="97">
        <f>+'New Employees '!J55</f>
        <v>22102.83703793132</v>
      </c>
      <c r="H21" s="257"/>
      <c r="I21" s="86"/>
      <c r="J21" s="37"/>
      <c r="K21" s="78"/>
    </row>
    <row r="22" spans="1:15" x14ac:dyDescent="0.3">
      <c r="A22" s="77"/>
      <c r="B22" s="76"/>
      <c r="C22" s="73"/>
      <c r="D22" s="68"/>
      <c r="E22" s="93" t="s">
        <v>159</v>
      </c>
      <c r="F22" s="94" t="s">
        <v>152</v>
      </c>
      <c r="G22" s="97">
        <f>+CSR!J23</f>
        <v>8193.6353081478064</v>
      </c>
      <c r="H22" s="257"/>
      <c r="I22" s="86"/>
      <c r="J22" s="37"/>
      <c r="K22" s="78"/>
    </row>
    <row r="23" spans="1:15" x14ac:dyDescent="0.3">
      <c r="A23" s="77"/>
      <c r="B23" s="76"/>
      <c r="C23" s="73"/>
      <c r="D23" s="68"/>
      <c r="E23" s="93"/>
      <c r="F23" s="94"/>
      <c r="G23" s="97"/>
      <c r="H23" s="257"/>
      <c r="I23" s="86"/>
      <c r="J23" s="37"/>
      <c r="K23" s="78"/>
    </row>
    <row r="24" spans="1:15" x14ac:dyDescent="0.3">
      <c r="A24" s="77" t="s">
        <v>178</v>
      </c>
      <c r="B24" s="76">
        <f>+'Employee Overhead'!L43</f>
        <v>353079.37552190042</v>
      </c>
      <c r="C24" s="73">
        <v>50186.463056202789</v>
      </c>
      <c r="D24" s="68" t="s">
        <v>2</v>
      </c>
      <c r="E24" s="93" t="s">
        <v>75</v>
      </c>
      <c r="F24" s="94" t="s">
        <v>153</v>
      </c>
      <c r="G24" s="97">
        <f>+'New Employees '!K55</f>
        <v>36613.609722287292</v>
      </c>
      <c r="H24" s="257"/>
      <c r="I24" s="86"/>
      <c r="K24" s="78"/>
    </row>
    <row r="25" spans="1:15" x14ac:dyDescent="0.3">
      <c r="A25" s="77"/>
      <c r="B25" s="76"/>
      <c r="C25" s="73"/>
      <c r="D25" s="68"/>
      <c r="E25" s="93" t="s">
        <v>159</v>
      </c>
      <c r="F25" s="94" t="s">
        <v>156</v>
      </c>
      <c r="G25" s="97">
        <f>+CSR!K23</f>
        <v>13572.853333915493</v>
      </c>
      <c r="H25" s="257"/>
      <c r="I25" s="86"/>
      <c r="K25" s="78"/>
    </row>
    <row r="26" spans="1:15" x14ac:dyDescent="0.3">
      <c r="A26" s="77"/>
      <c r="B26" s="76"/>
      <c r="C26" s="73"/>
      <c r="D26" s="68"/>
      <c r="E26" s="93"/>
      <c r="F26" s="94"/>
      <c r="G26" s="97"/>
      <c r="H26" s="257"/>
      <c r="I26" s="86"/>
      <c r="K26" s="78"/>
    </row>
    <row r="27" spans="1:15" x14ac:dyDescent="0.3">
      <c r="A27" s="77" t="s">
        <v>171</v>
      </c>
      <c r="B27" s="73"/>
      <c r="C27" s="73">
        <v>25421.453982764229</v>
      </c>
      <c r="D27" s="68" t="s">
        <v>18</v>
      </c>
      <c r="E27" s="93" t="s">
        <v>16</v>
      </c>
      <c r="F27" s="94" t="s">
        <v>154</v>
      </c>
      <c r="G27" s="97">
        <f>+COLA!B23</f>
        <v>25421.453982764229</v>
      </c>
      <c r="H27" s="257"/>
      <c r="I27" s="86"/>
      <c r="K27" s="37"/>
      <c r="O27" s="78"/>
    </row>
    <row r="28" spans="1:15" x14ac:dyDescent="0.3">
      <c r="A28" s="77" t="s">
        <v>172</v>
      </c>
      <c r="B28" s="73"/>
      <c r="C28" s="73">
        <v>15687.413750548736</v>
      </c>
      <c r="D28" s="68" t="s">
        <v>18</v>
      </c>
      <c r="E28" s="93" t="s">
        <v>17</v>
      </c>
      <c r="F28" s="94" t="s">
        <v>155</v>
      </c>
      <c r="G28" s="97">
        <f>+Merit!B21</f>
        <v>15687.413750548736</v>
      </c>
      <c r="H28" s="257"/>
      <c r="K28" s="78"/>
    </row>
    <row r="29" spans="1:15" x14ac:dyDescent="0.3">
      <c r="A29" s="87"/>
      <c r="B29" s="73"/>
      <c r="C29" s="73"/>
      <c r="D29" s="68"/>
      <c r="E29" s="93"/>
      <c r="F29" s="94"/>
      <c r="G29" s="97"/>
      <c r="H29" s="257"/>
      <c r="J29" s="36"/>
      <c r="K29" s="78"/>
    </row>
    <row r="30" spans="1:15" x14ac:dyDescent="0.3">
      <c r="A30" s="84" t="s">
        <v>19</v>
      </c>
      <c r="B30" s="72"/>
      <c r="C30" s="73">
        <v>859380</v>
      </c>
      <c r="D30" s="68" t="s">
        <v>20</v>
      </c>
      <c r="E30" s="93" t="s">
        <v>179</v>
      </c>
      <c r="F30" s="94" t="s">
        <v>243</v>
      </c>
      <c r="G30" s="96">
        <f>+'Principal &amp; Interest'!E29</f>
        <v>881144.66666666663</v>
      </c>
      <c r="H30" s="256" t="s">
        <v>257</v>
      </c>
      <c r="I30" s="214"/>
      <c r="J30" s="37"/>
    </row>
    <row r="31" spans="1:15" x14ac:dyDescent="0.3">
      <c r="A31" s="65"/>
      <c r="B31" s="72"/>
      <c r="C31" s="73"/>
      <c r="D31" s="68"/>
      <c r="E31" s="93"/>
      <c r="F31" s="94"/>
      <c r="G31" s="97"/>
      <c r="H31" s="257"/>
      <c r="I31" s="214"/>
    </row>
    <row r="32" spans="1:15" ht="14.5" thickBot="1" x14ac:dyDescent="0.35">
      <c r="A32" s="88" t="s">
        <v>191</v>
      </c>
      <c r="B32" s="72"/>
      <c r="C32" s="73">
        <v>171876</v>
      </c>
      <c r="D32" s="68" t="s">
        <v>21</v>
      </c>
      <c r="E32" s="99" t="s">
        <v>179</v>
      </c>
      <c r="F32" s="100" t="s">
        <v>244</v>
      </c>
      <c r="G32" s="222">
        <f>+'Principal &amp; Interest'!E31</f>
        <v>176228.93333333335</v>
      </c>
      <c r="H32" s="259" t="s">
        <v>257</v>
      </c>
      <c r="I32" s="214"/>
      <c r="J32" s="37"/>
    </row>
    <row r="34" spans="7:10" x14ac:dyDescent="0.3">
      <c r="G34" s="215"/>
      <c r="I34" s="215"/>
      <c r="J34" s="215"/>
    </row>
  </sheetData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EB00-DD26-45F5-A806-F4C9E94555FB}">
  <dimension ref="A1:D64"/>
  <sheetViews>
    <sheetView topLeftCell="A15" workbookViewId="0">
      <selection activeCell="A3" sqref="A3"/>
    </sheetView>
  </sheetViews>
  <sheetFormatPr defaultColWidth="9.1640625" defaultRowHeight="12.5" x14ac:dyDescent="0.25"/>
  <cols>
    <col min="1" max="1" width="45.1640625" style="3" bestFit="1" customWidth="1"/>
    <col min="2" max="2" width="14.25" style="3" bestFit="1" customWidth="1"/>
    <col min="3" max="3" width="18.1640625" style="3" customWidth="1"/>
    <col min="4" max="4" width="14.4140625" style="3" bestFit="1" customWidth="1"/>
    <col min="5" max="5" width="11.25" style="3" bestFit="1" customWidth="1"/>
    <col min="6" max="6" width="9.1640625" style="3"/>
    <col min="7" max="7" width="21" style="3" bestFit="1" customWidth="1"/>
    <col min="8" max="9" width="9.1640625" style="3"/>
    <col min="10" max="10" width="15.1640625" style="3" bestFit="1" customWidth="1"/>
    <col min="11" max="14" width="9.1640625" style="3"/>
    <col min="15" max="16" width="11.4140625" style="3" bestFit="1" customWidth="1"/>
    <col min="17" max="16384" width="9.1640625" style="3"/>
  </cols>
  <sheetData>
    <row r="1" spans="1:4" ht="15.5" x14ac:dyDescent="0.35">
      <c r="A1" s="216" t="s">
        <v>226</v>
      </c>
    </row>
    <row r="2" spans="1:4" x14ac:dyDescent="0.25">
      <c r="A2" s="3" t="s">
        <v>227</v>
      </c>
    </row>
    <row r="3" spans="1:4" x14ac:dyDescent="0.25">
      <c r="A3" s="3" t="s">
        <v>228</v>
      </c>
    </row>
    <row r="5" spans="1:4" ht="13" x14ac:dyDescent="0.3">
      <c r="B5" s="38"/>
    </row>
    <row r="6" spans="1:4" ht="13" x14ac:dyDescent="0.3">
      <c r="A6" s="39" t="s">
        <v>200</v>
      </c>
      <c r="C6" s="9"/>
      <c r="D6" s="40"/>
    </row>
    <row r="7" spans="1:4" x14ac:dyDescent="0.25">
      <c r="A7" s="41" t="s">
        <v>0</v>
      </c>
      <c r="B7" s="42">
        <f>+Proforma!B6</f>
        <v>1761749</v>
      </c>
      <c r="D7" s="9"/>
    </row>
    <row r="8" spans="1:4" ht="13" x14ac:dyDescent="0.3">
      <c r="A8" s="41" t="s">
        <v>9</v>
      </c>
      <c r="B8" s="43">
        <v>3.2410000000000001E-2</v>
      </c>
      <c r="C8" s="44"/>
      <c r="D8" s="9"/>
    </row>
    <row r="9" spans="1:4" ht="13.5" thickBot="1" x14ac:dyDescent="0.35">
      <c r="A9" s="45" t="s">
        <v>198</v>
      </c>
      <c r="B9" s="46">
        <f>+B7*B8</f>
        <v>57098.285090000005</v>
      </c>
      <c r="D9" s="9"/>
    </row>
    <row r="10" spans="1:4" ht="13.5" thickTop="1" x14ac:dyDescent="0.3">
      <c r="A10" s="48"/>
      <c r="B10" s="47" t="s">
        <v>137</v>
      </c>
      <c r="C10" s="9"/>
      <c r="D10" s="40"/>
    </row>
    <row r="11" spans="1:4" x14ac:dyDescent="0.25">
      <c r="A11" s="33"/>
      <c r="D11" s="16"/>
    </row>
    <row r="12" spans="1:4" x14ac:dyDescent="0.25">
      <c r="A12" s="33"/>
    </row>
    <row r="13" spans="1:4" ht="13" x14ac:dyDescent="0.3">
      <c r="A13" s="39" t="s">
        <v>196</v>
      </c>
    </row>
    <row r="14" spans="1:4" x14ac:dyDescent="0.25">
      <c r="A14" s="33" t="s">
        <v>3</v>
      </c>
      <c r="B14" s="105">
        <f>+'Employee Overhead'!B30</f>
        <v>151970.53736619095</v>
      </c>
    </row>
    <row r="15" spans="1:4" x14ac:dyDescent="0.25">
      <c r="A15" s="33" t="s">
        <v>142</v>
      </c>
      <c r="B15" s="50">
        <f>+'Employee Overhead'!B31</f>
        <v>269439.68328583136</v>
      </c>
    </row>
    <row r="16" spans="1:4" x14ac:dyDescent="0.25">
      <c r="A16" s="33" t="s">
        <v>5</v>
      </c>
      <c r="B16" s="50">
        <f>+'Employee Overhead'!B32</f>
        <v>9881.091353514099</v>
      </c>
    </row>
    <row r="17" spans="1:4" x14ac:dyDescent="0.25">
      <c r="A17" s="33" t="s">
        <v>88</v>
      </c>
      <c r="B17" s="50">
        <f>+'Employee Overhead'!B33</f>
        <v>213146.31247256309</v>
      </c>
    </row>
    <row r="18" spans="1:4" x14ac:dyDescent="0.25">
      <c r="A18" s="33" t="s">
        <v>6</v>
      </c>
      <c r="B18" s="147">
        <f>+'Employee Overhead'!B34</f>
        <v>353079.37552190042</v>
      </c>
    </row>
    <row r="19" spans="1:4" x14ac:dyDescent="0.25">
      <c r="A19" s="41" t="s">
        <v>0</v>
      </c>
      <c r="B19" s="42">
        <f>SUM(B14:B18)</f>
        <v>997517</v>
      </c>
    </row>
    <row r="20" spans="1:4" x14ac:dyDescent="0.25">
      <c r="A20" s="41" t="s">
        <v>199</v>
      </c>
      <c r="B20" s="148">
        <f>-B17</f>
        <v>-213146.31247256309</v>
      </c>
    </row>
    <row r="21" spans="1:4" x14ac:dyDescent="0.25">
      <c r="A21" s="41" t="s">
        <v>105</v>
      </c>
      <c r="B21" s="42">
        <f>SUM(B19:B20)</f>
        <v>784370.68752743688</v>
      </c>
    </row>
    <row r="22" spans="1:4" ht="13" x14ac:dyDescent="0.3">
      <c r="A22" s="33" t="s">
        <v>9</v>
      </c>
      <c r="B22" s="43">
        <v>3.2410000000000001E-2</v>
      </c>
      <c r="C22" s="44"/>
    </row>
    <row r="23" spans="1:4" ht="13.5" thickBot="1" x14ac:dyDescent="0.35">
      <c r="A23" s="45" t="s">
        <v>197</v>
      </c>
      <c r="B23" s="46">
        <f>+B21*B22</f>
        <v>25421.453982764229</v>
      </c>
    </row>
    <row r="24" spans="1:4" ht="13.5" thickTop="1" x14ac:dyDescent="0.3">
      <c r="A24" s="33"/>
      <c r="B24" s="47" t="s">
        <v>154</v>
      </c>
    </row>
    <row r="25" spans="1:4" x14ac:dyDescent="0.25">
      <c r="A25" s="33"/>
    </row>
    <row r="26" spans="1:4" x14ac:dyDescent="0.25">
      <c r="A26" s="33"/>
    </row>
    <row r="27" spans="1:4" ht="13" x14ac:dyDescent="0.3">
      <c r="A27" s="146" t="s">
        <v>13</v>
      </c>
      <c r="B27" s="51"/>
      <c r="D27" s="16"/>
    </row>
    <row r="28" spans="1:4" x14ac:dyDescent="0.25">
      <c r="A28" s="212" t="s">
        <v>224</v>
      </c>
      <c r="B28" s="52">
        <v>307.67099999999999</v>
      </c>
      <c r="D28" s="16"/>
    </row>
    <row r="29" spans="1:4" x14ac:dyDescent="0.25">
      <c r="A29" s="212" t="s">
        <v>11</v>
      </c>
      <c r="B29" s="149">
        <v>298.012</v>
      </c>
      <c r="D29" s="16"/>
    </row>
    <row r="30" spans="1:4" x14ac:dyDescent="0.25">
      <c r="A30" s="212" t="s">
        <v>10</v>
      </c>
      <c r="B30" s="53">
        <f>+B28-B29</f>
        <v>9.6589999999999918</v>
      </c>
      <c r="D30" s="16"/>
    </row>
    <row r="31" spans="1:4" x14ac:dyDescent="0.25">
      <c r="A31" s="212" t="s">
        <v>12</v>
      </c>
      <c r="B31" s="54">
        <f>+B29</f>
        <v>298.012</v>
      </c>
      <c r="D31" s="16"/>
    </row>
    <row r="32" spans="1:4" x14ac:dyDescent="0.25">
      <c r="A32" s="212" t="s">
        <v>7</v>
      </c>
      <c r="B32" s="55">
        <f>+B30/B31</f>
        <v>3.2411446518932095E-2</v>
      </c>
      <c r="D32" s="16"/>
    </row>
    <row r="33" spans="1:4" ht="13" x14ac:dyDescent="0.3">
      <c r="A33" s="213" t="s">
        <v>8</v>
      </c>
      <c r="B33" s="150">
        <f>+B32</f>
        <v>3.2411446518932095E-2</v>
      </c>
      <c r="D33" s="16"/>
    </row>
    <row r="34" spans="1:4" x14ac:dyDescent="0.25">
      <c r="A34" s="40"/>
      <c r="B34" s="40"/>
      <c r="D34" s="16"/>
    </row>
    <row r="35" spans="1:4" ht="13" x14ac:dyDescent="0.3">
      <c r="A35" s="57"/>
      <c r="B35" s="58"/>
      <c r="D35" s="16"/>
    </row>
    <row r="36" spans="1:4" x14ac:dyDescent="0.25">
      <c r="A36" s="3" t="s">
        <v>22</v>
      </c>
      <c r="D36" s="16"/>
    </row>
    <row r="37" spans="1:4" x14ac:dyDescent="0.25">
      <c r="A37" s="3" t="s">
        <v>23</v>
      </c>
      <c r="D37" s="16"/>
    </row>
    <row r="38" spans="1:4" x14ac:dyDescent="0.25">
      <c r="D38" s="16"/>
    </row>
    <row r="39" spans="1:4" x14ac:dyDescent="0.25">
      <c r="D39" s="16"/>
    </row>
    <row r="40" spans="1:4" x14ac:dyDescent="0.25">
      <c r="D40" s="16"/>
    </row>
    <row r="41" spans="1:4" x14ac:dyDescent="0.25">
      <c r="D41" s="16"/>
    </row>
    <row r="42" spans="1:4" x14ac:dyDescent="0.25">
      <c r="D42" s="16"/>
    </row>
    <row r="43" spans="1:4" x14ac:dyDescent="0.25">
      <c r="D43" s="16"/>
    </row>
    <row r="44" spans="1:4" x14ac:dyDescent="0.25">
      <c r="D44" s="16"/>
    </row>
    <row r="45" spans="1:4" x14ac:dyDescent="0.25">
      <c r="D45" s="16"/>
    </row>
    <row r="46" spans="1:4" x14ac:dyDescent="0.25">
      <c r="D46" s="16"/>
    </row>
    <row r="47" spans="1:4" x14ac:dyDescent="0.25">
      <c r="D47" s="16"/>
    </row>
    <row r="48" spans="1:4" x14ac:dyDescent="0.25">
      <c r="D48" s="16"/>
    </row>
    <row r="49" spans="4:4" x14ac:dyDescent="0.25">
      <c r="D49" s="16"/>
    </row>
    <row r="50" spans="4:4" x14ac:dyDescent="0.25">
      <c r="D50" s="16"/>
    </row>
    <row r="51" spans="4:4" x14ac:dyDescent="0.25">
      <c r="D51" s="16"/>
    </row>
    <row r="52" spans="4:4" x14ac:dyDescent="0.25">
      <c r="D52" s="16"/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  <row r="58" spans="4:4" x14ac:dyDescent="0.25">
      <c r="D58" s="16"/>
    </row>
    <row r="59" spans="4:4" x14ac:dyDescent="0.25">
      <c r="D59" s="16"/>
    </row>
    <row r="60" spans="4:4" x14ac:dyDescent="0.25">
      <c r="D60" s="16"/>
    </row>
    <row r="61" spans="4:4" x14ac:dyDescent="0.25">
      <c r="D61" s="16"/>
    </row>
    <row r="62" spans="4:4" x14ac:dyDescent="0.25">
      <c r="D62" s="16"/>
    </row>
    <row r="63" spans="4:4" x14ac:dyDescent="0.25">
      <c r="D63" s="16"/>
    </row>
    <row r="64" spans="4:4" x14ac:dyDescent="0.25">
      <c r="D6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9457-B480-4276-8B3F-A12E54F81FED}">
  <dimension ref="A1:C23"/>
  <sheetViews>
    <sheetView workbookViewId="0">
      <selection activeCell="A22" sqref="A22"/>
    </sheetView>
  </sheetViews>
  <sheetFormatPr defaultColWidth="9.1640625" defaultRowHeight="12.5" x14ac:dyDescent="0.25"/>
  <cols>
    <col min="1" max="1" width="39.1640625" style="3" customWidth="1"/>
    <col min="2" max="2" width="14.25" style="3" bestFit="1" customWidth="1"/>
    <col min="3" max="16384" width="9.1640625" style="3"/>
  </cols>
  <sheetData>
    <row r="1" spans="1:3" ht="15.5" x14ac:dyDescent="0.35">
      <c r="A1" s="216" t="s">
        <v>229</v>
      </c>
    </row>
    <row r="2" spans="1:3" x14ac:dyDescent="0.25">
      <c r="A2" s="3" t="s">
        <v>227</v>
      </c>
    </row>
    <row r="3" spans="1:3" ht="13" x14ac:dyDescent="0.3">
      <c r="A3" s="33" t="s">
        <v>230</v>
      </c>
      <c r="B3" s="92"/>
    </row>
    <row r="4" spans="1:3" ht="13" x14ac:dyDescent="0.3">
      <c r="A4" s="3" t="s">
        <v>228</v>
      </c>
      <c r="B4" s="92"/>
    </row>
    <row r="5" spans="1:3" ht="13" x14ac:dyDescent="0.3">
      <c r="A5" s="40"/>
      <c r="B5" s="92"/>
    </row>
    <row r="6" spans="1:3" ht="13" x14ac:dyDescent="0.3">
      <c r="A6" s="40"/>
      <c r="B6" s="92"/>
    </row>
    <row r="7" spans="1:3" ht="13" x14ac:dyDescent="0.3">
      <c r="A7" s="39" t="s">
        <v>237</v>
      </c>
      <c r="B7" s="92"/>
    </row>
    <row r="8" spans="1:3" x14ac:dyDescent="0.25">
      <c r="A8" s="41" t="s">
        <v>0</v>
      </c>
      <c r="B8" s="42">
        <f>+Proforma!B6</f>
        <v>1761749</v>
      </c>
      <c r="C8" s="9"/>
    </row>
    <row r="9" spans="1:3" x14ac:dyDescent="0.25">
      <c r="A9" s="41" t="s">
        <v>14</v>
      </c>
      <c r="B9" s="25">
        <v>0.02</v>
      </c>
      <c r="C9" s="9"/>
    </row>
    <row r="10" spans="1:3" ht="13.5" thickBot="1" x14ac:dyDescent="0.35">
      <c r="A10" s="45" t="s">
        <v>238</v>
      </c>
      <c r="B10" s="46">
        <f>+B8*B9</f>
        <v>35234.980000000003</v>
      </c>
    </row>
    <row r="11" spans="1:3" ht="13.5" thickTop="1" x14ac:dyDescent="0.3">
      <c r="B11" s="23" t="s">
        <v>138</v>
      </c>
      <c r="C11" s="9"/>
    </row>
    <row r="12" spans="1:3" x14ac:dyDescent="0.25">
      <c r="C12" s="9"/>
    </row>
    <row r="13" spans="1:3" x14ac:dyDescent="0.25">
      <c r="C13" s="9"/>
    </row>
    <row r="14" spans="1:3" ht="13" x14ac:dyDescent="0.3">
      <c r="A14" s="39" t="s">
        <v>225</v>
      </c>
    </row>
    <row r="15" spans="1:3" x14ac:dyDescent="0.25">
      <c r="A15" s="33" t="s">
        <v>3</v>
      </c>
      <c r="B15" s="105">
        <v>151970.53736619095</v>
      </c>
    </row>
    <row r="16" spans="1:3" x14ac:dyDescent="0.25">
      <c r="A16" s="33" t="s">
        <v>142</v>
      </c>
      <c r="B16" s="50">
        <v>269439.68328583136</v>
      </c>
    </row>
    <row r="17" spans="1:3" x14ac:dyDescent="0.25">
      <c r="A17" s="33" t="s">
        <v>5</v>
      </c>
      <c r="B17" s="50">
        <v>9881.091353514099</v>
      </c>
    </row>
    <row r="18" spans="1:3" x14ac:dyDescent="0.25">
      <c r="A18" s="33" t="s">
        <v>6</v>
      </c>
      <c r="B18" s="147">
        <v>353079.37552190042</v>
      </c>
    </row>
    <row r="19" spans="1:3" x14ac:dyDescent="0.25">
      <c r="A19" s="33"/>
      <c r="B19" s="40">
        <f>SUM(B15:B18)</f>
        <v>784370.68752743676</v>
      </c>
      <c r="C19" s="9"/>
    </row>
    <row r="20" spans="1:3" x14ac:dyDescent="0.25">
      <c r="A20" s="33" t="s">
        <v>14</v>
      </c>
      <c r="B20" s="25">
        <v>0.02</v>
      </c>
      <c r="C20" s="9"/>
    </row>
    <row r="21" spans="1:3" ht="13.5" thickBot="1" x14ac:dyDescent="0.35">
      <c r="A21" s="45" t="s">
        <v>239</v>
      </c>
      <c r="B21" s="46">
        <f>+B19*B20</f>
        <v>15687.413750548736</v>
      </c>
    </row>
    <row r="22" spans="1:3" ht="13.5" thickTop="1" x14ac:dyDescent="0.3">
      <c r="B22" s="23" t="s">
        <v>155</v>
      </c>
      <c r="C22" s="9"/>
    </row>
    <row r="23" spans="1:3" x14ac:dyDescent="0.25">
      <c r="C2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3218-9C66-4FCD-88D5-4A5E6C18B380}">
  <dimension ref="A1:R66"/>
  <sheetViews>
    <sheetView zoomScale="70" zoomScaleNormal="70" workbookViewId="0">
      <selection activeCell="A41" sqref="A41"/>
    </sheetView>
  </sheetViews>
  <sheetFormatPr defaultColWidth="8.83203125" defaultRowHeight="12.5" x14ac:dyDescent="0.25"/>
  <cols>
    <col min="1" max="1" width="9.25" style="3" customWidth="1"/>
    <col min="2" max="2" width="22.25" style="3" customWidth="1"/>
    <col min="3" max="3" width="19.4140625" style="3" customWidth="1"/>
    <col min="4" max="4" width="12.58203125" style="3" customWidth="1"/>
    <col min="5" max="5" width="12.83203125" style="3" bestFit="1" customWidth="1"/>
    <col min="6" max="6" width="17.1640625" style="3" customWidth="1"/>
    <col min="7" max="7" width="14.83203125" style="3" bestFit="1" customWidth="1"/>
    <col min="8" max="8" width="14.4140625" style="3" bestFit="1" customWidth="1"/>
    <col min="9" max="9" width="13.75" style="3" customWidth="1"/>
    <col min="10" max="10" width="12.75" style="3" bestFit="1" customWidth="1"/>
    <col min="11" max="11" width="15" style="3" customWidth="1"/>
    <col min="12" max="12" width="20.25" style="3" customWidth="1"/>
    <col min="13" max="13" width="20.75" style="3" customWidth="1"/>
    <col min="14" max="14" width="13.25" style="3" customWidth="1"/>
    <col min="15" max="15" width="11.4140625" style="3" customWidth="1"/>
    <col min="16" max="16" width="13.75" style="3" bestFit="1" customWidth="1"/>
    <col min="17" max="17" width="13.75" style="3" customWidth="1"/>
    <col min="18" max="18" width="11.58203125" style="3" bestFit="1" customWidth="1"/>
    <col min="19" max="19" width="13.58203125" style="3" bestFit="1" customWidth="1"/>
    <col min="20" max="22" width="11.25" style="3" bestFit="1" customWidth="1"/>
    <col min="23" max="16384" width="8.83203125" style="3"/>
  </cols>
  <sheetData>
    <row r="1" spans="1:16" ht="15.5" x14ac:dyDescent="0.35">
      <c r="A1" s="216" t="s">
        <v>75</v>
      </c>
    </row>
    <row r="2" spans="1:16" x14ac:dyDescent="0.25">
      <c r="A2" s="3" t="s">
        <v>231</v>
      </c>
    </row>
    <row r="3" spans="1:16" x14ac:dyDescent="0.25">
      <c r="A3" s="3" t="s">
        <v>232</v>
      </c>
    </row>
    <row r="4" spans="1:16" x14ac:dyDescent="0.25">
      <c r="A4" s="4"/>
    </row>
    <row r="5" spans="1:16" x14ac:dyDescent="0.25">
      <c r="A5" s="4"/>
    </row>
    <row r="6" spans="1:16" ht="13" x14ac:dyDescent="0.3">
      <c r="A6" s="5" t="s">
        <v>25</v>
      </c>
    </row>
    <row r="7" spans="1:16" x14ac:dyDescent="0.25">
      <c r="A7" s="6"/>
      <c r="F7" s="107" t="s">
        <v>31</v>
      </c>
      <c r="G7" s="7">
        <v>44927</v>
      </c>
      <c r="O7" s="271" t="s">
        <v>26</v>
      </c>
      <c r="P7" s="271"/>
    </row>
    <row r="8" spans="1:16" s="9" customFormat="1" x14ac:dyDescent="0.25">
      <c r="A8" s="8" t="s">
        <v>27</v>
      </c>
      <c r="B8" s="8" t="s">
        <v>28</v>
      </c>
      <c r="C8" s="8" t="s">
        <v>76</v>
      </c>
      <c r="D8" s="8" t="s">
        <v>29</v>
      </c>
      <c r="E8" s="8" t="s">
        <v>30</v>
      </c>
      <c r="F8" s="56" t="s">
        <v>67</v>
      </c>
      <c r="G8" s="8" t="s">
        <v>32</v>
      </c>
      <c r="H8" s="8" t="s">
        <v>33</v>
      </c>
      <c r="I8" s="8" t="s">
        <v>34</v>
      </c>
      <c r="J8" s="8" t="s">
        <v>35</v>
      </c>
      <c r="K8" s="8" t="s">
        <v>36</v>
      </c>
      <c r="L8" s="8" t="s">
        <v>37</v>
      </c>
      <c r="M8" s="8" t="s">
        <v>38</v>
      </c>
      <c r="N8" s="8" t="s">
        <v>39</v>
      </c>
      <c r="O8" s="8" t="s">
        <v>33</v>
      </c>
      <c r="P8" s="8" t="s">
        <v>39</v>
      </c>
    </row>
    <row r="9" spans="1:16" x14ac:dyDescent="0.25">
      <c r="A9" s="9" t="s">
        <v>40</v>
      </c>
      <c r="B9" s="3" t="s">
        <v>41</v>
      </c>
      <c r="C9" s="3" t="s">
        <v>77</v>
      </c>
      <c r="D9" s="7">
        <v>44995</v>
      </c>
      <c r="E9" s="18">
        <v>70183.23</v>
      </c>
      <c r="F9" s="18">
        <f t="shared" ref="F9:F17" si="0">+E9/2080</f>
        <v>33.741937499999999</v>
      </c>
      <c r="G9" s="19">
        <f t="shared" ref="G9:G17" si="1">IF((D9-$G$7)/365&lt;1,(D9-$G$7)/365,1)</f>
        <v>0.18630136986301371</v>
      </c>
      <c r="H9" s="9">
        <f>52*40</f>
        <v>2080</v>
      </c>
      <c r="I9" s="9">
        <f>11*8</f>
        <v>88</v>
      </c>
      <c r="J9" s="9">
        <v>8</v>
      </c>
      <c r="K9" s="9">
        <v>8</v>
      </c>
      <c r="L9" s="9">
        <f>8*12</f>
        <v>96</v>
      </c>
      <c r="M9" s="9">
        <v>120</v>
      </c>
      <c r="N9" s="9">
        <f>+H9-I9-J9-K9-L9-M9</f>
        <v>1760</v>
      </c>
      <c r="O9" s="266">
        <f t="shared" ref="O9:O17" si="2">+E9*G9</f>
        <v>13075.23189041096</v>
      </c>
      <c r="P9" s="266">
        <f t="shared" ref="P9:P17" si="3">+F9*N9*G9</f>
        <v>11063.657753424657</v>
      </c>
    </row>
    <row r="10" spans="1:16" x14ac:dyDescent="0.25">
      <c r="A10" s="9" t="s">
        <v>42</v>
      </c>
      <c r="B10" s="3" t="s">
        <v>43</v>
      </c>
      <c r="C10" s="3" t="s">
        <v>78</v>
      </c>
      <c r="D10" s="7">
        <v>45257</v>
      </c>
      <c r="E10" s="18">
        <v>68139.058000000005</v>
      </c>
      <c r="F10" s="18">
        <f t="shared" si="0"/>
        <v>32.759162500000002</v>
      </c>
      <c r="G10" s="19">
        <f t="shared" si="1"/>
        <v>0.90410958904109584</v>
      </c>
      <c r="H10" s="9">
        <v>2080</v>
      </c>
      <c r="I10" s="9">
        <f t="shared" ref="I10:I17" si="4">11*8</f>
        <v>88</v>
      </c>
      <c r="J10" s="9">
        <v>8</v>
      </c>
      <c r="K10" s="9">
        <v>8</v>
      </c>
      <c r="L10" s="9">
        <f t="shared" ref="L10:L17" si="5">8*12</f>
        <v>96</v>
      </c>
      <c r="M10" s="9">
        <v>120</v>
      </c>
      <c r="N10" s="9">
        <f t="shared" ref="N10:N17" si="6">+H10-I10-J10-K10-L10-M10</f>
        <v>1760</v>
      </c>
      <c r="O10" s="266">
        <f t="shared" si="2"/>
        <v>61605.175726027395</v>
      </c>
      <c r="P10" s="266">
        <f t="shared" si="3"/>
        <v>52127.456383561643</v>
      </c>
    </row>
    <row r="11" spans="1:16" x14ac:dyDescent="0.25">
      <c r="A11" s="9" t="s">
        <v>44</v>
      </c>
      <c r="B11" s="3" t="s">
        <v>45</v>
      </c>
      <c r="C11" s="3" t="s">
        <v>77</v>
      </c>
      <c r="D11" s="7">
        <v>45397</v>
      </c>
      <c r="E11" s="18">
        <v>89999.987999999998</v>
      </c>
      <c r="F11" s="18">
        <f t="shared" si="0"/>
        <v>43.269224999999999</v>
      </c>
      <c r="G11" s="19">
        <f t="shared" si="1"/>
        <v>1</v>
      </c>
      <c r="H11" s="9">
        <v>2080</v>
      </c>
      <c r="I11" s="9">
        <f t="shared" si="4"/>
        <v>88</v>
      </c>
      <c r="J11" s="9">
        <v>8</v>
      </c>
      <c r="K11" s="9">
        <v>0</v>
      </c>
      <c r="L11" s="9">
        <f t="shared" si="5"/>
        <v>96</v>
      </c>
      <c r="M11" s="9">
        <v>120</v>
      </c>
      <c r="N11" s="9">
        <f t="shared" si="6"/>
        <v>1768</v>
      </c>
      <c r="O11" s="266">
        <f t="shared" si="2"/>
        <v>89999.987999999998</v>
      </c>
      <c r="P11" s="266">
        <f t="shared" si="3"/>
        <v>76499.989799999996</v>
      </c>
    </row>
    <row r="12" spans="1:16" x14ac:dyDescent="0.25">
      <c r="A12" s="9" t="s">
        <v>46</v>
      </c>
      <c r="B12" s="3" t="s">
        <v>47</v>
      </c>
      <c r="C12" s="3" t="s">
        <v>77</v>
      </c>
      <c r="D12" s="7">
        <v>45339</v>
      </c>
      <c r="E12" s="18">
        <v>109565.04</v>
      </c>
      <c r="F12" s="18">
        <f t="shared" si="0"/>
        <v>52.6755</v>
      </c>
      <c r="G12" s="19">
        <f t="shared" si="1"/>
        <v>1</v>
      </c>
      <c r="H12" s="9">
        <v>2080</v>
      </c>
      <c r="I12" s="9">
        <f t="shared" si="4"/>
        <v>88</v>
      </c>
      <c r="J12" s="9">
        <v>8</v>
      </c>
      <c r="K12" s="9">
        <v>16</v>
      </c>
      <c r="L12" s="9">
        <f t="shared" si="5"/>
        <v>96</v>
      </c>
      <c r="M12" s="9">
        <v>120</v>
      </c>
      <c r="N12" s="9">
        <f t="shared" si="6"/>
        <v>1752</v>
      </c>
      <c r="O12" s="266">
        <f t="shared" si="2"/>
        <v>109565.04</v>
      </c>
      <c r="P12" s="266">
        <f t="shared" si="3"/>
        <v>92287.475999999995</v>
      </c>
    </row>
    <row r="13" spans="1:16" x14ac:dyDescent="0.25">
      <c r="A13" s="9" t="s">
        <v>48</v>
      </c>
      <c r="B13" s="3" t="s">
        <v>49</v>
      </c>
      <c r="C13" s="3" t="s">
        <v>78</v>
      </c>
      <c r="D13" s="7">
        <v>45325</v>
      </c>
      <c r="E13" s="18">
        <v>60320</v>
      </c>
      <c r="F13" s="18">
        <f t="shared" si="0"/>
        <v>29</v>
      </c>
      <c r="G13" s="19">
        <f t="shared" si="1"/>
        <v>1</v>
      </c>
      <c r="H13" s="9">
        <v>2080</v>
      </c>
      <c r="I13" s="9">
        <f t="shared" si="4"/>
        <v>88</v>
      </c>
      <c r="J13" s="9">
        <v>8</v>
      </c>
      <c r="K13" s="9">
        <v>16</v>
      </c>
      <c r="L13" s="9">
        <f t="shared" si="5"/>
        <v>96</v>
      </c>
      <c r="M13" s="9">
        <v>120</v>
      </c>
      <c r="N13" s="9">
        <f t="shared" si="6"/>
        <v>1752</v>
      </c>
      <c r="O13" s="266">
        <f t="shared" si="2"/>
        <v>60320</v>
      </c>
      <c r="P13" s="266">
        <f t="shared" si="3"/>
        <v>50808</v>
      </c>
    </row>
    <row r="14" spans="1:16" x14ac:dyDescent="0.25">
      <c r="A14" s="9" t="s">
        <v>50</v>
      </c>
      <c r="B14" s="3" t="s">
        <v>51</v>
      </c>
      <c r="C14" s="3" t="s">
        <v>79</v>
      </c>
      <c r="D14" s="7">
        <v>45325</v>
      </c>
      <c r="E14" s="18">
        <v>70720</v>
      </c>
      <c r="F14" s="18">
        <f t="shared" si="0"/>
        <v>34</v>
      </c>
      <c r="G14" s="19">
        <f t="shared" si="1"/>
        <v>1</v>
      </c>
      <c r="H14" s="9">
        <v>2080</v>
      </c>
      <c r="I14" s="9">
        <f t="shared" si="4"/>
        <v>88</v>
      </c>
      <c r="J14" s="9">
        <v>8</v>
      </c>
      <c r="K14" s="9">
        <v>16</v>
      </c>
      <c r="L14" s="9">
        <f t="shared" si="5"/>
        <v>96</v>
      </c>
      <c r="M14" s="9">
        <v>120</v>
      </c>
      <c r="N14" s="9">
        <f t="shared" si="6"/>
        <v>1752</v>
      </c>
      <c r="O14" s="266">
        <f t="shared" si="2"/>
        <v>70720</v>
      </c>
      <c r="P14" s="266">
        <f t="shared" si="3"/>
        <v>59568</v>
      </c>
    </row>
    <row r="15" spans="1:16" x14ac:dyDescent="0.25">
      <c r="A15" s="9" t="s">
        <v>52</v>
      </c>
      <c r="B15" s="3" t="s">
        <v>53</v>
      </c>
      <c r="C15" s="3" t="s">
        <v>77</v>
      </c>
      <c r="D15" s="7">
        <v>45453</v>
      </c>
      <c r="E15" s="18">
        <v>68016</v>
      </c>
      <c r="F15" s="18">
        <f t="shared" si="0"/>
        <v>32.700000000000003</v>
      </c>
      <c r="G15" s="19">
        <f t="shared" si="1"/>
        <v>1</v>
      </c>
      <c r="H15" s="9">
        <v>2080</v>
      </c>
      <c r="I15" s="9">
        <f t="shared" si="4"/>
        <v>88</v>
      </c>
      <c r="J15" s="9">
        <v>8</v>
      </c>
      <c r="K15" s="9">
        <v>0</v>
      </c>
      <c r="L15" s="9">
        <f t="shared" si="5"/>
        <v>96</v>
      </c>
      <c r="M15" s="9">
        <v>120</v>
      </c>
      <c r="N15" s="9">
        <f t="shared" si="6"/>
        <v>1768</v>
      </c>
      <c r="O15" s="266">
        <f t="shared" si="2"/>
        <v>68016</v>
      </c>
      <c r="P15" s="266">
        <f t="shared" si="3"/>
        <v>57813.600000000006</v>
      </c>
    </row>
    <row r="16" spans="1:16" x14ac:dyDescent="0.25">
      <c r="A16" s="20">
        <v>2.0000000000000001E-196</v>
      </c>
      <c r="B16" s="3" t="s">
        <v>54</v>
      </c>
      <c r="C16" s="3" t="s">
        <v>80</v>
      </c>
      <c r="D16" s="7">
        <v>45353</v>
      </c>
      <c r="E16" s="18">
        <v>52000</v>
      </c>
      <c r="F16" s="18">
        <f t="shared" si="0"/>
        <v>25</v>
      </c>
      <c r="G16" s="19">
        <f t="shared" si="1"/>
        <v>1</v>
      </c>
      <c r="H16" s="9">
        <v>2080</v>
      </c>
      <c r="I16" s="9">
        <f t="shared" si="4"/>
        <v>88</v>
      </c>
      <c r="J16" s="9">
        <v>8</v>
      </c>
      <c r="K16" s="9">
        <v>16</v>
      </c>
      <c r="L16" s="9">
        <f t="shared" si="5"/>
        <v>96</v>
      </c>
      <c r="M16" s="9">
        <v>120</v>
      </c>
      <c r="N16" s="9">
        <f t="shared" si="6"/>
        <v>1752</v>
      </c>
      <c r="O16" s="266">
        <f t="shared" si="2"/>
        <v>52000</v>
      </c>
      <c r="P16" s="266">
        <f t="shared" si="3"/>
        <v>43800</v>
      </c>
    </row>
    <row r="17" spans="1:17" x14ac:dyDescent="0.25">
      <c r="A17" s="9" t="s">
        <v>55</v>
      </c>
      <c r="B17" s="3" t="s">
        <v>56</v>
      </c>
      <c r="C17" s="3" t="s">
        <v>79</v>
      </c>
      <c r="D17" s="7">
        <v>45061</v>
      </c>
      <c r="E17" s="18">
        <v>46169.759999999995</v>
      </c>
      <c r="F17" s="18">
        <f t="shared" si="0"/>
        <v>22.196999999999999</v>
      </c>
      <c r="G17" s="19">
        <f t="shared" si="1"/>
        <v>0.36712328767123287</v>
      </c>
      <c r="H17" s="9">
        <v>2080</v>
      </c>
      <c r="I17" s="9">
        <f t="shared" si="4"/>
        <v>88</v>
      </c>
      <c r="J17" s="9">
        <v>8</v>
      </c>
      <c r="K17" s="9">
        <v>0</v>
      </c>
      <c r="L17" s="9">
        <f t="shared" si="5"/>
        <v>96</v>
      </c>
      <c r="M17" s="9">
        <v>120</v>
      </c>
      <c r="N17" s="9">
        <f t="shared" si="6"/>
        <v>1768</v>
      </c>
      <c r="O17" s="266">
        <f t="shared" si="2"/>
        <v>16949.994082191777</v>
      </c>
      <c r="P17" s="266">
        <f t="shared" si="3"/>
        <v>14407.494969863013</v>
      </c>
    </row>
    <row r="18" spans="1:17" ht="13" thickBot="1" x14ac:dyDescent="0.3">
      <c r="E18" s="12">
        <f>SUM(E9:E17)</f>
        <v>635113.076</v>
      </c>
      <c r="F18" s="10"/>
      <c r="O18" s="268">
        <f>SUM(O9:O17)</f>
        <v>542251.42969863</v>
      </c>
      <c r="P18" s="268">
        <f>SUM(P9:P17)</f>
        <v>458375.67490684934</v>
      </c>
    </row>
    <row r="19" spans="1:17" ht="13.5" thickTop="1" x14ac:dyDescent="0.3">
      <c r="P19" s="13">
        <v>1</v>
      </c>
    </row>
    <row r="21" spans="1:17" x14ac:dyDescent="0.25">
      <c r="A21" s="9"/>
      <c r="K21" s="8" t="s">
        <v>57</v>
      </c>
      <c r="L21" s="8" t="s">
        <v>58</v>
      </c>
    </row>
    <row r="22" spans="1:17" x14ac:dyDescent="0.25">
      <c r="A22" s="9"/>
      <c r="I22" s="3" t="s">
        <v>59</v>
      </c>
      <c r="K22" s="108">
        <v>0.57999999999999996</v>
      </c>
      <c r="L22" s="108">
        <v>0.42</v>
      </c>
    </row>
    <row r="23" spans="1:17" x14ac:dyDescent="0.25">
      <c r="A23" s="9"/>
      <c r="I23" s="3" t="s">
        <v>60</v>
      </c>
      <c r="K23" s="108">
        <v>0</v>
      </c>
      <c r="L23" s="108">
        <v>1</v>
      </c>
    </row>
    <row r="24" spans="1:17" x14ac:dyDescent="0.25">
      <c r="A24" s="9"/>
      <c r="I24" s="3" t="s">
        <v>61</v>
      </c>
      <c r="K24" s="108">
        <v>1</v>
      </c>
      <c r="L24" s="108">
        <v>0</v>
      </c>
    </row>
    <row r="25" spans="1:17" x14ac:dyDescent="0.25">
      <c r="A25" s="9"/>
      <c r="K25" s="108"/>
      <c r="L25" s="108"/>
    </row>
    <row r="26" spans="1:17" ht="13" x14ac:dyDescent="0.3">
      <c r="A26" s="17" t="s">
        <v>81</v>
      </c>
      <c r="F26" s="9"/>
      <c r="G26" s="9"/>
      <c r="H26" s="9" t="s">
        <v>82</v>
      </c>
      <c r="J26" s="9"/>
      <c r="K26" s="109">
        <v>0.05</v>
      </c>
      <c r="L26" s="110"/>
    </row>
    <row r="27" spans="1:17" ht="13.5" thickBot="1" x14ac:dyDescent="0.35">
      <c r="A27" s="9"/>
      <c r="D27" s="9" t="s">
        <v>62</v>
      </c>
      <c r="E27" s="107" t="s">
        <v>31</v>
      </c>
      <c r="F27" s="275" t="s">
        <v>203</v>
      </c>
      <c r="G27" s="275"/>
      <c r="H27" s="9" t="s">
        <v>63</v>
      </c>
      <c r="I27" s="9" t="s">
        <v>63</v>
      </c>
      <c r="J27" s="9" t="s">
        <v>57</v>
      </c>
      <c r="K27" s="9" t="s">
        <v>64</v>
      </c>
      <c r="L27" s="138" t="s">
        <v>202</v>
      </c>
    </row>
    <row r="28" spans="1:17" ht="13" x14ac:dyDescent="0.3">
      <c r="A28" s="8" t="s">
        <v>27</v>
      </c>
      <c r="B28" s="8" t="s">
        <v>28</v>
      </c>
      <c r="C28" s="8" t="s">
        <v>76</v>
      </c>
      <c r="D28" s="111" t="s">
        <v>66</v>
      </c>
      <c r="E28" s="56" t="s">
        <v>67</v>
      </c>
      <c r="F28" s="8" t="s">
        <v>201</v>
      </c>
      <c r="G28" s="8" t="s">
        <v>4</v>
      </c>
      <c r="H28" s="8" t="s">
        <v>68</v>
      </c>
      <c r="I28" s="8" t="s">
        <v>4</v>
      </c>
      <c r="J28" s="8" t="s">
        <v>4</v>
      </c>
      <c r="K28" s="8" t="s">
        <v>69</v>
      </c>
      <c r="L28" s="14" t="s">
        <v>70</v>
      </c>
      <c r="M28" s="15" t="s">
        <v>71</v>
      </c>
      <c r="N28" s="15"/>
    </row>
    <row r="29" spans="1:17" ht="13" x14ac:dyDescent="0.3">
      <c r="A29" s="9" t="str">
        <f t="shared" ref="A29:B37" si="7">+A9</f>
        <v>2H-225</v>
      </c>
      <c r="B29" s="3" t="str">
        <f t="shared" si="7"/>
        <v>CMMS Administrator</v>
      </c>
      <c r="C29" s="3" t="s">
        <v>77</v>
      </c>
      <c r="D29" s="7">
        <f t="shared" ref="D29:D37" si="8">+D9</f>
        <v>44995</v>
      </c>
      <c r="E29" s="49">
        <f t="shared" ref="E29:E37" si="9">+F9</f>
        <v>33.741937499999999</v>
      </c>
      <c r="F29" s="112">
        <f t="shared" ref="F29:F37" si="10">+G9*N9</f>
        <v>327.89041095890411</v>
      </c>
      <c r="G29" s="49">
        <f>+E29*F29</f>
        <v>11063.657753424657</v>
      </c>
      <c r="H29" s="113">
        <v>0.64100000000000001</v>
      </c>
      <c r="I29" s="50">
        <f>+G29*H29</f>
        <v>7091.8046199452056</v>
      </c>
      <c r="J29" s="220">
        <f>+I29*$K$22</f>
        <v>4113.2466795682185</v>
      </c>
      <c r="K29" s="50">
        <f>J29*$K$26</f>
        <v>205.66233397841094</v>
      </c>
      <c r="L29" s="139">
        <f>+J29+K29</f>
        <v>4318.9090135466295</v>
      </c>
      <c r="M29" s="3" t="s">
        <v>72</v>
      </c>
      <c r="P29" s="272" t="s">
        <v>83</v>
      </c>
      <c r="Q29" s="273"/>
    </row>
    <row r="30" spans="1:17" ht="13" x14ac:dyDescent="0.3">
      <c r="A30" s="9" t="str">
        <f t="shared" si="7"/>
        <v>2B-198</v>
      </c>
      <c r="B30" s="3" t="str">
        <f t="shared" si="7"/>
        <v>GIS Analyst</v>
      </c>
      <c r="C30" s="3" t="s">
        <v>78</v>
      </c>
      <c r="D30" s="7">
        <f t="shared" si="8"/>
        <v>45257</v>
      </c>
      <c r="E30" s="21">
        <f t="shared" si="9"/>
        <v>32.759162500000002</v>
      </c>
      <c r="F30" s="112">
        <f t="shared" si="10"/>
        <v>1591.2328767123288</v>
      </c>
      <c r="G30" s="21">
        <f>+E30*F30</f>
        <v>52127.45638356165</v>
      </c>
      <c r="H30" s="113">
        <v>0.64100000000000001</v>
      </c>
      <c r="I30" s="50">
        <f>+G30*H30</f>
        <v>33413.699541863018</v>
      </c>
      <c r="J30" s="220">
        <f>+I30*$K$23</f>
        <v>0</v>
      </c>
      <c r="K30" s="50">
        <f t="shared" ref="K30:K37" si="11">J30*$K$26</f>
        <v>0</v>
      </c>
      <c r="L30" s="139">
        <v>0</v>
      </c>
      <c r="M30" s="3" t="s">
        <v>72</v>
      </c>
      <c r="P30" s="114" t="s">
        <v>77</v>
      </c>
      <c r="Q30" s="115">
        <f>L29+L31+L32+L35</f>
        <v>114402.03408548063</v>
      </c>
    </row>
    <row r="31" spans="1:17" ht="13" x14ac:dyDescent="0.3">
      <c r="A31" s="9" t="str">
        <f t="shared" si="7"/>
        <v>2K-235</v>
      </c>
      <c r="B31" s="3" t="str">
        <f t="shared" si="7"/>
        <v>Safety Specialist</v>
      </c>
      <c r="C31" s="3" t="s">
        <v>77</v>
      </c>
      <c r="D31" s="7">
        <f t="shared" si="8"/>
        <v>45397</v>
      </c>
      <c r="E31" s="21">
        <f t="shared" si="9"/>
        <v>43.269224999999999</v>
      </c>
      <c r="F31" s="112">
        <f t="shared" si="10"/>
        <v>1768</v>
      </c>
      <c r="G31" s="21">
        <f t="shared" ref="G31:G37" si="12">+E31*F31</f>
        <v>76499.989799999996</v>
      </c>
      <c r="H31" s="113">
        <v>0.64100000000000001</v>
      </c>
      <c r="I31" s="50">
        <f t="shared" ref="I31:I37" si="13">+G31*H31</f>
        <v>49036.493461799997</v>
      </c>
      <c r="J31" s="220">
        <f>+I31*$K$24</f>
        <v>49036.493461799997</v>
      </c>
      <c r="K31" s="50">
        <f t="shared" si="11"/>
        <v>2451.82467309</v>
      </c>
      <c r="L31" s="139">
        <f>+J31+K31</f>
        <v>51488.318134889996</v>
      </c>
      <c r="M31" s="3" t="s">
        <v>72</v>
      </c>
      <c r="P31" s="116" t="s">
        <v>84</v>
      </c>
      <c r="Q31" s="117">
        <f>L34+L37</f>
        <v>32950.465081466304</v>
      </c>
    </row>
    <row r="32" spans="1:17" ht="13" x14ac:dyDescent="0.3">
      <c r="A32" s="9" t="str">
        <f t="shared" si="7"/>
        <v>2H-154</v>
      </c>
      <c r="B32" s="3" t="str">
        <f t="shared" si="7"/>
        <v>IT Supervisor</v>
      </c>
      <c r="C32" s="3" t="s">
        <v>77</v>
      </c>
      <c r="D32" s="7">
        <f t="shared" si="8"/>
        <v>45339</v>
      </c>
      <c r="E32" s="21">
        <f t="shared" si="9"/>
        <v>52.6755</v>
      </c>
      <c r="F32" s="112">
        <f t="shared" si="10"/>
        <v>1752</v>
      </c>
      <c r="G32" s="21">
        <f t="shared" si="12"/>
        <v>92287.475999999995</v>
      </c>
      <c r="H32" s="113">
        <v>0.64100000000000001</v>
      </c>
      <c r="I32" s="50">
        <f t="shared" si="13"/>
        <v>59156.272116</v>
      </c>
      <c r="J32" s="220">
        <f>+I32*$K$22</f>
        <v>34310.637827279999</v>
      </c>
      <c r="K32" s="50">
        <f t="shared" si="11"/>
        <v>1715.5318913640001</v>
      </c>
      <c r="L32" s="139">
        <f>+J32+K32</f>
        <v>36026.169718644</v>
      </c>
      <c r="M32" s="3" t="s">
        <v>72</v>
      </c>
      <c r="P32" s="118" t="s">
        <v>80</v>
      </c>
      <c r="Q32" s="119">
        <f>L36</f>
        <v>36608.04</v>
      </c>
    </row>
    <row r="33" spans="1:17" ht="13" x14ac:dyDescent="0.3">
      <c r="A33" s="9" t="str">
        <f t="shared" si="7"/>
        <v>2F-218</v>
      </c>
      <c r="B33" s="3" t="str">
        <f t="shared" si="7"/>
        <v>Engineering Technician</v>
      </c>
      <c r="C33" s="3" t="s">
        <v>78</v>
      </c>
      <c r="D33" s="7">
        <f t="shared" si="8"/>
        <v>45325</v>
      </c>
      <c r="E33" s="21">
        <f t="shared" si="9"/>
        <v>29</v>
      </c>
      <c r="F33" s="112">
        <f t="shared" si="10"/>
        <v>1752</v>
      </c>
      <c r="G33" s="21">
        <f t="shared" si="12"/>
        <v>50808</v>
      </c>
      <c r="H33" s="113">
        <v>0.64100000000000001</v>
      </c>
      <c r="I33" s="50">
        <f t="shared" si="13"/>
        <v>32567.928</v>
      </c>
      <c r="J33" s="220">
        <f>+I33*$K$23</f>
        <v>0</v>
      </c>
      <c r="K33" s="50">
        <f t="shared" si="11"/>
        <v>0</v>
      </c>
      <c r="L33" s="139">
        <v>0</v>
      </c>
      <c r="M33" s="3" t="s">
        <v>72</v>
      </c>
      <c r="Q33" s="30">
        <f>SUM(Q30:Q32)</f>
        <v>183960.53916694692</v>
      </c>
    </row>
    <row r="34" spans="1:17" ht="13" x14ac:dyDescent="0.3">
      <c r="A34" s="9" t="str">
        <f t="shared" si="7"/>
        <v>2O-113</v>
      </c>
      <c r="B34" s="3" t="str">
        <f t="shared" si="7"/>
        <v>Lead Dispatch Operator</v>
      </c>
      <c r="C34" s="3" t="s">
        <v>79</v>
      </c>
      <c r="D34" s="7">
        <f t="shared" si="8"/>
        <v>45325</v>
      </c>
      <c r="E34" s="21">
        <f t="shared" si="9"/>
        <v>34</v>
      </c>
      <c r="F34" s="112">
        <f t="shared" si="10"/>
        <v>1752</v>
      </c>
      <c r="G34" s="21">
        <f t="shared" si="12"/>
        <v>59568</v>
      </c>
      <c r="H34" s="113">
        <v>0.64100000000000001</v>
      </c>
      <c r="I34" s="50">
        <f t="shared" si="13"/>
        <v>38183.088000000003</v>
      </c>
      <c r="J34" s="220">
        <f>+I34*$K$22</f>
        <v>22146.191040000002</v>
      </c>
      <c r="K34" s="50">
        <f t="shared" si="11"/>
        <v>1107.3095520000002</v>
      </c>
      <c r="L34" s="139">
        <f>+J34+K34</f>
        <v>23253.500592</v>
      </c>
      <c r="M34" s="3" t="s">
        <v>72</v>
      </c>
    </row>
    <row r="35" spans="1:17" ht="13" x14ac:dyDescent="0.3">
      <c r="A35" s="9" t="str">
        <f t="shared" si="7"/>
        <v>2J-238</v>
      </c>
      <c r="B35" s="3" t="str">
        <f t="shared" si="7"/>
        <v>Accountant</v>
      </c>
      <c r="C35" s="3" t="s">
        <v>77</v>
      </c>
      <c r="D35" s="7">
        <f t="shared" si="8"/>
        <v>45453</v>
      </c>
      <c r="E35" s="21">
        <f t="shared" si="9"/>
        <v>32.700000000000003</v>
      </c>
      <c r="F35" s="112">
        <f>+G15*N15</f>
        <v>1768</v>
      </c>
      <c r="G35" s="21">
        <f t="shared" si="12"/>
        <v>57813.600000000006</v>
      </c>
      <c r="H35" s="113">
        <v>0.64100000000000001</v>
      </c>
      <c r="I35" s="50">
        <f t="shared" si="13"/>
        <v>37058.517600000006</v>
      </c>
      <c r="J35" s="220">
        <f>+I35*$K$22</f>
        <v>21493.940208000004</v>
      </c>
      <c r="K35" s="50">
        <f t="shared" si="11"/>
        <v>1074.6970104000002</v>
      </c>
      <c r="L35" s="139">
        <f>+J35+K35</f>
        <v>22568.637218400003</v>
      </c>
      <c r="M35" s="3" t="s">
        <v>72</v>
      </c>
    </row>
    <row r="36" spans="1:17" ht="13" x14ac:dyDescent="0.3">
      <c r="A36" s="9">
        <f t="shared" si="7"/>
        <v>2.0000000000000001E-196</v>
      </c>
      <c r="B36" s="3" t="str">
        <f t="shared" si="7"/>
        <v>Lead Meter Technician</v>
      </c>
      <c r="C36" s="3" t="s">
        <v>80</v>
      </c>
      <c r="D36" s="7">
        <f t="shared" si="8"/>
        <v>45353</v>
      </c>
      <c r="E36" s="21">
        <f t="shared" si="9"/>
        <v>25</v>
      </c>
      <c r="F36" s="112">
        <f t="shared" si="10"/>
        <v>1752</v>
      </c>
      <c r="G36" s="21">
        <f t="shared" si="12"/>
        <v>43800</v>
      </c>
      <c r="H36" s="113">
        <v>0.79600000000000004</v>
      </c>
      <c r="I36" s="50">
        <f t="shared" si="13"/>
        <v>34864.800000000003</v>
      </c>
      <c r="J36" s="220">
        <f>+I36*$K$24</f>
        <v>34864.800000000003</v>
      </c>
      <c r="K36" s="50">
        <f t="shared" si="11"/>
        <v>1743.2400000000002</v>
      </c>
      <c r="L36" s="139">
        <f>+J36+K36</f>
        <v>36608.04</v>
      </c>
      <c r="M36" s="3" t="s">
        <v>85</v>
      </c>
    </row>
    <row r="37" spans="1:17" ht="13" x14ac:dyDescent="0.3">
      <c r="A37" s="9" t="str">
        <f t="shared" si="7"/>
        <v>2B-210</v>
      </c>
      <c r="B37" s="3" t="str">
        <f t="shared" si="7"/>
        <v>Utility Locate Specialist</v>
      </c>
      <c r="C37" s="3" t="s">
        <v>79</v>
      </c>
      <c r="D37" s="7">
        <f t="shared" si="8"/>
        <v>45061</v>
      </c>
      <c r="E37" s="21">
        <f t="shared" si="9"/>
        <v>22.196999999999999</v>
      </c>
      <c r="F37" s="112">
        <f t="shared" si="10"/>
        <v>649.07397260273967</v>
      </c>
      <c r="G37" s="21">
        <f t="shared" si="12"/>
        <v>14407.494969863012</v>
      </c>
      <c r="H37" s="113">
        <v>0.64100000000000001</v>
      </c>
      <c r="I37" s="50">
        <f t="shared" si="13"/>
        <v>9235.2042756821902</v>
      </c>
      <c r="J37" s="220">
        <f>+I37*$K$24</f>
        <v>9235.2042756821902</v>
      </c>
      <c r="K37" s="50">
        <f t="shared" si="11"/>
        <v>461.76021378410951</v>
      </c>
      <c r="L37" s="139">
        <f>+J37+K37</f>
        <v>9696.9644894662997</v>
      </c>
      <c r="M37" s="3" t="s">
        <v>72</v>
      </c>
    </row>
    <row r="38" spans="1:17" ht="13.5" thickBot="1" x14ac:dyDescent="0.35">
      <c r="A38" s="9"/>
      <c r="B38" s="3" t="s">
        <v>73</v>
      </c>
      <c r="D38" s="7"/>
      <c r="E38" s="16"/>
      <c r="F38" s="16"/>
      <c r="G38" s="12">
        <f>SUM(G29:G37)</f>
        <v>458375.67490684934</v>
      </c>
      <c r="H38" s="16"/>
      <c r="I38" s="267">
        <f>SUM(I29:I37)</f>
        <v>300607.8076152904</v>
      </c>
      <c r="J38" s="267">
        <f>SUM(J29:J37)</f>
        <v>175200.51349233041</v>
      </c>
      <c r="K38" s="267">
        <f>SUM(K29:K37)</f>
        <v>8760.0256746165214</v>
      </c>
      <c r="L38" s="46">
        <f>SUM(L29:L37)</f>
        <v>183960.53916694692</v>
      </c>
    </row>
    <row r="39" spans="1:17" ht="13.5" thickTop="1" x14ac:dyDescent="0.3">
      <c r="A39" s="9"/>
      <c r="G39" s="13">
        <v>1</v>
      </c>
      <c r="H39" s="11"/>
      <c r="I39" s="11"/>
      <c r="K39" s="11"/>
      <c r="L39" s="120" t="s">
        <v>195</v>
      </c>
      <c r="Q39" s="11"/>
    </row>
    <row r="40" spans="1:17" ht="13" x14ac:dyDescent="0.3">
      <c r="A40" s="9"/>
      <c r="G40" s="13"/>
      <c r="H40" s="11"/>
      <c r="I40" s="11"/>
      <c r="K40" s="11"/>
      <c r="L40" s="120" t="s">
        <v>240</v>
      </c>
      <c r="Q40" s="11"/>
    </row>
    <row r="41" spans="1:17" ht="13" x14ac:dyDescent="0.3">
      <c r="A41" s="9"/>
      <c r="H41" s="11"/>
      <c r="I41" s="11"/>
      <c r="K41" s="11"/>
      <c r="L41" s="23" t="s">
        <v>139</v>
      </c>
      <c r="Q41" s="11"/>
    </row>
    <row r="42" spans="1:17" x14ac:dyDescent="0.25">
      <c r="A42" s="9"/>
      <c r="H42" s="11"/>
      <c r="I42" s="11"/>
      <c r="K42" s="11"/>
      <c r="L42" s="11"/>
      <c r="Q42" s="11"/>
    </row>
    <row r="43" spans="1:17" ht="13" x14ac:dyDescent="0.3">
      <c r="A43" s="9"/>
      <c r="F43" s="59">
        <v>0.59041193662902092</v>
      </c>
      <c r="G43" s="272" t="s">
        <v>188</v>
      </c>
      <c r="H43" s="274"/>
      <c r="I43" s="274"/>
      <c r="J43" s="274"/>
      <c r="K43" s="273"/>
      <c r="L43" s="17"/>
    </row>
    <row r="44" spans="1:17" x14ac:dyDescent="0.25">
      <c r="A44" s="9"/>
      <c r="D44" s="9"/>
      <c r="E44" s="9" t="s">
        <v>57</v>
      </c>
      <c r="F44" s="9" t="s">
        <v>74</v>
      </c>
      <c r="G44" s="63">
        <v>0.15234881948497214</v>
      </c>
      <c r="H44" s="29">
        <v>0.27011036732790655</v>
      </c>
      <c r="I44" s="29">
        <v>9.9056871747690498E-3</v>
      </c>
      <c r="J44" s="29">
        <v>0.21367687214610187</v>
      </c>
      <c r="K44" s="64">
        <v>0.35395825386625035</v>
      </c>
      <c r="L44" s="9"/>
    </row>
    <row r="45" spans="1:17" x14ac:dyDescent="0.25">
      <c r="A45" s="8" t="s">
        <v>27</v>
      </c>
      <c r="B45" s="15" t="s">
        <v>65</v>
      </c>
      <c r="C45" s="15"/>
      <c r="D45" s="8"/>
      <c r="E45" s="8" t="s">
        <v>4</v>
      </c>
      <c r="F45" s="121" t="s">
        <v>86</v>
      </c>
      <c r="G45" s="122" t="s">
        <v>3</v>
      </c>
      <c r="H45" s="8" t="s">
        <v>142</v>
      </c>
      <c r="I45" s="8" t="s">
        <v>87</v>
      </c>
      <c r="J45" s="8" t="s">
        <v>88</v>
      </c>
      <c r="K45" s="123" t="s">
        <v>6</v>
      </c>
      <c r="L45" s="9"/>
    </row>
    <row r="46" spans="1:17" x14ac:dyDescent="0.25">
      <c r="A46" s="9" t="str">
        <f t="shared" ref="A46:B54" si="14">+A29</f>
        <v>2H-225</v>
      </c>
      <c r="B46" s="3" t="str">
        <f t="shared" si="14"/>
        <v>CMMS Administrator</v>
      </c>
      <c r="C46" s="3" t="s">
        <v>77</v>
      </c>
      <c r="D46" s="124"/>
      <c r="E46" s="18">
        <f t="shared" ref="E46:E51" si="15">+J29</f>
        <v>4113.2466795682185</v>
      </c>
      <c r="F46" s="125">
        <f t="shared" ref="F46:F54" si="16">+E46*$F$43</f>
        <v>2428.5099379167618</v>
      </c>
      <c r="G46" s="126">
        <f>$F$46*G44</f>
        <v>369.98062214914165</v>
      </c>
      <c r="H46" s="127">
        <f>$F$46*H44</f>
        <v>655.96571139016805</v>
      </c>
      <c r="I46" s="127">
        <f t="shared" ref="I46:K46" si="17">$F$46*I44</f>
        <v>24.056059745821248</v>
      </c>
      <c r="J46" s="127">
        <f t="shared" si="17"/>
        <v>518.91640750977774</v>
      </c>
      <c r="K46" s="128">
        <f t="shared" si="17"/>
        <v>859.59113712185308</v>
      </c>
      <c r="L46" s="129"/>
    </row>
    <row r="47" spans="1:17" x14ac:dyDescent="0.25">
      <c r="A47" s="9" t="str">
        <f t="shared" si="14"/>
        <v>2B-198</v>
      </c>
      <c r="B47" s="3" t="str">
        <f t="shared" si="14"/>
        <v>GIS Analyst</v>
      </c>
      <c r="C47" s="3" t="s">
        <v>78</v>
      </c>
      <c r="D47" s="19"/>
      <c r="E47" s="18">
        <f t="shared" si="15"/>
        <v>0</v>
      </c>
      <c r="F47" s="125">
        <f t="shared" si="16"/>
        <v>0</v>
      </c>
      <c r="G47" s="130"/>
      <c r="H47" s="18"/>
      <c r="I47" s="18"/>
      <c r="J47" s="19"/>
      <c r="K47" s="131"/>
      <c r="L47" s="10"/>
    </row>
    <row r="48" spans="1:17" x14ac:dyDescent="0.25">
      <c r="A48" s="9" t="str">
        <f t="shared" si="14"/>
        <v>2K-235</v>
      </c>
      <c r="B48" s="3" t="str">
        <f t="shared" si="14"/>
        <v>Safety Specialist</v>
      </c>
      <c r="C48" s="3" t="s">
        <v>77</v>
      </c>
      <c r="D48" s="19"/>
      <c r="E48" s="18">
        <f t="shared" si="15"/>
        <v>49036.493461799997</v>
      </c>
      <c r="F48" s="125">
        <f t="shared" si="16"/>
        <v>28951.731070277659</v>
      </c>
      <c r="G48" s="130">
        <f>$F$48*G44</f>
        <v>4410.7620506031908</v>
      </c>
      <c r="H48" s="18">
        <f t="shared" ref="H48:K48" si="18">$F$48*H44</f>
        <v>7820.1627141714634</v>
      </c>
      <c r="I48" s="18">
        <f t="shared" si="18"/>
        <v>286.78679115021203</v>
      </c>
      <c r="J48" s="18">
        <f t="shared" si="18"/>
        <v>6186.3153383120443</v>
      </c>
      <c r="K48" s="28">
        <f t="shared" si="18"/>
        <v>10247.704176040748</v>
      </c>
      <c r="L48" s="10"/>
    </row>
    <row r="49" spans="1:18" x14ac:dyDescent="0.25">
      <c r="A49" s="9" t="str">
        <f t="shared" si="14"/>
        <v>2H-154</v>
      </c>
      <c r="B49" s="3" t="str">
        <f t="shared" si="14"/>
        <v>IT Supervisor</v>
      </c>
      <c r="C49" s="3" t="s">
        <v>77</v>
      </c>
      <c r="D49" s="19"/>
      <c r="E49" s="18">
        <f t="shared" si="15"/>
        <v>34310.637827279999</v>
      </c>
      <c r="F49" s="125">
        <f t="shared" si="16"/>
        <v>20257.410126581326</v>
      </c>
      <c r="G49" s="130">
        <f>$F$49*G44</f>
        <v>3086.192518607585</v>
      </c>
      <c r="H49" s="18">
        <f t="shared" ref="H49:K49" si="19">$F$49*H44</f>
        <v>5471.7364904029364</v>
      </c>
      <c r="I49" s="18">
        <f t="shared" si="19"/>
        <v>200.66356768491332</v>
      </c>
      <c r="J49" s="18">
        <f t="shared" si="19"/>
        <v>4328.5400336286675</v>
      </c>
      <c r="K49" s="28">
        <f t="shared" si="19"/>
        <v>7170.2775162572234</v>
      </c>
      <c r="L49" s="10"/>
    </row>
    <row r="50" spans="1:18" ht="13" x14ac:dyDescent="0.3">
      <c r="A50" s="9" t="str">
        <f t="shared" si="14"/>
        <v>2F-218</v>
      </c>
      <c r="B50" s="3" t="str">
        <f t="shared" si="14"/>
        <v>Engineering Technician</v>
      </c>
      <c r="C50" s="3" t="s">
        <v>78</v>
      </c>
      <c r="D50" s="19"/>
      <c r="E50" s="18">
        <f t="shared" si="15"/>
        <v>0</v>
      </c>
      <c r="F50" s="125">
        <f t="shared" si="16"/>
        <v>0</v>
      </c>
      <c r="G50" s="130"/>
      <c r="H50" s="18"/>
      <c r="I50" s="18"/>
      <c r="J50" s="19"/>
      <c r="K50" s="131"/>
      <c r="L50" s="10"/>
      <c r="M50" s="132"/>
      <c r="N50" s="10"/>
    </row>
    <row r="51" spans="1:18" ht="13" x14ac:dyDescent="0.3">
      <c r="A51" s="9" t="str">
        <f t="shared" si="14"/>
        <v>2O-113</v>
      </c>
      <c r="B51" s="3" t="str">
        <f t="shared" si="14"/>
        <v>Lead Dispatch Operator</v>
      </c>
      <c r="C51" s="3" t="s">
        <v>79</v>
      </c>
      <c r="D51" s="19"/>
      <c r="E51" s="18">
        <f t="shared" si="15"/>
        <v>22146.191040000002</v>
      </c>
      <c r="F51" s="125">
        <f t="shared" si="16"/>
        <v>13075.375540882671</v>
      </c>
      <c r="G51" s="130">
        <f>$F$51*G44</f>
        <v>1992.0180279761539</v>
      </c>
      <c r="H51" s="18">
        <f t="shared" ref="H51:K51" si="20">$F$51*H44</f>
        <v>3531.794490298143</v>
      </c>
      <c r="I51" s="18">
        <f t="shared" si="20"/>
        <v>129.52057980061039</v>
      </c>
      <c r="J51" s="18">
        <f t="shared" si="20"/>
        <v>2793.9053477114539</v>
      </c>
      <c r="K51" s="28">
        <f t="shared" si="20"/>
        <v>4628.1370950963092</v>
      </c>
      <c r="L51" s="10"/>
      <c r="M51" s="132"/>
      <c r="N51" s="11"/>
      <c r="O51" s="11"/>
    </row>
    <row r="52" spans="1:18" ht="13" x14ac:dyDescent="0.3">
      <c r="A52" s="9" t="str">
        <f t="shared" si="14"/>
        <v>2J-238</v>
      </c>
      <c r="B52" s="3" t="str">
        <f t="shared" si="14"/>
        <v>Accountant</v>
      </c>
      <c r="C52" s="3" t="s">
        <v>77</v>
      </c>
      <c r="D52" s="19"/>
      <c r="E52" s="18">
        <f>J35</f>
        <v>21493.940208000004</v>
      </c>
      <c r="F52" s="125">
        <f>E52*$F$43</f>
        <v>12690.278863993663</v>
      </c>
      <c r="G52" s="130">
        <f>G44*$F$52</f>
        <v>1933.3490038645277</v>
      </c>
      <c r="H52" s="18">
        <f t="shared" ref="H52:K52" si="21">H44*$F$52</f>
        <v>3427.7758854468971</v>
      </c>
      <c r="I52" s="18">
        <f t="shared" si="21"/>
        <v>125.70593258730477</v>
      </c>
      <c r="J52" s="18">
        <f t="shared" si="21"/>
        <v>2711.6190943199526</v>
      </c>
      <c r="K52" s="28">
        <f t="shared" si="21"/>
        <v>4491.8289477749795</v>
      </c>
      <c r="L52" s="10"/>
      <c r="M52" s="132"/>
      <c r="N52" s="10"/>
      <c r="O52" s="10"/>
      <c r="P52" s="10"/>
      <c r="Q52" s="10"/>
      <c r="R52" s="10"/>
    </row>
    <row r="53" spans="1:18" ht="13" x14ac:dyDescent="0.3">
      <c r="A53" s="9">
        <f t="shared" si="14"/>
        <v>2.0000000000000001E-196</v>
      </c>
      <c r="B53" s="3" t="str">
        <f t="shared" si="14"/>
        <v>Lead Meter Technician</v>
      </c>
      <c r="C53" s="3" t="s">
        <v>80</v>
      </c>
      <c r="D53" s="19"/>
      <c r="E53" s="18">
        <f>+J36</f>
        <v>34864.800000000003</v>
      </c>
      <c r="F53" s="125">
        <f t="shared" si="16"/>
        <v>20584.59408818349</v>
      </c>
      <c r="G53" s="130">
        <f>$F$53*G44</f>
        <v>3136.0386089120911</v>
      </c>
      <c r="H53" s="18">
        <f t="shared" ref="H53:K53" si="22">$F$53*H44</f>
        <v>5560.1122704550962</v>
      </c>
      <c r="I53" s="18">
        <f t="shared" si="22"/>
        <v>203.90454965714599</v>
      </c>
      <c r="J53" s="18">
        <f t="shared" si="22"/>
        <v>4398.4516791601882</v>
      </c>
      <c r="K53" s="28">
        <f t="shared" si="22"/>
        <v>7286.0869799989678</v>
      </c>
      <c r="L53" s="10"/>
      <c r="M53" s="132"/>
      <c r="N53" s="10"/>
    </row>
    <row r="54" spans="1:18" ht="13" x14ac:dyDescent="0.3">
      <c r="A54" s="9" t="str">
        <f t="shared" si="14"/>
        <v>2B-210</v>
      </c>
      <c r="B54" s="3" t="str">
        <f t="shared" si="14"/>
        <v>Utility Locate Specialist</v>
      </c>
      <c r="C54" s="3" t="s">
        <v>79</v>
      </c>
      <c r="D54" s="19"/>
      <c r="E54" s="18">
        <f>+J37</f>
        <v>9235.2042756821902</v>
      </c>
      <c r="F54" s="125">
        <f t="shared" si="16"/>
        <v>5452.5748415701364</v>
      </c>
      <c r="G54" s="133">
        <f>$F$54*G44</f>
        <v>830.69334026666934</v>
      </c>
      <c r="H54" s="134">
        <f t="shared" ref="H54:K54" si="23">$F$54*H44</f>
        <v>1472.7969933394115</v>
      </c>
      <c r="I54" s="134">
        <f t="shared" si="23"/>
        <v>54.011500677609682</v>
      </c>
      <c r="J54" s="134">
        <f t="shared" si="23"/>
        <v>1165.0891372892338</v>
      </c>
      <c r="K54" s="135">
        <f t="shared" si="23"/>
        <v>1929.9838699972122</v>
      </c>
      <c r="L54" s="10"/>
      <c r="M54" s="132"/>
      <c r="N54" s="10"/>
    </row>
    <row r="55" spans="1:18" ht="13.5" thickBot="1" x14ac:dyDescent="0.35">
      <c r="A55" s="9"/>
      <c r="B55" s="3" t="s">
        <v>73</v>
      </c>
      <c r="D55" s="124"/>
      <c r="E55" s="12">
        <f>SUM(E46:E54)</f>
        <v>175200.51349233041</v>
      </c>
      <c r="F55" s="136">
        <f>SUM(F46:F54)</f>
        <v>103440.47446940572</v>
      </c>
      <c r="G55" s="209">
        <f>SUM(G46:G54)</f>
        <v>15759.034172379361</v>
      </c>
      <c r="H55" s="46">
        <f t="shared" ref="H55:K55" si="24">SUM(H46:H54)</f>
        <v>27940.344555504118</v>
      </c>
      <c r="I55" s="46">
        <f t="shared" si="24"/>
        <v>1024.6489813036176</v>
      </c>
      <c r="J55" s="46">
        <f t="shared" si="24"/>
        <v>22102.83703793132</v>
      </c>
      <c r="K55" s="46">
        <f t="shared" si="24"/>
        <v>36613.609722287292</v>
      </c>
      <c r="L55" s="11"/>
      <c r="M55" s="22"/>
      <c r="N55" s="11"/>
    </row>
    <row r="56" spans="1:18" ht="13.5" thickTop="1" x14ac:dyDescent="0.3">
      <c r="F56" s="13"/>
      <c r="H56" s="23" t="s">
        <v>143</v>
      </c>
      <c r="I56" s="23" t="s">
        <v>149</v>
      </c>
      <c r="J56" s="23" t="s">
        <v>151</v>
      </c>
      <c r="K56" s="23" t="s">
        <v>153</v>
      </c>
    </row>
    <row r="57" spans="1:18" x14ac:dyDescent="0.25">
      <c r="G57" s="16"/>
    </row>
    <row r="60" spans="1:18" ht="13" x14ac:dyDescent="0.3">
      <c r="F60" s="272" t="s">
        <v>194</v>
      </c>
      <c r="G60" s="274"/>
      <c r="H60" s="274"/>
      <c r="I60" s="274"/>
      <c r="J60" s="274"/>
      <c r="K60" s="273"/>
    </row>
    <row r="61" spans="1:18" ht="13" x14ac:dyDescent="0.3">
      <c r="F61" s="137"/>
      <c r="G61" s="8" t="s">
        <v>3</v>
      </c>
      <c r="H61" s="8" t="s">
        <v>142</v>
      </c>
      <c r="I61" s="8" t="s">
        <v>87</v>
      </c>
      <c r="J61" s="8" t="s">
        <v>88</v>
      </c>
      <c r="K61" s="123" t="s">
        <v>6</v>
      </c>
    </row>
    <row r="62" spans="1:18" x14ac:dyDescent="0.25">
      <c r="F62" s="208" t="s">
        <v>77</v>
      </c>
      <c r="G62" s="62">
        <f>G46+G48+G49+G52</f>
        <v>9800.2841952244453</v>
      </c>
      <c r="H62" s="26">
        <f>H46+H48+H49+H52</f>
        <v>17375.640801411464</v>
      </c>
      <c r="I62" s="26">
        <f>I46+I48+I49+I52</f>
        <v>637.21235116825142</v>
      </c>
      <c r="J62" s="26">
        <f>J46+J48+J49+J52</f>
        <v>13745.390873770442</v>
      </c>
      <c r="K62" s="27">
        <f>K46+K48+K49+K52</f>
        <v>22769.401777194806</v>
      </c>
    </row>
    <row r="63" spans="1:18" x14ac:dyDescent="0.25">
      <c r="F63" s="130" t="s">
        <v>84</v>
      </c>
      <c r="G63" s="18">
        <f>G51+G54</f>
        <v>2822.7113682428235</v>
      </c>
      <c r="H63" s="21">
        <f>H51+H54</f>
        <v>5004.5914836375541</v>
      </c>
      <c r="I63" s="21">
        <f>I51+I54</f>
        <v>183.53208047822008</v>
      </c>
      <c r="J63" s="21">
        <f>J51+J54</f>
        <v>3958.9944850006877</v>
      </c>
      <c r="K63" s="28">
        <f>K51+K54</f>
        <v>6558.1209650935216</v>
      </c>
    </row>
    <row r="64" spans="1:18" x14ac:dyDescent="0.25">
      <c r="F64" s="130" t="s">
        <v>80</v>
      </c>
      <c r="G64" s="18">
        <f>G53</f>
        <v>3136.0386089120911</v>
      </c>
      <c r="H64" s="21">
        <f>H53</f>
        <v>5560.1122704550962</v>
      </c>
      <c r="I64" s="21">
        <f>I53</f>
        <v>203.90454965714599</v>
      </c>
      <c r="J64" s="21">
        <f>J53</f>
        <v>4398.4516791601882</v>
      </c>
      <c r="K64" s="28">
        <f>K53</f>
        <v>7286.0869799989678</v>
      </c>
    </row>
    <row r="65" spans="6:11" ht="13.5" thickBot="1" x14ac:dyDescent="0.35">
      <c r="F65" s="133" t="s">
        <v>33</v>
      </c>
      <c r="G65" s="211">
        <f>SUM(G62:G64)</f>
        <v>15759.034172379361</v>
      </c>
      <c r="H65" s="46">
        <f>SUM(H62:H64)</f>
        <v>27940.344555504111</v>
      </c>
      <c r="I65" s="46">
        <f>SUM(I62:I64)</f>
        <v>1024.6489813036176</v>
      </c>
      <c r="J65" s="46">
        <f>SUM(J62:J64)</f>
        <v>22102.83703793132</v>
      </c>
      <c r="K65" s="210">
        <f>SUM(K62:K64)</f>
        <v>36613.609722287292</v>
      </c>
    </row>
    <row r="66" spans="6:11" ht="13.5" thickTop="1" x14ac:dyDescent="0.3">
      <c r="H66" s="23" t="s">
        <v>143</v>
      </c>
      <c r="I66" s="23" t="s">
        <v>149</v>
      </c>
      <c r="J66" s="23" t="s">
        <v>151</v>
      </c>
      <c r="K66" s="23" t="s">
        <v>153</v>
      </c>
    </row>
  </sheetData>
  <mergeCells count="5">
    <mergeCell ref="O7:P7"/>
    <mergeCell ref="P29:Q29"/>
    <mergeCell ref="G43:K43"/>
    <mergeCell ref="F60:K60"/>
    <mergeCell ref="F27:G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B2CA-D2F1-41D8-A42A-707AD8F7157E}">
  <dimension ref="A1:L26"/>
  <sheetViews>
    <sheetView zoomScale="70" zoomScaleNormal="70" workbookViewId="0">
      <selection activeCell="E31" sqref="E31"/>
    </sheetView>
  </sheetViews>
  <sheetFormatPr defaultColWidth="11.4140625" defaultRowHeight="12.5" x14ac:dyDescent="0.25"/>
  <cols>
    <col min="1" max="1" width="11.4140625" style="3"/>
    <col min="2" max="2" width="31.83203125" style="3" customWidth="1"/>
    <col min="3" max="3" width="14.4140625" style="3" customWidth="1"/>
    <col min="4" max="4" width="20" style="3" customWidth="1"/>
    <col min="5" max="5" width="14.58203125" style="3" customWidth="1"/>
    <col min="6" max="6" width="8.83203125" style="3" bestFit="1" customWidth="1"/>
    <col min="7" max="7" width="13.58203125" style="3" bestFit="1" customWidth="1"/>
    <col min="8" max="8" width="14.83203125" style="3" bestFit="1" customWidth="1"/>
    <col min="9" max="9" width="22.1640625" style="3" customWidth="1"/>
    <col min="10" max="10" width="16" style="3" bestFit="1" customWidth="1"/>
    <col min="11" max="11" width="22" style="3" bestFit="1" customWidth="1"/>
    <col min="12" max="12" width="24" style="3" bestFit="1" customWidth="1"/>
    <col min="13" max="13" width="9.83203125" style="3" bestFit="1" customWidth="1"/>
    <col min="14" max="15" width="11.75" style="3" bestFit="1" customWidth="1"/>
    <col min="16" max="16" width="12.25" style="3" bestFit="1" customWidth="1"/>
    <col min="17" max="17" width="13.58203125" style="3" bestFit="1" customWidth="1"/>
    <col min="18" max="18" width="11.25" style="3" bestFit="1" customWidth="1"/>
    <col min="19" max="19" width="13.83203125" style="3" bestFit="1" customWidth="1"/>
    <col min="20" max="21" width="11.75" style="3" bestFit="1" customWidth="1"/>
    <col min="22" max="22" width="12.25" style="3" bestFit="1" customWidth="1"/>
    <col min="23" max="16384" width="11.4140625" style="3"/>
  </cols>
  <sheetData>
    <row r="1" spans="1:12" ht="15.5" x14ac:dyDescent="0.35">
      <c r="A1" s="216" t="s">
        <v>233</v>
      </c>
    </row>
    <row r="2" spans="1:12" x14ac:dyDescent="0.25">
      <c r="A2" s="3" t="s">
        <v>234</v>
      </c>
    </row>
    <row r="5" spans="1:12" ht="13.5" thickBot="1" x14ac:dyDescent="0.35">
      <c r="D5" s="277" t="s">
        <v>205</v>
      </c>
      <c r="E5" s="277"/>
      <c r="F5" s="277"/>
      <c r="G5" s="277"/>
      <c r="H5" s="277"/>
      <c r="I5" s="277"/>
      <c r="L5" s="59">
        <v>0.59040000000000004</v>
      </c>
    </row>
    <row r="6" spans="1:12" ht="13" x14ac:dyDescent="0.3">
      <c r="B6" s="7"/>
      <c r="C6" s="9">
        <v>2024</v>
      </c>
      <c r="D6" s="276"/>
      <c r="E6" s="276"/>
      <c r="F6" s="276"/>
      <c r="G6" s="276"/>
      <c r="H6" s="9" t="s">
        <v>33</v>
      </c>
      <c r="I6" s="9" t="s">
        <v>33</v>
      </c>
      <c r="K6" s="13" t="s">
        <v>209</v>
      </c>
      <c r="L6" s="60" t="s">
        <v>124</v>
      </c>
    </row>
    <row r="7" spans="1:12" ht="13" x14ac:dyDescent="0.3">
      <c r="A7" s="61" t="s">
        <v>89</v>
      </c>
      <c r="B7" s="144" t="s">
        <v>90</v>
      </c>
      <c r="C7" s="61" t="s">
        <v>104</v>
      </c>
      <c r="D7" s="61" t="s">
        <v>207</v>
      </c>
      <c r="E7" s="61" t="s">
        <v>204</v>
      </c>
      <c r="F7" s="61" t="s">
        <v>96</v>
      </c>
      <c r="G7" s="61" t="s">
        <v>208</v>
      </c>
      <c r="H7" s="61" t="s">
        <v>206</v>
      </c>
      <c r="I7" s="61" t="s">
        <v>242</v>
      </c>
      <c r="J7" s="61" t="s">
        <v>103</v>
      </c>
      <c r="K7" s="24" t="s">
        <v>210</v>
      </c>
      <c r="L7" s="61" t="s">
        <v>145</v>
      </c>
    </row>
    <row r="8" spans="1:12" ht="13" x14ac:dyDescent="0.3">
      <c r="A8" s="9" t="s">
        <v>261</v>
      </c>
      <c r="B8" s="33" t="s">
        <v>91</v>
      </c>
      <c r="C8" s="145">
        <v>29.57</v>
      </c>
      <c r="D8" s="10">
        <v>370.62620000000004</v>
      </c>
      <c r="E8" s="219">
        <f>+D8*C8</f>
        <v>10959.416734000002</v>
      </c>
      <c r="F8" s="10">
        <v>107.5598</v>
      </c>
      <c r="G8" s="219">
        <f>+F8*C8*1.5</f>
        <v>4770.8149290000001</v>
      </c>
      <c r="H8" s="11">
        <f>+D8+F8</f>
        <v>478.18600000000004</v>
      </c>
      <c r="I8" s="50">
        <f>+E8+G8</f>
        <v>15730.231663000002</v>
      </c>
      <c r="J8" s="40">
        <f t="shared" ref="J8" si="0">+I8*0.05</f>
        <v>786.51158315000021</v>
      </c>
      <c r="K8" s="139">
        <f>SUM(I8:J8)</f>
        <v>16516.743246150003</v>
      </c>
      <c r="L8" s="40">
        <f>+I8*$L$5</f>
        <v>9287.1287738352021</v>
      </c>
    </row>
    <row r="9" spans="1:12" ht="13" x14ac:dyDescent="0.3">
      <c r="A9" s="9" t="s">
        <v>102</v>
      </c>
      <c r="B9" s="33" t="s">
        <v>92</v>
      </c>
      <c r="C9" s="145">
        <v>21.09</v>
      </c>
      <c r="D9" s="10">
        <v>333</v>
      </c>
      <c r="E9" s="219">
        <f>+D9*C9</f>
        <v>7022.97</v>
      </c>
      <c r="F9" s="10">
        <v>47.76</v>
      </c>
      <c r="G9" s="219">
        <f>+F9*C9*1.5</f>
        <v>1510.8876</v>
      </c>
      <c r="H9" s="11">
        <f>+D9+F9</f>
        <v>380.76</v>
      </c>
      <c r="I9" s="40">
        <f>+E9+G9</f>
        <v>8533.8575999999994</v>
      </c>
      <c r="J9" s="40">
        <f>+I9*0.05</f>
        <v>426.69288</v>
      </c>
      <c r="K9" s="139">
        <f>SUM(I9:J9)</f>
        <v>8960.5504799999999</v>
      </c>
      <c r="L9" s="40">
        <f>+I9*$L$5</f>
        <v>5038.3895270399998</v>
      </c>
    </row>
    <row r="10" spans="1:12" ht="13" x14ac:dyDescent="0.3">
      <c r="A10" s="9" t="s">
        <v>97</v>
      </c>
      <c r="B10" s="33" t="s">
        <v>93</v>
      </c>
      <c r="C10" s="145">
        <v>22.94</v>
      </c>
      <c r="D10" s="10">
        <v>413.03999999999996</v>
      </c>
      <c r="E10" s="219">
        <f t="shared" ref="E10:E14" si="1">+D10*C10</f>
        <v>9475.1376</v>
      </c>
      <c r="F10" s="10">
        <v>21.840000000000003</v>
      </c>
      <c r="G10" s="219">
        <f t="shared" ref="G10:G14" si="2">+F10*C10*1.5</f>
        <v>751.51440000000014</v>
      </c>
      <c r="H10" s="11">
        <f t="shared" ref="H10:H14" si="3">+D10+F10</f>
        <v>434.88</v>
      </c>
      <c r="I10" s="40">
        <f t="shared" ref="I10:I14" si="4">+E10+G10</f>
        <v>10226.652</v>
      </c>
      <c r="J10" s="40">
        <f t="shared" ref="J10:J14" si="5">+I10*0.05</f>
        <v>511.33260000000001</v>
      </c>
      <c r="K10" s="139">
        <f t="shared" ref="K10:K14" si="6">SUM(I10:J10)</f>
        <v>10737.9846</v>
      </c>
      <c r="L10" s="40">
        <f t="shared" ref="L10:L14" si="7">+I10*$L$5</f>
        <v>6037.8153408000007</v>
      </c>
    </row>
    <row r="11" spans="1:12" ht="13" x14ac:dyDescent="0.3">
      <c r="A11" s="9" t="s">
        <v>98</v>
      </c>
      <c r="B11" s="33" t="s">
        <v>94</v>
      </c>
      <c r="C11" s="145">
        <v>20</v>
      </c>
      <c r="D11" s="10">
        <v>322.08</v>
      </c>
      <c r="E11" s="219">
        <f t="shared" si="1"/>
        <v>6441.5999999999995</v>
      </c>
      <c r="F11" s="10">
        <v>43.32</v>
      </c>
      <c r="G11" s="219">
        <f t="shared" si="2"/>
        <v>1299.5999999999999</v>
      </c>
      <c r="H11" s="11">
        <f t="shared" si="3"/>
        <v>365.4</v>
      </c>
      <c r="I11" s="40">
        <f t="shared" si="4"/>
        <v>7741.1999999999989</v>
      </c>
      <c r="J11" s="40">
        <f t="shared" si="5"/>
        <v>387.05999999999995</v>
      </c>
      <c r="K11" s="139">
        <f t="shared" si="6"/>
        <v>8128.2599999999984</v>
      </c>
      <c r="L11" s="40">
        <f t="shared" si="7"/>
        <v>4570.4044799999992</v>
      </c>
    </row>
    <row r="12" spans="1:12" ht="13" x14ac:dyDescent="0.3">
      <c r="A12" s="9" t="s">
        <v>99</v>
      </c>
      <c r="B12" s="33" t="s">
        <v>94</v>
      </c>
      <c r="C12" s="145">
        <v>16.850000000000001</v>
      </c>
      <c r="D12" s="10">
        <v>368.28</v>
      </c>
      <c r="E12" s="219">
        <f t="shared" si="1"/>
        <v>6205.518</v>
      </c>
      <c r="F12" s="10">
        <v>21.6</v>
      </c>
      <c r="G12" s="219">
        <f t="shared" si="2"/>
        <v>545.94000000000005</v>
      </c>
      <c r="H12" s="11">
        <f t="shared" si="3"/>
        <v>389.88</v>
      </c>
      <c r="I12" s="40">
        <f t="shared" si="4"/>
        <v>6751.4580000000005</v>
      </c>
      <c r="J12" s="40">
        <f t="shared" si="5"/>
        <v>337.57290000000006</v>
      </c>
      <c r="K12" s="139">
        <f t="shared" si="6"/>
        <v>7089.0309000000007</v>
      </c>
      <c r="L12" s="40">
        <f t="shared" si="7"/>
        <v>3986.0608032000005</v>
      </c>
    </row>
    <row r="13" spans="1:12" ht="13" x14ac:dyDescent="0.3">
      <c r="A13" s="9" t="s">
        <v>100</v>
      </c>
      <c r="B13" s="33" t="s">
        <v>95</v>
      </c>
      <c r="C13" s="145">
        <v>19.670000000000002</v>
      </c>
      <c r="D13" s="10">
        <v>429</v>
      </c>
      <c r="E13" s="219">
        <f t="shared" si="1"/>
        <v>8438.43</v>
      </c>
      <c r="F13" s="10">
        <v>6.96</v>
      </c>
      <c r="G13" s="219">
        <f t="shared" si="2"/>
        <v>205.35480000000001</v>
      </c>
      <c r="H13" s="11">
        <f t="shared" si="3"/>
        <v>435.96</v>
      </c>
      <c r="I13" s="40">
        <f t="shared" si="4"/>
        <v>8643.7847999999994</v>
      </c>
      <c r="J13" s="40">
        <f t="shared" si="5"/>
        <v>432.18923999999998</v>
      </c>
      <c r="K13" s="139">
        <f t="shared" si="6"/>
        <v>9075.9740399999991</v>
      </c>
      <c r="L13" s="40">
        <f t="shared" si="7"/>
        <v>5103.2905459200001</v>
      </c>
    </row>
    <row r="14" spans="1:12" ht="13" x14ac:dyDescent="0.3">
      <c r="A14" s="9" t="s">
        <v>101</v>
      </c>
      <c r="B14" s="33" t="s">
        <v>94</v>
      </c>
      <c r="C14" s="145">
        <v>18.2</v>
      </c>
      <c r="D14" s="140">
        <v>371.16</v>
      </c>
      <c r="E14" s="148">
        <f t="shared" si="1"/>
        <v>6755.1120000000001</v>
      </c>
      <c r="F14" s="140">
        <v>20.76</v>
      </c>
      <c r="G14" s="148">
        <f t="shared" si="2"/>
        <v>566.74800000000005</v>
      </c>
      <c r="H14" s="141">
        <f t="shared" si="3"/>
        <v>391.92</v>
      </c>
      <c r="I14" s="148">
        <f t="shared" si="4"/>
        <v>7321.8600000000006</v>
      </c>
      <c r="J14" s="148">
        <f t="shared" si="5"/>
        <v>366.09300000000007</v>
      </c>
      <c r="K14" s="143">
        <f t="shared" si="6"/>
        <v>7687.9530000000004</v>
      </c>
      <c r="L14" s="148">
        <f t="shared" si="7"/>
        <v>4322.8261440000006</v>
      </c>
    </row>
    <row r="15" spans="1:12" ht="13.5" thickBot="1" x14ac:dyDescent="0.35">
      <c r="B15" s="33" t="s">
        <v>262</v>
      </c>
      <c r="D15" s="10">
        <f t="shared" ref="D15:L15" si="8">SUM(D8:D14)</f>
        <v>2607.1862000000001</v>
      </c>
      <c r="E15" s="219">
        <f t="shared" si="8"/>
        <v>55298.184334000005</v>
      </c>
      <c r="F15" s="10">
        <f t="shared" si="8"/>
        <v>269.7998</v>
      </c>
      <c r="G15" s="219">
        <f t="shared" si="8"/>
        <v>9650.8597289999998</v>
      </c>
      <c r="H15" s="18">
        <f t="shared" si="8"/>
        <v>2876.9860000000003</v>
      </c>
      <c r="I15" s="220">
        <f t="shared" si="8"/>
        <v>64949.044063000001</v>
      </c>
      <c r="J15" s="40">
        <f t="shared" si="8"/>
        <v>3247.452203150001</v>
      </c>
      <c r="K15" s="46">
        <f t="shared" si="8"/>
        <v>68196.496266149989</v>
      </c>
      <c r="L15" s="142">
        <f t="shared" si="8"/>
        <v>38345.915614795202</v>
      </c>
    </row>
    <row r="16" spans="1:12" ht="13.5" thickTop="1" x14ac:dyDescent="0.3">
      <c r="K16" s="23" t="s">
        <v>140</v>
      </c>
    </row>
    <row r="17" spans="2:12" ht="13" x14ac:dyDescent="0.3">
      <c r="K17" s="23" t="s">
        <v>189</v>
      </c>
      <c r="L17" s="9"/>
    </row>
    <row r="18" spans="2:12" ht="13" x14ac:dyDescent="0.3">
      <c r="K18" s="13"/>
    </row>
    <row r="20" spans="2:12" ht="13" x14ac:dyDescent="0.3">
      <c r="G20" s="272" t="s">
        <v>192</v>
      </c>
      <c r="H20" s="274"/>
      <c r="I20" s="274"/>
      <c r="J20" s="274"/>
      <c r="K20" s="273"/>
    </row>
    <row r="21" spans="2:12" x14ac:dyDescent="0.25">
      <c r="G21" s="63">
        <v>0.152348819484972</v>
      </c>
      <c r="H21" s="29">
        <v>0.27011036732790655</v>
      </c>
      <c r="I21" s="29">
        <v>9.9056871747690498E-3</v>
      </c>
      <c r="J21" s="29">
        <v>0.21367687214610187</v>
      </c>
      <c r="K21" s="64">
        <v>0.35395825386625035</v>
      </c>
    </row>
    <row r="22" spans="2:12" x14ac:dyDescent="0.25">
      <c r="G22" s="206" t="s">
        <v>3</v>
      </c>
      <c r="H22" s="61" t="s">
        <v>142</v>
      </c>
      <c r="I22" s="61" t="s">
        <v>87</v>
      </c>
      <c r="J22" s="61" t="s">
        <v>88</v>
      </c>
      <c r="K22" s="207" t="s">
        <v>6</v>
      </c>
    </row>
    <row r="23" spans="2:12" ht="14.5" x14ac:dyDescent="0.45">
      <c r="G23" s="102">
        <f>+L15*G21</f>
        <v>5841.9549759844031</v>
      </c>
      <c r="H23" s="103">
        <f>+L15*H21</f>
        <v>10357.62935223724</v>
      </c>
      <c r="I23" s="103">
        <f>+L15*I21</f>
        <v>379.84264451025308</v>
      </c>
      <c r="J23" s="103">
        <f>+L15*J21</f>
        <v>8193.6353081478064</v>
      </c>
      <c r="K23" s="104">
        <f>+L15*K21</f>
        <v>13572.853333915493</v>
      </c>
      <c r="L23" s="101">
        <f>SUM(G23:K23)</f>
        <v>38345.915614795202</v>
      </c>
    </row>
    <row r="24" spans="2:12" ht="13" x14ac:dyDescent="0.3">
      <c r="B24" s="17"/>
      <c r="G24" s="9" t="s">
        <v>20</v>
      </c>
      <c r="H24" s="23" t="s">
        <v>147</v>
      </c>
      <c r="I24" s="23" t="s">
        <v>150</v>
      </c>
      <c r="J24" s="23" t="s">
        <v>152</v>
      </c>
      <c r="K24" s="23" t="s">
        <v>156</v>
      </c>
    </row>
    <row r="25" spans="2:12" ht="13" x14ac:dyDescent="0.3">
      <c r="B25" s="17"/>
    </row>
    <row r="26" spans="2:12" ht="13" x14ac:dyDescent="0.3">
      <c r="B26" s="17"/>
      <c r="L26" s="26"/>
    </row>
  </sheetData>
  <mergeCells count="4">
    <mergeCell ref="G20:K20"/>
    <mergeCell ref="F6:G6"/>
    <mergeCell ref="D6:E6"/>
    <mergeCell ref="D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C875-A931-4DF8-A293-10D647000D9E}">
  <dimension ref="A1:M62"/>
  <sheetViews>
    <sheetView zoomScale="85" zoomScaleNormal="85" workbookViewId="0">
      <selection activeCell="C21" sqref="C21"/>
    </sheetView>
  </sheetViews>
  <sheetFormatPr defaultColWidth="9.1640625" defaultRowHeight="12.5" x14ac:dyDescent="0.25"/>
  <cols>
    <col min="1" max="1" width="44.75" style="3" customWidth="1"/>
    <col min="2" max="2" width="19" style="3" bestFit="1" customWidth="1"/>
    <col min="3" max="3" width="21.58203125" style="3" customWidth="1"/>
    <col min="4" max="4" width="19.75" style="3" bestFit="1" customWidth="1"/>
    <col min="5" max="5" width="4.1640625" style="3" customWidth="1"/>
    <col min="6" max="6" width="14.58203125" style="3" customWidth="1"/>
    <col min="7" max="7" width="5.75" style="3" customWidth="1"/>
    <col min="8" max="8" width="14.58203125" style="3" bestFit="1" customWidth="1"/>
    <col min="9" max="9" width="4.75" style="3" customWidth="1"/>
    <col min="10" max="10" width="12.58203125" style="3" bestFit="1" customWidth="1"/>
    <col min="11" max="11" width="4.75" style="3" customWidth="1"/>
    <col min="12" max="12" width="12.58203125" style="3" bestFit="1" customWidth="1"/>
    <col min="13" max="13" width="6.75" style="3" customWidth="1"/>
    <col min="14" max="14" width="9.75" style="3" bestFit="1" customWidth="1"/>
    <col min="15" max="16384" width="9.1640625" style="3"/>
  </cols>
  <sheetData>
    <row r="1" spans="1:7" ht="15.5" x14ac:dyDescent="0.35">
      <c r="A1" s="216" t="s">
        <v>1</v>
      </c>
    </row>
    <row r="2" spans="1:7" x14ac:dyDescent="0.25">
      <c r="A2" s="3" t="s">
        <v>235</v>
      </c>
    </row>
    <row r="5" spans="1:7" ht="13" x14ac:dyDescent="0.3">
      <c r="A5" s="17" t="s">
        <v>211</v>
      </c>
    </row>
    <row r="6" spans="1:7" ht="13" x14ac:dyDescent="0.3">
      <c r="B6" s="8"/>
      <c r="C6" s="151"/>
      <c r="D6" s="152">
        <v>1</v>
      </c>
      <c r="E6" s="152"/>
      <c r="F6" s="9"/>
      <c r="G6" s="9"/>
    </row>
    <row r="7" spans="1:7" ht="13" x14ac:dyDescent="0.3">
      <c r="A7" s="153" t="s">
        <v>133</v>
      </c>
      <c r="B7" s="154" t="s">
        <v>134</v>
      </c>
      <c r="C7" s="155" t="s">
        <v>105</v>
      </c>
      <c r="D7" s="106" t="s">
        <v>135</v>
      </c>
      <c r="E7" s="106"/>
      <c r="F7" s="156" t="s">
        <v>65</v>
      </c>
      <c r="G7" s="17"/>
    </row>
    <row r="8" spans="1:7" ht="13" x14ac:dyDescent="0.3">
      <c r="A8" s="157" t="s">
        <v>3</v>
      </c>
      <c r="B8" s="158">
        <v>412982</v>
      </c>
      <c r="C8" s="196">
        <f>+B8</f>
        <v>412982</v>
      </c>
      <c r="D8" s="159">
        <f>+C8/C22</f>
        <v>0.15234881948497214</v>
      </c>
      <c r="E8" s="160"/>
      <c r="F8" s="161" t="s">
        <v>3</v>
      </c>
      <c r="G8" s="161"/>
    </row>
    <row r="9" spans="1:7" ht="13" x14ac:dyDescent="0.3">
      <c r="A9" s="157" t="s">
        <v>109</v>
      </c>
      <c r="B9" s="162">
        <v>16822</v>
      </c>
      <c r="C9" s="163"/>
      <c r="D9" s="164"/>
      <c r="E9" s="165"/>
      <c r="F9" s="163"/>
      <c r="G9" s="163"/>
    </row>
    <row r="10" spans="1:7" ht="13" x14ac:dyDescent="0.3">
      <c r="A10" s="157" t="s">
        <v>110</v>
      </c>
      <c r="B10" s="162">
        <v>34202</v>
      </c>
      <c r="C10" s="163"/>
      <c r="D10" s="164"/>
      <c r="E10" s="165"/>
      <c r="F10" s="163"/>
      <c r="G10" s="163"/>
    </row>
    <row r="11" spans="1:7" ht="13" x14ac:dyDescent="0.3">
      <c r="A11" s="157" t="s">
        <v>111</v>
      </c>
      <c r="B11" s="162">
        <v>139912</v>
      </c>
      <c r="C11" s="163"/>
      <c r="D11" s="164"/>
      <c r="E11" s="165"/>
      <c r="F11" s="163"/>
      <c r="G11" s="163"/>
    </row>
    <row r="12" spans="1:7" ht="13" x14ac:dyDescent="0.3">
      <c r="A12" s="157" t="s">
        <v>112</v>
      </c>
      <c r="B12" s="162">
        <v>340969</v>
      </c>
      <c r="C12" s="163"/>
      <c r="D12" s="164"/>
      <c r="E12" s="165"/>
      <c r="F12" s="163"/>
      <c r="G12" s="163"/>
    </row>
    <row r="13" spans="1:7" ht="13" x14ac:dyDescent="0.3">
      <c r="A13" s="157" t="s">
        <v>113</v>
      </c>
      <c r="B13" s="162">
        <v>200301</v>
      </c>
      <c r="C13" s="166">
        <f>SUM(B9:B13)</f>
        <v>732206</v>
      </c>
      <c r="D13" s="167">
        <f>+C13/C22</f>
        <v>0.27011036732790655</v>
      </c>
      <c r="E13" s="160"/>
      <c r="F13" s="163" t="s">
        <v>141</v>
      </c>
      <c r="G13" s="163"/>
    </row>
    <row r="14" spans="1:7" ht="13" x14ac:dyDescent="0.3">
      <c r="A14" s="157" t="s">
        <v>106</v>
      </c>
      <c r="B14" s="168">
        <v>26852</v>
      </c>
      <c r="C14" s="166">
        <f>+B14</f>
        <v>26852</v>
      </c>
      <c r="D14" s="169">
        <f>+C14/C22</f>
        <v>9.9056871747690498E-3</v>
      </c>
      <c r="E14" s="160"/>
      <c r="F14" s="163" t="s">
        <v>114</v>
      </c>
      <c r="G14" s="163"/>
    </row>
    <row r="15" spans="1:7" ht="13" x14ac:dyDescent="0.3">
      <c r="A15" s="157" t="s">
        <v>115</v>
      </c>
      <c r="B15" s="168">
        <v>504091</v>
      </c>
      <c r="C15" s="163"/>
      <c r="D15" s="164"/>
      <c r="E15" s="165"/>
      <c r="F15" s="163"/>
      <c r="G15" s="163"/>
    </row>
    <row r="16" spans="1:7" ht="13" x14ac:dyDescent="0.3">
      <c r="A16" s="157" t="s">
        <v>116</v>
      </c>
      <c r="B16" s="162">
        <v>32553</v>
      </c>
      <c r="C16" s="163"/>
      <c r="D16" s="164"/>
      <c r="E16" s="165"/>
      <c r="F16" s="163"/>
      <c r="G16" s="163"/>
    </row>
    <row r="17" spans="1:11" ht="13" x14ac:dyDescent="0.3">
      <c r="A17" s="157" t="s">
        <v>117</v>
      </c>
      <c r="B17" s="162">
        <v>10375</v>
      </c>
      <c r="C17" s="163"/>
      <c r="D17" s="164"/>
      <c r="E17" s="165"/>
      <c r="F17" s="163"/>
      <c r="G17" s="163"/>
    </row>
    <row r="18" spans="1:11" ht="13" x14ac:dyDescent="0.3">
      <c r="A18" s="157" t="s">
        <v>118</v>
      </c>
      <c r="B18" s="162">
        <v>22821</v>
      </c>
      <c r="C18" s="163"/>
      <c r="D18" s="164"/>
      <c r="E18" s="165"/>
      <c r="F18" s="163"/>
      <c r="G18" s="163"/>
    </row>
    <row r="19" spans="1:11" ht="13" x14ac:dyDescent="0.3">
      <c r="A19" s="157" t="s">
        <v>119</v>
      </c>
      <c r="B19" s="162">
        <v>9388</v>
      </c>
      <c r="C19" s="166">
        <f>SUM(B15:B19)</f>
        <v>579228</v>
      </c>
      <c r="D19" s="170">
        <f>+C19/C22</f>
        <v>0.21367687214610187</v>
      </c>
      <c r="E19" s="160"/>
      <c r="F19" s="163" t="s">
        <v>120</v>
      </c>
      <c r="G19" s="163"/>
    </row>
    <row r="20" spans="1:11" ht="13" x14ac:dyDescent="0.3">
      <c r="A20" s="157" t="s">
        <v>121</v>
      </c>
      <c r="B20" s="168">
        <v>294535</v>
      </c>
      <c r="C20" s="163"/>
      <c r="D20" s="164"/>
      <c r="E20" s="165"/>
      <c r="F20" s="163"/>
      <c r="G20" s="163"/>
    </row>
    <row r="21" spans="1:11" ht="13" x14ac:dyDescent="0.3">
      <c r="A21" s="157" t="s">
        <v>122</v>
      </c>
      <c r="B21" s="162">
        <v>664963</v>
      </c>
      <c r="C21" s="166">
        <f>SUM(B20:B21)</f>
        <v>959498</v>
      </c>
      <c r="D21" s="170">
        <f>+C21/C22</f>
        <v>0.35395825386625035</v>
      </c>
      <c r="E21" s="160"/>
      <c r="F21" s="163" t="s">
        <v>6</v>
      </c>
      <c r="G21" s="163"/>
    </row>
    <row r="22" spans="1:11" ht="13" thickBot="1" x14ac:dyDescent="0.3">
      <c r="A22" s="3" t="s">
        <v>107</v>
      </c>
      <c r="B22" s="171">
        <f>SUM(B8:B21)</f>
        <v>2710766</v>
      </c>
      <c r="C22" s="197">
        <f>SUM(C8:C21)</f>
        <v>2710766</v>
      </c>
      <c r="D22" s="172">
        <f>SUM(D8:D21)</f>
        <v>0.99999999999999989</v>
      </c>
      <c r="E22" s="172"/>
      <c r="H22" s="173"/>
      <c r="I22" s="173"/>
      <c r="J22" s="161"/>
      <c r="K22" s="161"/>
    </row>
    <row r="23" spans="1:11" ht="13" thickTop="1" x14ac:dyDescent="0.25">
      <c r="B23" s="174"/>
      <c r="C23" s="161"/>
      <c r="D23" s="172"/>
      <c r="E23" s="172"/>
      <c r="H23" s="173"/>
      <c r="I23" s="173"/>
      <c r="J23" s="161"/>
      <c r="K23" s="161"/>
    </row>
    <row r="24" spans="1:11" x14ac:dyDescent="0.25">
      <c r="A24" s="3" t="s">
        <v>108</v>
      </c>
      <c r="B24" s="161">
        <v>4591313</v>
      </c>
      <c r="C24" s="161">
        <v>4591313</v>
      </c>
    </row>
    <row r="25" spans="1:11" x14ac:dyDescent="0.25">
      <c r="A25" s="3" t="s">
        <v>212</v>
      </c>
      <c r="B25" s="173">
        <f>+B22/B24</f>
        <v>0.59041193662902092</v>
      </c>
      <c r="C25" s="173">
        <f>+C22/C24</f>
        <v>0.59041193662902092</v>
      </c>
      <c r="J25" s="173"/>
      <c r="K25" s="173"/>
    </row>
    <row r="26" spans="1:11" x14ac:dyDescent="0.25">
      <c r="J26" s="161"/>
      <c r="K26" s="161"/>
    </row>
    <row r="27" spans="1:11" x14ac:dyDescent="0.25">
      <c r="J27" s="161"/>
      <c r="K27" s="161"/>
    </row>
    <row r="28" spans="1:11" ht="13" x14ac:dyDescent="0.3">
      <c r="A28" s="17" t="s">
        <v>213</v>
      </c>
      <c r="J28" s="161"/>
      <c r="K28" s="161"/>
    </row>
    <row r="29" spans="1:11" ht="13" x14ac:dyDescent="0.3">
      <c r="A29" s="17"/>
      <c r="J29" s="161"/>
      <c r="K29" s="161"/>
    </row>
    <row r="30" spans="1:11" x14ac:dyDescent="0.25">
      <c r="A30" s="33" t="s">
        <v>3</v>
      </c>
      <c r="B30" s="42">
        <f>+D43</f>
        <v>151970.53736619095</v>
      </c>
      <c r="J30" s="161"/>
      <c r="K30" s="161"/>
    </row>
    <row r="31" spans="1:11" x14ac:dyDescent="0.25">
      <c r="A31" s="33" t="s">
        <v>144</v>
      </c>
      <c r="B31" s="40">
        <f>+F43</f>
        <v>269439.68328583136</v>
      </c>
      <c r="J31" s="161"/>
      <c r="K31" s="161"/>
    </row>
    <row r="32" spans="1:11" x14ac:dyDescent="0.25">
      <c r="A32" s="33" t="s">
        <v>114</v>
      </c>
      <c r="B32" s="40">
        <f>+H43</f>
        <v>9881.091353514099</v>
      </c>
      <c r="J32" s="161"/>
      <c r="K32" s="161"/>
    </row>
    <row r="33" spans="1:13" x14ac:dyDescent="0.25">
      <c r="A33" s="33" t="s">
        <v>88</v>
      </c>
      <c r="B33" s="40">
        <f>+J43</f>
        <v>213146.31247256309</v>
      </c>
      <c r="J33" s="161"/>
      <c r="K33" s="161"/>
    </row>
    <row r="34" spans="1:13" x14ac:dyDescent="0.25">
      <c r="A34" s="33" t="s">
        <v>6</v>
      </c>
      <c r="B34" s="40">
        <f>+L43</f>
        <v>353079.37552190042</v>
      </c>
      <c r="J34" s="161"/>
      <c r="K34" s="161"/>
    </row>
    <row r="35" spans="1:13" ht="13.5" thickBot="1" x14ac:dyDescent="0.35">
      <c r="A35" s="175" t="s">
        <v>214</v>
      </c>
      <c r="B35" s="198">
        <f>SUM(B30:B34)</f>
        <v>997517</v>
      </c>
      <c r="J35" s="161"/>
      <c r="K35" s="161"/>
    </row>
    <row r="36" spans="1:13" ht="13" thickTop="1" x14ac:dyDescent="0.25">
      <c r="J36" s="161"/>
      <c r="K36" s="161"/>
    </row>
    <row r="37" spans="1:13" ht="13.5" thickBot="1" x14ac:dyDescent="0.35">
      <c r="B37" s="13"/>
      <c r="C37" s="176"/>
      <c r="D37" s="177">
        <f>+D8</f>
        <v>0.15234881948497214</v>
      </c>
      <c r="E37" s="165"/>
      <c r="F37" s="178">
        <f>+D13</f>
        <v>0.27011036732790655</v>
      </c>
      <c r="G37" s="178"/>
      <c r="H37" s="178">
        <f>+D14</f>
        <v>9.9056871747690498E-3</v>
      </c>
      <c r="I37" s="178"/>
      <c r="J37" s="178">
        <f>+D19</f>
        <v>0.21367687214610187</v>
      </c>
      <c r="K37" s="178"/>
      <c r="L37" s="178">
        <f>+D21</f>
        <v>0.35395825386625035</v>
      </c>
      <c r="M37" s="179"/>
    </row>
    <row r="38" spans="1:13" ht="13.5" thickBot="1" x14ac:dyDescent="0.35">
      <c r="A38" s="180" t="s">
        <v>123</v>
      </c>
      <c r="B38" s="181" t="s">
        <v>124</v>
      </c>
      <c r="C38" s="182" t="s">
        <v>136</v>
      </c>
      <c r="D38" s="183" t="s">
        <v>3</v>
      </c>
      <c r="E38" s="184"/>
      <c r="F38" s="14" t="s">
        <v>142</v>
      </c>
      <c r="G38" s="14" t="s">
        <v>217</v>
      </c>
      <c r="H38" s="14" t="s">
        <v>5</v>
      </c>
      <c r="I38" s="14" t="s">
        <v>217</v>
      </c>
      <c r="J38" s="14" t="s">
        <v>88</v>
      </c>
      <c r="K38" s="14" t="s">
        <v>217</v>
      </c>
      <c r="L38" s="14" t="s">
        <v>6</v>
      </c>
      <c r="M38" s="14" t="s">
        <v>217</v>
      </c>
    </row>
    <row r="39" spans="1:13" x14ac:dyDescent="0.25">
      <c r="A39" s="185" t="s">
        <v>125</v>
      </c>
      <c r="B39" s="186" t="s">
        <v>126</v>
      </c>
      <c r="C39" s="187">
        <v>225708</v>
      </c>
      <c r="D39" s="40">
        <f>+C39*$D$37</f>
        <v>34386.347348314092</v>
      </c>
      <c r="E39" s="50"/>
      <c r="F39" s="40">
        <f>+C39*$F$37</f>
        <v>60966.07078884713</v>
      </c>
      <c r="G39" s="40"/>
      <c r="H39" s="40">
        <f>+C39*$H$37</f>
        <v>2235.7928408427729</v>
      </c>
      <c r="I39" s="40"/>
      <c r="J39" s="40">
        <f>+C39*$J$37</f>
        <v>48228.57945835236</v>
      </c>
      <c r="K39" s="40"/>
      <c r="L39" s="40">
        <f>+C39*$L$37</f>
        <v>79891.209563643628</v>
      </c>
    </row>
    <row r="40" spans="1:13" x14ac:dyDescent="0.25">
      <c r="A40" s="31" t="s">
        <v>127</v>
      </c>
      <c r="B40" s="186" t="s">
        <v>128</v>
      </c>
      <c r="C40" s="187">
        <v>199015</v>
      </c>
      <c r="D40" s="40">
        <f>+C40*$D$37</f>
        <v>30319.70030980173</v>
      </c>
      <c r="E40" s="50"/>
      <c r="F40" s="40">
        <f>+C40*$F$37</f>
        <v>53756.014753763324</v>
      </c>
      <c r="G40" s="40"/>
      <c r="H40" s="40">
        <f>+C40*$H$37</f>
        <v>1971.3803330866624</v>
      </c>
      <c r="I40" s="40"/>
      <c r="J40" s="40">
        <f t="shared" ref="J40:J42" si="0">+C40*$J$37</f>
        <v>42524.902710156464</v>
      </c>
      <c r="K40" s="40"/>
      <c r="L40" s="40">
        <f t="shared" ref="L40:L42" si="1">+C40*$L$37</f>
        <v>70443.001893191817</v>
      </c>
    </row>
    <row r="41" spans="1:13" x14ac:dyDescent="0.25">
      <c r="A41" s="31" t="s">
        <v>129</v>
      </c>
      <c r="B41" s="186" t="s">
        <v>130</v>
      </c>
      <c r="C41" s="187">
        <v>298919</v>
      </c>
      <c r="D41" s="40">
        <f>+C41*$D$37</f>
        <v>45539.956771628385</v>
      </c>
      <c r="E41" s="50"/>
      <c r="F41" s="40">
        <f>+C41*$F$37</f>
        <v>80741.120891290499</v>
      </c>
      <c r="G41" s="40"/>
      <c r="H41" s="40">
        <f>+C41*$H$37</f>
        <v>2960.9981045947898</v>
      </c>
      <c r="I41" s="40"/>
      <c r="J41" s="40">
        <f t="shared" si="0"/>
        <v>63872.076945040622</v>
      </c>
      <c r="K41" s="40"/>
      <c r="L41" s="40">
        <f t="shared" si="1"/>
        <v>105804.84728744569</v>
      </c>
    </row>
    <row r="42" spans="1:13" ht="13" thickBot="1" x14ac:dyDescent="0.3">
      <c r="A42" s="188" t="s">
        <v>131</v>
      </c>
      <c r="B42" s="189" t="s">
        <v>132</v>
      </c>
      <c r="C42" s="190">
        <v>273875</v>
      </c>
      <c r="D42" s="201">
        <f>+C42*$D$37</f>
        <v>41724.532936446747</v>
      </c>
      <c r="E42" s="50"/>
      <c r="F42" s="148">
        <f>+C42*$F$37</f>
        <v>73976.476851930405</v>
      </c>
      <c r="G42" s="148"/>
      <c r="H42" s="148">
        <f>+C42*$H$37</f>
        <v>2712.9200749898737</v>
      </c>
      <c r="I42" s="148"/>
      <c r="J42" s="148">
        <f t="shared" si="0"/>
        <v>58520.753359013652</v>
      </c>
      <c r="K42" s="148"/>
      <c r="L42" s="148">
        <f t="shared" si="1"/>
        <v>96940.316777619315</v>
      </c>
    </row>
    <row r="43" spans="1:13" ht="13" x14ac:dyDescent="0.3">
      <c r="A43" s="199"/>
      <c r="B43" s="3" t="s">
        <v>223</v>
      </c>
      <c r="C43" s="142">
        <f t="shared" ref="C43:L43" si="2">SUM(C39:C42)</f>
        <v>997517</v>
      </c>
      <c r="D43" s="191">
        <f t="shared" si="2"/>
        <v>151970.53736619095</v>
      </c>
      <c r="E43" s="200" t="s">
        <v>158</v>
      </c>
      <c r="F43" s="142">
        <f t="shared" si="2"/>
        <v>269439.68328583136</v>
      </c>
      <c r="G43" s="142"/>
      <c r="H43" s="142">
        <f t="shared" si="2"/>
        <v>9881.091353514099</v>
      </c>
      <c r="I43" s="142"/>
      <c r="J43" s="142">
        <f t="shared" si="2"/>
        <v>213146.31247256309</v>
      </c>
      <c r="K43" s="142"/>
      <c r="L43" s="142">
        <f t="shared" si="2"/>
        <v>353079.37552190042</v>
      </c>
      <c r="M43" s="26"/>
    </row>
    <row r="44" spans="1:13" ht="13" x14ac:dyDescent="0.3">
      <c r="B44" s="57"/>
      <c r="C44" s="142"/>
      <c r="D44" s="192"/>
      <c r="E44" s="192"/>
      <c r="F44" s="192"/>
      <c r="G44" s="192"/>
      <c r="H44" s="192"/>
      <c r="I44" s="192"/>
      <c r="J44" s="192"/>
      <c r="K44" s="192"/>
      <c r="L44" s="192"/>
    </row>
    <row r="45" spans="1:13" ht="13" x14ac:dyDescent="0.3">
      <c r="A45" s="17"/>
      <c r="B45" s="33" t="s">
        <v>216</v>
      </c>
      <c r="C45" s="13"/>
      <c r="D45" s="191">
        <f>-D43</f>
        <v>-151970.53736619095</v>
      </c>
      <c r="E45" s="200" t="s">
        <v>158</v>
      </c>
    </row>
    <row r="46" spans="1:13" ht="13" x14ac:dyDescent="0.3">
      <c r="A46" s="17"/>
      <c r="B46" s="57"/>
      <c r="C46" s="13"/>
      <c r="D46" s="192"/>
      <c r="E46" s="192"/>
    </row>
    <row r="47" spans="1:13" ht="13" x14ac:dyDescent="0.3">
      <c r="A47" s="17"/>
      <c r="B47" s="33" t="s">
        <v>75</v>
      </c>
      <c r="F47" s="50">
        <f>+CSR!H23</f>
        <v>10357.62935223724</v>
      </c>
      <c r="G47" s="193" t="s">
        <v>143</v>
      </c>
      <c r="H47" s="40">
        <f>+'New Employees '!I65</f>
        <v>1024.6489813036176</v>
      </c>
      <c r="I47" s="50" t="s">
        <v>149</v>
      </c>
      <c r="J47" s="40">
        <f>+'New Employees '!J65</f>
        <v>22102.83703793132</v>
      </c>
      <c r="K47" s="16" t="s">
        <v>151</v>
      </c>
      <c r="L47" s="40">
        <f>+'New Employees '!K65</f>
        <v>36613.609722287292</v>
      </c>
      <c r="M47" s="16" t="s">
        <v>153</v>
      </c>
    </row>
    <row r="48" spans="1:13" s="194" customFormat="1" ht="13" x14ac:dyDescent="0.3">
      <c r="B48" s="33" t="s">
        <v>215</v>
      </c>
      <c r="F48" s="148">
        <f>+'New Employees '!H65</f>
        <v>27940.344555504111</v>
      </c>
      <c r="G48" s="8" t="s">
        <v>147</v>
      </c>
      <c r="H48" s="148">
        <f>+CSR!I23</f>
        <v>379.84264451025308</v>
      </c>
      <c r="I48" s="148" t="s">
        <v>150</v>
      </c>
      <c r="J48" s="148">
        <f>+CSR!J23</f>
        <v>8193.6353081478064</v>
      </c>
      <c r="K48" s="140" t="s">
        <v>152</v>
      </c>
      <c r="L48" s="148">
        <f>+CSR!K23</f>
        <v>13572.853333915493</v>
      </c>
      <c r="M48" s="16" t="s">
        <v>156</v>
      </c>
    </row>
    <row r="49" spans="2:12" ht="13" x14ac:dyDescent="0.3">
      <c r="B49" s="175" t="s">
        <v>218</v>
      </c>
      <c r="C49" s="17"/>
      <c r="D49" s="17"/>
      <c r="E49" s="57"/>
      <c r="F49" s="58">
        <f>SUM(F47:F48)</f>
        <v>38297.973907741354</v>
      </c>
      <c r="G49" s="58"/>
      <c r="H49" s="58">
        <f>SUM(H47:H48)</f>
        <v>1404.4916258138705</v>
      </c>
      <c r="I49" s="30"/>
      <c r="J49" s="58">
        <f>SUM(J47:J48)</f>
        <v>30296.472346079128</v>
      </c>
      <c r="K49" s="58"/>
      <c r="L49" s="58">
        <f>SUM(L47:L48)</f>
        <v>50186.463056202789</v>
      </c>
    </row>
    <row r="50" spans="2:12" x14ac:dyDescent="0.25">
      <c r="B50" s="33"/>
      <c r="F50" s="195"/>
      <c r="G50" s="195"/>
      <c r="H50" s="195"/>
      <c r="I50" s="15"/>
      <c r="J50" s="15"/>
      <c r="K50" s="15"/>
      <c r="L50" s="15"/>
    </row>
    <row r="51" spans="2:12" ht="15" thickBot="1" x14ac:dyDescent="0.5">
      <c r="B51" s="175" t="s">
        <v>219</v>
      </c>
      <c r="C51" s="17"/>
      <c r="D51" s="202">
        <f>SUM(D43:D50)</f>
        <v>0</v>
      </c>
      <c r="E51" s="203"/>
      <c r="F51" s="198">
        <f>+F43+F49</f>
        <v>307737.65719357273</v>
      </c>
      <c r="G51" s="198"/>
      <c r="H51" s="198">
        <f>+H43+H49</f>
        <v>11285.58297932797</v>
      </c>
      <c r="I51" s="204"/>
      <c r="J51" s="198">
        <f>+J43+J49</f>
        <v>243442.78481864222</v>
      </c>
      <c r="K51" s="198"/>
      <c r="L51" s="198">
        <f>+L43+L49</f>
        <v>403265.83857810323</v>
      </c>
    </row>
    <row r="52" spans="2:12" ht="13" thickTop="1" x14ac:dyDescent="0.25">
      <c r="B52" s="33"/>
    </row>
    <row r="54" spans="2:12" x14ac:dyDescent="0.25">
      <c r="B54" s="205" t="s">
        <v>220</v>
      </c>
    </row>
    <row r="55" spans="2:12" x14ac:dyDescent="0.25">
      <c r="B55" s="33" t="s">
        <v>221</v>
      </c>
      <c r="D55" s="40">
        <f>+D43</f>
        <v>151970.53736619095</v>
      </c>
    </row>
    <row r="56" spans="2:12" x14ac:dyDescent="0.25">
      <c r="B56" s="33" t="s">
        <v>75</v>
      </c>
      <c r="D56" s="40">
        <f>+'New Employees '!G65</f>
        <v>15759.034172379361</v>
      </c>
    </row>
    <row r="57" spans="2:12" ht="14" x14ac:dyDescent="0.4">
      <c r="B57" s="33" t="s">
        <v>148</v>
      </c>
      <c r="D57" s="217">
        <f>+CSR!G23</f>
        <v>5841.9549759844031</v>
      </c>
    </row>
    <row r="58" spans="2:12" x14ac:dyDescent="0.25">
      <c r="B58" s="33" t="s">
        <v>105</v>
      </c>
      <c r="D58" s="40">
        <f>SUM(D55:D57)</f>
        <v>173571.52651455472</v>
      </c>
      <c r="E58" s="3" t="s">
        <v>146</v>
      </c>
    </row>
    <row r="59" spans="2:12" x14ac:dyDescent="0.25">
      <c r="B59" s="33"/>
    </row>
    <row r="60" spans="2:12" x14ac:dyDescent="0.25">
      <c r="B60" s="33" t="s">
        <v>193</v>
      </c>
      <c r="D60" s="218">
        <v>2295</v>
      </c>
    </row>
    <row r="61" spans="2:12" x14ac:dyDescent="0.25">
      <c r="B61" s="33"/>
    </row>
    <row r="62" spans="2:12" ht="14.5" x14ac:dyDescent="0.45">
      <c r="B62" s="175" t="s">
        <v>222</v>
      </c>
      <c r="D62" s="101">
        <f>+D58+D60</f>
        <v>175866.52651455472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3C49-E4AA-4E33-BEFF-826B4CF297DF}">
  <dimension ref="A1:I1695"/>
  <sheetViews>
    <sheetView topLeftCell="A6" workbookViewId="0">
      <selection activeCell="B37" sqref="B37"/>
    </sheetView>
  </sheetViews>
  <sheetFormatPr defaultRowHeight="14" x14ac:dyDescent="0.3"/>
  <cols>
    <col min="1" max="1" width="49.58203125" customWidth="1"/>
    <col min="2" max="4" width="14.58203125" style="32" customWidth="1"/>
    <col min="5" max="5" width="15.4140625" customWidth="1"/>
    <col min="6" max="6" width="42.1640625" style="9" customWidth="1"/>
    <col min="8" max="8" width="15.4140625" customWidth="1"/>
    <col min="9" max="9" width="14.25" customWidth="1"/>
    <col min="10" max="10" width="13.1640625" customWidth="1"/>
  </cols>
  <sheetData>
    <row r="1" spans="1:9" ht="15.5" x14ac:dyDescent="0.35">
      <c r="A1" s="216" t="s">
        <v>236</v>
      </c>
    </row>
    <row r="4" spans="1:9" x14ac:dyDescent="0.3">
      <c r="A4" s="227" t="s">
        <v>161</v>
      </c>
      <c r="B4" s="228" t="s">
        <v>166</v>
      </c>
      <c r="C4" s="228" t="s">
        <v>167</v>
      </c>
      <c r="D4" s="228" t="s">
        <v>168</v>
      </c>
      <c r="E4" s="229" t="s">
        <v>33</v>
      </c>
      <c r="F4" s="230" t="s">
        <v>71</v>
      </c>
    </row>
    <row r="5" spans="1:9" x14ac:dyDescent="0.3">
      <c r="A5" s="231" t="s">
        <v>246</v>
      </c>
      <c r="B5" s="225"/>
      <c r="C5" s="225"/>
      <c r="D5" s="225"/>
      <c r="E5" s="225"/>
      <c r="F5" s="250"/>
    </row>
    <row r="6" spans="1:9" x14ac:dyDescent="0.3">
      <c r="A6" s="232" t="s">
        <v>163</v>
      </c>
      <c r="B6" s="226">
        <v>38866</v>
      </c>
      <c r="C6" s="226">
        <v>37698</v>
      </c>
      <c r="D6" s="226">
        <v>36486</v>
      </c>
      <c r="E6" s="245">
        <f>SUM(B6:D6)</f>
        <v>113050</v>
      </c>
      <c r="F6" s="250"/>
      <c r="H6" s="34"/>
      <c r="I6" s="2"/>
    </row>
    <row r="7" spans="1:9" x14ac:dyDescent="0.3">
      <c r="A7" s="232" t="s">
        <v>247</v>
      </c>
      <c r="B7" s="237">
        <v>15918</v>
      </c>
      <c r="C7" s="237">
        <v>11592</v>
      </c>
      <c r="D7" s="237">
        <v>7389</v>
      </c>
      <c r="E7" s="238">
        <f t="shared" ref="E7:E13" si="0">SUM(B7:D7)</f>
        <v>34899</v>
      </c>
      <c r="F7" s="250"/>
      <c r="I7" s="2"/>
    </row>
    <row r="8" spans="1:9" x14ac:dyDescent="0.3">
      <c r="A8" s="232" t="s">
        <v>248</v>
      </c>
      <c r="B8" s="237">
        <v>35756</v>
      </c>
      <c r="C8" s="237">
        <v>31219</v>
      </c>
      <c r="D8" s="237">
        <v>25694</v>
      </c>
      <c r="E8" s="238">
        <f t="shared" si="0"/>
        <v>92669</v>
      </c>
      <c r="F8" s="250"/>
      <c r="I8" s="2"/>
    </row>
    <row r="9" spans="1:9" x14ac:dyDescent="0.3">
      <c r="A9" s="233" t="s">
        <v>165</v>
      </c>
      <c r="B9" s="237">
        <v>52508</v>
      </c>
      <c r="C9" s="237">
        <v>50054</v>
      </c>
      <c r="D9" s="237">
        <v>47525</v>
      </c>
      <c r="E9" s="238">
        <f t="shared" si="0"/>
        <v>150087</v>
      </c>
      <c r="F9" s="250"/>
      <c r="I9" s="2"/>
    </row>
    <row r="10" spans="1:9" x14ac:dyDescent="0.3">
      <c r="A10" s="232" t="s">
        <v>249</v>
      </c>
      <c r="B10" s="237">
        <v>39706</v>
      </c>
      <c r="C10" s="237">
        <v>32481</v>
      </c>
      <c r="D10" s="237">
        <v>27275</v>
      </c>
      <c r="E10" s="238">
        <f t="shared" si="0"/>
        <v>99462</v>
      </c>
      <c r="F10" s="250"/>
      <c r="H10" s="34"/>
      <c r="I10" s="2"/>
    </row>
    <row r="11" spans="1:9" x14ac:dyDescent="0.3">
      <c r="A11" s="232" t="s">
        <v>250</v>
      </c>
      <c r="B11" s="237">
        <v>109038</v>
      </c>
      <c r="C11" s="237">
        <v>0</v>
      </c>
      <c r="D11" s="237">
        <v>0</v>
      </c>
      <c r="E11" s="238">
        <f t="shared" si="0"/>
        <v>109038</v>
      </c>
      <c r="F11" s="250"/>
      <c r="I11" s="2"/>
    </row>
    <row r="12" spans="1:9" x14ac:dyDescent="0.3">
      <c r="A12" s="232" t="s">
        <v>251</v>
      </c>
      <c r="B12" s="237">
        <v>0</v>
      </c>
      <c r="C12" s="237">
        <v>189402</v>
      </c>
      <c r="D12" s="237">
        <v>0</v>
      </c>
      <c r="E12" s="238">
        <f t="shared" si="0"/>
        <v>189402</v>
      </c>
      <c r="F12" s="250"/>
      <c r="I12" s="2"/>
    </row>
    <row r="13" spans="1:9" x14ac:dyDescent="0.3">
      <c r="A13" s="232" t="s">
        <v>253</v>
      </c>
      <c r="B13" s="237">
        <v>0</v>
      </c>
      <c r="C13" s="237">
        <v>0</v>
      </c>
      <c r="D13" s="237">
        <v>189402</v>
      </c>
      <c r="E13" s="238">
        <f t="shared" si="0"/>
        <v>189402</v>
      </c>
      <c r="F13" s="250" t="s">
        <v>254</v>
      </c>
      <c r="I13" s="2"/>
    </row>
    <row r="14" spans="1:9" x14ac:dyDescent="0.3">
      <c r="A14" s="247" t="s">
        <v>162</v>
      </c>
      <c r="B14" s="239">
        <f>SUM(B6:B13)</f>
        <v>291792</v>
      </c>
      <c r="C14" s="239">
        <f>SUM(C6:C13)</f>
        <v>352446</v>
      </c>
      <c r="D14" s="239">
        <f>SUM(D6:D13)</f>
        <v>333771</v>
      </c>
      <c r="E14" s="240">
        <f>SUM(E6:E13)</f>
        <v>978009</v>
      </c>
      <c r="F14" s="251"/>
      <c r="H14" s="2"/>
      <c r="I14" s="2"/>
    </row>
    <row r="15" spans="1:9" x14ac:dyDescent="0.3">
      <c r="A15" s="234"/>
      <c r="B15" s="241"/>
      <c r="C15" s="241"/>
      <c r="D15" s="241"/>
      <c r="E15" s="242"/>
      <c r="F15" s="250"/>
    </row>
    <row r="16" spans="1:9" x14ac:dyDescent="0.3">
      <c r="A16" s="231" t="s">
        <v>245</v>
      </c>
      <c r="B16" s="243"/>
      <c r="C16" s="243"/>
      <c r="D16" s="243"/>
      <c r="E16" s="243"/>
      <c r="F16" s="250"/>
    </row>
    <row r="17" spans="1:9" x14ac:dyDescent="0.3">
      <c r="A17" s="233" t="s">
        <v>164</v>
      </c>
      <c r="B17" s="162">
        <v>27000</v>
      </c>
      <c r="C17" s="162">
        <v>28000</v>
      </c>
      <c r="D17" s="162">
        <v>29000</v>
      </c>
      <c r="E17" s="238">
        <f>SUM(B17:D17)</f>
        <v>84000</v>
      </c>
      <c r="F17" s="250"/>
      <c r="I17" s="2"/>
    </row>
    <row r="18" spans="1:9" x14ac:dyDescent="0.3">
      <c r="A18" s="233" t="s">
        <v>258</v>
      </c>
      <c r="B18" s="162">
        <v>144800</v>
      </c>
      <c r="C18" s="162">
        <v>144800</v>
      </c>
      <c r="D18" s="162">
        <v>130787</v>
      </c>
      <c r="E18" s="238">
        <f>SUM(B18:D18)</f>
        <v>420387</v>
      </c>
      <c r="F18" s="250"/>
      <c r="I18" s="2"/>
    </row>
    <row r="19" spans="1:9" x14ac:dyDescent="0.3">
      <c r="A19" s="233" t="s">
        <v>259</v>
      </c>
      <c r="B19" s="162">
        <v>165000</v>
      </c>
      <c r="C19" s="162">
        <v>165000</v>
      </c>
      <c r="D19" s="162">
        <v>175000</v>
      </c>
      <c r="E19" s="238">
        <f>SUM(B19:D19)</f>
        <v>505000</v>
      </c>
      <c r="F19" s="250"/>
      <c r="I19" s="2"/>
    </row>
    <row r="20" spans="1:9" x14ac:dyDescent="0.3">
      <c r="A20" s="233" t="s">
        <v>165</v>
      </c>
      <c r="B20" s="162">
        <v>81200</v>
      </c>
      <c r="C20" s="162">
        <v>83655</v>
      </c>
      <c r="D20" s="162">
        <v>86183</v>
      </c>
      <c r="E20" s="238">
        <f t="shared" ref="E20" si="1">SUM(B20:D20)</f>
        <v>251038</v>
      </c>
      <c r="F20" s="250"/>
      <c r="I20" s="2"/>
    </row>
    <row r="21" spans="1:9" x14ac:dyDescent="0.3">
      <c r="A21" s="233" t="s">
        <v>260</v>
      </c>
      <c r="B21" s="162">
        <v>160000</v>
      </c>
      <c r="C21" s="162">
        <v>180000</v>
      </c>
      <c r="D21" s="162">
        <v>65000</v>
      </c>
      <c r="E21" s="238">
        <f>SUM(B21:D21)</f>
        <v>405000</v>
      </c>
      <c r="F21" s="250"/>
      <c r="I21" s="2"/>
    </row>
    <row r="22" spans="1:9" x14ac:dyDescent="0.3">
      <c r="A22" s="232" t="s">
        <v>250</v>
      </c>
      <c r="B22" s="162">
        <v>0</v>
      </c>
      <c r="C22" s="162">
        <v>0</v>
      </c>
      <c r="D22" s="162">
        <v>0</v>
      </c>
      <c r="E22" s="238">
        <f>SUM(B22:D22)</f>
        <v>0</v>
      </c>
      <c r="F22" s="250"/>
    </row>
    <row r="23" spans="1:9" x14ac:dyDescent="0.3">
      <c r="A23" s="232" t="s">
        <v>251</v>
      </c>
      <c r="B23" s="162">
        <v>0</v>
      </c>
      <c r="C23" s="162">
        <v>0</v>
      </c>
      <c r="D23" s="162">
        <v>0</v>
      </c>
      <c r="E23" s="238">
        <f t="shared" ref="E23:E24" si="2">SUM(B23:D23)</f>
        <v>0</v>
      </c>
      <c r="F23" s="250"/>
    </row>
    <row r="24" spans="1:9" x14ac:dyDescent="0.3">
      <c r="A24" s="232" t="s">
        <v>252</v>
      </c>
      <c r="B24" s="162">
        <v>0</v>
      </c>
      <c r="C24" s="162">
        <v>0</v>
      </c>
      <c r="D24" s="162">
        <v>0</v>
      </c>
      <c r="E24" s="238">
        <f t="shared" si="2"/>
        <v>0</v>
      </c>
      <c r="F24" s="250"/>
      <c r="I24" s="2"/>
    </row>
    <row r="25" spans="1:9" x14ac:dyDescent="0.3">
      <c r="A25" s="247" t="s">
        <v>162</v>
      </c>
      <c r="B25" s="239">
        <f>SUM(B17:B24)</f>
        <v>578000</v>
      </c>
      <c r="C25" s="239">
        <f>SUM(C17:C24)</f>
        <v>601455</v>
      </c>
      <c r="D25" s="239">
        <f>SUM(D17:D24)</f>
        <v>485970</v>
      </c>
      <c r="E25" s="244">
        <f>SUM(E17:E24)</f>
        <v>1665425</v>
      </c>
      <c r="F25" s="252"/>
      <c r="H25" s="2"/>
      <c r="I25" s="2"/>
    </row>
    <row r="26" spans="1:9" x14ac:dyDescent="0.3">
      <c r="A26" s="234"/>
      <c r="B26" s="241"/>
      <c r="C26" s="241"/>
      <c r="D26" s="241"/>
      <c r="E26" s="242"/>
      <c r="F26" s="250"/>
    </row>
    <row r="27" spans="1:9" x14ac:dyDescent="0.3">
      <c r="A27" s="235" t="s">
        <v>169</v>
      </c>
      <c r="B27" s="236">
        <f>+B14+B25</f>
        <v>869792</v>
      </c>
      <c r="C27" s="236">
        <f>+C14+C25</f>
        <v>953901</v>
      </c>
      <c r="D27" s="236">
        <f>+D14+D25</f>
        <v>819741</v>
      </c>
      <c r="E27" s="246">
        <f>+E14+E25</f>
        <v>2643434</v>
      </c>
      <c r="F27" s="253"/>
      <c r="H27" s="2"/>
    </row>
    <row r="29" spans="1:9" x14ac:dyDescent="0.3">
      <c r="B29" s="260" t="s">
        <v>263</v>
      </c>
      <c r="C29" s="261"/>
      <c r="D29" s="262"/>
      <c r="E29" s="263">
        <f>+E27/3</f>
        <v>881144.66666666663</v>
      </c>
      <c r="F29" s="223"/>
    </row>
    <row r="30" spans="1:9" x14ac:dyDescent="0.3">
      <c r="F30" s="221"/>
    </row>
    <row r="31" spans="1:9" x14ac:dyDescent="0.3">
      <c r="B31" s="260" t="s">
        <v>265</v>
      </c>
      <c r="C31" s="261"/>
      <c r="D31" s="265">
        <v>0.2</v>
      </c>
      <c r="E31" s="264">
        <f>+E29*D31</f>
        <v>176228.93333333335</v>
      </c>
      <c r="F31" s="223"/>
    </row>
    <row r="33" spans="2:6" ht="14.5" thickBot="1" x14ac:dyDescent="0.35">
      <c r="B33" s="248" t="s">
        <v>264</v>
      </c>
      <c r="E33" s="249">
        <f>+E29+E31</f>
        <v>1057373.6000000001</v>
      </c>
      <c r="F33" s="224"/>
    </row>
    <row r="34" spans="2:6" ht="14.5" thickTop="1" x14ac:dyDescent="0.3"/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Proforma</vt:lpstr>
      <vt:lpstr>COLA</vt:lpstr>
      <vt:lpstr>Merit</vt:lpstr>
      <vt:lpstr>New Employees </vt:lpstr>
      <vt:lpstr>CSR</vt:lpstr>
      <vt:lpstr>Employee Overhead</vt:lpstr>
      <vt:lpstr>Principal &amp;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SKO</cp:lastModifiedBy>
  <dcterms:created xsi:type="dcterms:W3CDTF">2024-10-06T23:06:37Z</dcterms:created>
  <dcterms:modified xsi:type="dcterms:W3CDTF">2024-10-11T22:22:29Z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4879-4361-1886</vt:lpwstr>
  </property>
</Properties>
</file>