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Water Districts/Warren Co. WD/Water Rate Case 2024/PSC 3/"/>
    </mc:Choice>
  </mc:AlternateContent>
  <xr:revisionPtr revIDLastSave="0" documentId="8_{179294A8-CB51-4FE5-BDF8-6563CF59C215}" xr6:coauthVersionLast="47" xr6:coauthVersionMax="47" xr10:uidLastSave="{00000000-0000-0000-0000-000000000000}"/>
  <bookViews>
    <workbookView xWindow="-16500" yWindow="-20190" windowWidth="20160" windowHeight="16305" xr2:uid="{6C86BF08-4322-48CB-8A33-484CAAC68C75}"/>
  </bookViews>
  <sheets>
    <sheet name="New Employees" sheetId="3" r:id="rId1"/>
    <sheet name="CS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D15" i="4"/>
  <c r="H14" i="4"/>
  <c r="G14" i="4"/>
  <c r="E14" i="4"/>
  <c r="I14" i="4" s="1"/>
  <c r="H13" i="4"/>
  <c r="G13" i="4"/>
  <c r="E13" i="4"/>
  <c r="I13" i="4" s="1"/>
  <c r="L13" i="4" s="1"/>
  <c r="H12" i="4"/>
  <c r="G12" i="4"/>
  <c r="E12" i="4"/>
  <c r="H11" i="4"/>
  <c r="G11" i="4"/>
  <c r="E11" i="4"/>
  <c r="I11" i="4" s="1"/>
  <c r="H10" i="4"/>
  <c r="G10" i="4"/>
  <c r="E10" i="4"/>
  <c r="H9" i="4"/>
  <c r="G9" i="4"/>
  <c r="E9" i="4"/>
  <c r="I9" i="4" s="1"/>
  <c r="H8" i="4"/>
  <c r="G8" i="4"/>
  <c r="E8" i="4"/>
  <c r="E15" i="4" l="1"/>
  <c r="G15" i="4"/>
  <c r="H15" i="4"/>
  <c r="I10" i="4"/>
  <c r="I12" i="4"/>
  <c r="L12" i="4" s="1"/>
  <c r="L9" i="4"/>
  <c r="J9" i="4"/>
  <c r="K9" i="4" s="1"/>
  <c r="J10" i="4"/>
  <c r="K10" i="4" s="1"/>
  <c r="L10" i="4"/>
  <c r="L11" i="4"/>
  <c r="K11" i="4"/>
  <c r="J11" i="4"/>
  <c r="L14" i="4"/>
  <c r="K14" i="4"/>
  <c r="J14" i="4"/>
  <c r="I8" i="4"/>
  <c r="J13" i="4"/>
  <c r="K13" i="4"/>
  <c r="J12" i="4" l="1"/>
  <c r="K12" i="4" s="1"/>
  <c r="I15" i="4"/>
  <c r="L8" i="4"/>
  <c r="L15" i="4" s="1"/>
  <c r="J8" i="4"/>
  <c r="J15" i="4" s="1"/>
  <c r="K8" i="4" l="1"/>
  <c r="K15" i="4" s="1"/>
  <c r="K23" i="4"/>
  <c r="H23" i="4"/>
  <c r="J23" i="4"/>
  <c r="I23" i="4"/>
  <c r="G23" i="4"/>
  <c r="L23" i="4" l="1"/>
  <c r="B54" i="3" l="1"/>
  <c r="A54" i="3"/>
  <c r="B53" i="3"/>
  <c r="A53" i="3"/>
  <c r="B48" i="3"/>
  <c r="A48" i="3"/>
  <c r="B46" i="3"/>
  <c r="D37" i="3"/>
  <c r="B37" i="3"/>
  <c r="A37" i="3"/>
  <c r="E36" i="3"/>
  <c r="D36" i="3"/>
  <c r="B36" i="3"/>
  <c r="A36" i="3"/>
  <c r="E35" i="3"/>
  <c r="D35" i="3"/>
  <c r="B35" i="3"/>
  <c r="B52" i="3" s="1"/>
  <c r="A35" i="3"/>
  <c r="A52" i="3" s="1"/>
  <c r="D34" i="3"/>
  <c r="B34" i="3"/>
  <c r="B51" i="3" s="1"/>
  <c r="A34" i="3"/>
  <c r="A51" i="3" s="1"/>
  <c r="D33" i="3"/>
  <c r="B33" i="3"/>
  <c r="B50" i="3" s="1"/>
  <c r="A33" i="3"/>
  <c r="A50" i="3" s="1"/>
  <c r="D32" i="3"/>
  <c r="B32" i="3"/>
  <c r="B49" i="3" s="1"/>
  <c r="A32" i="3"/>
  <c r="A49" i="3" s="1"/>
  <c r="D31" i="3"/>
  <c r="B31" i="3"/>
  <c r="A31" i="3"/>
  <c r="D30" i="3"/>
  <c r="B30" i="3"/>
  <c r="B47" i="3" s="1"/>
  <c r="A30" i="3"/>
  <c r="A47" i="3" s="1"/>
  <c r="E29" i="3"/>
  <c r="G29" i="3" s="1"/>
  <c r="D29" i="3"/>
  <c r="B29" i="3"/>
  <c r="A29" i="3"/>
  <c r="A46" i="3" s="1"/>
  <c r="E18" i="3"/>
  <c r="L17" i="3"/>
  <c r="I17" i="3"/>
  <c r="N17" i="3" s="1"/>
  <c r="G17" i="3"/>
  <c r="F37" i="3" s="1"/>
  <c r="F17" i="3"/>
  <c r="E37" i="3" s="1"/>
  <c r="G37" i="3" s="1"/>
  <c r="I37" i="3" s="1"/>
  <c r="J37" i="3" s="1"/>
  <c r="L16" i="3"/>
  <c r="I16" i="3"/>
  <c r="N16" i="3" s="1"/>
  <c r="G16" i="3"/>
  <c r="O16" i="3" s="1"/>
  <c r="F16" i="3"/>
  <c r="P16" i="3" s="1"/>
  <c r="L15" i="3"/>
  <c r="N15" i="3" s="1"/>
  <c r="P15" i="3" s="1"/>
  <c r="I15" i="3"/>
  <c r="G15" i="3"/>
  <c r="F15" i="3"/>
  <c r="L14" i="3"/>
  <c r="I14" i="3"/>
  <c r="N14" i="3" s="1"/>
  <c r="G14" i="3"/>
  <c r="O14" i="3" s="1"/>
  <c r="F14" i="3"/>
  <c r="E34" i="3" s="1"/>
  <c r="L13" i="3"/>
  <c r="N13" i="3" s="1"/>
  <c r="P13" i="3" s="1"/>
  <c r="I13" i="3"/>
  <c r="G13" i="3"/>
  <c r="O13" i="3" s="1"/>
  <c r="F13" i="3"/>
  <c r="E33" i="3" s="1"/>
  <c r="L12" i="3"/>
  <c r="I12" i="3"/>
  <c r="N12" i="3" s="1"/>
  <c r="G12" i="3"/>
  <c r="O12" i="3" s="1"/>
  <c r="F12" i="3"/>
  <c r="E32" i="3" s="1"/>
  <c r="L11" i="3"/>
  <c r="N11" i="3" s="1"/>
  <c r="P11" i="3" s="1"/>
  <c r="I11" i="3"/>
  <c r="G11" i="3"/>
  <c r="F11" i="3"/>
  <c r="E31" i="3" s="1"/>
  <c r="L10" i="3"/>
  <c r="I10" i="3"/>
  <c r="N10" i="3" s="1"/>
  <c r="G10" i="3"/>
  <c r="F30" i="3" s="1"/>
  <c r="F10" i="3"/>
  <c r="E30" i="3" s="1"/>
  <c r="G30" i="3" s="1"/>
  <c r="I30" i="3" s="1"/>
  <c r="J30" i="3" s="1"/>
  <c r="L9" i="3"/>
  <c r="I9" i="3"/>
  <c r="H9" i="3"/>
  <c r="N9" i="3" s="1"/>
  <c r="F29" i="3" s="1"/>
  <c r="G9" i="3"/>
  <c r="O9" i="3" s="1"/>
  <c r="F9" i="3"/>
  <c r="P9" i="3" s="1"/>
  <c r="E47" i="3" l="1"/>
  <c r="F47" i="3" s="1"/>
  <c r="K30" i="3"/>
  <c r="K37" i="3"/>
  <c r="L37" i="3" s="1"/>
  <c r="E54" i="3"/>
  <c r="F54" i="3" s="1"/>
  <c r="F31" i="3"/>
  <c r="G31" i="3" s="1"/>
  <c r="I29" i="3"/>
  <c r="G35" i="3"/>
  <c r="I35" i="3" s="1"/>
  <c r="J35" i="3" s="1"/>
  <c r="G36" i="3"/>
  <c r="I36" i="3" s="1"/>
  <c r="J36" i="3" s="1"/>
  <c r="F35" i="3"/>
  <c r="F36" i="3"/>
  <c r="F34" i="3"/>
  <c r="G34" i="3" s="1"/>
  <c r="I34" i="3" s="1"/>
  <c r="J34" i="3" s="1"/>
  <c r="P12" i="3"/>
  <c r="F33" i="3"/>
  <c r="G33" i="3" s="1"/>
  <c r="I33" i="3" s="1"/>
  <c r="J33" i="3" s="1"/>
  <c r="P14" i="3"/>
  <c r="F32" i="3"/>
  <c r="G32" i="3" s="1"/>
  <c r="I32" i="3" s="1"/>
  <c r="J32" i="3" s="1"/>
  <c r="O11" i="3"/>
  <c r="O18" i="3" s="1"/>
  <c r="O15" i="3"/>
  <c r="O10" i="3"/>
  <c r="P10" i="3"/>
  <c r="P18" i="3" s="1"/>
  <c r="O17" i="3"/>
  <c r="P17" i="3"/>
  <c r="E49" i="3" l="1"/>
  <c r="F49" i="3" s="1"/>
  <c r="K32" i="3"/>
  <c r="L32" i="3"/>
  <c r="E51" i="3"/>
  <c r="F51" i="3" s="1"/>
  <c r="K34" i="3"/>
  <c r="L34" i="3" s="1"/>
  <c r="Q31" i="3" s="1"/>
  <c r="I31" i="3"/>
  <c r="J31" i="3" s="1"/>
  <c r="G38" i="3"/>
  <c r="K33" i="3"/>
  <c r="E50" i="3"/>
  <c r="F50" i="3" s="1"/>
  <c r="G54" i="3"/>
  <c r="K54" i="3"/>
  <c r="J54" i="3"/>
  <c r="H54" i="3"/>
  <c r="I54" i="3"/>
  <c r="E53" i="3"/>
  <c r="F53" i="3" s="1"/>
  <c r="K36" i="3"/>
  <c r="L36" i="3" s="1"/>
  <c r="Q32" i="3" s="1"/>
  <c r="J29" i="3"/>
  <c r="I38" i="3"/>
  <c r="E52" i="3"/>
  <c r="F52" i="3" s="1"/>
  <c r="L35" i="3"/>
  <c r="K35" i="3"/>
  <c r="H52" i="3" l="1"/>
  <c r="G52" i="3"/>
  <c r="K52" i="3"/>
  <c r="J52" i="3"/>
  <c r="I52" i="3"/>
  <c r="K29" i="3"/>
  <c r="J38" i="3"/>
  <c r="L29" i="3"/>
  <c r="E46" i="3"/>
  <c r="E48" i="3"/>
  <c r="F48" i="3" s="1"/>
  <c r="K31" i="3"/>
  <c r="L31" i="3" s="1"/>
  <c r="K53" i="3"/>
  <c r="K64" i="3" s="1"/>
  <c r="J53" i="3"/>
  <c r="J64" i="3" s="1"/>
  <c r="I53" i="3"/>
  <c r="I64" i="3" s="1"/>
  <c r="H53" i="3"/>
  <c r="H64" i="3" s="1"/>
  <c r="G53" i="3"/>
  <c r="G64" i="3" s="1"/>
  <c r="J51" i="3"/>
  <c r="J63" i="3" s="1"/>
  <c r="I51" i="3"/>
  <c r="I63" i="3" s="1"/>
  <c r="H51" i="3"/>
  <c r="H63" i="3" s="1"/>
  <c r="K51" i="3"/>
  <c r="K63" i="3" s="1"/>
  <c r="G51" i="3"/>
  <c r="G63" i="3" s="1"/>
  <c r="K49" i="3"/>
  <c r="J49" i="3"/>
  <c r="I49" i="3"/>
  <c r="H49" i="3"/>
  <c r="G49" i="3"/>
  <c r="L38" i="3" l="1"/>
  <c r="Q30" i="3"/>
  <c r="Q33" i="3" s="1"/>
  <c r="H48" i="3"/>
  <c r="G48" i="3"/>
  <c r="K48" i="3"/>
  <c r="I48" i="3"/>
  <c r="J48" i="3"/>
  <c r="E55" i="3"/>
  <c r="F46" i="3"/>
  <c r="K38" i="3"/>
  <c r="F55" i="3" l="1"/>
  <c r="I46" i="3"/>
  <c r="H46" i="3"/>
  <c r="G46" i="3"/>
  <c r="J46" i="3"/>
  <c r="K46" i="3"/>
  <c r="G55" i="3" l="1"/>
  <c r="G62" i="3"/>
  <c r="G65" i="3" s="1"/>
  <c r="H55" i="3"/>
  <c r="H62" i="3"/>
  <c r="H65" i="3" s="1"/>
  <c r="K55" i="3"/>
  <c r="K62" i="3"/>
  <c r="K65" i="3" s="1"/>
  <c r="J55" i="3"/>
  <c r="J62" i="3"/>
  <c r="J65" i="3" s="1"/>
  <c r="I62" i="3"/>
  <c r="I65" i="3" s="1"/>
  <c r="I55" i="3"/>
</calcChain>
</file>

<file path=xl/sharedStrings.xml><?xml version="1.0" encoding="utf-8"?>
<sst xmlns="http://schemas.openxmlformats.org/spreadsheetml/2006/main" count="180" uniqueCount="114">
  <si>
    <t>Wage</t>
  </si>
  <si>
    <t>Position</t>
  </si>
  <si>
    <t>Job Title</t>
  </si>
  <si>
    <t>Wages</t>
  </si>
  <si>
    <t>Adjustment</t>
  </si>
  <si>
    <t>Engineering Technician</t>
  </si>
  <si>
    <t>Customer Service Supervisor</t>
  </si>
  <si>
    <t xml:space="preserve">Customer Service Representative </t>
  </si>
  <si>
    <t>Operations Clerk</t>
  </si>
  <si>
    <t>Accountant</t>
  </si>
  <si>
    <t>Lead Dispatch Operator</t>
  </si>
  <si>
    <t>IT Supervisor</t>
  </si>
  <si>
    <t>GIS Analyst</t>
  </si>
  <si>
    <t>Customer Service Representative</t>
  </si>
  <si>
    <t>Utility Locate Specialist</t>
  </si>
  <si>
    <t>Applications Clerk</t>
  </si>
  <si>
    <t>CMMS Administrator</t>
  </si>
  <si>
    <t>Hire Date</t>
  </si>
  <si>
    <t>Safety Specialist</t>
  </si>
  <si>
    <t>Lead Meter Technician</t>
  </si>
  <si>
    <t>Benefit Wages</t>
  </si>
  <si>
    <t>NEW EMPLOYEE DATA</t>
  </si>
  <si>
    <t>Hourly</t>
  </si>
  <si>
    <t>Wages Not in Base Year</t>
  </si>
  <si>
    <t>No.</t>
  </si>
  <si>
    <t>Title</t>
  </si>
  <si>
    <t>Category</t>
  </si>
  <si>
    <t>Annual</t>
  </si>
  <si>
    <t>Rate</t>
  </si>
  <si>
    <t>Factor</t>
  </si>
  <si>
    <t>Total</t>
  </si>
  <si>
    <t>Holiday</t>
  </si>
  <si>
    <t>BH</t>
  </si>
  <si>
    <t>UWD</t>
  </si>
  <si>
    <t>SL</t>
  </si>
  <si>
    <t>AL</t>
  </si>
  <si>
    <t>Working</t>
  </si>
  <si>
    <t>2H-225</t>
  </si>
  <si>
    <t>Admin</t>
  </si>
  <si>
    <t>2B-198</t>
  </si>
  <si>
    <t>Capital (Not Included)</t>
  </si>
  <si>
    <t>2K-235</t>
  </si>
  <si>
    <t>2H-154</t>
  </si>
  <si>
    <t>2F-218</t>
  </si>
  <si>
    <t>2O-113</t>
  </si>
  <si>
    <t>T&amp;D Operations</t>
  </si>
  <si>
    <t>2J-238</t>
  </si>
  <si>
    <t>T&amp;D Maint</t>
  </si>
  <si>
    <t>2B-210</t>
  </si>
  <si>
    <t>Expense</t>
  </si>
  <si>
    <t>Capital</t>
  </si>
  <si>
    <t>Rates &amp; Allocation Memo</t>
  </si>
  <si>
    <t>Direct Time - Engineering</t>
  </si>
  <si>
    <t>Direct Time - Operations</t>
  </si>
  <si>
    <t>New Employees- WATER DIVISION</t>
  </si>
  <si>
    <t>Year 2024</t>
  </si>
  <si>
    <t>Hire</t>
  </si>
  <si>
    <t>WCWD</t>
  </si>
  <si>
    <t>Expense Wages</t>
  </si>
  <si>
    <t>Date</t>
  </si>
  <si>
    <t>Allocation %</t>
  </si>
  <si>
    <t>Comments</t>
  </si>
  <si>
    <t>Total Wages by Category</t>
  </si>
  <si>
    <t>Allocation Memo - No. of Customers</t>
  </si>
  <si>
    <t>T&amp;D Oper</t>
  </si>
  <si>
    <t xml:space="preserve">Allocation Memo - No. of Customers </t>
  </si>
  <si>
    <t xml:space="preserve">     Total</t>
  </si>
  <si>
    <t>Employee OH</t>
  </si>
  <si>
    <t>Description</t>
  </si>
  <si>
    <t xml:space="preserve">(Excl Wage Adj) </t>
  </si>
  <si>
    <t>Payroll Taxes</t>
  </si>
  <si>
    <t>Worker Comp</t>
  </si>
  <si>
    <t>Insurance</t>
  </si>
  <si>
    <t>Retirement</t>
  </si>
  <si>
    <t xml:space="preserve">Employee Overhead </t>
  </si>
  <si>
    <t xml:space="preserve"> Pay Rate</t>
  </si>
  <si>
    <t>OT Hours</t>
  </si>
  <si>
    <t>Wage Adjustment</t>
  </si>
  <si>
    <t>Applied to Expense Wages</t>
  </si>
  <si>
    <t>2I-49</t>
  </si>
  <si>
    <t>2I-60</t>
  </si>
  <si>
    <t>2I-199</t>
  </si>
  <si>
    <t>2I-217</t>
  </si>
  <si>
    <t>2I-222</t>
  </si>
  <si>
    <t>2I-224</t>
  </si>
  <si>
    <t>K</t>
  </si>
  <si>
    <t>New Employees</t>
  </si>
  <si>
    <t>Wages Worked</t>
  </si>
  <si>
    <t>Hours</t>
  </si>
  <si>
    <t>Employees who did not work the entire test year.</t>
  </si>
  <si>
    <t>Employees hired after the test year.</t>
  </si>
  <si>
    <t>Wages Not In Base Year</t>
  </si>
  <si>
    <t>Proforma</t>
  </si>
  <si>
    <t>New Employee Wages</t>
  </si>
  <si>
    <t>(Revised)</t>
  </si>
  <si>
    <t>A3</t>
  </si>
  <si>
    <t>Employee Overhead by Category</t>
  </si>
  <si>
    <t>Employee Overhead - New Employees</t>
  </si>
  <si>
    <t>B2</t>
  </si>
  <si>
    <t>B3</t>
  </si>
  <si>
    <t>A4</t>
  </si>
  <si>
    <t>Capital to Expense</t>
  </si>
  <si>
    <t>CSR Wage Shift to 100% Expense</t>
  </si>
  <si>
    <t>Proforma uses the customer service representative (CSR) hours allocated to capital in year 2023 to calculate the amount that will be recorded to expense.</t>
  </si>
  <si>
    <t>Captial Wages - CSR's (Year 2023)</t>
  </si>
  <si>
    <t>Total Capital Wages</t>
  </si>
  <si>
    <t>Regular Hours</t>
  </si>
  <si>
    <t>Regular Wages</t>
  </si>
  <si>
    <t>OT Wages</t>
  </si>
  <si>
    <t>Capital Hrs</t>
  </si>
  <si>
    <t>(Shift to Expense)</t>
  </si>
  <si>
    <t>2K-41</t>
  </si>
  <si>
    <t>Total - Shift from Captial to Expense</t>
  </si>
  <si>
    <t xml:space="preserve">Employee Overhead - CSR Shift from Capital to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</si>
</sst>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E+00"/>
    <numFmt numFmtId="167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0" applyNumberFormat="1" applyFont="1"/>
    <xf numFmtId="166" fontId="3" fillId="0" borderId="0" xfId="0" applyNumberFormat="1" applyFont="1" applyAlignment="1">
      <alignment horizontal="center"/>
    </xf>
    <xf numFmtId="43" fontId="3" fillId="0" borderId="3" xfId="1" applyFont="1" applyBorder="1"/>
    <xf numFmtId="43" fontId="3" fillId="0" borderId="0" xfId="1" applyFont="1" applyBorder="1"/>
    <xf numFmtId="43" fontId="3" fillId="0" borderId="3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0" xfId="1" applyFont="1" applyFill="1"/>
    <xf numFmtId="43" fontId="5" fillId="0" borderId="0" xfId="0" applyNumberFormat="1" applyFont="1"/>
    <xf numFmtId="0" fontId="5" fillId="0" borderId="0" xfId="0" applyFont="1"/>
    <xf numFmtId="43" fontId="3" fillId="0" borderId="0" xfId="1" applyFont="1"/>
    <xf numFmtId="44" fontId="3" fillId="0" borderId="0" xfId="0" applyNumberFormat="1" applyFont="1"/>
    <xf numFmtId="44" fontId="3" fillId="0" borderId="9" xfId="0" applyNumberFormat="1" applyFont="1" applyBorder="1"/>
    <xf numFmtId="43" fontId="3" fillId="0" borderId="9" xfId="1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3" fillId="0" borderId="0" xfId="3" applyFont="1" applyAlignment="1">
      <alignment horizontal="center"/>
    </xf>
    <xf numFmtId="9" fontId="2" fillId="0" borderId="0" xfId="3" applyFont="1" applyBorder="1" applyAlignment="1">
      <alignment horizontal="center"/>
    </xf>
    <xf numFmtId="9" fontId="3" fillId="0" borderId="0" xfId="3" applyFont="1" applyBorder="1" applyAlignment="1">
      <alignment horizontal="center"/>
    </xf>
    <xf numFmtId="9" fontId="5" fillId="0" borderId="0" xfId="3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3" fillId="0" borderId="0" xfId="2" applyFont="1" applyFill="1"/>
    <xf numFmtId="164" fontId="3" fillId="0" borderId="0" xfId="1" applyNumberFormat="1" applyFont="1" applyFill="1" applyAlignment="1"/>
    <xf numFmtId="167" fontId="3" fillId="0" borderId="0" xfId="3" applyNumberFormat="1" applyFont="1" applyFill="1" applyAlignment="1">
      <alignment horizontal="center"/>
    </xf>
    <xf numFmtId="44" fontId="3" fillId="0" borderId="0" xfId="2" applyFont="1" applyFill="1" applyBorder="1"/>
    <xf numFmtId="164" fontId="5" fillId="0" borderId="0" xfId="0" applyNumberFormat="1" applyFont="1"/>
    <xf numFmtId="44" fontId="5" fillId="0" borderId="6" xfId="2" applyFont="1" applyFill="1" applyBorder="1"/>
    <xf numFmtId="43" fontId="3" fillId="0" borderId="7" xfId="0" applyNumberFormat="1" applyFont="1" applyBorder="1"/>
    <xf numFmtId="43" fontId="5" fillId="0" borderId="8" xfId="1" applyFont="1" applyFill="1" applyBorder="1"/>
    <xf numFmtId="43" fontId="3" fillId="0" borderId="9" xfId="0" applyNumberFormat="1" applyFont="1" applyBorder="1"/>
    <xf numFmtId="43" fontId="5" fillId="0" borderId="10" xfId="1" applyFont="1" applyFill="1" applyBorder="1"/>
    <xf numFmtId="43" fontId="3" fillId="0" borderId="11" xfId="0" applyNumberFormat="1" applyFont="1" applyBorder="1"/>
    <xf numFmtId="44" fontId="5" fillId="0" borderId="0" xfId="2" applyFont="1"/>
    <xf numFmtId="165" fontId="5" fillId="2" borderId="3" xfId="2" applyNumberFormat="1" applyFont="1" applyFill="1" applyBorder="1"/>
    <xf numFmtId="43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0" fontId="3" fillId="0" borderId="0" xfId="3" applyNumberFormat="1" applyFont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3" fillId="0" borderId="0" xfId="3" applyNumberFormat="1" applyFont="1" applyBorder="1" applyAlignment="1">
      <alignment horizontal="center"/>
    </xf>
    <xf numFmtId="10" fontId="3" fillId="0" borderId="9" xfId="3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164" fontId="3" fillId="0" borderId="0" xfId="1" applyNumberFormat="1" applyFont="1" applyFill="1" applyBorder="1" applyAlignment="1"/>
    <xf numFmtId="44" fontId="3" fillId="0" borderId="6" xfId="2" applyFont="1" applyFill="1" applyBorder="1"/>
    <xf numFmtId="44" fontId="3" fillId="0" borderId="12" xfId="2" applyFont="1" applyFill="1" applyBorder="1"/>
    <xf numFmtId="44" fontId="3" fillId="0" borderId="7" xfId="2" applyFont="1" applyFill="1" applyBorder="1"/>
    <xf numFmtId="44" fontId="3" fillId="0" borderId="0" xfId="2" applyFont="1" applyBorder="1"/>
    <xf numFmtId="43" fontId="3" fillId="0" borderId="8" xfId="1" applyFont="1" applyFill="1" applyBorder="1"/>
    <xf numFmtId="43" fontId="3" fillId="0" borderId="9" xfId="1" applyFont="1" applyFill="1" applyBorder="1" applyAlignment="1">
      <alignment horizontal="center"/>
    </xf>
    <xf numFmtId="43" fontId="5" fillId="0" borderId="0" xfId="1" applyFont="1" applyBorder="1"/>
    <xf numFmtId="43" fontId="3" fillId="0" borderId="10" xfId="1" applyFont="1" applyFill="1" applyBorder="1"/>
    <xf numFmtId="43" fontId="3" fillId="0" borderId="1" xfId="1" applyFont="1" applyFill="1" applyBorder="1"/>
    <xf numFmtId="43" fontId="3" fillId="0" borderId="11" xfId="1" applyFont="1" applyFill="1" applyBorder="1"/>
    <xf numFmtId="43" fontId="3" fillId="0" borderId="3" xfId="1" applyFont="1" applyFill="1" applyBorder="1"/>
    <xf numFmtId="44" fontId="3" fillId="0" borderId="3" xfId="2" applyFont="1" applyBorder="1"/>
    <xf numFmtId="0" fontId="5" fillId="0" borderId="8" xfId="0" applyFont="1" applyBorder="1" applyAlignment="1">
      <alignment horizontal="center"/>
    </xf>
    <xf numFmtId="44" fontId="3" fillId="0" borderId="8" xfId="2" applyFont="1" applyFill="1" applyBorder="1"/>
    <xf numFmtId="44" fontId="3" fillId="0" borderId="3" xfId="2" applyFont="1" applyFill="1" applyBorder="1"/>
    <xf numFmtId="165" fontId="5" fillId="0" borderId="3" xfId="2" applyNumberFormat="1" applyFont="1" applyFill="1" applyBorder="1"/>
    <xf numFmtId="165" fontId="3" fillId="0" borderId="3" xfId="2" applyNumberFormat="1" applyFont="1" applyFill="1" applyBorder="1"/>
    <xf numFmtId="165" fontId="5" fillId="0" borderId="14" xfId="2" applyNumberFormat="1" applyFont="1" applyFill="1" applyBorder="1"/>
    <xf numFmtId="165" fontId="4" fillId="2" borderId="3" xfId="2" applyNumberFormat="1" applyFont="1" applyFill="1" applyBorder="1"/>
    <xf numFmtId="43" fontId="4" fillId="2" borderId="0" xfId="0" applyNumberFormat="1" applyFont="1" applyFill="1" applyAlignment="1">
      <alignment horizontal="center"/>
    </xf>
    <xf numFmtId="9" fontId="2" fillId="0" borderId="0" xfId="3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0" xfId="1" applyFont="1" applyBorder="1" applyAlignment="1">
      <alignment horizontal="center"/>
    </xf>
    <xf numFmtId="164" fontId="3" fillId="0" borderId="0" xfId="1" applyNumberFormat="1" applyFont="1" applyBorder="1"/>
    <xf numFmtId="164" fontId="3" fillId="0" borderId="0" xfId="1" applyNumberFormat="1" applyFont="1" applyFill="1"/>
    <xf numFmtId="164" fontId="3" fillId="0" borderId="0" xfId="1" applyNumberFormat="1" applyFont="1"/>
    <xf numFmtId="43" fontId="3" fillId="0" borderId="1" xfId="1" applyFont="1" applyBorder="1"/>
    <xf numFmtId="164" fontId="3" fillId="0" borderId="1" xfId="1" applyNumberFormat="1" applyFont="1" applyBorder="1"/>
    <xf numFmtId="43" fontId="3" fillId="0" borderId="1" xfId="0" applyNumberFormat="1" applyFont="1" applyBorder="1"/>
    <xf numFmtId="164" fontId="5" fillId="0" borderId="1" xfId="0" applyNumberFormat="1" applyFont="1" applyBorder="1"/>
    <xf numFmtId="164" fontId="3" fillId="0" borderId="0" xfId="1" applyNumberFormat="1" applyFont="1" applyFill="1" applyBorder="1"/>
    <xf numFmtId="165" fontId="5" fillId="0" borderId="0" xfId="2" applyNumberFormat="1" applyFont="1" applyFill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5" fontId="3" fillId="0" borderId="10" xfId="2" applyNumberFormat="1" applyFont="1" applyFill="1" applyBorder="1"/>
    <xf numFmtId="165" fontId="5" fillId="2" borderId="1" xfId="2" applyNumberFormat="1" applyFont="1" applyFill="1" applyBorder="1"/>
    <xf numFmtId="165" fontId="9" fillId="0" borderId="0" xfId="0" applyNumberFormat="1" applyFont="1"/>
    <xf numFmtId="165" fontId="5" fillId="0" borderId="1" xfId="2" applyNumberFormat="1" applyFont="1" applyFill="1" applyBorder="1"/>
    <xf numFmtId="165" fontId="5" fillId="0" borderId="11" xfId="2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0">
    <cellStyle name="Comma" xfId="1" builtinId="3"/>
    <cellStyle name="Comma 2" xfId="5" xr:uid="{DC92F9B1-215F-4B49-8081-B876008B8526}"/>
    <cellStyle name="Comma 2 2" xfId="7" xr:uid="{C48129CB-EC90-427E-934C-A094C4DCBF27}"/>
    <cellStyle name="Currency" xfId="2" builtinId="4"/>
    <cellStyle name="Currency 2" xfId="6" xr:uid="{1CA2A089-5C6A-4008-81A7-C02BF740E027}"/>
    <cellStyle name="Normal" xfId="0" builtinId="0"/>
    <cellStyle name="Normal 2" xfId="4" xr:uid="{8AD4DF4C-384A-441A-9612-82EF28A0B814}"/>
    <cellStyle name="Normal 2 3" xfId="9" xr:uid="{8370F640-82A4-4150-8E48-61A3983707C6}"/>
    <cellStyle name="Percent" xfId="3" builtinId="5"/>
    <cellStyle name="Percent 2" xfId="8" xr:uid="{C1BE0F31-CA93-4711-AB49-F84DF1F37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58</xdr:row>
      <xdr:rowOff>0</xdr:rowOff>
    </xdr:from>
    <xdr:to>
      <xdr:col>16</xdr:col>
      <xdr:colOff>304800</xdr:colOff>
      <xdr:row>59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4FFAA3B-C872-44E7-BA32-4E2CC2276C0F}"/>
            </a:ext>
          </a:extLst>
        </xdr:cNvPr>
        <xdr:cNvSpPr>
          <a:spLocks noChangeAspect="1" noChangeArrowheads="1"/>
        </xdr:cNvSpPr>
      </xdr:nvSpPr>
      <xdr:spPr bwMode="auto">
        <a:xfrm>
          <a:off x="16640175" y="1015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58</xdr:row>
      <xdr:rowOff>0</xdr:rowOff>
    </xdr:from>
    <xdr:to>
      <xdr:col>16</xdr:col>
      <xdr:colOff>304800</xdr:colOff>
      <xdr:row>59</xdr:row>
      <xdr:rowOff>142875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5BF6FD1-1A3C-498A-81EC-D5A9142CE83D}"/>
            </a:ext>
          </a:extLst>
        </xdr:cNvPr>
        <xdr:cNvSpPr>
          <a:spLocks noChangeAspect="1" noChangeArrowheads="1"/>
        </xdr:cNvSpPr>
      </xdr:nvSpPr>
      <xdr:spPr bwMode="auto">
        <a:xfrm>
          <a:off x="16249650" y="949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47</xdr:row>
      <xdr:rowOff>0</xdr:rowOff>
    </xdr:from>
    <xdr:to>
      <xdr:col>16</xdr:col>
      <xdr:colOff>304800</xdr:colOff>
      <xdr:row>48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CAE93C3-E20F-4BBA-9ABA-55FCD91804BB}"/>
            </a:ext>
          </a:extLst>
        </xdr:cNvPr>
        <xdr:cNvSpPr>
          <a:spLocks noChangeAspect="1" noChangeArrowheads="1"/>
        </xdr:cNvSpPr>
      </xdr:nvSpPr>
      <xdr:spPr bwMode="auto">
        <a:xfrm>
          <a:off x="16640175" y="1015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A1AC-F07E-467A-A2DC-12D1F5F04341}">
  <dimension ref="A1:R66"/>
  <sheetViews>
    <sheetView tabSelected="1" zoomScale="70" zoomScaleNormal="70" workbookViewId="0">
      <selection activeCell="F30" sqref="F30"/>
    </sheetView>
  </sheetViews>
  <sheetFormatPr defaultColWidth="8.83203125" defaultRowHeight="12.5" x14ac:dyDescent="0.25"/>
  <cols>
    <col min="1" max="1" width="9.25" style="1" customWidth="1"/>
    <col min="2" max="2" width="22.25" style="1" customWidth="1"/>
    <col min="3" max="3" width="19.4140625" style="1" customWidth="1"/>
    <col min="4" max="4" width="12.58203125" style="1" customWidth="1"/>
    <col min="5" max="5" width="12.83203125" style="1" bestFit="1" customWidth="1"/>
    <col min="6" max="6" width="17.1640625" style="1" customWidth="1"/>
    <col min="7" max="7" width="14.83203125" style="1" bestFit="1" customWidth="1"/>
    <col min="8" max="8" width="14.4140625" style="1" bestFit="1" customWidth="1"/>
    <col min="9" max="9" width="13.75" style="1" customWidth="1"/>
    <col min="10" max="10" width="12.75" style="1" bestFit="1" customWidth="1"/>
    <col min="11" max="11" width="15" style="1" customWidth="1"/>
    <col min="12" max="12" width="20.25" style="1" customWidth="1"/>
    <col min="13" max="13" width="20.75" style="1" customWidth="1"/>
    <col min="14" max="14" width="13.25" style="1" customWidth="1"/>
    <col min="15" max="15" width="11.4140625" style="1" customWidth="1"/>
    <col min="16" max="16" width="22.83203125" style="1" bestFit="1" customWidth="1"/>
    <col min="17" max="17" width="13.75" style="1" customWidth="1"/>
    <col min="18" max="18" width="11.58203125" style="1" bestFit="1" customWidth="1"/>
    <col min="19" max="19" width="13.58203125" style="1" bestFit="1" customWidth="1"/>
    <col min="20" max="22" width="11.25" style="1" bestFit="1" customWidth="1"/>
    <col min="23" max="16384" width="8.83203125" style="1"/>
  </cols>
  <sheetData>
    <row r="1" spans="1:16" ht="15.5" x14ac:dyDescent="0.35">
      <c r="A1" s="26" t="s">
        <v>86</v>
      </c>
    </row>
    <row r="2" spans="1:16" x14ac:dyDescent="0.25">
      <c r="A2" s="1" t="s">
        <v>89</v>
      </c>
    </row>
    <row r="3" spans="1:16" x14ac:dyDescent="0.25">
      <c r="A3" s="1" t="s">
        <v>90</v>
      </c>
    </row>
    <row r="4" spans="1:16" x14ac:dyDescent="0.25">
      <c r="A4" s="2"/>
    </row>
    <row r="5" spans="1:16" x14ac:dyDescent="0.25">
      <c r="A5" s="2"/>
    </row>
    <row r="6" spans="1:16" ht="13" x14ac:dyDescent="0.3">
      <c r="A6" s="3" t="s">
        <v>21</v>
      </c>
    </row>
    <row r="7" spans="1:16" x14ac:dyDescent="0.25">
      <c r="A7" s="4"/>
      <c r="F7" s="27" t="s">
        <v>22</v>
      </c>
      <c r="G7" s="5">
        <v>44927</v>
      </c>
      <c r="O7" s="102" t="s">
        <v>23</v>
      </c>
      <c r="P7" s="102"/>
    </row>
    <row r="8" spans="1:16" s="7" customFormat="1" x14ac:dyDescent="0.25">
      <c r="A8" s="6" t="s">
        <v>24</v>
      </c>
      <c r="B8" s="6" t="s">
        <v>25</v>
      </c>
      <c r="C8" s="6" t="s">
        <v>26</v>
      </c>
      <c r="D8" s="6" t="s">
        <v>17</v>
      </c>
      <c r="E8" s="6" t="s">
        <v>27</v>
      </c>
      <c r="F8" s="28" t="s">
        <v>28</v>
      </c>
      <c r="G8" s="6" t="s">
        <v>29</v>
      </c>
      <c r="H8" s="6" t="s">
        <v>30</v>
      </c>
      <c r="I8" s="6" t="s">
        <v>31</v>
      </c>
      <c r="J8" s="6" t="s">
        <v>32</v>
      </c>
      <c r="K8" s="6" t="s">
        <v>33</v>
      </c>
      <c r="L8" s="6" t="s">
        <v>34</v>
      </c>
      <c r="M8" s="6" t="s">
        <v>35</v>
      </c>
      <c r="N8" s="6" t="s">
        <v>36</v>
      </c>
      <c r="O8" s="6" t="s">
        <v>30</v>
      </c>
      <c r="P8" s="6" t="s">
        <v>36</v>
      </c>
    </row>
    <row r="9" spans="1:16" x14ac:dyDescent="0.25">
      <c r="A9" s="7" t="s">
        <v>37</v>
      </c>
      <c r="B9" s="1" t="s">
        <v>16</v>
      </c>
      <c r="C9" s="1" t="s">
        <v>38</v>
      </c>
      <c r="D9" s="5">
        <v>44995</v>
      </c>
      <c r="E9" s="8">
        <v>70183.23</v>
      </c>
      <c r="F9" s="8">
        <f t="shared" ref="F9:F17" si="0">+E9/2080</f>
        <v>33.741937499999999</v>
      </c>
      <c r="G9" s="9">
        <f t="shared" ref="G9:G17" si="1">IF((D9-$G$7)/365&lt;1,(D9-$G$7)/365,1)</f>
        <v>0.18630136986301371</v>
      </c>
      <c r="H9" s="7">
        <f>52*40</f>
        <v>2080</v>
      </c>
      <c r="I9" s="7">
        <f>11*8</f>
        <v>88</v>
      </c>
      <c r="J9" s="7">
        <v>8</v>
      </c>
      <c r="K9" s="7">
        <v>8</v>
      </c>
      <c r="L9" s="7">
        <f>8*12</f>
        <v>96</v>
      </c>
      <c r="M9" s="7">
        <v>120</v>
      </c>
      <c r="N9" s="7">
        <f>+H9-I9-J9-K9-L9-M9</f>
        <v>1760</v>
      </c>
      <c r="O9" s="10">
        <f t="shared" ref="O9:O17" si="2">+E9*G9</f>
        <v>13075.23189041096</v>
      </c>
      <c r="P9" s="10">
        <f t="shared" ref="P9:P17" si="3">+F9*N9*G9</f>
        <v>11063.657753424657</v>
      </c>
    </row>
    <row r="10" spans="1:16" x14ac:dyDescent="0.25">
      <c r="A10" s="7" t="s">
        <v>39</v>
      </c>
      <c r="B10" s="1" t="s">
        <v>12</v>
      </c>
      <c r="C10" s="1" t="s">
        <v>40</v>
      </c>
      <c r="D10" s="5">
        <v>45257</v>
      </c>
      <c r="E10" s="8">
        <v>68139.058000000005</v>
      </c>
      <c r="F10" s="8">
        <f t="shared" si="0"/>
        <v>32.759162500000002</v>
      </c>
      <c r="G10" s="9">
        <f t="shared" si="1"/>
        <v>0.90410958904109584</v>
      </c>
      <c r="H10" s="7">
        <v>2080</v>
      </c>
      <c r="I10" s="7">
        <f t="shared" ref="I10:I17" si="4">11*8</f>
        <v>88</v>
      </c>
      <c r="J10" s="7">
        <v>8</v>
      </c>
      <c r="K10" s="7">
        <v>8</v>
      </c>
      <c r="L10" s="7">
        <f t="shared" ref="L10:L17" si="5">8*12</f>
        <v>96</v>
      </c>
      <c r="M10" s="7">
        <v>120</v>
      </c>
      <c r="N10" s="7">
        <f t="shared" ref="N10:N17" si="6">+H10-I10-J10-K10-L10-M10</f>
        <v>1760</v>
      </c>
      <c r="O10" s="10">
        <f t="shared" si="2"/>
        <v>61605.175726027395</v>
      </c>
      <c r="P10" s="10">
        <f t="shared" si="3"/>
        <v>52127.456383561643</v>
      </c>
    </row>
    <row r="11" spans="1:16" x14ac:dyDescent="0.25">
      <c r="A11" s="7" t="s">
        <v>41</v>
      </c>
      <c r="B11" s="1" t="s">
        <v>18</v>
      </c>
      <c r="C11" s="1" t="s">
        <v>38</v>
      </c>
      <c r="D11" s="5">
        <v>45397</v>
      </c>
      <c r="E11" s="8">
        <v>89999.987999999998</v>
      </c>
      <c r="F11" s="8">
        <f t="shared" si="0"/>
        <v>43.269224999999999</v>
      </c>
      <c r="G11" s="9">
        <f t="shared" si="1"/>
        <v>1</v>
      </c>
      <c r="H11" s="7">
        <v>2080</v>
      </c>
      <c r="I11" s="7">
        <f t="shared" si="4"/>
        <v>88</v>
      </c>
      <c r="J11" s="7">
        <v>8</v>
      </c>
      <c r="K11" s="7">
        <v>0</v>
      </c>
      <c r="L11" s="7">
        <f t="shared" si="5"/>
        <v>96</v>
      </c>
      <c r="M11" s="7">
        <v>120</v>
      </c>
      <c r="N11" s="7">
        <f t="shared" si="6"/>
        <v>1768</v>
      </c>
      <c r="O11" s="10">
        <f t="shared" si="2"/>
        <v>89999.987999999998</v>
      </c>
      <c r="P11" s="10">
        <f t="shared" si="3"/>
        <v>76499.989799999996</v>
      </c>
    </row>
    <row r="12" spans="1:16" x14ac:dyDescent="0.25">
      <c r="A12" s="7" t="s">
        <v>42</v>
      </c>
      <c r="B12" s="1" t="s">
        <v>11</v>
      </c>
      <c r="C12" s="1" t="s">
        <v>38</v>
      </c>
      <c r="D12" s="5">
        <v>45339</v>
      </c>
      <c r="E12" s="8">
        <v>109565.04</v>
      </c>
      <c r="F12" s="8">
        <f t="shared" si="0"/>
        <v>52.6755</v>
      </c>
      <c r="G12" s="9">
        <f t="shared" si="1"/>
        <v>1</v>
      </c>
      <c r="H12" s="7">
        <v>2080</v>
      </c>
      <c r="I12" s="7">
        <f t="shared" si="4"/>
        <v>88</v>
      </c>
      <c r="J12" s="7">
        <v>8</v>
      </c>
      <c r="K12" s="7">
        <v>16</v>
      </c>
      <c r="L12" s="7">
        <f t="shared" si="5"/>
        <v>96</v>
      </c>
      <c r="M12" s="7">
        <v>120</v>
      </c>
      <c r="N12" s="7">
        <f t="shared" si="6"/>
        <v>1752</v>
      </c>
      <c r="O12" s="10">
        <f t="shared" si="2"/>
        <v>109565.04</v>
      </c>
      <c r="P12" s="10">
        <f t="shared" si="3"/>
        <v>92287.475999999995</v>
      </c>
    </row>
    <row r="13" spans="1:16" x14ac:dyDescent="0.25">
      <c r="A13" s="7" t="s">
        <v>43</v>
      </c>
      <c r="B13" s="1" t="s">
        <v>5</v>
      </c>
      <c r="C13" s="1" t="s">
        <v>40</v>
      </c>
      <c r="D13" s="5">
        <v>45325</v>
      </c>
      <c r="E13" s="8">
        <v>60320</v>
      </c>
      <c r="F13" s="8">
        <f t="shared" si="0"/>
        <v>29</v>
      </c>
      <c r="G13" s="9">
        <f t="shared" si="1"/>
        <v>1</v>
      </c>
      <c r="H13" s="7">
        <v>2080</v>
      </c>
      <c r="I13" s="7">
        <f t="shared" si="4"/>
        <v>88</v>
      </c>
      <c r="J13" s="7">
        <v>8</v>
      </c>
      <c r="K13" s="7">
        <v>16</v>
      </c>
      <c r="L13" s="7">
        <f t="shared" si="5"/>
        <v>96</v>
      </c>
      <c r="M13" s="7">
        <v>120</v>
      </c>
      <c r="N13" s="7">
        <f t="shared" si="6"/>
        <v>1752</v>
      </c>
      <c r="O13" s="10">
        <f t="shared" si="2"/>
        <v>60320</v>
      </c>
      <c r="P13" s="10">
        <f t="shared" si="3"/>
        <v>50808</v>
      </c>
    </row>
    <row r="14" spans="1:16" x14ac:dyDescent="0.25">
      <c r="A14" s="7" t="s">
        <v>44</v>
      </c>
      <c r="B14" s="1" t="s">
        <v>10</v>
      </c>
      <c r="C14" s="1" t="s">
        <v>45</v>
      </c>
      <c r="D14" s="5">
        <v>45325</v>
      </c>
      <c r="E14" s="8">
        <v>70720</v>
      </c>
      <c r="F14" s="8">
        <f t="shared" si="0"/>
        <v>34</v>
      </c>
      <c r="G14" s="9">
        <f t="shared" si="1"/>
        <v>1</v>
      </c>
      <c r="H14" s="7">
        <v>2080</v>
      </c>
      <c r="I14" s="7">
        <f t="shared" si="4"/>
        <v>88</v>
      </c>
      <c r="J14" s="7">
        <v>8</v>
      </c>
      <c r="K14" s="7">
        <v>16</v>
      </c>
      <c r="L14" s="7">
        <f t="shared" si="5"/>
        <v>96</v>
      </c>
      <c r="M14" s="7">
        <v>120</v>
      </c>
      <c r="N14" s="7">
        <f t="shared" si="6"/>
        <v>1752</v>
      </c>
      <c r="O14" s="10">
        <f t="shared" si="2"/>
        <v>70720</v>
      </c>
      <c r="P14" s="10">
        <f t="shared" si="3"/>
        <v>59568</v>
      </c>
    </row>
    <row r="15" spans="1:16" x14ac:dyDescent="0.25">
      <c r="A15" s="7" t="s">
        <v>46</v>
      </c>
      <c r="B15" s="1" t="s">
        <v>9</v>
      </c>
      <c r="C15" s="1" t="s">
        <v>38</v>
      </c>
      <c r="D15" s="5">
        <v>45453</v>
      </c>
      <c r="E15" s="8">
        <v>68016</v>
      </c>
      <c r="F15" s="8">
        <f t="shared" si="0"/>
        <v>32.700000000000003</v>
      </c>
      <c r="G15" s="9">
        <f t="shared" si="1"/>
        <v>1</v>
      </c>
      <c r="H15" s="7">
        <v>2080</v>
      </c>
      <c r="I15" s="7">
        <f t="shared" si="4"/>
        <v>88</v>
      </c>
      <c r="J15" s="7">
        <v>8</v>
      </c>
      <c r="K15" s="7">
        <v>0</v>
      </c>
      <c r="L15" s="7">
        <f t="shared" si="5"/>
        <v>96</v>
      </c>
      <c r="M15" s="7">
        <v>120</v>
      </c>
      <c r="N15" s="7">
        <f t="shared" si="6"/>
        <v>1768</v>
      </c>
      <c r="O15" s="10">
        <f t="shared" si="2"/>
        <v>68016</v>
      </c>
      <c r="P15" s="10">
        <f t="shared" si="3"/>
        <v>57813.600000000006</v>
      </c>
    </row>
    <row r="16" spans="1:16" x14ac:dyDescent="0.25">
      <c r="A16" s="11">
        <v>2.0000000000000001E-196</v>
      </c>
      <c r="B16" s="1" t="s">
        <v>19</v>
      </c>
      <c r="C16" s="1" t="s">
        <v>47</v>
      </c>
      <c r="D16" s="5">
        <v>45353</v>
      </c>
      <c r="E16" s="8">
        <v>52000</v>
      </c>
      <c r="F16" s="8">
        <f t="shared" si="0"/>
        <v>25</v>
      </c>
      <c r="G16" s="9">
        <f t="shared" si="1"/>
        <v>1</v>
      </c>
      <c r="H16" s="7">
        <v>2080</v>
      </c>
      <c r="I16" s="7">
        <f t="shared" si="4"/>
        <v>88</v>
      </c>
      <c r="J16" s="7">
        <v>8</v>
      </c>
      <c r="K16" s="7">
        <v>16</v>
      </c>
      <c r="L16" s="7">
        <f t="shared" si="5"/>
        <v>96</v>
      </c>
      <c r="M16" s="7">
        <v>120</v>
      </c>
      <c r="N16" s="7">
        <f t="shared" si="6"/>
        <v>1752</v>
      </c>
      <c r="O16" s="10">
        <f t="shared" si="2"/>
        <v>52000</v>
      </c>
      <c r="P16" s="10">
        <f t="shared" si="3"/>
        <v>43800</v>
      </c>
    </row>
    <row r="17" spans="1:17" x14ac:dyDescent="0.25">
      <c r="A17" s="7" t="s">
        <v>48</v>
      </c>
      <c r="B17" s="1" t="s">
        <v>14</v>
      </c>
      <c r="C17" s="1" t="s">
        <v>45</v>
      </c>
      <c r="D17" s="5">
        <v>45061</v>
      </c>
      <c r="E17" s="8">
        <v>46169.759999999995</v>
      </c>
      <c r="F17" s="8">
        <f t="shared" si="0"/>
        <v>22.196999999999999</v>
      </c>
      <c r="G17" s="9">
        <f t="shared" si="1"/>
        <v>0.36712328767123287</v>
      </c>
      <c r="H17" s="7">
        <v>2080</v>
      </c>
      <c r="I17" s="7">
        <f t="shared" si="4"/>
        <v>88</v>
      </c>
      <c r="J17" s="7">
        <v>8</v>
      </c>
      <c r="K17" s="7">
        <v>0</v>
      </c>
      <c r="L17" s="7">
        <f t="shared" si="5"/>
        <v>96</v>
      </c>
      <c r="M17" s="7">
        <v>120</v>
      </c>
      <c r="N17" s="7">
        <f t="shared" si="6"/>
        <v>1768</v>
      </c>
      <c r="O17" s="10">
        <f t="shared" si="2"/>
        <v>16949.994082191777</v>
      </c>
      <c r="P17" s="10">
        <f t="shared" si="3"/>
        <v>14407.494969863013</v>
      </c>
    </row>
    <row r="18" spans="1:17" ht="13" thickBot="1" x14ac:dyDescent="0.3">
      <c r="E18" s="12">
        <f>SUM(E9:E17)</f>
        <v>635113.076</v>
      </c>
      <c r="F18" s="13"/>
      <c r="O18" s="14">
        <f>SUM(O9:O17)</f>
        <v>542251.42969863</v>
      </c>
      <c r="P18" s="14">
        <f>SUM(P9:P17)</f>
        <v>458375.67490684934</v>
      </c>
    </row>
    <row r="19" spans="1:17" ht="13.5" thickTop="1" x14ac:dyDescent="0.3">
      <c r="P19" s="15"/>
    </row>
    <row r="21" spans="1:17" x14ac:dyDescent="0.25">
      <c r="A21" s="7"/>
      <c r="K21" s="6" t="s">
        <v>49</v>
      </c>
      <c r="L21" s="6" t="s">
        <v>50</v>
      </c>
    </row>
    <row r="22" spans="1:17" x14ac:dyDescent="0.25">
      <c r="A22" s="7"/>
      <c r="I22" s="1" t="s">
        <v>51</v>
      </c>
      <c r="K22" s="29">
        <v>0.57999999999999996</v>
      </c>
      <c r="L22" s="29">
        <v>0.42</v>
      </c>
    </row>
    <row r="23" spans="1:17" x14ac:dyDescent="0.25">
      <c r="A23" s="7"/>
      <c r="I23" s="1" t="s">
        <v>52</v>
      </c>
      <c r="K23" s="29">
        <v>0</v>
      </c>
      <c r="L23" s="29">
        <v>1</v>
      </c>
    </row>
    <row r="24" spans="1:17" x14ac:dyDescent="0.25">
      <c r="A24" s="7"/>
      <c r="I24" s="1" t="s">
        <v>53</v>
      </c>
      <c r="K24" s="29">
        <v>1</v>
      </c>
      <c r="L24" s="29">
        <v>0</v>
      </c>
    </row>
    <row r="25" spans="1:17" x14ac:dyDescent="0.25">
      <c r="A25" s="7"/>
      <c r="K25" s="29"/>
      <c r="L25" s="29"/>
    </row>
    <row r="26" spans="1:17" ht="13" x14ac:dyDescent="0.3">
      <c r="A26" s="20" t="s">
        <v>54</v>
      </c>
      <c r="F26" s="7"/>
      <c r="G26" s="7"/>
      <c r="H26" s="7" t="s">
        <v>55</v>
      </c>
      <c r="J26" s="7"/>
      <c r="K26" s="30">
        <v>0.05</v>
      </c>
      <c r="L26" s="31"/>
    </row>
    <row r="27" spans="1:17" ht="13.5" thickBot="1" x14ac:dyDescent="0.35">
      <c r="A27" s="7"/>
      <c r="D27" s="7" t="s">
        <v>56</v>
      </c>
      <c r="E27" s="27" t="s">
        <v>22</v>
      </c>
      <c r="F27" s="103" t="s">
        <v>91</v>
      </c>
      <c r="G27" s="103"/>
      <c r="H27" s="7" t="s">
        <v>57</v>
      </c>
      <c r="I27" s="7" t="s">
        <v>57</v>
      </c>
      <c r="J27" s="7" t="s">
        <v>49</v>
      </c>
      <c r="K27" s="7" t="s">
        <v>0</v>
      </c>
      <c r="L27" s="32" t="s">
        <v>92</v>
      </c>
    </row>
    <row r="28" spans="1:17" ht="13" x14ac:dyDescent="0.3">
      <c r="A28" s="6" t="s">
        <v>24</v>
      </c>
      <c r="B28" s="6" t="s">
        <v>25</v>
      </c>
      <c r="C28" s="6" t="s">
        <v>26</v>
      </c>
      <c r="D28" s="33" t="s">
        <v>59</v>
      </c>
      <c r="E28" s="28" t="s">
        <v>28</v>
      </c>
      <c r="F28" s="6" t="s">
        <v>88</v>
      </c>
      <c r="G28" s="6" t="s">
        <v>3</v>
      </c>
      <c r="H28" s="6" t="s">
        <v>60</v>
      </c>
      <c r="I28" s="6" t="s">
        <v>3</v>
      </c>
      <c r="J28" s="6" t="s">
        <v>3</v>
      </c>
      <c r="K28" s="6" t="s">
        <v>4</v>
      </c>
      <c r="L28" s="16" t="s">
        <v>58</v>
      </c>
      <c r="M28" s="17" t="s">
        <v>61</v>
      </c>
      <c r="N28" s="17"/>
    </row>
    <row r="29" spans="1:17" ht="13" x14ac:dyDescent="0.3">
      <c r="A29" s="7" t="str">
        <f t="shared" ref="A29:B37" si="7">+A9</f>
        <v>2H-225</v>
      </c>
      <c r="B29" s="1" t="str">
        <f t="shared" si="7"/>
        <v>CMMS Administrator</v>
      </c>
      <c r="C29" s="1" t="s">
        <v>38</v>
      </c>
      <c r="D29" s="5">
        <f t="shared" ref="D29:D37" si="8">+D9</f>
        <v>44995</v>
      </c>
      <c r="E29" s="34">
        <f t="shared" ref="E29:E37" si="9">+F9</f>
        <v>33.741937499999999</v>
      </c>
      <c r="F29" s="35">
        <f t="shared" ref="F29:F37" si="10">+G9*N9</f>
        <v>327.89041095890411</v>
      </c>
      <c r="G29" s="34">
        <f>+E29*F29</f>
        <v>11063.657753424657</v>
      </c>
      <c r="H29" s="36">
        <v>0.64100000000000001</v>
      </c>
      <c r="I29" s="34">
        <f>+G29*H29</f>
        <v>7091.8046199452056</v>
      </c>
      <c r="J29" s="37">
        <f>+I29*$K$22</f>
        <v>4113.2466795682185</v>
      </c>
      <c r="K29" s="18">
        <f>J29*$K$26</f>
        <v>205.66233397841094</v>
      </c>
      <c r="L29" s="38">
        <f>+J29+K29</f>
        <v>4318.9090135466295</v>
      </c>
      <c r="M29" s="1" t="s">
        <v>63</v>
      </c>
      <c r="P29" s="99" t="s">
        <v>62</v>
      </c>
      <c r="Q29" s="101"/>
    </row>
    <row r="30" spans="1:17" ht="13" x14ac:dyDescent="0.3">
      <c r="A30" s="7" t="str">
        <f t="shared" si="7"/>
        <v>2B-198</v>
      </c>
      <c r="B30" s="1" t="str">
        <f t="shared" si="7"/>
        <v>GIS Analyst</v>
      </c>
      <c r="C30" s="1" t="s">
        <v>40</v>
      </c>
      <c r="D30" s="5">
        <f t="shared" si="8"/>
        <v>45257</v>
      </c>
      <c r="E30" s="18">
        <f t="shared" si="9"/>
        <v>32.759162500000002</v>
      </c>
      <c r="F30" s="35">
        <f t="shared" si="10"/>
        <v>1591.2328767123288</v>
      </c>
      <c r="G30" s="18">
        <f>+E30*F30</f>
        <v>52127.45638356165</v>
      </c>
      <c r="H30" s="36">
        <v>0.64100000000000001</v>
      </c>
      <c r="I30" s="18">
        <f>+G30*H30</f>
        <v>33413.699541863018</v>
      </c>
      <c r="J30" s="8">
        <f>+I30*$K$23</f>
        <v>0</v>
      </c>
      <c r="K30" s="18">
        <f t="shared" ref="K30:K37" si="11">J30*$K$26</f>
        <v>0</v>
      </c>
      <c r="L30" s="38">
        <v>0</v>
      </c>
      <c r="M30" s="1" t="s">
        <v>63</v>
      </c>
      <c r="P30" s="39" t="s">
        <v>38</v>
      </c>
      <c r="Q30" s="40">
        <f>L29+L31+L32+L35</f>
        <v>114402.03408548063</v>
      </c>
    </row>
    <row r="31" spans="1:17" ht="13" x14ac:dyDescent="0.3">
      <c r="A31" s="7" t="str">
        <f t="shared" si="7"/>
        <v>2K-235</v>
      </c>
      <c r="B31" s="1" t="str">
        <f t="shared" si="7"/>
        <v>Safety Specialist</v>
      </c>
      <c r="C31" s="1" t="s">
        <v>38</v>
      </c>
      <c r="D31" s="5">
        <f t="shared" si="8"/>
        <v>45397</v>
      </c>
      <c r="E31" s="18">
        <f t="shared" si="9"/>
        <v>43.269224999999999</v>
      </c>
      <c r="F31" s="35">
        <f t="shared" si="10"/>
        <v>1768</v>
      </c>
      <c r="G31" s="18">
        <f t="shared" ref="G31:G37" si="12">+E31*F31</f>
        <v>76499.989799999996</v>
      </c>
      <c r="H31" s="36">
        <v>0.64100000000000001</v>
      </c>
      <c r="I31" s="18">
        <f t="shared" ref="I31:I37" si="13">+G31*H31</f>
        <v>49036.493461799997</v>
      </c>
      <c r="J31" s="8">
        <f>+I31*$K$24</f>
        <v>49036.493461799997</v>
      </c>
      <c r="K31" s="18">
        <f t="shared" si="11"/>
        <v>2451.82467309</v>
      </c>
      <c r="L31" s="38">
        <f>+J31+K31</f>
        <v>51488.318134889996</v>
      </c>
      <c r="M31" s="1" t="s">
        <v>63</v>
      </c>
      <c r="P31" s="41" t="s">
        <v>64</v>
      </c>
      <c r="Q31" s="42">
        <f>L34+L37</f>
        <v>32950.465081466304</v>
      </c>
    </row>
    <row r="32" spans="1:17" ht="13" x14ac:dyDescent="0.3">
      <c r="A32" s="7" t="str">
        <f t="shared" si="7"/>
        <v>2H-154</v>
      </c>
      <c r="B32" s="1" t="str">
        <f t="shared" si="7"/>
        <v>IT Supervisor</v>
      </c>
      <c r="C32" s="1" t="s">
        <v>38</v>
      </c>
      <c r="D32" s="5">
        <f t="shared" si="8"/>
        <v>45339</v>
      </c>
      <c r="E32" s="18">
        <f t="shared" si="9"/>
        <v>52.6755</v>
      </c>
      <c r="F32" s="35">
        <f t="shared" si="10"/>
        <v>1752</v>
      </c>
      <c r="G32" s="18">
        <f t="shared" si="12"/>
        <v>92287.475999999995</v>
      </c>
      <c r="H32" s="36">
        <v>0.64100000000000001</v>
      </c>
      <c r="I32" s="18">
        <f t="shared" si="13"/>
        <v>59156.272116</v>
      </c>
      <c r="J32" s="8">
        <f>+I32*$K$22</f>
        <v>34310.637827279999</v>
      </c>
      <c r="K32" s="18">
        <f t="shared" si="11"/>
        <v>1715.5318913640001</v>
      </c>
      <c r="L32" s="38">
        <f>+J32+K32</f>
        <v>36026.169718644</v>
      </c>
      <c r="M32" s="1" t="s">
        <v>63</v>
      </c>
      <c r="P32" s="43" t="s">
        <v>47</v>
      </c>
      <c r="Q32" s="44">
        <f>L36</f>
        <v>36608.04</v>
      </c>
    </row>
    <row r="33" spans="1:17" ht="13" x14ac:dyDescent="0.3">
      <c r="A33" s="7" t="str">
        <f t="shared" si="7"/>
        <v>2F-218</v>
      </c>
      <c r="B33" s="1" t="str">
        <f t="shared" si="7"/>
        <v>Engineering Technician</v>
      </c>
      <c r="C33" s="1" t="s">
        <v>40</v>
      </c>
      <c r="D33" s="5">
        <f t="shared" si="8"/>
        <v>45325</v>
      </c>
      <c r="E33" s="18">
        <f t="shared" si="9"/>
        <v>29</v>
      </c>
      <c r="F33" s="35">
        <f t="shared" si="10"/>
        <v>1752</v>
      </c>
      <c r="G33" s="18">
        <f t="shared" si="12"/>
        <v>50808</v>
      </c>
      <c r="H33" s="36">
        <v>0.64100000000000001</v>
      </c>
      <c r="I33" s="18">
        <f t="shared" si="13"/>
        <v>32567.928</v>
      </c>
      <c r="J33" s="8">
        <f>+I33*$K$23</f>
        <v>0</v>
      </c>
      <c r="K33" s="18">
        <f t="shared" si="11"/>
        <v>0</v>
      </c>
      <c r="L33" s="38">
        <v>0</v>
      </c>
      <c r="M33" s="1" t="s">
        <v>63</v>
      </c>
      <c r="Q33" s="45">
        <f>SUM(Q30:Q32)</f>
        <v>183960.53916694692</v>
      </c>
    </row>
    <row r="34" spans="1:17" ht="13" x14ac:dyDescent="0.3">
      <c r="A34" s="7" t="str">
        <f t="shared" si="7"/>
        <v>2O-113</v>
      </c>
      <c r="B34" s="1" t="str">
        <f t="shared" si="7"/>
        <v>Lead Dispatch Operator</v>
      </c>
      <c r="C34" s="1" t="s">
        <v>45</v>
      </c>
      <c r="D34" s="5">
        <f t="shared" si="8"/>
        <v>45325</v>
      </c>
      <c r="E34" s="18">
        <f t="shared" si="9"/>
        <v>34</v>
      </c>
      <c r="F34" s="35">
        <f t="shared" si="10"/>
        <v>1752</v>
      </c>
      <c r="G34" s="18">
        <f t="shared" si="12"/>
        <v>59568</v>
      </c>
      <c r="H34" s="36">
        <v>0.64100000000000001</v>
      </c>
      <c r="I34" s="18">
        <f t="shared" si="13"/>
        <v>38183.088000000003</v>
      </c>
      <c r="J34" s="8">
        <f>+I34*$K$22</f>
        <v>22146.191040000002</v>
      </c>
      <c r="K34" s="18">
        <f t="shared" si="11"/>
        <v>1107.3095520000002</v>
      </c>
      <c r="L34" s="38">
        <f>+J34+K34</f>
        <v>23253.500592</v>
      </c>
      <c r="M34" s="1" t="s">
        <v>63</v>
      </c>
    </row>
    <row r="35" spans="1:17" ht="13" x14ac:dyDescent="0.3">
      <c r="A35" s="7" t="str">
        <f t="shared" si="7"/>
        <v>2J-238</v>
      </c>
      <c r="B35" s="1" t="str">
        <f t="shared" si="7"/>
        <v>Accountant</v>
      </c>
      <c r="C35" s="1" t="s">
        <v>38</v>
      </c>
      <c r="D35" s="5">
        <f t="shared" si="8"/>
        <v>45453</v>
      </c>
      <c r="E35" s="18">
        <f t="shared" si="9"/>
        <v>32.700000000000003</v>
      </c>
      <c r="F35" s="35">
        <f>+G15*N15</f>
        <v>1768</v>
      </c>
      <c r="G35" s="18">
        <f t="shared" si="12"/>
        <v>57813.600000000006</v>
      </c>
      <c r="H35" s="36">
        <v>0.64100000000000001</v>
      </c>
      <c r="I35" s="18">
        <f t="shared" si="13"/>
        <v>37058.517600000006</v>
      </c>
      <c r="J35" s="8">
        <f>+I35*$K$22</f>
        <v>21493.940208000004</v>
      </c>
      <c r="K35" s="18">
        <f t="shared" si="11"/>
        <v>1074.6970104000002</v>
      </c>
      <c r="L35" s="38">
        <f>+J35+K35</f>
        <v>22568.637218400003</v>
      </c>
      <c r="M35" s="1" t="s">
        <v>63</v>
      </c>
    </row>
    <row r="36" spans="1:17" ht="13" x14ac:dyDescent="0.3">
      <c r="A36" s="7">
        <f t="shared" si="7"/>
        <v>2.0000000000000001E-196</v>
      </c>
      <c r="B36" s="1" t="str">
        <f t="shared" si="7"/>
        <v>Lead Meter Technician</v>
      </c>
      <c r="C36" s="1" t="s">
        <v>47</v>
      </c>
      <c r="D36" s="5">
        <f t="shared" si="8"/>
        <v>45353</v>
      </c>
      <c r="E36" s="18">
        <f t="shared" si="9"/>
        <v>25</v>
      </c>
      <c r="F36" s="35">
        <f t="shared" si="10"/>
        <v>1752</v>
      </c>
      <c r="G36" s="18">
        <f t="shared" si="12"/>
        <v>43800</v>
      </c>
      <c r="H36" s="36">
        <v>0.79600000000000004</v>
      </c>
      <c r="I36" s="18">
        <f t="shared" si="13"/>
        <v>34864.800000000003</v>
      </c>
      <c r="J36" s="8">
        <f>+I36*$K$24</f>
        <v>34864.800000000003</v>
      </c>
      <c r="K36" s="18">
        <f t="shared" si="11"/>
        <v>1743.2400000000002</v>
      </c>
      <c r="L36" s="38">
        <f>+J36+K36</f>
        <v>36608.04</v>
      </c>
      <c r="M36" s="1" t="s">
        <v>65</v>
      </c>
    </row>
    <row r="37" spans="1:17" ht="13" x14ac:dyDescent="0.3">
      <c r="A37" s="7" t="str">
        <f t="shared" si="7"/>
        <v>2B-210</v>
      </c>
      <c r="B37" s="1" t="str">
        <f t="shared" si="7"/>
        <v>Utility Locate Specialist</v>
      </c>
      <c r="C37" s="1" t="s">
        <v>45</v>
      </c>
      <c r="D37" s="5">
        <f t="shared" si="8"/>
        <v>45061</v>
      </c>
      <c r="E37" s="18">
        <f t="shared" si="9"/>
        <v>22.196999999999999</v>
      </c>
      <c r="F37" s="35">
        <f t="shared" si="10"/>
        <v>649.07397260273967</v>
      </c>
      <c r="G37" s="18">
        <f t="shared" si="12"/>
        <v>14407.494969863012</v>
      </c>
      <c r="H37" s="36">
        <v>0.64100000000000001</v>
      </c>
      <c r="I37" s="18">
        <f t="shared" si="13"/>
        <v>9235.2042756821902</v>
      </c>
      <c r="J37" s="8">
        <f>+I37*$K$24</f>
        <v>9235.2042756821902</v>
      </c>
      <c r="K37" s="18">
        <f t="shared" si="11"/>
        <v>461.76021378410951</v>
      </c>
      <c r="L37" s="38">
        <f>+J37+K37</f>
        <v>9696.9644894662997</v>
      </c>
      <c r="M37" s="1" t="s">
        <v>63</v>
      </c>
    </row>
    <row r="38" spans="1:17" ht="13.5" thickBot="1" x14ac:dyDescent="0.35">
      <c r="A38" s="7"/>
      <c r="B38" s="1" t="s">
        <v>66</v>
      </c>
      <c r="D38" s="5"/>
      <c r="E38" s="21"/>
      <c r="F38" s="21"/>
      <c r="G38" s="12">
        <f>SUM(G29:G37)</f>
        <v>458375.67490684934</v>
      </c>
      <c r="H38" s="21"/>
      <c r="I38" s="14">
        <f>SUM(I29:I37)</f>
        <v>300607.8076152904</v>
      </c>
      <c r="J38" s="14">
        <f>SUM(J29:J37)</f>
        <v>175200.51349233041</v>
      </c>
      <c r="K38" s="14">
        <f>SUM(K29:K37)</f>
        <v>8760.0256746165214</v>
      </c>
      <c r="L38" s="76">
        <f>SUM(L29:L37)</f>
        <v>183960.53916694692</v>
      </c>
    </row>
    <row r="39" spans="1:17" ht="13.5" thickTop="1" x14ac:dyDescent="0.3">
      <c r="A39" s="7"/>
      <c r="G39" s="15"/>
      <c r="H39" s="10"/>
      <c r="I39" s="10"/>
      <c r="K39" s="10"/>
      <c r="L39" s="47" t="s">
        <v>93</v>
      </c>
      <c r="Q39" s="10"/>
    </row>
    <row r="40" spans="1:17" ht="13" x14ac:dyDescent="0.3">
      <c r="A40" s="7"/>
      <c r="G40" s="15"/>
      <c r="H40" s="10"/>
      <c r="I40" s="10"/>
      <c r="K40" s="10"/>
      <c r="L40" s="77" t="s">
        <v>94</v>
      </c>
      <c r="Q40" s="10"/>
    </row>
    <row r="41" spans="1:17" ht="13" x14ac:dyDescent="0.3">
      <c r="A41" s="7"/>
      <c r="H41" s="10"/>
      <c r="I41" s="10"/>
      <c r="K41" s="10"/>
      <c r="L41" s="48" t="s">
        <v>95</v>
      </c>
      <c r="Q41" s="10"/>
    </row>
    <row r="42" spans="1:17" x14ac:dyDescent="0.25">
      <c r="A42" s="7"/>
      <c r="H42" s="10"/>
      <c r="I42" s="10"/>
      <c r="K42" s="10"/>
      <c r="L42" s="10"/>
      <c r="Q42" s="10"/>
    </row>
    <row r="43" spans="1:17" ht="13" x14ac:dyDescent="0.3">
      <c r="A43" s="7"/>
      <c r="F43" s="49">
        <v>0.59041193662902092</v>
      </c>
      <c r="G43" s="99" t="s">
        <v>96</v>
      </c>
      <c r="H43" s="100"/>
      <c r="I43" s="100"/>
      <c r="J43" s="100"/>
      <c r="K43" s="101"/>
      <c r="L43" s="20"/>
    </row>
    <row r="44" spans="1:17" x14ac:dyDescent="0.25">
      <c r="A44" s="7"/>
      <c r="D44" s="7"/>
      <c r="E44" s="7" t="s">
        <v>49</v>
      </c>
      <c r="F44" s="7" t="s">
        <v>67</v>
      </c>
      <c r="G44" s="50">
        <v>0.15234881948497214</v>
      </c>
      <c r="H44" s="51">
        <v>0.27011036732790655</v>
      </c>
      <c r="I44" s="51">
        <v>9.9056871747690498E-3</v>
      </c>
      <c r="J44" s="51">
        <v>0.21367687214610187</v>
      </c>
      <c r="K44" s="52">
        <v>0.35395825386625035</v>
      </c>
      <c r="L44" s="7"/>
    </row>
    <row r="45" spans="1:17" x14ac:dyDescent="0.25">
      <c r="A45" s="6" t="s">
        <v>24</v>
      </c>
      <c r="B45" s="17" t="s">
        <v>68</v>
      </c>
      <c r="C45" s="17"/>
      <c r="D45" s="6"/>
      <c r="E45" s="6" t="s">
        <v>3</v>
      </c>
      <c r="F45" s="53" t="s">
        <v>69</v>
      </c>
      <c r="G45" s="54" t="s">
        <v>70</v>
      </c>
      <c r="H45" s="6" t="s">
        <v>20</v>
      </c>
      <c r="I45" s="6" t="s">
        <v>71</v>
      </c>
      <c r="J45" s="6" t="s">
        <v>72</v>
      </c>
      <c r="K45" s="55" t="s">
        <v>73</v>
      </c>
      <c r="L45" s="7"/>
    </row>
    <row r="46" spans="1:17" x14ac:dyDescent="0.25">
      <c r="A46" s="7" t="str">
        <f t="shared" ref="A46:B54" si="14">+A29</f>
        <v>2H-225</v>
      </c>
      <c r="B46" s="1" t="str">
        <f t="shared" si="14"/>
        <v>CMMS Administrator</v>
      </c>
      <c r="C46" s="1" t="s">
        <v>38</v>
      </c>
      <c r="D46" s="56"/>
      <c r="E46" s="8">
        <f t="shared" ref="E46:E51" si="15">+J29</f>
        <v>4113.2466795682185</v>
      </c>
      <c r="F46" s="57">
        <f t="shared" ref="F46:F54" si="16">+E46*$F$43</f>
        <v>2428.5099379167618</v>
      </c>
      <c r="G46" s="58">
        <f>$F$46*G44</f>
        <v>369.98062214914165</v>
      </c>
      <c r="H46" s="59">
        <f>$F$46*H44</f>
        <v>655.96571139016805</v>
      </c>
      <c r="I46" s="59">
        <f t="shared" ref="I46:K46" si="17">$F$46*I44</f>
        <v>24.056059745821248</v>
      </c>
      <c r="J46" s="59">
        <f t="shared" si="17"/>
        <v>518.91640750977774</v>
      </c>
      <c r="K46" s="60">
        <f t="shared" si="17"/>
        <v>859.59113712185308</v>
      </c>
      <c r="L46" s="61"/>
    </row>
    <row r="47" spans="1:17" x14ac:dyDescent="0.25">
      <c r="A47" s="7" t="str">
        <f t="shared" si="14"/>
        <v>2B-198</v>
      </c>
      <c r="B47" s="1" t="str">
        <f t="shared" si="14"/>
        <v>GIS Analyst</v>
      </c>
      <c r="C47" s="1" t="s">
        <v>40</v>
      </c>
      <c r="D47" s="9"/>
      <c r="E47" s="8">
        <f t="shared" si="15"/>
        <v>0</v>
      </c>
      <c r="F47" s="57">
        <f t="shared" si="16"/>
        <v>0</v>
      </c>
      <c r="G47" s="62"/>
      <c r="H47" s="8"/>
      <c r="I47" s="8"/>
      <c r="J47" s="9"/>
      <c r="K47" s="63"/>
      <c r="L47" s="13"/>
    </row>
    <row r="48" spans="1:17" x14ac:dyDescent="0.25">
      <c r="A48" s="7" t="str">
        <f t="shared" si="14"/>
        <v>2K-235</v>
      </c>
      <c r="B48" s="1" t="str">
        <f t="shared" si="14"/>
        <v>Safety Specialist</v>
      </c>
      <c r="C48" s="1" t="s">
        <v>38</v>
      </c>
      <c r="D48" s="9"/>
      <c r="E48" s="8">
        <f t="shared" si="15"/>
        <v>49036.493461799997</v>
      </c>
      <c r="F48" s="57">
        <f t="shared" si="16"/>
        <v>28951.731070277659</v>
      </c>
      <c r="G48" s="62">
        <f>$F$48*G44</f>
        <v>4410.7620506031908</v>
      </c>
      <c r="H48" s="8">
        <f t="shared" ref="H48:K48" si="18">$F$48*H44</f>
        <v>7820.1627141714634</v>
      </c>
      <c r="I48" s="8">
        <f t="shared" si="18"/>
        <v>286.78679115021203</v>
      </c>
      <c r="J48" s="8">
        <f t="shared" si="18"/>
        <v>6186.3153383120443</v>
      </c>
      <c r="K48" s="24">
        <f t="shared" si="18"/>
        <v>10247.704176040748</v>
      </c>
      <c r="L48" s="13"/>
    </row>
    <row r="49" spans="1:18" x14ac:dyDescent="0.25">
      <c r="A49" s="7" t="str">
        <f t="shared" si="14"/>
        <v>2H-154</v>
      </c>
      <c r="B49" s="1" t="str">
        <f t="shared" si="14"/>
        <v>IT Supervisor</v>
      </c>
      <c r="C49" s="1" t="s">
        <v>38</v>
      </c>
      <c r="D49" s="9"/>
      <c r="E49" s="8">
        <f t="shared" si="15"/>
        <v>34310.637827279999</v>
      </c>
      <c r="F49" s="57">
        <f t="shared" si="16"/>
        <v>20257.410126581326</v>
      </c>
      <c r="G49" s="62">
        <f>$F$49*G44</f>
        <v>3086.192518607585</v>
      </c>
      <c r="H49" s="8">
        <f t="shared" ref="H49:K49" si="19">$F$49*H44</f>
        <v>5471.7364904029364</v>
      </c>
      <c r="I49" s="8">
        <f t="shared" si="19"/>
        <v>200.66356768491332</v>
      </c>
      <c r="J49" s="8">
        <f t="shared" si="19"/>
        <v>4328.5400336286675</v>
      </c>
      <c r="K49" s="24">
        <f t="shared" si="19"/>
        <v>7170.2775162572234</v>
      </c>
      <c r="L49" s="13"/>
    </row>
    <row r="50" spans="1:18" ht="13" x14ac:dyDescent="0.3">
      <c r="A50" s="7" t="str">
        <f t="shared" si="14"/>
        <v>2F-218</v>
      </c>
      <c r="B50" s="1" t="str">
        <f t="shared" si="14"/>
        <v>Engineering Technician</v>
      </c>
      <c r="C50" s="1" t="s">
        <v>40</v>
      </c>
      <c r="D50" s="9"/>
      <c r="E50" s="8">
        <f t="shared" si="15"/>
        <v>0</v>
      </c>
      <c r="F50" s="57">
        <f t="shared" si="16"/>
        <v>0</v>
      </c>
      <c r="G50" s="62"/>
      <c r="H50" s="8"/>
      <c r="I50" s="8"/>
      <c r="J50" s="9"/>
      <c r="K50" s="63"/>
      <c r="L50" s="13"/>
      <c r="M50" s="64"/>
    </row>
    <row r="51" spans="1:18" ht="13" x14ac:dyDescent="0.3">
      <c r="A51" s="7" t="str">
        <f t="shared" si="14"/>
        <v>2O-113</v>
      </c>
      <c r="B51" s="1" t="str">
        <f t="shared" si="14"/>
        <v>Lead Dispatch Operator</v>
      </c>
      <c r="C51" s="1" t="s">
        <v>45</v>
      </c>
      <c r="D51" s="9"/>
      <c r="E51" s="8">
        <f t="shared" si="15"/>
        <v>22146.191040000002</v>
      </c>
      <c r="F51" s="57">
        <f t="shared" si="16"/>
        <v>13075.375540882671</v>
      </c>
      <c r="G51" s="62">
        <f>$F$51*G44</f>
        <v>1992.0180279761539</v>
      </c>
      <c r="H51" s="8">
        <f t="shared" ref="H51:K51" si="20">$F$51*H44</f>
        <v>3531.794490298143</v>
      </c>
      <c r="I51" s="8">
        <f t="shared" si="20"/>
        <v>129.52057980061039</v>
      </c>
      <c r="J51" s="8">
        <f t="shared" si="20"/>
        <v>2793.9053477114539</v>
      </c>
      <c r="K51" s="24">
        <f t="shared" si="20"/>
        <v>4628.1370950963092</v>
      </c>
      <c r="L51" s="13"/>
      <c r="M51" s="64"/>
      <c r="O51" s="10"/>
    </row>
    <row r="52" spans="1:18" ht="13" x14ac:dyDescent="0.3">
      <c r="A52" s="7" t="str">
        <f t="shared" si="14"/>
        <v>2J-238</v>
      </c>
      <c r="B52" s="1" t="str">
        <f t="shared" si="14"/>
        <v>Accountant</v>
      </c>
      <c r="C52" s="1" t="s">
        <v>38</v>
      </c>
      <c r="D52" s="9"/>
      <c r="E52" s="8">
        <f>J35</f>
        <v>21493.940208000004</v>
      </c>
      <c r="F52" s="57">
        <f>E52*$F$43</f>
        <v>12690.278863993663</v>
      </c>
      <c r="G52" s="62">
        <f>G44*$F$52</f>
        <v>1933.3490038645277</v>
      </c>
      <c r="H52" s="8">
        <f t="shared" ref="H52:K52" si="21">H44*$F$52</f>
        <v>3427.7758854468971</v>
      </c>
      <c r="I52" s="8">
        <f t="shared" si="21"/>
        <v>125.70593258730477</v>
      </c>
      <c r="J52" s="8">
        <f t="shared" si="21"/>
        <v>2711.6190943199526</v>
      </c>
      <c r="K52" s="24">
        <f t="shared" si="21"/>
        <v>4491.8289477749795</v>
      </c>
      <c r="L52" s="13"/>
      <c r="M52" s="64"/>
      <c r="O52" s="13"/>
      <c r="Q52" s="13"/>
      <c r="R52" s="13"/>
    </row>
    <row r="53" spans="1:18" ht="13" x14ac:dyDescent="0.3">
      <c r="A53" s="7">
        <f t="shared" si="14"/>
        <v>2.0000000000000001E-196</v>
      </c>
      <c r="B53" s="1" t="str">
        <f t="shared" si="14"/>
        <v>Lead Meter Technician</v>
      </c>
      <c r="C53" s="1" t="s">
        <v>47</v>
      </c>
      <c r="D53" s="9"/>
      <c r="E53" s="8">
        <f>+J36</f>
        <v>34864.800000000003</v>
      </c>
      <c r="F53" s="57">
        <f t="shared" si="16"/>
        <v>20584.59408818349</v>
      </c>
      <c r="G53" s="62">
        <f>$F$53*G44</f>
        <v>3136.0386089120911</v>
      </c>
      <c r="H53" s="8">
        <f t="shared" ref="H53:K53" si="22">$F$53*H44</f>
        <v>5560.1122704550962</v>
      </c>
      <c r="I53" s="8">
        <f t="shared" si="22"/>
        <v>203.90454965714599</v>
      </c>
      <c r="J53" s="8">
        <f t="shared" si="22"/>
        <v>4398.4516791601882</v>
      </c>
      <c r="K53" s="24">
        <f t="shared" si="22"/>
        <v>7286.0869799989678</v>
      </c>
      <c r="L53" s="13"/>
      <c r="M53" s="64"/>
    </row>
    <row r="54" spans="1:18" ht="13" x14ac:dyDescent="0.3">
      <c r="A54" s="7" t="str">
        <f t="shared" si="14"/>
        <v>2B-210</v>
      </c>
      <c r="B54" s="1" t="str">
        <f t="shared" si="14"/>
        <v>Utility Locate Specialist</v>
      </c>
      <c r="C54" s="1" t="s">
        <v>45</v>
      </c>
      <c r="D54" s="9"/>
      <c r="E54" s="8">
        <f>+J37</f>
        <v>9235.2042756821902</v>
      </c>
      <c r="F54" s="57">
        <f t="shared" si="16"/>
        <v>5452.5748415701364</v>
      </c>
      <c r="G54" s="65">
        <f>$F$54*G44</f>
        <v>830.69334026666934</v>
      </c>
      <c r="H54" s="66">
        <f t="shared" ref="H54:K54" si="23">$F$54*H44</f>
        <v>1472.7969933394115</v>
      </c>
      <c r="I54" s="66">
        <f t="shared" si="23"/>
        <v>54.011500677609682</v>
      </c>
      <c r="J54" s="66">
        <f t="shared" si="23"/>
        <v>1165.0891372892338</v>
      </c>
      <c r="K54" s="67">
        <f t="shared" si="23"/>
        <v>1929.9838699972122</v>
      </c>
      <c r="L54" s="13"/>
      <c r="M54" s="64"/>
    </row>
    <row r="55" spans="1:18" ht="13.5" thickBot="1" x14ac:dyDescent="0.35">
      <c r="A55" s="7"/>
      <c r="B55" s="1" t="s">
        <v>66</v>
      </c>
      <c r="D55" s="56"/>
      <c r="E55" s="12">
        <f>SUM(E46:E54)</f>
        <v>175200.51349233041</v>
      </c>
      <c r="F55" s="68">
        <f>SUM(F46:F54)</f>
        <v>103440.47446940572</v>
      </c>
      <c r="G55" s="69">
        <f>SUM(G46:G54)</f>
        <v>15759.034172379361</v>
      </c>
      <c r="H55" s="46">
        <f t="shared" ref="H55:K55" si="24">SUM(H46:H54)</f>
        <v>27940.344555504118</v>
      </c>
      <c r="I55" s="74">
        <f t="shared" si="24"/>
        <v>1024.6489813036176</v>
      </c>
      <c r="J55" s="74">
        <f t="shared" si="24"/>
        <v>22102.83703793132</v>
      </c>
      <c r="K55" s="74">
        <f t="shared" si="24"/>
        <v>36613.609722287292</v>
      </c>
      <c r="L55" s="10"/>
      <c r="M55" s="19"/>
      <c r="N55" s="10"/>
    </row>
    <row r="56" spans="1:18" ht="13.5" thickTop="1" x14ac:dyDescent="0.3">
      <c r="F56" s="15"/>
      <c r="H56" s="48" t="s">
        <v>98</v>
      </c>
      <c r="I56" s="7"/>
      <c r="J56" s="7"/>
      <c r="K56" s="7"/>
    </row>
    <row r="57" spans="1:18" x14ac:dyDescent="0.25">
      <c r="G57" s="21"/>
    </row>
    <row r="60" spans="1:18" ht="13" x14ac:dyDescent="0.3">
      <c r="F60" s="99" t="s">
        <v>97</v>
      </c>
      <c r="G60" s="100"/>
      <c r="H60" s="100"/>
      <c r="I60" s="100"/>
      <c r="J60" s="100"/>
      <c r="K60" s="101"/>
    </row>
    <row r="61" spans="1:18" ht="13" x14ac:dyDescent="0.3">
      <c r="F61" s="70"/>
      <c r="G61" s="6" t="s">
        <v>70</v>
      </c>
      <c r="H61" s="6" t="s">
        <v>20</v>
      </c>
      <c r="I61" s="6" t="s">
        <v>71</v>
      </c>
      <c r="J61" s="6" t="s">
        <v>72</v>
      </c>
      <c r="K61" s="55" t="s">
        <v>73</v>
      </c>
    </row>
    <row r="62" spans="1:18" x14ac:dyDescent="0.25">
      <c r="F62" s="71" t="s">
        <v>38</v>
      </c>
      <c r="G62" s="37">
        <f>G46+G48+G49+G52</f>
        <v>9800.2841952244453</v>
      </c>
      <c r="H62" s="22">
        <f>H46+H48+H49+H52</f>
        <v>17375.640801411464</v>
      </c>
      <c r="I62" s="22">
        <f>I46+I48+I49+I52</f>
        <v>637.21235116825142</v>
      </c>
      <c r="J62" s="22">
        <f>J46+J48+J49+J52</f>
        <v>13745.390873770442</v>
      </c>
      <c r="K62" s="23">
        <f>K46+K48+K49+K52</f>
        <v>22769.401777194806</v>
      </c>
    </row>
    <row r="63" spans="1:18" x14ac:dyDescent="0.25">
      <c r="F63" s="62" t="s">
        <v>64</v>
      </c>
      <c r="G63" s="8">
        <f>G51+G54</f>
        <v>2822.7113682428235</v>
      </c>
      <c r="H63" s="18">
        <f>H51+H54</f>
        <v>5004.5914836375541</v>
      </c>
      <c r="I63" s="18">
        <f>I51+I54</f>
        <v>183.53208047822008</v>
      </c>
      <c r="J63" s="18">
        <f>J51+J54</f>
        <v>3958.9944850006877</v>
      </c>
      <c r="K63" s="24">
        <f>K51+K54</f>
        <v>6558.1209650935216</v>
      </c>
    </row>
    <row r="64" spans="1:18" x14ac:dyDescent="0.25">
      <c r="F64" s="62" t="s">
        <v>47</v>
      </c>
      <c r="G64" s="8">
        <f>G53</f>
        <v>3136.0386089120911</v>
      </c>
      <c r="H64" s="18">
        <f>H53</f>
        <v>5560.1122704550962</v>
      </c>
      <c r="I64" s="18">
        <f>I53</f>
        <v>203.90454965714599</v>
      </c>
      <c r="J64" s="18">
        <f>J53</f>
        <v>4398.4516791601882</v>
      </c>
      <c r="K64" s="24">
        <f>K53</f>
        <v>7286.0869799989678</v>
      </c>
    </row>
    <row r="65" spans="6:11" ht="13.5" thickBot="1" x14ac:dyDescent="0.35">
      <c r="F65" s="65" t="s">
        <v>30</v>
      </c>
      <c r="G65" s="72">
        <f>SUM(G62:G64)</f>
        <v>15759.034172379361</v>
      </c>
      <c r="H65" s="46">
        <f>SUM(H62:H64)</f>
        <v>27940.344555504111</v>
      </c>
      <c r="I65" s="73">
        <f>SUM(I62:I64)</f>
        <v>1024.6489813036176</v>
      </c>
      <c r="J65" s="73">
        <f>SUM(J62:J64)</f>
        <v>22102.83703793132</v>
      </c>
      <c r="K65" s="75">
        <f>SUM(K62:K64)</f>
        <v>36613.609722287292</v>
      </c>
    </row>
    <row r="66" spans="6:11" ht="13.5" thickTop="1" x14ac:dyDescent="0.3">
      <c r="H66" s="48" t="s">
        <v>98</v>
      </c>
      <c r="I66" s="15"/>
      <c r="J66" s="15"/>
      <c r="K66" s="15"/>
    </row>
  </sheetData>
  <mergeCells count="5">
    <mergeCell ref="F60:K60"/>
    <mergeCell ref="O7:P7"/>
    <mergeCell ref="F27:G27"/>
    <mergeCell ref="P29:Q29"/>
    <mergeCell ref="G43:K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DEA7-9073-43A0-8196-3EB21AEF926A}">
  <dimension ref="A1:L26"/>
  <sheetViews>
    <sheetView workbookViewId="0">
      <selection activeCell="A28" sqref="A28"/>
    </sheetView>
  </sheetViews>
  <sheetFormatPr defaultColWidth="11.4140625" defaultRowHeight="12.5" x14ac:dyDescent="0.25"/>
  <cols>
    <col min="1" max="1" width="11.4140625" style="1"/>
    <col min="2" max="2" width="31.83203125" style="1" customWidth="1"/>
    <col min="3" max="3" width="14.4140625" style="1" customWidth="1"/>
    <col min="4" max="4" width="20" style="1" customWidth="1"/>
    <col min="5" max="5" width="14.58203125" style="1" customWidth="1"/>
    <col min="6" max="6" width="8.83203125" style="1" bestFit="1" customWidth="1"/>
    <col min="7" max="7" width="13.58203125" style="1" bestFit="1" customWidth="1"/>
    <col min="8" max="8" width="14.83203125" style="1" bestFit="1" customWidth="1"/>
    <col min="9" max="9" width="22.1640625" style="1" customWidth="1"/>
    <col min="10" max="10" width="16" style="1" bestFit="1" customWidth="1"/>
    <col min="11" max="11" width="22" style="1" bestFit="1" customWidth="1"/>
    <col min="12" max="12" width="24" style="1" bestFit="1" customWidth="1"/>
    <col min="13" max="13" width="9.83203125" style="1" bestFit="1" customWidth="1"/>
    <col min="14" max="15" width="11.75" style="1" bestFit="1" customWidth="1"/>
    <col min="16" max="16" width="12.25" style="1" bestFit="1" customWidth="1"/>
    <col min="17" max="17" width="13.58203125" style="1" bestFit="1" customWidth="1"/>
    <col min="18" max="18" width="11.25" style="1" bestFit="1" customWidth="1"/>
    <col min="19" max="19" width="13.83203125" style="1" bestFit="1" customWidth="1"/>
    <col min="20" max="21" width="11.75" style="1" bestFit="1" customWidth="1"/>
    <col min="22" max="22" width="12.25" style="1" bestFit="1" customWidth="1"/>
    <col min="23" max="16384" width="11.4140625" style="1"/>
  </cols>
  <sheetData>
    <row r="1" spans="1:12" ht="15.5" x14ac:dyDescent="0.35">
      <c r="A1" s="26" t="s">
        <v>102</v>
      </c>
    </row>
    <row r="2" spans="1:12" x14ac:dyDescent="0.25">
      <c r="A2" s="1" t="s">
        <v>103</v>
      </c>
    </row>
    <row r="5" spans="1:12" ht="13.5" thickBot="1" x14ac:dyDescent="0.35">
      <c r="D5" s="104" t="s">
        <v>104</v>
      </c>
      <c r="E5" s="104"/>
      <c r="F5" s="104"/>
      <c r="G5" s="104"/>
      <c r="H5" s="104"/>
      <c r="I5" s="104"/>
      <c r="L5" s="49">
        <v>0.59040000000000004</v>
      </c>
    </row>
    <row r="6" spans="1:12" ht="13" x14ac:dyDescent="0.3">
      <c r="B6" s="5"/>
      <c r="C6" s="7">
        <v>2024</v>
      </c>
      <c r="D6" s="105"/>
      <c r="E6" s="105"/>
      <c r="F6" s="105"/>
      <c r="G6" s="105"/>
      <c r="H6" s="7" t="s">
        <v>30</v>
      </c>
      <c r="I6" s="7" t="s">
        <v>30</v>
      </c>
      <c r="K6" s="15" t="s">
        <v>105</v>
      </c>
      <c r="L6" s="78" t="s">
        <v>74</v>
      </c>
    </row>
    <row r="7" spans="1:12" ht="13" x14ac:dyDescent="0.3">
      <c r="A7" s="79" t="s">
        <v>1</v>
      </c>
      <c r="B7" s="80" t="s">
        <v>2</v>
      </c>
      <c r="C7" s="79" t="s">
        <v>75</v>
      </c>
      <c r="D7" s="79" t="s">
        <v>106</v>
      </c>
      <c r="E7" s="79" t="s">
        <v>107</v>
      </c>
      <c r="F7" s="79" t="s">
        <v>76</v>
      </c>
      <c r="G7" s="79" t="s">
        <v>108</v>
      </c>
      <c r="H7" s="79" t="s">
        <v>109</v>
      </c>
      <c r="I7" s="79" t="s">
        <v>87</v>
      </c>
      <c r="J7" s="79" t="s">
        <v>77</v>
      </c>
      <c r="K7" s="25" t="s">
        <v>110</v>
      </c>
      <c r="L7" s="79" t="s">
        <v>78</v>
      </c>
    </row>
    <row r="8" spans="1:12" ht="13" x14ac:dyDescent="0.3">
      <c r="A8" s="7" t="s">
        <v>111</v>
      </c>
      <c r="B8" s="81" t="s">
        <v>6</v>
      </c>
      <c r="C8" s="82">
        <v>29.57</v>
      </c>
      <c r="D8" s="13">
        <v>370.62620000000004</v>
      </c>
      <c r="E8" s="83">
        <f>+D8*C8</f>
        <v>10959.416734000002</v>
      </c>
      <c r="F8" s="13">
        <v>107.5598</v>
      </c>
      <c r="G8" s="83">
        <f>+F8*C8*1.5</f>
        <v>4770.8149290000001</v>
      </c>
      <c r="H8" s="10">
        <f>+D8+F8</f>
        <v>478.18600000000004</v>
      </c>
      <c r="I8" s="84">
        <f>+E8+G8</f>
        <v>15730.231663000002</v>
      </c>
      <c r="J8" s="85">
        <f t="shared" ref="J8" si="0">+I8*0.05</f>
        <v>786.51158315000021</v>
      </c>
      <c r="K8" s="38">
        <f>SUM(I8:J8)</f>
        <v>16516.743246150003</v>
      </c>
      <c r="L8" s="85">
        <f>+I8*$L$5</f>
        <v>9287.1287738352021</v>
      </c>
    </row>
    <row r="9" spans="1:12" ht="13" x14ac:dyDescent="0.3">
      <c r="A9" s="7" t="s">
        <v>79</v>
      </c>
      <c r="B9" s="81" t="s">
        <v>7</v>
      </c>
      <c r="C9" s="82">
        <v>21.09</v>
      </c>
      <c r="D9" s="13">
        <v>333</v>
      </c>
      <c r="E9" s="83">
        <f>+D9*C9</f>
        <v>7022.97</v>
      </c>
      <c r="F9" s="13">
        <v>47.76</v>
      </c>
      <c r="G9" s="83">
        <f>+F9*C9*1.5</f>
        <v>1510.8876</v>
      </c>
      <c r="H9" s="10">
        <f>+D9+F9</f>
        <v>380.76</v>
      </c>
      <c r="I9" s="85">
        <f>+E9+G9</f>
        <v>8533.8575999999994</v>
      </c>
      <c r="J9" s="85">
        <f>+I9*0.05</f>
        <v>426.69288</v>
      </c>
      <c r="K9" s="38">
        <f>SUM(I9:J9)</f>
        <v>8960.5504799999999</v>
      </c>
      <c r="L9" s="85">
        <f>+I9*$L$5</f>
        <v>5038.3895270399998</v>
      </c>
    </row>
    <row r="10" spans="1:12" ht="13" x14ac:dyDescent="0.3">
      <c r="A10" s="7" t="s">
        <v>80</v>
      </c>
      <c r="B10" s="81" t="s">
        <v>8</v>
      </c>
      <c r="C10" s="82">
        <v>22.94</v>
      </c>
      <c r="D10" s="13">
        <v>413.03999999999996</v>
      </c>
      <c r="E10" s="83">
        <f t="shared" ref="E10:E14" si="1">+D10*C10</f>
        <v>9475.1376</v>
      </c>
      <c r="F10" s="13">
        <v>21.840000000000003</v>
      </c>
      <c r="G10" s="83">
        <f t="shared" ref="G10:G14" si="2">+F10*C10*1.5</f>
        <v>751.51440000000014</v>
      </c>
      <c r="H10" s="10">
        <f t="shared" ref="H10:I14" si="3">+D10+F10</f>
        <v>434.88</v>
      </c>
      <c r="I10" s="85">
        <f t="shared" si="3"/>
        <v>10226.652</v>
      </c>
      <c r="J10" s="85">
        <f t="shared" ref="J10:J14" si="4">+I10*0.05</f>
        <v>511.33260000000001</v>
      </c>
      <c r="K10" s="38">
        <f t="shared" ref="K10:K14" si="5">SUM(I10:J10)</f>
        <v>10737.9846</v>
      </c>
      <c r="L10" s="85">
        <f t="shared" ref="L10:L14" si="6">+I10*$L$5</f>
        <v>6037.8153408000007</v>
      </c>
    </row>
    <row r="11" spans="1:12" ht="13" x14ac:dyDescent="0.3">
      <c r="A11" s="7" t="s">
        <v>81</v>
      </c>
      <c r="B11" s="81" t="s">
        <v>13</v>
      </c>
      <c r="C11" s="82">
        <v>20</v>
      </c>
      <c r="D11" s="13">
        <v>322.08</v>
      </c>
      <c r="E11" s="83">
        <f t="shared" si="1"/>
        <v>6441.5999999999995</v>
      </c>
      <c r="F11" s="13">
        <v>43.32</v>
      </c>
      <c r="G11" s="83">
        <f t="shared" si="2"/>
        <v>1299.5999999999999</v>
      </c>
      <c r="H11" s="10">
        <f t="shared" si="3"/>
        <v>365.4</v>
      </c>
      <c r="I11" s="85">
        <f t="shared" si="3"/>
        <v>7741.1999999999989</v>
      </c>
      <c r="J11" s="85">
        <f t="shared" si="4"/>
        <v>387.05999999999995</v>
      </c>
      <c r="K11" s="38">
        <f t="shared" si="5"/>
        <v>8128.2599999999984</v>
      </c>
      <c r="L11" s="85">
        <f t="shared" si="6"/>
        <v>4570.4044799999992</v>
      </c>
    </row>
    <row r="12" spans="1:12" ht="13" x14ac:dyDescent="0.3">
      <c r="A12" s="7" t="s">
        <v>82</v>
      </c>
      <c r="B12" s="81" t="s">
        <v>13</v>
      </c>
      <c r="C12" s="82">
        <v>16.850000000000001</v>
      </c>
      <c r="D12" s="13">
        <v>368.28</v>
      </c>
      <c r="E12" s="83">
        <f t="shared" si="1"/>
        <v>6205.518</v>
      </c>
      <c r="F12" s="13">
        <v>21.6</v>
      </c>
      <c r="G12" s="83">
        <f t="shared" si="2"/>
        <v>545.94000000000005</v>
      </c>
      <c r="H12" s="10">
        <f t="shared" si="3"/>
        <v>389.88</v>
      </c>
      <c r="I12" s="85">
        <f t="shared" si="3"/>
        <v>6751.4580000000005</v>
      </c>
      <c r="J12" s="85">
        <f t="shared" si="4"/>
        <v>337.57290000000006</v>
      </c>
      <c r="K12" s="38">
        <f t="shared" si="5"/>
        <v>7089.0309000000007</v>
      </c>
      <c r="L12" s="85">
        <f t="shared" si="6"/>
        <v>3986.0608032000005</v>
      </c>
    </row>
    <row r="13" spans="1:12" ht="13" x14ac:dyDescent="0.3">
      <c r="A13" s="7" t="s">
        <v>83</v>
      </c>
      <c r="B13" s="81" t="s">
        <v>15</v>
      </c>
      <c r="C13" s="82">
        <v>19.670000000000002</v>
      </c>
      <c r="D13" s="13">
        <v>429</v>
      </c>
      <c r="E13" s="83">
        <f t="shared" si="1"/>
        <v>8438.43</v>
      </c>
      <c r="F13" s="13">
        <v>6.96</v>
      </c>
      <c r="G13" s="83">
        <f t="shared" si="2"/>
        <v>205.35480000000001</v>
      </c>
      <c r="H13" s="10">
        <f t="shared" si="3"/>
        <v>435.96</v>
      </c>
      <c r="I13" s="85">
        <f t="shared" si="3"/>
        <v>8643.7847999999994</v>
      </c>
      <c r="J13" s="85">
        <f t="shared" si="4"/>
        <v>432.18923999999998</v>
      </c>
      <c r="K13" s="38">
        <f t="shared" si="5"/>
        <v>9075.9740399999991</v>
      </c>
      <c r="L13" s="85">
        <f t="shared" si="6"/>
        <v>5103.2905459200001</v>
      </c>
    </row>
    <row r="14" spans="1:12" ht="13" x14ac:dyDescent="0.3">
      <c r="A14" s="7" t="s">
        <v>84</v>
      </c>
      <c r="B14" s="81" t="s">
        <v>13</v>
      </c>
      <c r="C14" s="82">
        <v>18.2</v>
      </c>
      <c r="D14" s="86">
        <v>371.16</v>
      </c>
      <c r="E14" s="87">
        <f t="shared" si="1"/>
        <v>6755.1120000000001</v>
      </c>
      <c r="F14" s="86">
        <v>20.76</v>
      </c>
      <c r="G14" s="87">
        <f t="shared" si="2"/>
        <v>566.74800000000005</v>
      </c>
      <c r="H14" s="88">
        <f t="shared" si="3"/>
        <v>391.92</v>
      </c>
      <c r="I14" s="87">
        <f t="shared" si="3"/>
        <v>7321.8600000000006</v>
      </c>
      <c r="J14" s="87">
        <f t="shared" si="4"/>
        <v>366.09300000000007</v>
      </c>
      <c r="K14" s="89">
        <f t="shared" si="5"/>
        <v>7687.9530000000004</v>
      </c>
      <c r="L14" s="87">
        <f t="shared" si="6"/>
        <v>4322.8261440000006</v>
      </c>
    </row>
    <row r="15" spans="1:12" ht="13.5" thickBot="1" x14ac:dyDescent="0.35">
      <c r="B15" s="81" t="s">
        <v>112</v>
      </c>
      <c r="D15" s="13">
        <f t="shared" ref="D15:L15" si="7">SUM(D8:D14)</f>
        <v>2607.1862000000001</v>
      </c>
      <c r="E15" s="83">
        <f t="shared" si="7"/>
        <v>55298.184334000005</v>
      </c>
      <c r="F15" s="13">
        <f t="shared" si="7"/>
        <v>269.7998</v>
      </c>
      <c r="G15" s="83">
        <f t="shared" si="7"/>
        <v>9650.8597289999998</v>
      </c>
      <c r="H15" s="8">
        <f t="shared" si="7"/>
        <v>2876.9860000000003</v>
      </c>
      <c r="I15" s="90">
        <f t="shared" si="7"/>
        <v>64949.044063000001</v>
      </c>
      <c r="J15" s="85">
        <f t="shared" si="7"/>
        <v>3247.452203150001</v>
      </c>
      <c r="K15" s="46">
        <f t="shared" si="7"/>
        <v>68196.496266149989</v>
      </c>
      <c r="L15" s="91">
        <f t="shared" si="7"/>
        <v>38345.915614795202</v>
      </c>
    </row>
    <row r="16" spans="1:12" ht="13.5" thickTop="1" x14ac:dyDescent="0.3">
      <c r="K16" s="48" t="s">
        <v>100</v>
      </c>
    </row>
    <row r="17" spans="2:12" ht="13" x14ac:dyDescent="0.3">
      <c r="K17" s="48" t="s">
        <v>101</v>
      </c>
      <c r="L17" s="7"/>
    </row>
    <row r="18" spans="2:12" ht="13" x14ac:dyDescent="0.3">
      <c r="K18" s="15"/>
    </row>
    <row r="20" spans="2:12" ht="13" x14ac:dyDescent="0.3">
      <c r="G20" s="99" t="s">
        <v>113</v>
      </c>
      <c r="H20" s="100"/>
      <c r="I20" s="100"/>
      <c r="J20" s="100"/>
      <c r="K20" s="101"/>
    </row>
    <row r="21" spans="2:12" x14ac:dyDescent="0.25">
      <c r="G21" s="50">
        <v>0.152348819484972</v>
      </c>
      <c r="H21" s="51">
        <v>0.27011036732790655</v>
      </c>
      <c r="I21" s="51">
        <v>9.9056871747690498E-3</v>
      </c>
      <c r="J21" s="51">
        <v>0.21367687214610187</v>
      </c>
      <c r="K21" s="52">
        <v>0.35395825386625035</v>
      </c>
    </row>
    <row r="22" spans="2:12" x14ac:dyDescent="0.25">
      <c r="G22" s="92" t="s">
        <v>70</v>
      </c>
      <c r="H22" s="79" t="s">
        <v>20</v>
      </c>
      <c r="I22" s="79" t="s">
        <v>71</v>
      </c>
      <c r="J22" s="79" t="s">
        <v>72</v>
      </c>
      <c r="K22" s="93" t="s">
        <v>73</v>
      </c>
    </row>
    <row r="23" spans="2:12" ht="14.5" x14ac:dyDescent="0.45">
      <c r="G23" s="94">
        <f>+L15*G21</f>
        <v>5841.9549759844031</v>
      </c>
      <c r="H23" s="95">
        <f>+L15*H21</f>
        <v>10357.62935223724</v>
      </c>
      <c r="I23" s="97">
        <f>+L15*I21</f>
        <v>379.84264451025308</v>
      </c>
      <c r="J23" s="97">
        <f>+L15*J21</f>
        <v>8193.6353081478064</v>
      </c>
      <c r="K23" s="98">
        <f>+L15*K21</f>
        <v>13572.853333915493</v>
      </c>
      <c r="L23" s="96">
        <f>SUM(G23:K23)</f>
        <v>38345.915614795202</v>
      </c>
    </row>
    <row r="24" spans="2:12" ht="13" x14ac:dyDescent="0.3">
      <c r="B24" s="20"/>
      <c r="G24" s="7" t="s">
        <v>85</v>
      </c>
      <c r="H24" s="48" t="s">
        <v>99</v>
      </c>
      <c r="I24" s="15"/>
      <c r="J24" s="15"/>
      <c r="K24" s="15"/>
    </row>
    <row r="25" spans="2:12" ht="13" x14ac:dyDescent="0.3">
      <c r="B25" s="20"/>
    </row>
    <row r="26" spans="2:12" ht="13" x14ac:dyDescent="0.3">
      <c r="B26" s="20"/>
      <c r="L26" s="22"/>
    </row>
  </sheetData>
  <mergeCells count="4">
    <mergeCell ref="D5:I5"/>
    <mergeCell ref="D6:E6"/>
    <mergeCell ref="F6:G6"/>
    <mergeCell ref="G20:K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Employees</vt:lpstr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SKO</cp:lastModifiedBy>
  <dcterms:created xsi:type="dcterms:W3CDTF">2024-10-08T17:27:11Z</dcterms:created>
  <dcterms:modified xsi:type="dcterms:W3CDTF">2024-10-11T22:23:56Z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dDocumentId">
    <vt:lpwstr>4895-6530-0206</vt:lpwstr>
  </property>
</Properties>
</file>