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Water Districts/Warren Co. WD/Water Rate Case 2024/PSC 2/"/>
    </mc:Choice>
  </mc:AlternateContent>
  <xr:revisionPtr revIDLastSave="1" documentId="13_ncr:1_{D293CF00-CE9A-47FC-9BBB-931020F21FD8}" xr6:coauthVersionLast="47" xr6:coauthVersionMax="47" xr10:uidLastSave="{8CFB864C-5D7B-4C38-924F-102096B64073}"/>
  <bookViews>
    <workbookView xWindow="-110" yWindow="-110" windowWidth="19420" windowHeight="11760" xr2:uid="{00000000-000D-0000-FFFF-FFFF00000000}"/>
  </bookViews>
  <sheets>
    <sheet name="Sheet1" sheetId="1" r:id="rId1"/>
  </sheets>
  <definedNames>
    <definedName name="_xlnm.Print_Area" localSheetId="0">Sheet1!$A$1:$AG$40</definedName>
    <definedName name="_xlnm.Print_Area">Sheet1!$AD$6:$AG$40</definedName>
    <definedName name="_xlnm.Print_Titles" localSheetId="0">Sheet1!$A:$A,Sheet1!$1:$5</definedName>
    <definedName name="_xlnm.Print_Titles">#N/A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8" i="1" l="1"/>
  <c r="X17" i="1"/>
  <c r="X16" i="1"/>
  <c r="AD41" i="1"/>
  <c r="AD12" i="1" l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X40" i="1"/>
  <c r="V40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W17" i="1"/>
  <c r="Y17" i="1" s="1"/>
  <c r="Y16" i="1"/>
  <c r="Y15" i="1"/>
  <c r="AA40" i="1"/>
  <c r="AB40" i="1"/>
  <c r="Z40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6" i="1"/>
  <c r="S17" i="1"/>
  <c r="U17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24" i="1"/>
  <c r="U24" i="1" s="1"/>
  <c r="S23" i="1"/>
  <c r="U23" i="1" s="1"/>
  <c r="S22" i="1"/>
  <c r="U22" i="1" s="1"/>
  <c r="S21" i="1"/>
  <c r="U21" i="1" s="1"/>
  <c r="S20" i="1"/>
  <c r="U20" i="1" s="1"/>
  <c r="S19" i="1"/>
  <c r="U19" i="1" s="1"/>
  <c r="S18" i="1"/>
  <c r="U18" i="1" s="1"/>
  <c r="S16" i="1"/>
  <c r="U16" i="1" s="1"/>
  <c r="S15" i="1"/>
  <c r="U15" i="1" s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U32" i="1"/>
  <c r="D40" i="1"/>
  <c r="B40" i="1"/>
  <c r="H40" i="1"/>
  <c r="G40" i="1"/>
  <c r="F40" i="1"/>
  <c r="L40" i="1"/>
  <c r="J40" i="1"/>
  <c r="P40" i="1"/>
  <c r="N40" i="1"/>
  <c r="T40" i="1"/>
  <c r="R40" i="1"/>
  <c r="U38" i="1"/>
  <c r="U37" i="1"/>
  <c r="U36" i="1"/>
  <c r="U35" i="1"/>
  <c r="U34" i="1"/>
  <c r="U33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5" i="1"/>
  <c r="I16" i="1"/>
  <c r="I17" i="1"/>
  <c r="I18" i="1"/>
  <c r="I19" i="1"/>
  <c r="I20" i="1"/>
  <c r="I21" i="1"/>
  <c r="Q38" i="1"/>
  <c r="Q37" i="1"/>
  <c r="Q36" i="1"/>
  <c r="Q35" i="1"/>
  <c r="Q34" i="1"/>
  <c r="Q33" i="1"/>
  <c r="Y40" i="1" l="1"/>
  <c r="AD40" i="1"/>
  <c r="W40" i="1"/>
  <c r="AC17" i="1"/>
  <c r="I40" i="1"/>
  <c r="AC15" i="1"/>
  <c r="U40" i="1"/>
  <c r="S40" i="1"/>
  <c r="O40" i="1"/>
  <c r="Q40" i="1"/>
  <c r="AC40" i="1" l="1"/>
  <c r="M23" i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M40" i="1" l="1"/>
  <c r="K40" i="1"/>
  <c r="AG38" i="1"/>
  <c r="E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AG23" i="1" l="1"/>
  <c r="C40" i="1"/>
  <c r="E15" i="1"/>
  <c r="E16" i="1"/>
  <c r="E17" i="1"/>
  <c r="AG27" i="1"/>
  <c r="AG31" i="1"/>
  <c r="AG29" i="1"/>
  <c r="E19" i="1"/>
  <c r="E23" i="1"/>
  <c r="E20" i="1"/>
  <c r="E24" i="1"/>
  <c r="AG24" i="1"/>
  <c r="E28" i="1"/>
  <c r="AG28" i="1"/>
  <c r="E32" i="1"/>
  <c r="AG32" i="1"/>
  <c r="E36" i="1"/>
  <c r="AG36" i="1"/>
  <c r="E21" i="1"/>
  <c r="E25" i="1"/>
  <c r="E18" i="1"/>
  <c r="E22" i="1"/>
  <c r="E26" i="1"/>
  <c r="AG26" i="1"/>
  <c r="E30" i="1"/>
  <c r="AG33" i="1"/>
  <c r="AG37" i="1"/>
  <c r="E34" i="1"/>
  <c r="AF40" i="1"/>
  <c r="AF41" i="1" s="1"/>
  <c r="AG30" i="1"/>
  <c r="AG34" i="1"/>
  <c r="AG35" i="1"/>
  <c r="E27" i="1"/>
  <c r="E31" i="1"/>
  <c r="E35" i="1"/>
  <c r="E29" i="1"/>
  <c r="E33" i="1"/>
  <c r="E37" i="1"/>
  <c r="E40" i="1" l="1"/>
  <c r="AG22" i="1"/>
  <c r="AG20" i="1"/>
  <c r="AG18" i="1"/>
  <c r="AG21" i="1"/>
  <c r="AG19" i="1"/>
  <c r="AG17" i="1"/>
  <c r="AG25" i="1"/>
  <c r="AG16" i="1"/>
  <c r="AG15" i="1"/>
  <c r="AE40" i="1" l="1"/>
  <c r="AE41" i="1" s="1"/>
  <c r="AG40" i="1" l="1"/>
  <c r="AG41" i="1" s="1"/>
</calcChain>
</file>

<file path=xl/sharedStrings.xml><?xml version="1.0" encoding="utf-8"?>
<sst xmlns="http://schemas.openxmlformats.org/spreadsheetml/2006/main" count="77" uniqueCount="40">
  <si>
    <t>WARREN COUNTY WATER DISTRICT</t>
  </si>
  <si>
    <t>WATER DIVISION</t>
  </si>
  <si>
    <t>DEBT SERVICE SCHDEDULE</t>
  </si>
  <si>
    <t>Lender:</t>
  </si>
  <si>
    <t>USDA</t>
  </si>
  <si>
    <t>KIA</t>
  </si>
  <si>
    <t>TOTAL ANNUAL DEBT</t>
  </si>
  <si>
    <t>Issued:</t>
  </si>
  <si>
    <t>SERVICE REQUIREMENT</t>
  </si>
  <si>
    <t>Rate:</t>
  </si>
  <si>
    <t>2.85% (TIC)</t>
  </si>
  <si>
    <t>2.75% (TIC)</t>
  </si>
  <si>
    <t>2.02% (TIC)</t>
  </si>
  <si>
    <t>3.79% (TIC)</t>
  </si>
  <si>
    <t>Coupon:</t>
  </si>
  <si>
    <t>N/A</t>
  </si>
  <si>
    <t>Loan ID:</t>
  </si>
  <si>
    <t>Series 2005A</t>
  </si>
  <si>
    <t>Series 2013B (Water Division Portion)</t>
  </si>
  <si>
    <t>Series 2016B</t>
  </si>
  <si>
    <t>Series 2020 (C19-002)</t>
  </si>
  <si>
    <t>Series 2021A</t>
  </si>
  <si>
    <t>Series 2022D (Water Division Portion)</t>
  </si>
  <si>
    <t>Pymt Dates:</t>
  </si>
  <si>
    <t>January 1st \ July 1st</t>
  </si>
  <si>
    <t>February 1st \ August 1st</t>
  </si>
  <si>
    <t>June 1st \ August 1st</t>
  </si>
  <si>
    <t>Loan Amt:</t>
  </si>
  <si>
    <t>Year</t>
  </si>
  <si>
    <t>Principal</t>
  </si>
  <si>
    <t>Interest</t>
  </si>
  <si>
    <t>Fees</t>
  </si>
  <si>
    <t>Total</t>
  </si>
  <si>
    <t>TOTALS</t>
  </si>
  <si>
    <t>3.34% (TIC)</t>
  </si>
  <si>
    <t>Series 2024D (Water Division Portion)</t>
  </si>
  <si>
    <t>2.30% - 3.30%</t>
  </si>
  <si>
    <t>2.25% - 3.25%</t>
  </si>
  <si>
    <t>2.25% - 4.25%</t>
  </si>
  <si>
    <t>RWFA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</si>
</sst>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??_);_(@_)"/>
  </numFmts>
  <fonts count="8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4" fontId="1" fillId="0" borderId="0" xfId="0" applyNumberFormat="1" applyFont="1"/>
    <xf numFmtId="43" fontId="1" fillId="0" borderId="0" xfId="1" applyFont="1" applyBorder="1"/>
    <xf numFmtId="43" fontId="1" fillId="0" borderId="0" xfId="1" applyFont="1" applyAlignment="1"/>
    <xf numFmtId="0" fontId="3" fillId="0" borderId="0" xfId="0" applyFont="1"/>
    <xf numFmtId="0" fontId="6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8" fontId="1" fillId="0" borderId="0" xfId="1" applyNumberFormat="1" applyFont="1" applyAlignment="1"/>
    <xf numFmtId="39" fontId="1" fillId="0" borderId="0" xfId="1" applyNumberFormat="1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7" fontId="1" fillId="0" borderId="4" xfId="2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64" fontId="1" fillId="0" borderId="0" xfId="0" quotePrefix="1" applyNumberFormat="1" applyFont="1"/>
    <xf numFmtId="164" fontId="1" fillId="0" borderId="0" xfId="0" applyNumberFormat="1" applyFont="1"/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/>
    <xf numFmtId="167" fontId="1" fillId="0" borderId="3" xfId="2" applyNumberFormat="1" applyFont="1" applyBorder="1" applyAlignment="1">
      <alignment horizontal="center"/>
    </xf>
    <xf numFmtId="167" fontId="1" fillId="0" borderId="5" xfId="2" applyNumberFormat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1" fillId="0" borderId="0" xfId="1" applyFont="1"/>
    <xf numFmtId="165" fontId="3" fillId="0" borderId="0" xfId="0" applyNumberFormat="1" applyFont="1"/>
    <xf numFmtId="43" fontId="1" fillId="0" borderId="0" xfId="0" applyNumberFormat="1" applyFont="1"/>
    <xf numFmtId="165" fontId="1" fillId="0" borderId="0" xfId="0" applyNumberFormat="1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42"/>
  <sheetViews>
    <sheetView tabSelected="1" zoomScale="87" zoomScaleNormal="87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X25" sqref="X25"/>
    </sheetView>
  </sheetViews>
  <sheetFormatPr defaultColWidth="9.765625" defaultRowHeight="12.5" x14ac:dyDescent="0.25"/>
  <cols>
    <col min="1" max="1" width="9.69140625" style="2" customWidth="1"/>
    <col min="2" max="5" width="11.07421875" style="1" customWidth="1"/>
    <col min="6" max="9" width="11.07421875" style="3" customWidth="1"/>
    <col min="10" max="33" width="11.07421875" style="1" customWidth="1"/>
    <col min="34" max="34" width="11.07421875" style="1" bestFit="1" customWidth="1"/>
    <col min="35" max="35" width="11.765625" style="1" customWidth="1"/>
    <col min="36" max="36" width="9.765625" style="1"/>
    <col min="37" max="37" width="12.07421875" style="1" customWidth="1"/>
    <col min="38" max="16384" width="9.765625" style="1"/>
  </cols>
  <sheetData>
    <row r="1" spans="1:230" ht="15.5" x14ac:dyDescent="0.35">
      <c r="A1" s="23"/>
      <c r="B1" s="8" t="s">
        <v>0</v>
      </c>
    </row>
    <row r="2" spans="1:230" ht="15" customHeight="1" x14ac:dyDescent="0.35">
      <c r="A2" s="23"/>
      <c r="B2" s="8" t="s">
        <v>1</v>
      </c>
      <c r="F2" s="1"/>
      <c r="G2" s="1"/>
      <c r="H2" s="1"/>
      <c r="I2" s="1"/>
    </row>
    <row r="3" spans="1:230" ht="15" customHeight="1" x14ac:dyDescent="0.35">
      <c r="A3" s="23"/>
      <c r="B3" s="8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38"/>
      <c r="AF3" s="7"/>
      <c r="AG3" s="7"/>
    </row>
    <row r="4" spans="1:230" ht="15" customHeigh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37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230" x14ac:dyDescent="0.25">
      <c r="A5" s="1"/>
      <c r="F5" s="1"/>
      <c r="G5" s="1"/>
      <c r="H5" s="1"/>
      <c r="I5" s="1"/>
    </row>
    <row r="6" spans="1:230" ht="15" customHeight="1" x14ac:dyDescent="0.3">
      <c r="A6" s="11" t="s">
        <v>3</v>
      </c>
      <c r="B6" s="41" t="s">
        <v>4</v>
      </c>
      <c r="C6" s="42"/>
      <c r="D6" s="42"/>
      <c r="E6" s="43"/>
      <c r="F6" s="41" t="s">
        <v>39</v>
      </c>
      <c r="G6" s="42"/>
      <c r="H6" s="42"/>
      <c r="I6" s="43"/>
      <c r="J6" s="41" t="s">
        <v>39</v>
      </c>
      <c r="K6" s="42"/>
      <c r="L6" s="42"/>
      <c r="M6" s="43"/>
      <c r="N6" s="41" t="s">
        <v>5</v>
      </c>
      <c r="O6" s="42"/>
      <c r="P6" s="42"/>
      <c r="Q6" s="43"/>
      <c r="R6" s="41" t="s">
        <v>39</v>
      </c>
      <c r="S6" s="42"/>
      <c r="T6" s="42"/>
      <c r="U6" s="43"/>
      <c r="V6" s="41" t="s">
        <v>39</v>
      </c>
      <c r="W6" s="42"/>
      <c r="X6" s="42"/>
      <c r="Y6" s="43"/>
      <c r="Z6" s="41" t="s">
        <v>39</v>
      </c>
      <c r="AA6" s="42"/>
      <c r="AB6" s="42"/>
      <c r="AC6" s="43"/>
      <c r="AD6" s="54" t="s">
        <v>6</v>
      </c>
      <c r="AE6" s="55"/>
      <c r="AF6" s="55"/>
      <c r="AG6" s="56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</row>
    <row r="7" spans="1:230" ht="15" customHeight="1" x14ac:dyDescent="0.3">
      <c r="A7" s="12" t="s">
        <v>7</v>
      </c>
      <c r="B7" s="44">
        <v>38895</v>
      </c>
      <c r="C7" s="45"/>
      <c r="D7" s="45"/>
      <c r="E7" s="46"/>
      <c r="F7" s="44">
        <v>41332</v>
      </c>
      <c r="G7" s="45"/>
      <c r="H7" s="45"/>
      <c r="I7" s="46"/>
      <c r="J7" s="44">
        <v>42502</v>
      </c>
      <c r="K7" s="45"/>
      <c r="L7" s="45"/>
      <c r="M7" s="46"/>
      <c r="N7" s="44">
        <v>44239</v>
      </c>
      <c r="O7" s="45"/>
      <c r="P7" s="45"/>
      <c r="Q7" s="46"/>
      <c r="R7" s="44">
        <v>44353</v>
      </c>
      <c r="S7" s="45"/>
      <c r="T7" s="45"/>
      <c r="U7" s="46"/>
      <c r="V7" s="44">
        <v>44861</v>
      </c>
      <c r="W7" s="45"/>
      <c r="X7" s="45"/>
      <c r="Y7" s="46"/>
      <c r="Z7" s="44">
        <v>45503</v>
      </c>
      <c r="AA7" s="45"/>
      <c r="AB7" s="45"/>
      <c r="AC7" s="46"/>
      <c r="AD7" s="57" t="s">
        <v>8</v>
      </c>
      <c r="AE7" s="58"/>
      <c r="AF7" s="58"/>
      <c r="AG7" s="59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</row>
    <row r="8" spans="1:230" ht="13" x14ac:dyDescent="0.3">
      <c r="A8" s="12" t="s">
        <v>9</v>
      </c>
      <c r="B8" s="47">
        <v>4.2500000000000003E-2</v>
      </c>
      <c r="C8" s="48"/>
      <c r="D8" s="48"/>
      <c r="E8" s="49"/>
      <c r="F8" s="47" t="s">
        <v>10</v>
      </c>
      <c r="G8" s="48"/>
      <c r="H8" s="48"/>
      <c r="I8" s="49"/>
      <c r="J8" s="47" t="s">
        <v>11</v>
      </c>
      <c r="K8" s="48"/>
      <c r="L8" s="48"/>
      <c r="M8" s="49"/>
      <c r="N8" s="47">
        <v>0.03</v>
      </c>
      <c r="O8" s="48"/>
      <c r="P8" s="48"/>
      <c r="Q8" s="49"/>
      <c r="R8" s="47" t="s">
        <v>12</v>
      </c>
      <c r="S8" s="48"/>
      <c r="T8" s="48"/>
      <c r="U8" s="49"/>
      <c r="V8" s="47" t="s">
        <v>13</v>
      </c>
      <c r="W8" s="48"/>
      <c r="X8" s="48"/>
      <c r="Y8" s="49"/>
      <c r="Z8" s="47" t="s">
        <v>34</v>
      </c>
      <c r="AA8" s="48"/>
      <c r="AB8" s="48"/>
      <c r="AC8" s="49"/>
      <c r="AD8" s="47"/>
      <c r="AE8" s="48"/>
      <c r="AF8" s="48"/>
      <c r="AG8" s="49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</row>
    <row r="9" spans="1:230" ht="13" x14ac:dyDescent="0.3">
      <c r="A9" s="12" t="s">
        <v>14</v>
      </c>
      <c r="B9" s="47" t="s">
        <v>15</v>
      </c>
      <c r="C9" s="48"/>
      <c r="D9" s="48"/>
      <c r="E9" s="49"/>
      <c r="F9" s="47" t="s">
        <v>36</v>
      </c>
      <c r="G9" s="48"/>
      <c r="H9" s="48"/>
      <c r="I9" s="49"/>
      <c r="J9" s="47" t="s">
        <v>37</v>
      </c>
      <c r="K9" s="48"/>
      <c r="L9" s="48"/>
      <c r="M9" s="49"/>
      <c r="N9" s="47" t="s">
        <v>15</v>
      </c>
      <c r="O9" s="48"/>
      <c r="P9" s="48"/>
      <c r="Q9" s="49"/>
      <c r="R9" s="47" t="s">
        <v>38</v>
      </c>
      <c r="S9" s="48"/>
      <c r="T9" s="48"/>
      <c r="U9" s="49"/>
      <c r="V9" s="47">
        <v>3.5000000000000003E-2</v>
      </c>
      <c r="W9" s="48"/>
      <c r="X9" s="48"/>
      <c r="Y9" s="49"/>
      <c r="Z9" s="47">
        <v>0.05</v>
      </c>
      <c r="AA9" s="48"/>
      <c r="AB9" s="48"/>
      <c r="AC9" s="49"/>
      <c r="AD9" s="24"/>
      <c r="AE9" s="27"/>
      <c r="AF9" s="27"/>
      <c r="AG9" s="28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</row>
    <row r="10" spans="1:230" ht="13" x14ac:dyDescent="0.3">
      <c r="A10" s="12" t="s">
        <v>16</v>
      </c>
      <c r="B10" s="50" t="s">
        <v>17</v>
      </c>
      <c r="C10" s="45"/>
      <c r="D10" s="45"/>
      <c r="E10" s="46"/>
      <c r="F10" s="50" t="s">
        <v>18</v>
      </c>
      <c r="G10" s="45"/>
      <c r="H10" s="45"/>
      <c r="I10" s="46"/>
      <c r="J10" s="50" t="s">
        <v>19</v>
      </c>
      <c r="K10" s="45"/>
      <c r="L10" s="45"/>
      <c r="M10" s="46"/>
      <c r="N10" s="50" t="s">
        <v>20</v>
      </c>
      <c r="O10" s="45"/>
      <c r="P10" s="45"/>
      <c r="Q10" s="46"/>
      <c r="R10" s="50" t="s">
        <v>21</v>
      </c>
      <c r="S10" s="45"/>
      <c r="T10" s="45"/>
      <c r="U10" s="46"/>
      <c r="V10" s="50" t="s">
        <v>22</v>
      </c>
      <c r="W10" s="45"/>
      <c r="X10" s="45"/>
      <c r="Y10" s="46"/>
      <c r="Z10" s="50" t="s">
        <v>35</v>
      </c>
      <c r="AA10" s="45"/>
      <c r="AB10" s="45"/>
      <c r="AC10" s="46"/>
      <c r="AD10" s="50"/>
      <c r="AE10" s="45"/>
      <c r="AF10" s="45"/>
      <c r="AG10" s="46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</row>
    <row r="11" spans="1:230" ht="13" x14ac:dyDescent="0.3">
      <c r="A11" s="12" t="s">
        <v>23</v>
      </c>
      <c r="B11" s="50" t="s">
        <v>24</v>
      </c>
      <c r="C11" s="45"/>
      <c r="D11" s="45"/>
      <c r="E11" s="46"/>
      <c r="F11" s="50" t="s">
        <v>25</v>
      </c>
      <c r="G11" s="45"/>
      <c r="H11" s="45"/>
      <c r="I11" s="46"/>
      <c r="J11" s="50" t="s">
        <v>25</v>
      </c>
      <c r="K11" s="45"/>
      <c r="L11" s="45"/>
      <c r="M11" s="46"/>
      <c r="N11" s="50" t="s">
        <v>26</v>
      </c>
      <c r="O11" s="45"/>
      <c r="P11" s="45"/>
      <c r="Q11" s="46"/>
      <c r="R11" s="50" t="s">
        <v>25</v>
      </c>
      <c r="S11" s="45"/>
      <c r="T11" s="45"/>
      <c r="U11" s="46"/>
      <c r="V11" s="50" t="s">
        <v>25</v>
      </c>
      <c r="W11" s="45"/>
      <c r="X11" s="45"/>
      <c r="Y11" s="46"/>
      <c r="Z11" s="50" t="s">
        <v>25</v>
      </c>
      <c r="AA11" s="45"/>
      <c r="AB11" s="45"/>
      <c r="AC11" s="46"/>
      <c r="AD11" s="60"/>
      <c r="AE11" s="45"/>
      <c r="AF11" s="45"/>
      <c r="AG11" s="46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</row>
    <row r="12" spans="1:230" ht="13" x14ac:dyDescent="0.3">
      <c r="A12" s="12" t="s">
        <v>27</v>
      </c>
      <c r="B12" s="60">
        <v>1250000</v>
      </c>
      <c r="C12" s="64"/>
      <c r="D12" s="64"/>
      <c r="E12" s="65"/>
      <c r="F12" s="61">
        <v>1845032.51</v>
      </c>
      <c r="G12" s="62"/>
      <c r="H12" s="62"/>
      <c r="I12" s="63"/>
      <c r="J12" s="61">
        <v>2295000</v>
      </c>
      <c r="K12" s="62"/>
      <c r="L12" s="62"/>
      <c r="M12" s="63"/>
      <c r="N12" s="61">
        <v>2000000</v>
      </c>
      <c r="O12" s="62"/>
      <c r="P12" s="62"/>
      <c r="Q12" s="63"/>
      <c r="R12" s="61">
        <v>1675000</v>
      </c>
      <c r="S12" s="62"/>
      <c r="T12" s="62"/>
      <c r="U12" s="63"/>
      <c r="V12" s="61">
        <v>3615380</v>
      </c>
      <c r="W12" s="62"/>
      <c r="X12" s="62"/>
      <c r="Y12" s="63"/>
      <c r="Z12" s="61">
        <v>3777547.44</v>
      </c>
      <c r="AA12" s="62"/>
      <c r="AB12" s="62"/>
      <c r="AC12" s="63"/>
      <c r="AD12" s="51">
        <f>SUM(B12:AC12)</f>
        <v>16457959.949999999</v>
      </c>
      <c r="AE12" s="52"/>
      <c r="AF12" s="52"/>
      <c r="AG12" s="5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</row>
    <row r="13" spans="1:230" ht="18" customHeight="1" x14ac:dyDescent="0.3">
      <c r="A13" s="20" t="s">
        <v>28</v>
      </c>
      <c r="B13" s="17" t="s">
        <v>29</v>
      </c>
      <c r="C13" s="18" t="s">
        <v>30</v>
      </c>
      <c r="D13" s="18" t="s">
        <v>31</v>
      </c>
      <c r="E13" s="19" t="s">
        <v>32</v>
      </c>
      <c r="F13" s="17" t="s">
        <v>29</v>
      </c>
      <c r="G13" s="18" t="s">
        <v>30</v>
      </c>
      <c r="H13" s="18" t="s">
        <v>31</v>
      </c>
      <c r="I13" s="19" t="s">
        <v>32</v>
      </c>
      <c r="J13" s="17" t="s">
        <v>29</v>
      </c>
      <c r="K13" s="18" t="s">
        <v>30</v>
      </c>
      <c r="L13" s="18" t="s">
        <v>31</v>
      </c>
      <c r="M13" s="19" t="s">
        <v>32</v>
      </c>
      <c r="N13" s="17" t="s">
        <v>29</v>
      </c>
      <c r="O13" s="18" t="s">
        <v>30</v>
      </c>
      <c r="P13" s="18" t="s">
        <v>31</v>
      </c>
      <c r="Q13" s="19" t="s">
        <v>32</v>
      </c>
      <c r="R13" s="17" t="s">
        <v>29</v>
      </c>
      <c r="S13" s="18" t="s">
        <v>30</v>
      </c>
      <c r="T13" s="18" t="s">
        <v>31</v>
      </c>
      <c r="U13" s="19" t="s">
        <v>32</v>
      </c>
      <c r="V13" s="17" t="s">
        <v>29</v>
      </c>
      <c r="W13" s="18" t="s">
        <v>30</v>
      </c>
      <c r="X13" s="18" t="s">
        <v>31</v>
      </c>
      <c r="Y13" s="19" t="s">
        <v>32</v>
      </c>
      <c r="Z13" s="17" t="s">
        <v>29</v>
      </c>
      <c r="AA13" s="18" t="s">
        <v>30</v>
      </c>
      <c r="AB13" s="18" t="s">
        <v>31</v>
      </c>
      <c r="AC13" s="19" t="s">
        <v>32</v>
      </c>
      <c r="AD13" s="17" t="s">
        <v>29</v>
      </c>
      <c r="AE13" s="18" t="s">
        <v>30</v>
      </c>
      <c r="AF13" s="18" t="s">
        <v>31</v>
      </c>
      <c r="AG13" s="19" t="s">
        <v>32</v>
      </c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</row>
    <row r="14" spans="1:230" ht="13" x14ac:dyDescent="0.3">
      <c r="A14" s="13"/>
      <c r="B14" s="9"/>
      <c r="E14" s="10"/>
      <c r="F14" s="9"/>
      <c r="G14" s="1"/>
      <c r="H14" s="1"/>
      <c r="I14" s="10"/>
      <c r="J14" s="9"/>
      <c r="M14" s="10"/>
      <c r="N14" s="9"/>
      <c r="Q14" s="10"/>
      <c r="R14" s="9"/>
      <c r="U14" s="10"/>
      <c r="V14" s="9"/>
      <c r="Y14" s="10"/>
      <c r="Z14" s="9"/>
      <c r="AC14" s="10"/>
      <c r="AD14" s="9"/>
      <c r="AG14" s="10"/>
    </row>
    <row r="15" spans="1:230" ht="13" x14ac:dyDescent="0.3">
      <c r="A15" s="12">
        <v>2022</v>
      </c>
      <c r="B15" s="29">
        <v>25000</v>
      </c>
      <c r="C15" s="21">
        <f>20803.75+20272.5</f>
        <v>41076.25</v>
      </c>
      <c r="D15" s="21">
        <v>0</v>
      </c>
      <c r="E15" s="30">
        <f t="shared" ref="E15:E38" si="0">SUM(B15:D15)</f>
        <v>66076.25</v>
      </c>
      <c r="F15" s="29">
        <v>135458.08000000002</v>
      </c>
      <c r="G15" s="21">
        <v>23855.809999999998</v>
      </c>
      <c r="H15" s="21">
        <v>0</v>
      </c>
      <c r="I15" s="30">
        <f t="shared" ref="I15:I22" si="1">+F15+G15</f>
        <v>159313.89000000001</v>
      </c>
      <c r="J15" s="29">
        <v>160000</v>
      </c>
      <c r="K15" s="21">
        <f>22462.5+20662.5</f>
        <v>43125</v>
      </c>
      <c r="L15" s="21">
        <v>450</v>
      </c>
      <c r="M15" s="30">
        <f t="shared" ref="M15:M23" si="2">+J15+K15+L15</f>
        <v>203575</v>
      </c>
      <c r="N15" s="29">
        <v>76505.760000000009</v>
      </c>
      <c r="O15" s="21">
        <v>57202.64</v>
      </c>
      <c r="P15" s="21">
        <v>3813.51</v>
      </c>
      <c r="Q15" s="30">
        <f t="shared" ref="Q15:Q32" si="3">+N15+O15+P15</f>
        <v>137521.91000000003</v>
      </c>
      <c r="R15" s="29">
        <v>150000</v>
      </c>
      <c r="S15" s="21">
        <f>36288.94+24846.88</f>
        <v>61135.820000000007</v>
      </c>
      <c r="T15" s="21">
        <v>450</v>
      </c>
      <c r="U15" s="30">
        <f t="shared" ref="U15:U32" si="4">SUM(R15:T15)</f>
        <v>211585.82</v>
      </c>
      <c r="V15" s="29">
        <v>0</v>
      </c>
      <c r="W15" s="21">
        <v>0</v>
      </c>
      <c r="X15" s="21">
        <v>0</v>
      </c>
      <c r="Y15" s="30">
        <f t="shared" ref="Y15:Y32" si="5">SUM(V15:X15)</f>
        <v>0</v>
      </c>
      <c r="Z15" s="29">
        <v>0</v>
      </c>
      <c r="AA15" s="21">
        <v>0</v>
      </c>
      <c r="AB15" s="21">
        <v>0</v>
      </c>
      <c r="AC15" s="30">
        <f t="shared" ref="AC15:AC32" si="6">SUM(Z15:AB15)</f>
        <v>0</v>
      </c>
      <c r="AD15" s="29">
        <f>+B15+F15+J15+N15+R15+V15+Z15</f>
        <v>546963.84000000008</v>
      </c>
      <c r="AE15" s="21">
        <f>+C15+G15+K15+O15+S15+W15++AA15</f>
        <v>226395.52000000002</v>
      </c>
      <c r="AF15" s="21">
        <f>+D15+H15+L15+P15+T15+X15+AB15</f>
        <v>4713.51</v>
      </c>
      <c r="AG15" s="30">
        <f t="shared" ref="AG15:AG38" si="7">SUM(AD15:AF15)</f>
        <v>778072.87000000011</v>
      </c>
      <c r="AH15" s="39"/>
      <c r="AI15" s="39"/>
      <c r="AJ15" s="39"/>
      <c r="AK15" s="39"/>
    </row>
    <row r="16" spans="1:230" ht="13" x14ac:dyDescent="0.3">
      <c r="A16" s="12">
        <v>2023</v>
      </c>
      <c r="B16" s="29">
        <v>26000</v>
      </c>
      <c r="C16" s="21">
        <f>20272.5+19720</f>
        <v>39992.5</v>
      </c>
      <c r="D16" s="21">
        <v>0</v>
      </c>
      <c r="E16" s="30">
        <f t="shared" si="0"/>
        <v>65992.5</v>
      </c>
      <c r="F16" s="29">
        <v>140129.05000000002</v>
      </c>
      <c r="G16" s="21">
        <v>19997.590000000004</v>
      </c>
      <c r="H16" s="21">
        <v>0</v>
      </c>
      <c r="I16" s="30">
        <f t="shared" si="1"/>
        <v>160126.64000000001</v>
      </c>
      <c r="J16" s="29">
        <v>165000</v>
      </c>
      <c r="K16" s="21">
        <f>20662.5+18806.25</f>
        <v>39468.75</v>
      </c>
      <c r="L16" s="21">
        <v>450</v>
      </c>
      <c r="M16" s="30">
        <f t="shared" si="2"/>
        <v>204918.75</v>
      </c>
      <c r="N16" s="29">
        <v>78818.14</v>
      </c>
      <c r="O16" s="21">
        <v>54890.259999999995</v>
      </c>
      <c r="P16" s="21">
        <v>3659.35</v>
      </c>
      <c r="Q16" s="30">
        <f t="shared" si="3"/>
        <v>137367.75</v>
      </c>
      <c r="R16" s="29">
        <v>155000</v>
      </c>
      <c r="S16" s="21">
        <f>24846.88+21553.13</f>
        <v>46400.01</v>
      </c>
      <c r="T16" s="21">
        <v>450</v>
      </c>
      <c r="U16" s="30">
        <f t="shared" si="4"/>
        <v>201850.01</v>
      </c>
      <c r="V16" s="29">
        <v>0</v>
      </c>
      <c r="W16" s="21">
        <v>82990.259999999995</v>
      </c>
      <c r="X16" s="21">
        <f>450*0.5</f>
        <v>225</v>
      </c>
      <c r="Y16" s="30">
        <f t="shared" si="5"/>
        <v>83215.259999999995</v>
      </c>
      <c r="Z16" s="29">
        <v>0</v>
      </c>
      <c r="AA16" s="21">
        <v>0</v>
      </c>
      <c r="AB16" s="21">
        <v>0</v>
      </c>
      <c r="AC16" s="30">
        <f t="shared" si="6"/>
        <v>0</v>
      </c>
      <c r="AD16" s="29">
        <f t="shared" ref="AD16:AD38" si="8">+B16+F16+J16+N16+R16+V16+Z16</f>
        <v>564947.19000000006</v>
      </c>
      <c r="AE16" s="21">
        <f t="shared" ref="AE16:AE38" si="9">+C16+G16+K16+O16+S16+W16++AA16</f>
        <v>283739.37</v>
      </c>
      <c r="AF16" s="21">
        <f t="shared" ref="AF16:AF38" si="10">+D16+H16+L16+P16+T16+X16+AB16</f>
        <v>4784.3500000000004</v>
      </c>
      <c r="AG16" s="30">
        <f t="shared" si="7"/>
        <v>853470.91</v>
      </c>
      <c r="AH16" s="39"/>
      <c r="AI16" s="39"/>
      <c r="AJ16" s="39"/>
      <c r="AK16" s="39"/>
    </row>
    <row r="17" spans="1:37" ht="13" x14ac:dyDescent="0.3">
      <c r="A17" s="12">
        <v>2024</v>
      </c>
      <c r="B17" s="29">
        <v>27000</v>
      </c>
      <c r="C17" s="21">
        <f>19720+19146.25</f>
        <v>38866.25</v>
      </c>
      <c r="D17" s="21">
        <v>0</v>
      </c>
      <c r="E17" s="30">
        <f t="shared" si="0"/>
        <v>65866.25</v>
      </c>
      <c r="F17" s="29">
        <v>144800.01999999999</v>
      </c>
      <c r="G17" s="21">
        <v>15918.08</v>
      </c>
      <c r="H17" s="21">
        <v>0</v>
      </c>
      <c r="I17" s="30">
        <f t="shared" si="1"/>
        <v>160718.09999999998</v>
      </c>
      <c r="J17" s="29">
        <v>165000</v>
      </c>
      <c r="K17" s="21">
        <f>18806.25+16950</f>
        <v>35756.25</v>
      </c>
      <c r="L17" s="21">
        <v>450</v>
      </c>
      <c r="M17" s="30">
        <f t="shared" si="2"/>
        <v>201206.25</v>
      </c>
      <c r="N17" s="29">
        <v>81200.429999999993</v>
      </c>
      <c r="O17" s="21">
        <v>52507.97</v>
      </c>
      <c r="P17" s="21">
        <v>3500.5299999999997</v>
      </c>
      <c r="Q17" s="30">
        <f t="shared" si="3"/>
        <v>137208.93</v>
      </c>
      <c r="R17" s="29">
        <v>160000</v>
      </c>
      <c r="S17" s="21">
        <f>21553.13+18153.13</f>
        <v>39706.26</v>
      </c>
      <c r="T17" s="21">
        <v>450</v>
      </c>
      <c r="U17" s="30">
        <f t="shared" si="4"/>
        <v>200156.26</v>
      </c>
      <c r="V17" s="29">
        <v>3615380</v>
      </c>
      <c r="W17" s="21">
        <f>54519.15+54519.15</f>
        <v>109038.3</v>
      </c>
      <c r="X17" s="21">
        <f>450*0.5</f>
        <v>225</v>
      </c>
      <c r="Y17" s="30">
        <f t="shared" si="5"/>
        <v>3724643.3</v>
      </c>
      <c r="Z17" s="29">
        <v>0</v>
      </c>
      <c r="AA17" s="21">
        <v>0</v>
      </c>
      <c r="AB17" s="21">
        <v>0</v>
      </c>
      <c r="AC17" s="30">
        <f t="shared" si="6"/>
        <v>0</v>
      </c>
      <c r="AD17" s="29">
        <f t="shared" si="8"/>
        <v>4193380.45</v>
      </c>
      <c r="AE17" s="21">
        <f t="shared" si="9"/>
        <v>291793.11</v>
      </c>
      <c r="AF17" s="21">
        <f t="shared" si="10"/>
        <v>4625.53</v>
      </c>
      <c r="AG17" s="30">
        <f t="shared" si="7"/>
        <v>4489799.0900000008</v>
      </c>
      <c r="AH17" s="39"/>
      <c r="AI17" s="39"/>
      <c r="AJ17" s="39"/>
      <c r="AK17" s="39"/>
    </row>
    <row r="18" spans="1:37" ht="13" x14ac:dyDescent="0.3">
      <c r="A18" s="12">
        <v>2025</v>
      </c>
      <c r="B18" s="29">
        <v>28000</v>
      </c>
      <c r="C18" s="21">
        <f>19146.25+18551.25</f>
        <v>37697.5</v>
      </c>
      <c r="D18" s="21">
        <v>0</v>
      </c>
      <c r="E18" s="30">
        <f t="shared" si="0"/>
        <v>65697.5</v>
      </c>
      <c r="F18" s="29">
        <v>144800.01999999999</v>
      </c>
      <c r="G18" s="21">
        <v>11592.179999999998</v>
      </c>
      <c r="H18" s="21">
        <v>0</v>
      </c>
      <c r="I18" s="30">
        <f t="shared" si="1"/>
        <v>156392.19999999998</v>
      </c>
      <c r="J18" s="29">
        <v>165000</v>
      </c>
      <c r="K18" s="21">
        <f>16950+14268.75</f>
        <v>31218.75</v>
      </c>
      <c r="L18" s="21">
        <v>450</v>
      </c>
      <c r="M18" s="30">
        <f t="shared" si="2"/>
        <v>196668.75</v>
      </c>
      <c r="N18" s="29">
        <v>83654.700000000012</v>
      </c>
      <c r="O18" s="21">
        <v>50053.7</v>
      </c>
      <c r="P18" s="21">
        <v>3336.91</v>
      </c>
      <c r="Q18" s="30">
        <f t="shared" si="3"/>
        <v>137045.31000000003</v>
      </c>
      <c r="R18" s="29">
        <v>180000</v>
      </c>
      <c r="S18" s="21">
        <f>18153.13+14328.13</f>
        <v>32481.260000000002</v>
      </c>
      <c r="T18" s="21">
        <v>450</v>
      </c>
      <c r="U18" s="30">
        <f t="shared" si="4"/>
        <v>212931.26</v>
      </c>
      <c r="V18" s="29">
        <v>0</v>
      </c>
      <c r="W18" s="21">
        <v>0</v>
      </c>
      <c r="X18" s="21">
        <v>0</v>
      </c>
      <c r="Y18" s="30">
        <f t="shared" si="5"/>
        <v>0</v>
      </c>
      <c r="Z18" s="29">
        <v>3777547.44</v>
      </c>
      <c r="AA18" s="21">
        <v>189402.03</v>
      </c>
      <c r="AB18" s="21">
        <f>450*0.5</f>
        <v>225</v>
      </c>
      <c r="AC18" s="30">
        <f t="shared" si="6"/>
        <v>3967174.4699999997</v>
      </c>
      <c r="AD18" s="29">
        <f t="shared" si="8"/>
        <v>4379002.16</v>
      </c>
      <c r="AE18" s="21">
        <f t="shared" si="9"/>
        <v>352445.42</v>
      </c>
      <c r="AF18" s="21">
        <f t="shared" si="10"/>
        <v>4461.91</v>
      </c>
      <c r="AG18" s="30">
        <f t="shared" si="7"/>
        <v>4735909.49</v>
      </c>
      <c r="AH18" s="39"/>
      <c r="AI18" s="39"/>
      <c r="AJ18" s="39"/>
      <c r="AK18" s="39"/>
    </row>
    <row r="19" spans="1:37" ht="13" x14ac:dyDescent="0.3">
      <c r="A19" s="12">
        <v>2026</v>
      </c>
      <c r="B19" s="29">
        <v>29000</v>
      </c>
      <c r="C19" s="21">
        <f>18551.25+17935</f>
        <v>36486.25</v>
      </c>
      <c r="D19" s="21">
        <v>0</v>
      </c>
      <c r="E19" s="30">
        <f t="shared" si="0"/>
        <v>65486.25</v>
      </c>
      <c r="F19" s="29">
        <v>130787.11</v>
      </c>
      <c r="G19" s="21">
        <v>7389.4699999999993</v>
      </c>
      <c r="H19" s="21">
        <v>0</v>
      </c>
      <c r="I19" s="30">
        <f t="shared" si="1"/>
        <v>138176.57999999999</v>
      </c>
      <c r="J19" s="29">
        <v>175000</v>
      </c>
      <c r="K19" s="21">
        <f>14268.75+11425</f>
        <v>25693.75</v>
      </c>
      <c r="L19" s="21">
        <v>450</v>
      </c>
      <c r="M19" s="30">
        <f t="shared" si="2"/>
        <v>201143.75</v>
      </c>
      <c r="N19" s="29">
        <v>86183.170000000013</v>
      </c>
      <c r="O19" s="21">
        <v>47525.23</v>
      </c>
      <c r="P19" s="21">
        <v>3168.35</v>
      </c>
      <c r="Q19" s="30">
        <f t="shared" si="3"/>
        <v>136876.75000000003</v>
      </c>
      <c r="R19" s="29">
        <v>65000</v>
      </c>
      <c r="S19" s="21">
        <f>14328.13+12946.88</f>
        <v>27275.01</v>
      </c>
      <c r="T19" s="21">
        <v>450</v>
      </c>
      <c r="U19" s="30">
        <f t="shared" si="4"/>
        <v>92725.01</v>
      </c>
      <c r="V19" s="29">
        <v>0</v>
      </c>
      <c r="W19" s="21">
        <v>0</v>
      </c>
      <c r="X19" s="21">
        <v>0</v>
      </c>
      <c r="Y19" s="30">
        <f t="shared" si="5"/>
        <v>0</v>
      </c>
      <c r="Z19" s="29">
        <v>0</v>
      </c>
      <c r="AA19" s="21">
        <v>0</v>
      </c>
      <c r="AB19" s="21">
        <v>0</v>
      </c>
      <c r="AC19" s="30">
        <f t="shared" si="6"/>
        <v>0</v>
      </c>
      <c r="AD19" s="29">
        <f t="shared" si="8"/>
        <v>485970.28</v>
      </c>
      <c r="AE19" s="21">
        <f t="shared" si="9"/>
        <v>144369.71000000002</v>
      </c>
      <c r="AF19" s="21">
        <f t="shared" si="10"/>
        <v>4068.35</v>
      </c>
      <c r="AG19" s="30">
        <f t="shared" si="7"/>
        <v>634408.34</v>
      </c>
      <c r="AH19" s="39"/>
      <c r="AI19" s="39"/>
      <c r="AJ19" s="39"/>
      <c r="AK19" s="39"/>
    </row>
    <row r="20" spans="1:37" ht="13" x14ac:dyDescent="0.3">
      <c r="A20" s="12">
        <v>2027</v>
      </c>
      <c r="B20" s="29">
        <v>30000</v>
      </c>
      <c r="C20" s="21">
        <f>17935+17297.5</f>
        <v>35232.5</v>
      </c>
      <c r="D20" s="21">
        <v>0</v>
      </c>
      <c r="E20" s="30">
        <f t="shared" si="0"/>
        <v>65232.5</v>
      </c>
      <c r="F20" s="29">
        <v>135458.08000000002</v>
      </c>
      <c r="G20" s="21">
        <v>3159.91</v>
      </c>
      <c r="H20" s="21">
        <v>0</v>
      </c>
      <c r="I20" s="30">
        <f t="shared" si="1"/>
        <v>138617.99000000002</v>
      </c>
      <c r="J20" s="29">
        <v>180000</v>
      </c>
      <c r="K20" s="21">
        <f>11425+8950</f>
        <v>20375</v>
      </c>
      <c r="L20" s="21">
        <v>450</v>
      </c>
      <c r="M20" s="30">
        <f t="shared" si="2"/>
        <v>200825</v>
      </c>
      <c r="N20" s="29">
        <v>88788.05</v>
      </c>
      <c r="O20" s="21">
        <v>44920.350000000006</v>
      </c>
      <c r="P20" s="21">
        <v>2994.69</v>
      </c>
      <c r="Q20" s="30">
        <f t="shared" si="3"/>
        <v>136703.09000000003</v>
      </c>
      <c r="R20" s="29">
        <v>65000</v>
      </c>
      <c r="S20" s="21">
        <f>12946.88+11565.63</f>
        <v>24512.51</v>
      </c>
      <c r="T20" s="21">
        <v>450</v>
      </c>
      <c r="U20" s="30">
        <f t="shared" si="4"/>
        <v>89962.51</v>
      </c>
      <c r="V20" s="29">
        <v>0</v>
      </c>
      <c r="W20" s="21">
        <v>0</v>
      </c>
      <c r="X20" s="21">
        <v>0</v>
      </c>
      <c r="Y20" s="30">
        <f t="shared" si="5"/>
        <v>0</v>
      </c>
      <c r="Z20" s="29">
        <v>0</v>
      </c>
      <c r="AA20" s="21">
        <v>0</v>
      </c>
      <c r="AB20" s="21">
        <v>0</v>
      </c>
      <c r="AC20" s="30">
        <f t="shared" si="6"/>
        <v>0</v>
      </c>
      <c r="AD20" s="29">
        <f t="shared" si="8"/>
        <v>499246.13</v>
      </c>
      <c r="AE20" s="21">
        <f t="shared" si="9"/>
        <v>128200.27</v>
      </c>
      <c r="AF20" s="21">
        <f t="shared" si="10"/>
        <v>3894.69</v>
      </c>
      <c r="AG20" s="30">
        <f t="shared" si="7"/>
        <v>631341.09</v>
      </c>
      <c r="AH20" s="39"/>
      <c r="AI20" s="39"/>
      <c r="AJ20" s="39"/>
      <c r="AK20" s="39"/>
    </row>
    <row r="21" spans="1:37" ht="13" x14ac:dyDescent="0.3">
      <c r="A21" s="12">
        <v>2028</v>
      </c>
      <c r="B21" s="29">
        <v>32000</v>
      </c>
      <c r="C21" s="21">
        <f>17297.5+16617.5</f>
        <v>33915</v>
      </c>
      <c r="D21" s="21">
        <v>0</v>
      </c>
      <c r="E21" s="30">
        <f t="shared" si="0"/>
        <v>65915</v>
      </c>
      <c r="F21" s="29">
        <v>28025.809999999998</v>
      </c>
      <c r="G21" s="21">
        <v>462.43</v>
      </c>
      <c r="H21" s="21">
        <v>0</v>
      </c>
      <c r="I21" s="30">
        <f t="shared" si="1"/>
        <v>28488.239999999998</v>
      </c>
      <c r="J21" s="29">
        <v>185000</v>
      </c>
      <c r="K21" s="21">
        <f>8950+6175</f>
        <v>15125</v>
      </c>
      <c r="L21" s="21">
        <v>450</v>
      </c>
      <c r="M21" s="30">
        <f t="shared" si="2"/>
        <v>200575</v>
      </c>
      <c r="N21" s="29">
        <v>91471.670000000013</v>
      </c>
      <c r="O21" s="21">
        <v>42236.73</v>
      </c>
      <c r="P21" s="21">
        <v>2815.7799999999997</v>
      </c>
      <c r="Q21" s="30">
        <f t="shared" si="3"/>
        <v>136524.18000000002</v>
      </c>
      <c r="R21" s="29">
        <v>70000</v>
      </c>
      <c r="S21" s="21">
        <f>11565.63+10078.13</f>
        <v>21643.759999999998</v>
      </c>
      <c r="T21" s="21">
        <v>450</v>
      </c>
      <c r="U21" s="30">
        <f t="shared" si="4"/>
        <v>92093.759999999995</v>
      </c>
      <c r="V21" s="29">
        <v>0</v>
      </c>
      <c r="W21" s="21">
        <v>0</v>
      </c>
      <c r="X21" s="21">
        <v>0</v>
      </c>
      <c r="Y21" s="30">
        <f t="shared" si="5"/>
        <v>0</v>
      </c>
      <c r="Z21" s="29">
        <v>0</v>
      </c>
      <c r="AA21" s="21">
        <v>0</v>
      </c>
      <c r="AB21" s="21">
        <v>0</v>
      </c>
      <c r="AC21" s="30">
        <f t="shared" si="6"/>
        <v>0</v>
      </c>
      <c r="AD21" s="29">
        <f t="shared" si="8"/>
        <v>406497.48</v>
      </c>
      <c r="AE21" s="21">
        <f t="shared" si="9"/>
        <v>113382.92</v>
      </c>
      <c r="AF21" s="21">
        <f t="shared" si="10"/>
        <v>3715.7799999999997</v>
      </c>
      <c r="AG21" s="30">
        <f t="shared" si="7"/>
        <v>523596.18</v>
      </c>
      <c r="AH21" s="39"/>
      <c r="AI21" s="39"/>
      <c r="AJ21" s="39"/>
      <c r="AK21" s="39"/>
    </row>
    <row r="22" spans="1:37" ht="13" x14ac:dyDescent="0.3">
      <c r="A22" s="12">
        <v>2029</v>
      </c>
      <c r="B22" s="29">
        <v>33000</v>
      </c>
      <c r="C22" s="21">
        <f>16617.5+15916.25</f>
        <v>32533.75</v>
      </c>
      <c r="D22" s="21">
        <v>0</v>
      </c>
      <c r="E22" s="30">
        <f t="shared" si="0"/>
        <v>65533.75</v>
      </c>
      <c r="F22" s="29">
        <v>0</v>
      </c>
      <c r="G22" s="21">
        <v>0</v>
      </c>
      <c r="H22" s="21">
        <v>0</v>
      </c>
      <c r="I22" s="30">
        <f t="shared" si="1"/>
        <v>0</v>
      </c>
      <c r="J22" s="29">
        <v>185000</v>
      </c>
      <c r="K22" s="21">
        <f>6175+3168.75</f>
        <v>9343.75</v>
      </c>
      <c r="L22" s="21">
        <v>450</v>
      </c>
      <c r="M22" s="30">
        <f t="shared" si="2"/>
        <v>194793.75</v>
      </c>
      <c r="N22" s="29">
        <v>94236.41</v>
      </c>
      <c r="O22" s="21">
        <v>39471.990000000005</v>
      </c>
      <c r="P22" s="21">
        <v>2631.47</v>
      </c>
      <c r="Q22" s="30">
        <f t="shared" si="3"/>
        <v>136339.87000000002</v>
      </c>
      <c r="R22" s="29">
        <v>70000</v>
      </c>
      <c r="S22" s="21">
        <f>10078.13+8590.63</f>
        <v>18668.759999999998</v>
      </c>
      <c r="T22" s="21">
        <v>450</v>
      </c>
      <c r="U22" s="30">
        <f t="shared" si="4"/>
        <v>89118.76</v>
      </c>
      <c r="V22" s="29">
        <v>0</v>
      </c>
      <c r="W22" s="21">
        <v>0</v>
      </c>
      <c r="X22" s="21">
        <v>0</v>
      </c>
      <c r="Y22" s="30">
        <f t="shared" si="5"/>
        <v>0</v>
      </c>
      <c r="Z22" s="29">
        <v>0</v>
      </c>
      <c r="AA22" s="21">
        <v>0</v>
      </c>
      <c r="AB22" s="21">
        <v>0</v>
      </c>
      <c r="AC22" s="30">
        <f t="shared" si="6"/>
        <v>0</v>
      </c>
      <c r="AD22" s="29">
        <f t="shared" si="8"/>
        <v>382236.41000000003</v>
      </c>
      <c r="AE22" s="21">
        <f t="shared" si="9"/>
        <v>100018.25</v>
      </c>
      <c r="AF22" s="21">
        <f t="shared" si="10"/>
        <v>3531.47</v>
      </c>
      <c r="AG22" s="30">
        <f t="shared" si="7"/>
        <v>485786.13</v>
      </c>
      <c r="AH22" s="39"/>
      <c r="AI22" s="39"/>
      <c r="AJ22" s="39"/>
      <c r="AK22" s="39"/>
    </row>
    <row r="23" spans="1:37" ht="13" x14ac:dyDescent="0.3">
      <c r="A23" s="12">
        <v>2030</v>
      </c>
      <c r="B23" s="29">
        <v>34000</v>
      </c>
      <c r="C23" s="21">
        <f>15916.25+15193.75</f>
        <v>31110</v>
      </c>
      <c r="D23" s="21">
        <v>0</v>
      </c>
      <c r="E23" s="30">
        <f t="shared" si="0"/>
        <v>65110</v>
      </c>
      <c r="F23" s="29">
        <v>0</v>
      </c>
      <c r="G23" s="21">
        <v>0</v>
      </c>
      <c r="H23" s="21">
        <v>0</v>
      </c>
      <c r="I23" s="30">
        <f t="shared" ref="I23:I38" si="11">+F23+G23</f>
        <v>0</v>
      </c>
      <c r="J23" s="29">
        <v>195000</v>
      </c>
      <c r="K23" s="21">
        <v>3168.75</v>
      </c>
      <c r="L23" s="21">
        <v>450</v>
      </c>
      <c r="M23" s="30">
        <f t="shared" si="2"/>
        <v>198618.75</v>
      </c>
      <c r="N23" s="29">
        <v>97084.7</v>
      </c>
      <c r="O23" s="21">
        <v>36623.699999999997</v>
      </c>
      <c r="P23" s="21">
        <v>2441.58</v>
      </c>
      <c r="Q23" s="30">
        <f t="shared" si="3"/>
        <v>136149.97999999998</v>
      </c>
      <c r="R23" s="29">
        <v>75000</v>
      </c>
      <c r="S23" s="21">
        <f>8590.63+7746.88</f>
        <v>16337.509999999998</v>
      </c>
      <c r="T23" s="21">
        <v>450</v>
      </c>
      <c r="U23" s="30">
        <f t="shared" si="4"/>
        <v>91787.51</v>
      </c>
      <c r="V23" s="29">
        <v>0</v>
      </c>
      <c r="W23" s="21">
        <v>0</v>
      </c>
      <c r="X23" s="21">
        <v>0</v>
      </c>
      <c r="Y23" s="30">
        <f t="shared" si="5"/>
        <v>0</v>
      </c>
      <c r="Z23" s="29">
        <v>0</v>
      </c>
      <c r="AA23" s="21">
        <v>0</v>
      </c>
      <c r="AB23" s="21">
        <v>0</v>
      </c>
      <c r="AC23" s="30">
        <f t="shared" si="6"/>
        <v>0</v>
      </c>
      <c r="AD23" s="29">
        <f t="shared" si="8"/>
        <v>401084.7</v>
      </c>
      <c r="AE23" s="21">
        <f t="shared" si="9"/>
        <v>87239.959999999992</v>
      </c>
      <c r="AF23" s="21">
        <f t="shared" si="10"/>
        <v>3341.58</v>
      </c>
      <c r="AG23" s="30">
        <f>SUM(AD23:AF23)</f>
        <v>491666.24000000005</v>
      </c>
      <c r="AH23" s="39"/>
      <c r="AI23" s="39"/>
      <c r="AJ23" s="39"/>
      <c r="AK23" s="39"/>
    </row>
    <row r="24" spans="1:37" ht="13" x14ac:dyDescent="0.3">
      <c r="A24" s="12">
        <v>2031</v>
      </c>
      <c r="B24" s="29">
        <v>36000</v>
      </c>
      <c r="C24" s="21">
        <f>15193.75+14428.75</f>
        <v>29622.5</v>
      </c>
      <c r="D24" s="21">
        <v>0</v>
      </c>
      <c r="E24" s="30">
        <f t="shared" si="0"/>
        <v>65622.5</v>
      </c>
      <c r="F24" s="29">
        <v>0</v>
      </c>
      <c r="G24" s="21">
        <v>0</v>
      </c>
      <c r="H24" s="21">
        <v>0</v>
      </c>
      <c r="I24" s="30">
        <f t="shared" si="11"/>
        <v>0</v>
      </c>
      <c r="J24" s="29">
        <v>0</v>
      </c>
      <c r="K24" s="21">
        <v>0</v>
      </c>
      <c r="L24" s="21">
        <v>0</v>
      </c>
      <c r="M24" s="30">
        <f t="shared" ref="M24:M38" si="12">+J24+K24</f>
        <v>0</v>
      </c>
      <c r="N24" s="29">
        <v>100019.08</v>
      </c>
      <c r="O24" s="21">
        <v>33689.32</v>
      </c>
      <c r="P24" s="21">
        <v>2245.96</v>
      </c>
      <c r="Q24" s="30">
        <f t="shared" si="3"/>
        <v>135954.35999999999</v>
      </c>
      <c r="R24" s="29">
        <v>80000</v>
      </c>
      <c r="S24" s="21">
        <f>7746.88+6846.88</f>
        <v>14593.76</v>
      </c>
      <c r="T24" s="21">
        <v>450</v>
      </c>
      <c r="U24" s="30">
        <f t="shared" si="4"/>
        <v>95043.76</v>
      </c>
      <c r="V24" s="29">
        <v>0</v>
      </c>
      <c r="W24" s="21">
        <v>0</v>
      </c>
      <c r="X24" s="21">
        <v>0</v>
      </c>
      <c r="Y24" s="30">
        <f t="shared" si="5"/>
        <v>0</v>
      </c>
      <c r="Z24" s="29">
        <v>0</v>
      </c>
      <c r="AA24" s="21">
        <v>0</v>
      </c>
      <c r="AB24" s="21">
        <v>0</v>
      </c>
      <c r="AC24" s="30">
        <f t="shared" si="6"/>
        <v>0</v>
      </c>
      <c r="AD24" s="29">
        <f t="shared" si="8"/>
        <v>216019.08000000002</v>
      </c>
      <c r="AE24" s="21">
        <f t="shared" si="9"/>
        <v>77905.58</v>
      </c>
      <c r="AF24" s="21">
        <f t="shared" si="10"/>
        <v>2695.96</v>
      </c>
      <c r="AG24" s="30">
        <f t="shared" si="7"/>
        <v>296620.62000000005</v>
      </c>
      <c r="AH24" s="39"/>
      <c r="AI24" s="39"/>
      <c r="AJ24" s="39"/>
      <c r="AK24" s="39"/>
    </row>
    <row r="25" spans="1:37" ht="13" x14ac:dyDescent="0.3">
      <c r="A25" s="12">
        <v>2032</v>
      </c>
      <c r="B25" s="29">
        <v>37000</v>
      </c>
      <c r="C25" s="21">
        <f>14428.75+13642.5</f>
        <v>28071.25</v>
      </c>
      <c r="D25" s="21">
        <v>0</v>
      </c>
      <c r="E25" s="30">
        <f t="shared" si="0"/>
        <v>65071.25</v>
      </c>
      <c r="F25" s="29">
        <v>0</v>
      </c>
      <c r="G25" s="21">
        <v>0</v>
      </c>
      <c r="H25" s="21">
        <v>0</v>
      </c>
      <c r="I25" s="30">
        <f t="shared" si="11"/>
        <v>0</v>
      </c>
      <c r="J25" s="29">
        <v>0</v>
      </c>
      <c r="K25" s="21">
        <v>0</v>
      </c>
      <c r="L25" s="21">
        <v>0</v>
      </c>
      <c r="M25" s="30">
        <f t="shared" si="12"/>
        <v>0</v>
      </c>
      <c r="N25" s="29">
        <v>103042.16</v>
      </c>
      <c r="O25" s="21">
        <v>30666.239999999998</v>
      </c>
      <c r="P25" s="21">
        <v>2044.42</v>
      </c>
      <c r="Q25" s="30">
        <f t="shared" si="3"/>
        <v>135752.82</v>
      </c>
      <c r="R25" s="29">
        <v>85000</v>
      </c>
      <c r="S25" s="21">
        <f>6846.88+5890.63</f>
        <v>12737.51</v>
      </c>
      <c r="T25" s="21">
        <v>450</v>
      </c>
      <c r="U25" s="30">
        <f t="shared" si="4"/>
        <v>98187.51</v>
      </c>
      <c r="V25" s="29">
        <v>0</v>
      </c>
      <c r="W25" s="21">
        <v>0</v>
      </c>
      <c r="X25" s="21">
        <v>0</v>
      </c>
      <c r="Y25" s="30">
        <f t="shared" si="5"/>
        <v>0</v>
      </c>
      <c r="Z25" s="29">
        <v>0</v>
      </c>
      <c r="AA25" s="21">
        <v>0</v>
      </c>
      <c r="AB25" s="21">
        <v>0</v>
      </c>
      <c r="AC25" s="30">
        <f t="shared" si="6"/>
        <v>0</v>
      </c>
      <c r="AD25" s="29">
        <f t="shared" si="8"/>
        <v>225042.16</v>
      </c>
      <c r="AE25" s="21">
        <f t="shared" si="9"/>
        <v>71475</v>
      </c>
      <c r="AF25" s="21">
        <f t="shared" si="10"/>
        <v>2494.42</v>
      </c>
      <c r="AG25" s="30">
        <f t="shared" si="7"/>
        <v>299011.58</v>
      </c>
      <c r="AH25" s="39"/>
      <c r="AI25" s="39"/>
      <c r="AJ25" s="39"/>
      <c r="AK25" s="39"/>
    </row>
    <row r="26" spans="1:37" ht="13" x14ac:dyDescent="0.3">
      <c r="A26" s="12">
        <v>2033</v>
      </c>
      <c r="B26" s="29">
        <v>39000</v>
      </c>
      <c r="C26" s="21">
        <f>13642.5+12813.75</f>
        <v>26456.25</v>
      </c>
      <c r="D26" s="21">
        <v>0</v>
      </c>
      <c r="E26" s="30">
        <f t="shared" si="0"/>
        <v>65456.25</v>
      </c>
      <c r="F26" s="29">
        <v>0</v>
      </c>
      <c r="G26" s="21">
        <v>0</v>
      </c>
      <c r="H26" s="21">
        <v>0</v>
      </c>
      <c r="I26" s="30">
        <f t="shared" si="11"/>
        <v>0</v>
      </c>
      <c r="J26" s="29">
        <v>0</v>
      </c>
      <c r="K26" s="21">
        <v>0</v>
      </c>
      <c r="L26" s="21">
        <v>0</v>
      </c>
      <c r="M26" s="30">
        <f t="shared" si="12"/>
        <v>0</v>
      </c>
      <c r="N26" s="29">
        <v>106156.61</v>
      </c>
      <c r="O26" s="21">
        <v>27551.79</v>
      </c>
      <c r="P26" s="21">
        <v>1836.78</v>
      </c>
      <c r="Q26" s="30">
        <f t="shared" si="3"/>
        <v>135545.18</v>
      </c>
      <c r="R26" s="29">
        <v>85000</v>
      </c>
      <c r="S26" s="21">
        <f>5890.63+4934.38</f>
        <v>10825.01</v>
      </c>
      <c r="T26" s="21">
        <v>450</v>
      </c>
      <c r="U26" s="30">
        <f t="shared" si="4"/>
        <v>96275.01</v>
      </c>
      <c r="V26" s="29">
        <v>0</v>
      </c>
      <c r="W26" s="21">
        <v>0</v>
      </c>
      <c r="X26" s="21">
        <v>0</v>
      </c>
      <c r="Y26" s="30">
        <f t="shared" si="5"/>
        <v>0</v>
      </c>
      <c r="Z26" s="29">
        <v>0</v>
      </c>
      <c r="AA26" s="21">
        <v>0</v>
      </c>
      <c r="AB26" s="21">
        <v>0</v>
      </c>
      <c r="AC26" s="30">
        <f t="shared" si="6"/>
        <v>0</v>
      </c>
      <c r="AD26" s="29">
        <f t="shared" si="8"/>
        <v>230156.61</v>
      </c>
      <c r="AE26" s="21">
        <f t="shared" si="9"/>
        <v>64833.05</v>
      </c>
      <c r="AF26" s="21">
        <f t="shared" si="10"/>
        <v>2286.7799999999997</v>
      </c>
      <c r="AG26" s="30">
        <f t="shared" si="7"/>
        <v>297276.44</v>
      </c>
      <c r="AH26" s="39"/>
      <c r="AI26" s="39"/>
      <c r="AJ26" s="39"/>
      <c r="AK26" s="39"/>
    </row>
    <row r="27" spans="1:37" ht="13" x14ac:dyDescent="0.3">
      <c r="A27" s="12">
        <v>2034</v>
      </c>
      <c r="B27" s="29">
        <v>41000</v>
      </c>
      <c r="C27" s="21">
        <f>12813.75+11942.5</f>
        <v>24756.25</v>
      </c>
      <c r="D27" s="21">
        <v>0</v>
      </c>
      <c r="E27" s="30">
        <f t="shared" si="0"/>
        <v>65756.25</v>
      </c>
      <c r="F27" s="29">
        <v>0</v>
      </c>
      <c r="G27" s="21">
        <v>0</v>
      </c>
      <c r="H27" s="21">
        <v>0</v>
      </c>
      <c r="I27" s="30">
        <f t="shared" si="11"/>
        <v>0</v>
      </c>
      <c r="J27" s="29">
        <v>0</v>
      </c>
      <c r="K27" s="21">
        <v>0</v>
      </c>
      <c r="L27" s="21">
        <v>0</v>
      </c>
      <c r="M27" s="30">
        <f t="shared" si="12"/>
        <v>0</v>
      </c>
      <c r="N27" s="29">
        <v>109365.19</v>
      </c>
      <c r="O27" s="21">
        <v>24343.21</v>
      </c>
      <c r="P27" s="21">
        <v>1622.88</v>
      </c>
      <c r="Q27" s="30">
        <f t="shared" si="3"/>
        <v>135331.28</v>
      </c>
      <c r="R27" s="29">
        <v>70000</v>
      </c>
      <c r="S27" s="21">
        <f>4934.38+4146.88</f>
        <v>9081.26</v>
      </c>
      <c r="T27" s="21">
        <v>450</v>
      </c>
      <c r="U27" s="30">
        <f t="shared" si="4"/>
        <v>79531.259999999995</v>
      </c>
      <c r="V27" s="29">
        <v>0</v>
      </c>
      <c r="W27" s="21">
        <v>0</v>
      </c>
      <c r="X27" s="21">
        <v>0</v>
      </c>
      <c r="Y27" s="30">
        <f t="shared" si="5"/>
        <v>0</v>
      </c>
      <c r="Z27" s="29">
        <v>0</v>
      </c>
      <c r="AA27" s="21">
        <v>0</v>
      </c>
      <c r="AB27" s="21">
        <v>0</v>
      </c>
      <c r="AC27" s="30">
        <f t="shared" si="6"/>
        <v>0</v>
      </c>
      <c r="AD27" s="29">
        <f t="shared" si="8"/>
        <v>220365.19</v>
      </c>
      <c r="AE27" s="21">
        <f t="shared" si="9"/>
        <v>58180.72</v>
      </c>
      <c r="AF27" s="21">
        <f t="shared" si="10"/>
        <v>2072.88</v>
      </c>
      <c r="AG27" s="30">
        <f t="shared" si="7"/>
        <v>280618.79000000004</v>
      </c>
      <c r="AH27" s="39"/>
      <c r="AI27" s="39"/>
      <c r="AJ27" s="39"/>
      <c r="AK27" s="39"/>
    </row>
    <row r="28" spans="1:37" ht="13" x14ac:dyDescent="0.3">
      <c r="A28" s="12">
        <v>2035</v>
      </c>
      <c r="B28" s="29">
        <v>42000</v>
      </c>
      <c r="C28" s="21">
        <f>11942.5+11050</f>
        <v>22992.5</v>
      </c>
      <c r="D28" s="21">
        <v>0</v>
      </c>
      <c r="E28" s="30">
        <f t="shared" si="0"/>
        <v>64992.5</v>
      </c>
      <c r="F28" s="29">
        <v>0</v>
      </c>
      <c r="G28" s="21">
        <v>0</v>
      </c>
      <c r="H28" s="21">
        <v>0</v>
      </c>
      <c r="I28" s="30">
        <f t="shared" si="11"/>
        <v>0</v>
      </c>
      <c r="J28" s="29">
        <v>0</v>
      </c>
      <c r="K28" s="21">
        <v>0</v>
      </c>
      <c r="L28" s="21">
        <v>0</v>
      </c>
      <c r="M28" s="30">
        <f t="shared" si="12"/>
        <v>0</v>
      </c>
      <c r="N28" s="29">
        <v>112670.76000000001</v>
      </c>
      <c r="O28" s="21">
        <v>21037.64</v>
      </c>
      <c r="P28" s="21">
        <v>1402.51</v>
      </c>
      <c r="Q28" s="30">
        <f t="shared" si="3"/>
        <v>135110.91000000003</v>
      </c>
      <c r="R28" s="29">
        <v>70000</v>
      </c>
      <c r="S28" s="21">
        <f>4146.88+3359.38</f>
        <v>7506.26</v>
      </c>
      <c r="T28" s="21">
        <v>450</v>
      </c>
      <c r="U28" s="30">
        <f t="shared" si="4"/>
        <v>77956.259999999995</v>
      </c>
      <c r="V28" s="29">
        <v>0</v>
      </c>
      <c r="W28" s="21">
        <v>0</v>
      </c>
      <c r="X28" s="21">
        <v>0</v>
      </c>
      <c r="Y28" s="30">
        <f t="shared" si="5"/>
        <v>0</v>
      </c>
      <c r="Z28" s="29">
        <v>0</v>
      </c>
      <c r="AA28" s="21">
        <v>0</v>
      </c>
      <c r="AB28" s="21">
        <v>0</v>
      </c>
      <c r="AC28" s="30">
        <f t="shared" si="6"/>
        <v>0</v>
      </c>
      <c r="AD28" s="29">
        <f t="shared" si="8"/>
        <v>224670.76</v>
      </c>
      <c r="AE28" s="21">
        <f t="shared" si="9"/>
        <v>51536.4</v>
      </c>
      <c r="AF28" s="21">
        <f t="shared" si="10"/>
        <v>1852.51</v>
      </c>
      <c r="AG28" s="30">
        <f t="shared" si="7"/>
        <v>278059.67000000004</v>
      </c>
      <c r="AH28" s="39"/>
      <c r="AI28" s="39"/>
      <c r="AJ28" s="39"/>
      <c r="AK28" s="39"/>
    </row>
    <row r="29" spans="1:37" ht="13" x14ac:dyDescent="0.3">
      <c r="A29" s="12">
        <v>2036</v>
      </c>
      <c r="B29" s="29">
        <v>44000</v>
      </c>
      <c r="C29" s="21">
        <f>11050+10115</f>
        <v>21165</v>
      </c>
      <c r="D29" s="21">
        <v>0</v>
      </c>
      <c r="E29" s="30">
        <f t="shared" si="0"/>
        <v>65165</v>
      </c>
      <c r="F29" s="29">
        <v>0</v>
      </c>
      <c r="G29" s="21">
        <v>0</v>
      </c>
      <c r="H29" s="21">
        <v>0</v>
      </c>
      <c r="I29" s="30">
        <f t="shared" si="11"/>
        <v>0</v>
      </c>
      <c r="J29" s="29">
        <v>0</v>
      </c>
      <c r="K29" s="21">
        <v>0</v>
      </c>
      <c r="L29" s="21">
        <v>0</v>
      </c>
      <c r="M29" s="30">
        <f t="shared" si="12"/>
        <v>0</v>
      </c>
      <c r="N29" s="29">
        <v>116076.23000000001</v>
      </c>
      <c r="O29" s="21">
        <v>17632.169999999998</v>
      </c>
      <c r="P29" s="21">
        <v>1175.48</v>
      </c>
      <c r="Q29" s="30">
        <f t="shared" si="3"/>
        <v>134883.88000000003</v>
      </c>
      <c r="R29" s="29">
        <v>70000</v>
      </c>
      <c r="S29" s="21">
        <f>3359.38+2571.88</f>
        <v>5931.26</v>
      </c>
      <c r="T29" s="21">
        <v>450</v>
      </c>
      <c r="U29" s="30">
        <f t="shared" si="4"/>
        <v>76381.259999999995</v>
      </c>
      <c r="V29" s="29">
        <v>0</v>
      </c>
      <c r="W29" s="21">
        <v>0</v>
      </c>
      <c r="X29" s="21">
        <v>0</v>
      </c>
      <c r="Y29" s="30">
        <f t="shared" si="5"/>
        <v>0</v>
      </c>
      <c r="Z29" s="29">
        <v>0</v>
      </c>
      <c r="AA29" s="21">
        <v>0</v>
      </c>
      <c r="AB29" s="21">
        <v>0</v>
      </c>
      <c r="AC29" s="30">
        <f t="shared" si="6"/>
        <v>0</v>
      </c>
      <c r="AD29" s="29">
        <f t="shared" si="8"/>
        <v>230076.23</v>
      </c>
      <c r="AE29" s="21">
        <f t="shared" si="9"/>
        <v>44728.43</v>
      </c>
      <c r="AF29" s="21">
        <f t="shared" si="10"/>
        <v>1625.48</v>
      </c>
      <c r="AG29" s="30">
        <f t="shared" si="7"/>
        <v>276430.14</v>
      </c>
      <c r="AH29" s="39"/>
      <c r="AI29" s="39"/>
      <c r="AJ29" s="39"/>
      <c r="AK29" s="39"/>
    </row>
    <row r="30" spans="1:37" ht="13" x14ac:dyDescent="0.3">
      <c r="A30" s="12">
        <v>2037</v>
      </c>
      <c r="B30" s="29">
        <v>46000</v>
      </c>
      <c r="C30" s="21">
        <f>10115+9137.5</f>
        <v>19252.5</v>
      </c>
      <c r="D30" s="21">
        <v>0</v>
      </c>
      <c r="E30" s="30">
        <f t="shared" si="0"/>
        <v>65252.5</v>
      </c>
      <c r="F30" s="29">
        <v>0</v>
      </c>
      <c r="G30" s="21">
        <v>0</v>
      </c>
      <c r="H30" s="21">
        <v>0</v>
      </c>
      <c r="I30" s="30">
        <f t="shared" si="11"/>
        <v>0</v>
      </c>
      <c r="J30" s="29">
        <v>0</v>
      </c>
      <c r="K30" s="21">
        <v>0</v>
      </c>
      <c r="L30" s="21">
        <v>0</v>
      </c>
      <c r="M30" s="30">
        <f t="shared" si="12"/>
        <v>0</v>
      </c>
      <c r="N30" s="29">
        <v>119584.63</v>
      </c>
      <c r="O30" s="21">
        <v>14123.77</v>
      </c>
      <c r="P30" s="21">
        <v>941.59</v>
      </c>
      <c r="Q30" s="30">
        <f t="shared" si="3"/>
        <v>134649.99</v>
      </c>
      <c r="R30" s="29">
        <v>90000</v>
      </c>
      <c r="S30" s="21">
        <f>1559.38+2571.88</f>
        <v>4131.26</v>
      </c>
      <c r="T30" s="21">
        <v>450</v>
      </c>
      <c r="U30" s="30">
        <f t="shared" si="4"/>
        <v>94581.26</v>
      </c>
      <c r="V30" s="29">
        <v>0</v>
      </c>
      <c r="W30" s="21">
        <v>0</v>
      </c>
      <c r="X30" s="21">
        <v>0</v>
      </c>
      <c r="Y30" s="30">
        <f t="shared" si="5"/>
        <v>0</v>
      </c>
      <c r="Z30" s="29">
        <v>0</v>
      </c>
      <c r="AA30" s="21">
        <v>0</v>
      </c>
      <c r="AB30" s="21">
        <v>0</v>
      </c>
      <c r="AC30" s="30">
        <f t="shared" si="6"/>
        <v>0</v>
      </c>
      <c r="AD30" s="29">
        <f t="shared" si="8"/>
        <v>255584.63</v>
      </c>
      <c r="AE30" s="21">
        <f t="shared" si="9"/>
        <v>37507.530000000006</v>
      </c>
      <c r="AF30" s="21">
        <f t="shared" si="10"/>
        <v>1391.5900000000001</v>
      </c>
      <c r="AG30" s="30">
        <f t="shared" si="7"/>
        <v>294483.75000000006</v>
      </c>
      <c r="AH30" s="39"/>
      <c r="AI30" s="39"/>
      <c r="AJ30" s="39"/>
      <c r="AK30" s="39"/>
    </row>
    <row r="31" spans="1:37" ht="13" x14ac:dyDescent="0.3">
      <c r="A31" s="12">
        <v>2038</v>
      </c>
      <c r="B31" s="29">
        <v>48000</v>
      </c>
      <c r="C31" s="21">
        <f>9137.5+8117.5</f>
        <v>17255</v>
      </c>
      <c r="D31" s="21">
        <v>0</v>
      </c>
      <c r="E31" s="30">
        <f t="shared" si="0"/>
        <v>65255</v>
      </c>
      <c r="F31" s="29">
        <v>0</v>
      </c>
      <c r="G31" s="21">
        <v>0</v>
      </c>
      <c r="H31" s="21">
        <v>0</v>
      </c>
      <c r="I31" s="30">
        <f t="shared" si="11"/>
        <v>0</v>
      </c>
      <c r="J31" s="29">
        <v>0</v>
      </c>
      <c r="K31" s="21">
        <v>0</v>
      </c>
      <c r="L31" s="21">
        <v>0</v>
      </c>
      <c r="M31" s="30">
        <f t="shared" si="12"/>
        <v>0</v>
      </c>
      <c r="N31" s="29">
        <v>123199.08</v>
      </c>
      <c r="O31" s="21">
        <v>10509.32</v>
      </c>
      <c r="P31" s="21">
        <v>700.62</v>
      </c>
      <c r="Q31" s="30">
        <f t="shared" si="3"/>
        <v>134409.01999999999</v>
      </c>
      <c r="R31" s="29">
        <v>70000</v>
      </c>
      <c r="S31" s="21">
        <f>1559.38+771.88</f>
        <v>2331.2600000000002</v>
      </c>
      <c r="T31" s="21">
        <v>450</v>
      </c>
      <c r="U31" s="30">
        <f t="shared" si="4"/>
        <v>72781.259999999995</v>
      </c>
      <c r="V31" s="29">
        <v>0</v>
      </c>
      <c r="W31" s="21">
        <v>0</v>
      </c>
      <c r="X31" s="21">
        <v>0</v>
      </c>
      <c r="Y31" s="30">
        <f t="shared" si="5"/>
        <v>0</v>
      </c>
      <c r="Z31" s="29">
        <v>0</v>
      </c>
      <c r="AA31" s="21">
        <v>0</v>
      </c>
      <c r="AB31" s="21">
        <v>0</v>
      </c>
      <c r="AC31" s="30">
        <f t="shared" si="6"/>
        <v>0</v>
      </c>
      <c r="AD31" s="29">
        <f t="shared" si="8"/>
        <v>241199.08000000002</v>
      </c>
      <c r="AE31" s="21">
        <f t="shared" si="9"/>
        <v>30095.58</v>
      </c>
      <c r="AF31" s="21">
        <f t="shared" si="10"/>
        <v>1150.6199999999999</v>
      </c>
      <c r="AG31" s="30">
        <f t="shared" si="7"/>
        <v>272445.28000000003</v>
      </c>
      <c r="AH31" s="39"/>
      <c r="AI31" s="39"/>
      <c r="AJ31" s="39"/>
      <c r="AK31" s="39"/>
    </row>
    <row r="32" spans="1:37" ht="13" x14ac:dyDescent="0.3">
      <c r="A32" s="12">
        <v>2039</v>
      </c>
      <c r="B32" s="29">
        <v>50000</v>
      </c>
      <c r="C32" s="21">
        <f>8117.5+7055</f>
        <v>15172.5</v>
      </c>
      <c r="D32" s="21">
        <v>0</v>
      </c>
      <c r="E32" s="30">
        <f t="shared" si="0"/>
        <v>65172.5</v>
      </c>
      <c r="F32" s="29">
        <v>0</v>
      </c>
      <c r="G32" s="21">
        <v>0</v>
      </c>
      <c r="H32" s="21">
        <v>0</v>
      </c>
      <c r="I32" s="30">
        <f t="shared" si="11"/>
        <v>0</v>
      </c>
      <c r="J32" s="29">
        <v>0</v>
      </c>
      <c r="K32" s="21">
        <v>0</v>
      </c>
      <c r="L32" s="21">
        <v>0</v>
      </c>
      <c r="M32" s="30">
        <f t="shared" si="12"/>
        <v>0</v>
      </c>
      <c r="N32" s="29">
        <v>126922.77</v>
      </c>
      <c r="O32" s="21">
        <v>6785.63</v>
      </c>
      <c r="P32" s="21">
        <v>452.37</v>
      </c>
      <c r="Q32" s="30">
        <f t="shared" si="3"/>
        <v>134160.76999999999</v>
      </c>
      <c r="R32" s="29">
        <v>65000</v>
      </c>
      <c r="S32" s="21">
        <v>771.88</v>
      </c>
      <c r="T32" s="21">
        <v>450</v>
      </c>
      <c r="U32" s="30">
        <f t="shared" si="4"/>
        <v>66221.88</v>
      </c>
      <c r="V32" s="29">
        <v>0</v>
      </c>
      <c r="W32" s="21">
        <v>0</v>
      </c>
      <c r="X32" s="21">
        <v>0</v>
      </c>
      <c r="Y32" s="30">
        <f t="shared" si="5"/>
        <v>0</v>
      </c>
      <c r="Z32" s="29">
        <v>0</v>
      </c>
      <c r="AA32" s="21">
        <v>0</v>
      </c>
      <c r="AB32" s="21">
        <v>0</v>
      </c>
      <c r="AC32" s="30">
        <f t="shared" si="6"/>
        <v>0</v>
      </c>
      <c r="AD32" s="29">
        <f t="shared" si="8"/>
        <v>241922.77000000002</v>
      </c>
      <c r="AE32" s="21">
        <f t="shared" si="9"/>
        <v>22730.010000000002</v>
      </c>
      <c r="AF32" s="21">
        <f t="shared" si="10"/>
        <v>902.37</v>
      </c>
      <c r="AG32" s="30">
        <f t="shared" si="7"/>
        <v>265555.15000000002</v>
      </c>
      <c r="AH32" s="39"/>
      <c r="AI32" s="39"/>
      <c r="AJ32" s="39"/>
      <c r="AK32" s="39"/>
    </row>
    <row r="33" spans="1:37" ht="13" x14ac:dyDescent="0.3">
      <c r="A33" s="12">
        <v>2040</v>
      </c>
      <c r="B33" s="29">
        <v>52000</v>
      </c>
      <c r="C33" s="21">
        <f>7055+5950</f>
        <v>13005</v>
      </c>
      <c r="D33" s="21">
        <v>0</v>
      </c>
      <c r="E33" s="30">
        <f t="shared" si="0"/>
        <v>65005</v>
      </c>
      <c r="F33" s="29">
        <v>0</v>
      </c>
      <c r="G33" s="21">
        <v>0</v>
      </c>
      <c r="H33" s="21">
        <v>0</v>
      </c>
      <c r="I33" s="30">
        <f t="shared" si="11"/>
        <v>0</v>
      </c>
      <c r="J33" s="29">
        <v>0</v>
      </c>
      <c r="K33" s="21">
        <v>0</v>
      </c>
      <c r="L33" s="21">
        <v>0</v>
      </c>
      <c r="M33" s="30">
        <f t="shared" si="12"/>
        <v>0</v>
      </c>
      <c r="N33" s="29">
        <v>130759.25</v>
      </c>
      <c r="O33" s="21">
        <v>2949.15</v>
      </c>
      <c r="P33" s="21">
        <v>196.63</v>
      </c>
      <c r="Q33" s="30">
        <f t="shared" ref="Q33:Q38" si="13">SUM(N33:P33)</f>
        <v>133905.03</v>
      </c>
      <c r="R33" s="29">
        <v>0</v>
      </c>
      <c r="S33" s="21">
        <v>0</v>
      </c>
      <c r="T33" s="21">
        <v>0</v>
      </c>
      <c r="U33" s="30">
        <f t="shared" ref="U33:U38" si="14">SUM(R33:T33)</f>
        <v>0</v>
      </c>
      <c r="V33" s="29">
        <v>0</v>
      </c>
      <c r="W33" s="21">
        <v>0</v>
      </c>
      <c r="X33" s="21">
        <v>0</v>
      </c>
      <c r="Y33" s="30">
        <f t="shared" ref="Y33:Y38" si="15">SUM(V33:X33)</f>
        <v>0</v>
      </c>
      <c r="Z33" s="29">
        <v>0</v>
      </c>
      <c r="AA33" s="21">
        <v>0</v>
      </c>
      <c r="AB33" s="21">
        <v>0</v>
      </c>
      <c r="AC33" s="30">
        <f t="shared" ref="AC33:AC38" si="16">SUM(Z33:AB33)</f>
        <v>0</v>
      </c>
      <c r="AD33" s="29">
        <f t="shared" si="8"/>
        <v>182759.25</v>
      </c>
      <c r="AE33" s="21">
        <f t="shared" si="9"/>
        <v>15954.15</v>
      </c>
      <c r="AF33" s="21">
        <f t="shared" si="10"/>
        <v>196.63</v>
      </c>
      <c r="AG33" s="30">
        <f t="shared" si="7"/>
        <v>198910.03</v>
      </c>
      <c r="AH33" s="39"/>
      <c r="AI33" s="39"/>
      <c r="AJ33" s="39"/>
      <c r="AK33" s="39"/>
    </row>
    <row r="34" spans="1:37" ht="13" x14ac:dyDescent="0.3">
      <c r="A34" s="12">
        <v>2041</v>
      </c>
      <c r="B34" s="29">
        <v>54000</v>
      </c>
      <c r="C34" s="21">
        <f>5950+4802.5</f>
        <v>10752.5</v>
      </c>
      <c r="D34" s="21">
        <v>0</v>
      </c>
      <c r="E34" s="30">
        <f t="shared" si="0"/>
        <v>64752.5</v>
      </c>
      <c r="F34" s="29">
        <v>0</v>
      </c>
      <c r="G34" s="21">
        <v>0</v>
      </c>
      <c r="H34" s="21">
        <v>0</v>
      </c>
      <c r="I34" s="30">
        <f t="shared" si="11"/>
        <v>0</v>
      </c>
      <c r="J34" s="29">
        <v>0</v>
      </c>
      <c r="K34" s="21">
        <v>0</v>
      </c>
      <c r="L34" s="21">
        <v>0</v>
      </c>
      <c r="M34" s="30">
        <f t="shared" si="12"/>
        <v>0</v>
      </c>
      <c r="N34" s="29">
        <v>0</v>
      </c>
      <c r="O34" s="21">
        <v>0</v>
      </c>
      <c r="P34" s="21">
        <v>0</v>
      </c>
      <c r="Q34" s="30">
        <f t="shared" si="13"/>
        <v>0</v>
      </c>
      <c r="R34" s="29">
        <v>0</v>
      </c>
      <c r="S34" s="21">
        <v>0</v>
      </c>
      <c r="T34" s="21">
        <v>0</v>
      </c>
      <c r="U34" s="30">
        <f t="shared" si="14"/>
        <v>0</v>
      </c>
      <c r="V34" s="29">
        <v>0</v>
      </c>
      <c r="W34" s="21">
        <v>0</v>
      </c>
      <c r="X34" s="21">
        <v>0</v>
      </c>
      <c r="Y34" s="30">
        <f t="shared" si="15"/>
        <v>0</v>
      </c>
      <c r="Z34" s="29">
        <v>0</v>
      </c>
      <c r="AA34" s="21">
        <v>0</v>
      </c>
      <c r="AB34" s="21">
        <v>0</v>
      </c>
      <c r="AC34" s="30">
        <f t="shared" si="16"/>
        <v>0</v>
      </c>
      <c r="AD34" s="29">
        <f t="shared" si="8"/>
        <v>54000</v>
      </c>
      <c r="AE34" s="21">
        <f t="shared" si="9"/>
        <v>10752.5</v>
      </c>
      <c r="AF34" s="21">
        <f t="shared" si="10"/>
        <v>0</v>
      </c>
      <c r="AG34" s="30">
        <f t="shared" si="7"/>
        <v>64752.5</v>
      </c>
      <c r="AH34" s="39"/>
      <c r="AI34" s="39"/>
      <c r="AJ34" s="39"/>
      <c r="AK34" s="39"/>
    </row>
    <row r="35" spans="1:37" ht="13" x14ac:dyDescent="0.3">
      <c r="A35" s="12">
        <v>2042</v>
      </c>
      <c r="B35" s="29">
        <v>57000</v>
      </c>
      <c r="C35" s="21">
        <f>4802.5+3591.25</f>
        <v>8393.75</v>
      </c>
      <c r="D35" s="21">
        <v>0</v>
      </c>
      <c r="E35" s="30">
        <f t="shared" si="0"/>
        <v>65393.75</v>
      </c>
      <c r="F35" s="29">
        <v>0</v>
      </c>
      <c r="G35" s="21">
        <v>0</v>
      </c>
      <c r="H35" s="21">
        <v>0</v>
      </c>
      <c r="I35" s="30">
        <f t="shared" si="11"/>
        <v>0</v>
      </c>
      <c r="J35" s="29">
        <v>0</v>
      </c>
      <c r="K35" s="21">
        <v>0</v>
      </c>
      <c r="L35" s="21">
        <v>0</v>
      </c>
      <c r="M35" s="30">
        <f t="shared" si="12"/>
        <v>0</v>
      </c>
      <c r="N35" s="29">
        <v>0</v>
      </c>
      <c r="O35" s="21">
        <v>0</v>
      </c>
      <c r="P35" s="21">
        <v>0</v>
      </c>
      <c r="Q35" s="30">
        <f t="shared" si="13"/>
        <v>0</v>
      </c>
      <c r="R35" s="29">
        <v>0</v>
      </c>
      <c r="S35" s="21">
        <v>0</v>
      </c>
      <c r="T35" s="21">
        <v>0</v>
      </c>
      <c r="U35" s="30">
        <f t="shared" si="14"/>
        <v>0</v>
      </c>
      <c r="V35" s="29">
        <v>0</v>
      </c>
      <c r="W35" s="21">
        <v>0</v>
      </c>
      <c r="X35" s="21">
        <v>0</v>
      </c>
      <c r="Y35" s="30">
        <f t="shared" si="15"/>
        <v>0</v>
      </c>
      <c r="Z35" s="29">
        <v>0</v>
      </c>
      <c r="AA35" s="21">
        <v>0</v>
      </c>
      <c r="AB35" s="21">
        <v>0</v>
      </c>
      <c r="AC35" s="30">
        <f t="shared" si="16"/>
        <v>0</v>
      </c>
      <c r="AD35" s="29">
        <f t="shared" si="8"/>
        <v>57000</v>
      </c>
      <c r="AE35" s="21">
        <f t="shared" si="9"/>
        <v>8393.75</v>
      </c>
      <c r="AF35" s="21">
        <f t="shared" si="10"/>
        <v>0</v>
      </c>
      <c r="AG35" s="30">
        <f t="shared" si="7"/>
        <v>65393.75</v>
      </c>
      <c r="AH35" s="39"/>
      <c r="AI35" s="39"/>
      <c r="AJ35" s="39"/>
      <c r="AK35" s="39"/>
    </row>
    <row r="36" spans="1:37" ht="13" x14ac:dyDescent="0.3">
      <c r="A36" s="12">
        <v>2043</v>
      </c>
      <c r="B36" s="29">
        <v>59000</v>
      </c>
      <c r="C36" s="21">
        <f>3591.25+2337.5</f>
        <v>5928.75</v>
      </c>
      <c r="D36" s="21">
        <v>0</v>
      </c>
      <c r="E36" s="30">
        <f t="shared" si="0"/>
        <v>64928.75</v>
      </c>
      <c r="F36" s="29">
        <v>0</v>
      </c>
      <c r="G36" s="21">
        <v>0</v>
      </c>
      <c r="H36" s="21">
        <v>0</v>
      </c>
      <c r="I36" s="30">
        <f t="shared" si="11"/>
        <v>0</v>
      </c>
      <c r="J36" s="29">
        <v>0</v>
      </c>
      <c r="K36" s="21">
        <v>0</v>
      </c>
      <c r="L36" s="21">
        <v>0</v>
      </c>
      <c r="M36" s="30">
        <f t="shared" si="12"/>
        <v>0</v>
      </c>
      <c r="N36" s="29">
        <v>0</v>
      </c>
      <c r="O36" s="21">
        <v>0</v>
      </c>
      <c r="P36" s="21">
        <v>0</v>
      </c>
      <c r="Q36" s="30">
        <f t="shared" si="13"/>
        <v>0</v>
      </c>
      <c r="R36" s="29">
        <v>0</v>
      </c>
      <c r="S36" s="21">
        <v>0</v>
      </c>
      <c r="T36" s="21">
        <v>0</v>
      </c>
      <c r="U36" s="30">
        <f t="shared" si="14"/>
        <v>0</v>
      </c>
      <c r="V36" s="29">
        <v>0</v>
      </c>
      <c r="W36" s="21">
        <v>0</v>
      </c>
      <c r="X36" s="21">
        <v>0</v>
      </c>
      <c r="Y36" s="30">
        <f t="shared" si="15"/>
        <v>0</v>
      </c>
      <c r="Z36" s="29">
        <v>0</v>
      </c>
      <c r="AA36" s="21">
        <v>0</v>
      </c>
      <c r="AB36" s="21">
        <v>0</v>
      </c>
      <c r="AC36" s="30">
        <f t="shared" si="16"/>
        <v>0</v>
      </c>
      <c r="AD36" s="29">
        <f t="shared" si="8"/>
        <v>59000</v>
      </c>
      <c r="AE36" s="21">
        <f t="shared" si="9"/>
        <v>5928.75</v>
      </c>
      <c r="AF36" s="21">
        <f t="shared" si="10"/>
        <v>0</v>
      </c>
      <c r="AG36" s="30">
        <f t="shared" si="7"/>
        <v>64928.75</v>
      </c>
      <c r="AH36" s="39"/>
      <c r="AI36" s="39"/>
      <c r="AJ36" s="39"/>
      <c r="AK36" s="39"/>
    </row>
    <row r="37" spans="1:37" ht="13" x14ac:dyDescent="0.3">
      <c r="A37" s="12">
        <v>2044</v>
      </c>
      <c r="B37" s="29">
        <v>62000</v>
      </c>
      <c r="C37" s="21">
        <f>2337.5+1020</f>
        <v>3357.5</v>
      </c>
      <c r="D37" s="21">
        <v>0</v>
      </c>
      <c r="E37" s="30">
        <f t="shared" si="0"/>
        <v>65357.5</v>
      </c>
      <c r="F37" s="29">
        <v>0</v>
      </c>
      <c r="G37" s="21">
        <v>0</v>
      </c>
      <c r="H37" s="21">
        <v>0</v>
      </c>
      <c r="I37" s="30">
        <f t="shared" si="11"/>
        <v>0</v>
      </c>
      <c r="J37" s="29">
        <v>0</v>
      </c>
      <c r="K37" s="21">
        <v>0</v>
      </c>
      <c r="L37" s="21">
        <v>0</v>
      </c>
      <c r="M37" s="30">
        <f t="shared" si="12"/>
        <v>0</v>
      </c>
      <c r="N37" s="29">
        <v>0</v>
      </c>
      <c r="O37" s="21">
        <v>0</v>
      </c>
      <c r="P37" s="21">
        <v>0</v>
      </c>
      <c r="Q37" s="30">
        <f t="shared" si="13"/>
        <v>0</v>
      </c>
      <c r="R37" s="29">
        <v>0</v>
      </c>
      <c r="S37" s="21">
        <v>0</v>
      </c>
      <c r="T37" s="21">
        <v>0</v>
      </c>
      <c r="U37" s="30">
        <f t="shared" si="14"/>
        <v>0</v>
      </c>
      <c r="V37" s="29">
        <v>0</v>
      </c>
      <c r="W37" s="21">
        <v>0</v>
      </c>
      <c r="X37" s="21">
        <v>0</v>
      </c>
      <c r="Y37" s="30">
        <f t="shared" si="15"/>
        <v>0</v>
      </c>
      <c r="Z37" s="29">
        <v>0</v>
      </c>
      <c r="AA37" s="21">
        <v>0</v>
      </c>
      <c r="AB37" s="21">
        <v>0</v>
      </c>
      <c r="AC37" s="30">
        <f t="shared" si="16"/>
        <v>0</v>
      </c>
      <c r="AD37" s="29">
        <f t="shared" si="8"/>
        <v>62000</v>
      </c>
      <c r="AE37" s="21">
        <f t="shared" si="9"/>
        <v>3357.5</v>
      </c>
      <c r="AF37" s="21">
        <f t="shared" si="10"/>
        <v>0</v>
      </c>
      <c r="AG37" s="30">
        <f t="shared" si="7"/>
        <v>65357.5</v>
      </c>
      <c r="AH37" s="39"/>
      <c r="AI37" s="39"/>
      <c r="AJ37" s="39"/>
      <c r="AK37" s="39"/>
    </row>
    <row r="38" spans="1:37" ht="13" x14ac:dyDescent="0.3">
      <c r="A38" s="12">
        <v>2045</v>
      </c>
      <c r="B38" s="29">
        <v>48000</v>
      </c>
      <c r="C38" s="21">
        <v>1020</v>
      </c>
      <c r="D38" s="21">
        <v>0</v>
      </c>
      <c r="E38" s="30">
        <f t="shared" si="0"/>
        <v>49020</v>
      </c>
      <c r="F38" s="29">
        <v>0</v>
      </c>
      <c r="G38" s="21">
        <v>0</v>
      </c>
      <c r="H38" s="21">
        <v>0</v>
      </c>
      <c r="I38" s="30">
        <f t="shared" si="11"/>
        <v>0</v>
      </c>
      <c r="J38" s="29">
        <v>0</v>
      </c>
      <c r="K38" s="21">
        <v>0</v>
      </c>
      <c r="L38" s="21">
        <v>0</v>
      </c>
      <c r="M38" s="30">
        <f t="shared" si="12"/>
        <v>0</v>
      </c>
      <c r="N38" s="29">
        <v>0</v>
      </c>
      <c r="O38" s="21">
        <v>0</v>
      </c>
      <c r="P38" s="21">
        <v>0</v>
      </c>
      <c r="Q38" s="30">
        <f t="shared" si="13"/>
        <v>0</v>
      </c>
      <c r="R38" s="29">
        <v>0</v>
      </c>
      <c r="S38" s="21">
        <v>0</v>
      </c>
      <c r="T38" s="21">
        <v>0</v>
      </c>
      <c r="U38" s="30">
        <f t="shared" si="14"/>
        <v>0</v>
      </c>
      <c r="V38" s="29">
        <v>0</v>
      </c>
      <c r="W38" s="21">
        <v>0</v>
      </c>
      <c r="X38" s="21">
        <v>0</v>
      </c>
      <c r="Y38" s="30">
        <f t="shared" si="15"/>
        <v>0</v>
      </c>
      <c r="Z38" s="29">
        <v>0</v>
      </c>
      <c r="AA38" s="21">
        <v>0</v>
      </c>
      <c r="AB38" s="21">
        <v>0</v>
      </c>
      <c r="AC38" s="30">
        <f t="shared" si="16"/>
        <v>0</v>
      </c>
      <c r="AD38" s="29">
        <f t="shared" si="8"/>
        <v>48000</v>
      </c>
      <c r="AE38" s="21">
        <f t="shared" si="9"/>
        <v>1020</v>
      </c>
      <c r="AF38" s="21">
        <f t="shared" si="10"/>
        <v>0</v>
      </c>
      <c r="AG38" s="30">
        <f t="shared" si="7"/>
        <v>49020</v>
      </c>
      <c r="AH38" s="39"/>
      <c r="AI38" s="39"/>
      <c r="AJ38" s="39"/>
      <c r="AK38" s="39"/>
    </row>
    <row r="39" spans="1:37" ht="13" x14ac:dyDescent="0.3">
      <c r="A39" s="12"/>
      <c r="B39" s="31"/>
      <c r="C39" s="32"/>
      <c r="D39" s="32"/>
      <c r="E39" s="33"/>
      <c r="F39" s="9"/>
      <c r="G39" s="1"/>
      <c r="H39" s="1"/>
      <c r="I39" s="33"/>
      <c r="J39" s="9"/>
      <c r="M39" s="33"/>
      <c r="N39" s="31"/>
      <c r="O39" s="32"/>
      <c r="P39" s="32"/>
      <c r="Q39" s="33"/>
      <c r="R39" s="31"/>
      <c r="S39" s="32"/>
      <c r="T39" s="32"/>
      <c r="U39" s="33"/>
      <c r="V39" s="31"/>
      <c r="W39" s="32"/>
      <c r="X39" s="32"/>
      <c r="Y39" s="33"/>
      <c r="Z39" s="31"/>
      <c r="AA39" s="32"/>
      <c r="AB39" s="32"/>
      <c r="AC39" s="33"/>
      <c r="AD39" s="29"/>
      <c r="AE39" s="21"/>
      <c r="AF39" s="21"/>
      <c r="AG39" s="30"/>
    </row>
    <row r="40" spans="1:37" ht="13" x14ac:dyDescent="0.3">
      <c r="A40" s="14" t="s">
        <v>33</v>
      </c>
      <c r="B40" s="34">
        <f>SUM(B15:B39)</f>
        <v>979000</v>
      </c>
      <c r="C40" s="22">
        <f>SUM(C15:C39)</f>
        <v>574111.25</v>
      </c>
      <c r="D40" s="22">
        <f>SUM(D15:D39)</f>
        <v>0</v>
      </c>
      <c r="E40" s="35">
        <f>SUM(E14:E39)</f>
        <v>1553111.25</v>
      </c>
      <c r="F40" s="34">
        <f>SUM(F15:F39)</f>
        <v>859458.17000000016</v>
      </c>
      <c r="G40" s="22">
        <f>SUM(G15:G39)</f>
        <v>82375.47</v>
      </c>
      <c r="H40" s="22">
        <f>SUM(H15:H39)</f>
        <v>0</v>
      </c>
      <c r="I40" s="35">
        <f>SUM(I14:I39)</f>
        <v>941833.6399999999</v>
      </c>
      <c r="J40" s="34">
        <f>SUM(J15:J39)</f>
        <v>1575000</v>
      </c>
      <c r="K40" s="22">
        <f>SUM(K15:K39)</f>
        <v>223275</v>
      </c>
      <c r="L40" s="22">
        <f>SUM(L15:L39)</f>
        <v>4050</v>
      </c>
      <c r="M40" s="35">
        <f>SUM(M14:M39)</f>
        <v>1802325</v>
      </c>
      <c r="N40" s="34">
        <f>SUM(N15:N39)</f>
        <v>1925738.79</v>
      </c>
      <c r="O40" s="22">
        <f>SUM(O15:O39)</f>
        <v>614720.81000000006</v>
      </c>
      <c r="P40" s="22">
        <f>SUM(P15:P39)</f>
        <v>40981.409999999996</v>
      </c>
      <c r="Q40" s="35">
        <f>SUM(Q14:Q39)</f>
        <v>2581441.0099999998</v>
      </c>
      <c r="R40" s="34">
        <f>SUM(R15:R39)</f>
        <v>1675000</v>
      </c>
      <c r="S40" s="22">
        <f>SUM(S15:S39)</f>
        <v>356070.36000000016</v>
      </c>
      <c r="T40" s="22">
        <f>SUM(T15:T39)</f>
        <v>8100</v>
      </c>
      <c r="U40" s="35">
        <f>SUM(U14:U39)</f>
        <v>2039170.3600000003</v>
      </c>
      <c r="V40" s="34">
        <f>SUM(V15:V39)</f>
        <v>3615380</v>
      </c>
      <c r="W40" s="22">
        <f>SUM(W15:W39)</f>
        <v>192028.56</v>
      </c>
      <c r="X40" s="22">
        <f>SUM(X15:X39)</f>
        <v>450</v>
      </c>
      <c r="Y40" s="35">
        <f>SUM(Y14:Y39)</f>
        <v>3807858.5599999996</v>
      </c>
      <c r="Z40" s="34">
        <f>SUM(Z15:Z39)</f>
        <v>3777547.44</v>
      </c>
      <c r="AA40" s="22">
        <f>SUM(AA15:AA39)</f>
        <v>189402.03</v>
      </c>
      <c r="AB40" s="22">
        <f>SUM(AB15:AB39)</f>
        <v>225</v>
      </c>
      <c r="AC40" s="35">
        <f>SUM(AC14:AC39)</f>
        <v>3967174.4699999997</v>
      </c>
      <c r="AD40" s="34">
        <f>SUM(AD15:AD39)</f>
        <v>14407124.4</v>
      </c>
      <c r="AE40" s="22">
        <f>SUM(AE15:AE39)</f>
        <v>2231983.4799999995</v>
      </c>
      <c r="AF40" s="22">
        <f>SUM(AF15:AF39)</f>
        <v>53806.409999999996</v>
      </c>
      <c r="AG40" s="35">
        <f>SUM(AG14:AG39)</f>
        <v>16692914.289999999</v>
      </c>
    </row>
    <row r="41" spans="1:37" s="6" customFormat="1" x14ac:dyDescent="0.25">
      <c r="A41" s="3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16">
        <f>+AD40-B40-F40-J40-N40-V40-R40-Z40</f>
        <v>0</v>
      </c>
      <c r="AE41" s="16">
        <f>+AE40-C40-G40-K40-O40-S40-W40-AA40</f>
        <v>-6.6938810050487518E-10</v>
      </c>
      <c r="AF41" s="16">
        <f>+AF40-D40-H40-L40-P40-X40-T40-AB40</f>
        <v>0</v>
      </c>
      <c r="AG41" s="16">
        <f>+AG40-E40-I40-M40-Q40-U40-Y40-AC40</f>
        <v>0</v>
      </c>
    </row>
    <row r="42" spans="1:37" x14ac:dyDescent="0.25">
      <c r="A42" s="23"/>
      <c r="B42" s="15"/>
      <c r="C42" s="4"/>
      <c r="D42" s="4"/>
      <c r="E42" s="4"/>
      <c r="AD42" s="40"/>
    </row>
  </sheetData>
  <mergeCells count="55">
    <mergeCell ref="Z12:AC12"/>
    <mergeCell ref="B9:E9"/>
    <mergeCell ref="N9:Q9"/>
    <mergeCell ref="F9:I9"/>
    <mergeCell ref="J9:M9"/>
    <mergeCell ref="R9:U9"/>
    <mergeCell ref="Z9:AC9"/>
    <mergeCell ref="N12:Q12"/>
    <mergeCell ref="R12:U12"/>
    <mergeCell ref="J10:M10"/>
    <mergeCell ref="J11:M11"/>
    <mergeCell ref="F12:I12"/>
    <mergeCell ref="J12:M12"/>
    <mergeCell ref="B12:E12"/>
    <mergeCell ref="V12:Y12"/>
    <mergeCell ref="R8:U8"/>
    <mergeCell ref="R10:U10"/>
    <mergeCell ref="R11:U11"/>
    <mergeCell ref="Z6:AC6"/>
    <mergeCell ref="Z7:AC7"/>
    <mergeCell ref="Z8:AC8"/>
    <mergeCell ref="Z10:AC10"/>
    <mergeCell ref="Z11:AC11"/>
    <mergeCell ref="V6:Y6"/>
    <mergeCell ref="V7:Y7"/>
    <mergeCell ref="V8:Y8"/>
    <mergeCell ref="V9:Y9"/>
    <mergeCell ref="V10:Y10"/>
    <mergeCell ref="V11:Y11"/>
    <mergeCell ref="F6:I6"/>
    <mergeCell ref="F7:I7"/>
    <mergeCell ref="F8:I8"/>
    <mergeCell ref="F10:I10"/>
    <mergeCell ref="F11:I11"/>
    <mergeCell ref="J6:M6"/>
    <mergeCell ref="J7:M7"/>
    <mergeCell ref="J8:M8"/>
    <mergeCell ref="AD12:AG12"/>
    <mergeCell ref="AD6:AG6"/>
    <mergeCell ref="AD7:AG7"/>
    <mergeCell ref="AD8:AG8"/>
    <mergeCell ref="AD10:AG10"/>
    <mergeCell ref="AD11:AG11"/>
    <mergeCell ref="N6:Q6"/>
    <mergeCell ref="N7:Q7"/>
    <mergeCell ref="N8:Q8"/>
    <mergeCell ref="N10:Q10"/>
    <mergeCell ref="N11:Q11"/>
    <mergeCell ref="R6:U6"/>
    <mergeCell ref="R7:U7"/>
    <mergeCell ref="B6:E6"/>
    <mergeCell ref="B7:E7"/>
    <mergeCell ref="B8:E8"/>
    <mergeCell ref="B10:E10"/>
    <mergeCell ref="B11:E11"/>
  </mergeCells>
  <phoneticPr fontId="0" type="noConversion"/>
  <printOptions horizontalCentered="1"/>
  <pageMargins left="0" right="0" top="0.25" bottom="0.25" header="0.25" footer="0"/>
  <pageSetup scale="70" orientation="landscape" r:id="rId1"/>
  <headerFooter alignWithMargins="0">
    <oddHeader>&amp;R&amp;""&amp;10Page &amp;P of &amp;N</oddHeader>
  </headerFooter>
  <colBreaks count="2" manualBreakCount="2">
    <brk id="13" max="39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Peeples, Jeff</dc:creator>
  <cp:keywords/>
  <dc:description/>
  <cp:lastModifiedBy>Emily Childress</cp:lastModifiedBy>
  <cp:revision/>
  <dcterms:created xsi:type="dcterms:W3CDTF">2011-10-13T21:36:34Z</dcterms:created>
  <dcterms:modified xsi:type="dcterms:W3CDTF">2024-09-12T03:18:10Z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DocumentId">
    <vt:lpwstr>4876-9766-7043</vt:lpwstr>
  </property>
</Properties>
</file>