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6f1467a1919448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5447898-1CED-4966-99AE-0224A6905E9B}" xr6:coauthVersionLast="47" xr6:coauthVersionMax="47" xr10:uidLastSave="{00000000-0000-0000-0000-000000000000}"/>
  <bookViews>
    <workbookView xWindow="28680" yWindow="-120" windowWidth="29040" windowHeight="15840" activeTab="6" xr2:uid="{9D91F414-1F5D-45F1-A413-DCD4FE7216E2}"/>
  </bookViews>
  <sheets>
    <sheet name="SUMMARY" sheetId="5" r:id="rId1"/>
    <sheet name="New Employees" sheetId="1" r:id="rId2"/>
    <sheet name="CSR Wages" sheetId="4" r:id="rId3"/>
    <sheet name="Developments" sheetId="2" r:id="rId4"/>
    <sheet name="Developments-S" sheetId="8" r:id="rId5"/>
    <sheet name="Developments-W" sheetId="6" r:id="rId6"/>
    <sheet name="Capital Projects" sheetId="3" r:id="rId7"/>
    <sheet name="Transpark 2 Upgrade" sheetId="9" r:id="rId8"/>
    <sheet name="Transpark 2 Tank" sheetId="10" r:id="rId9"/>
    <sheet name="SCADA Upgrade" sheetId="11" r:id="rId10"/>
    <sheet name="SCADA Completion Date" sheetId="12" r:id="rId11"/>
    <sheet name="CIS Infinity Upgrade" sheetId="13" r:id="rId12"/>
    <sheet name="MCO Program" sheetId="14" r:id="rId13"/>
    <sheet name="Total Adjustments" sheetId="15" r:id="rId14"/>
  </sheets>
  <definedNames>
    <definedName name="_xlnm.Print_Area" localSheetId="2">'CSR Wages'!$A$29:$L$54</definedName>
    <definedName name="_xlnm.Print_Area" localSheetId="4">'Developments-S'!$A$1:$N$70</definedName>
    <definedName name="_xlnm.Print_Area" localSheetId="5">'Developments-W'!$A$1:$M$106</definedName>
    <definedName name="_xlnm.Print_Area" localSheetId="1">'New Employees'!$A$56:$U$82</definedName>
    <definedName name="_xlnm.Print_Area" localSheetId="0">SUMMARY!$A$24:$C$40</definedName>
    <definedName name="_xlnm.Print_Area" localSheetId="7">'Transpark 2 Upgrade'!$A$1:$P$48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5" l="1"/>
  <c r="D8" i="15"/>
  <c r="D9" i="15"/>
  <c r="C8" i="15"/>
  <c r="B8" i="15"/>
  <c r="B9" i="15"/>
  <c r="B6" i="15"/>
  <c r="D31" i="14"/>
  <c r="C31" i="14"/>
  <c r="B31" i="14"/>
  <c r="E31" i="14" s="1"/>
  <c r="D30" i="14"/>
  <c r="D32" i="14" s="1"/>
  <c r="C30" i="14"/>
  <c r="C32" i="14" s="1"/>
  <c r="B30" i="14"/>
  <c r="B32" i="14" s="1"/>
  <c r="E29" i="14"/>
  <c r="D26" i="14"/>
  <c r="C26" i="14"/>
  <c r="B26" i="14"/>
  <c r="E26" i="14" s="1"/>
  <c r="D25" i="14"/>
  <c r="D27" i="14" s="1"/>
  <c r="C25" i="14"/>
  <c r="C27" i="14" s="1"/>
  <c r="B25" i="14"/>
  <c r="B27" i="14" s="1"/>
  <c r="E24" i="14"/>
  <c r="D21" i="14"/>
  <c r="C21" i="14"/>
  <c r="B21" i="14"/>
  <c r="E21" i="14" s="1"/>
  <c r="D20" i="14"/>
  <c r="D22" i="14" s="1"/>
  <c r="C20" i="14"/>
  <c r="C22" i="14" s="1"/>
  <c r="B20" i="14"/>
  <c r="B22" i="14" s="1"/>
  <c r="E19" i="14"/>
  <c r="D16" i="14"/>
  <c r="E16" i="14" s="1"/>
  <c r="C16" i="14"/>
  <c r="B16" i="14"/>
  <c r="D15" i="14"/>
  <c r="D17" i="14" s="1"/>
  <c r="C15" i="14"/>
  <c r="C17" i="14" s="1"/>
  <c r="B15" i="14"/>
  <c r="B17" i="14" s="1"/>
  <c r="E14" i="14"/>
  <c r="D11" i="14"/>
  <c r="C11" i="14"/>
  <c r="C12" i="14" s="1"/>
  <c r="B11" i="14"/>
  <c r="B12" i="14" s="1"/>
  <c r="D10" i="14"/>
  <c r="D12" i="14" s="1"/>
  <c r="C10" i="14"/>
  <c r="B10" i="14"/>
  <c r="E9" i="14"/>
  <c r="O12" i="13"/>
  <c r="P11" i="13"/>
  <c r="Q9" i="13"/>
  <c r="Q10" i="13" s="1"/>
  <c r="Q11" i="13" s="1"/>
  <c r="R11" i="13" s="1"/>
  <c r="O5" i="13"/>
  <c r="P10" i="13" s="1"/>
  <c r="R10" i="13" s="1"/>
  <c r="O38" i="11"/>
  <c r="G32" i="11"/>
  <c r="O31" i="11"/>
  <c r="G31" i="11"/>
  <c r="O30" i="11"/>
  <c r="G30" i="11"/>
  <c r="G29" i="11"/>
  <c r="G26" i="11"/>
  <c r="G25" i="11"/>
  <c r="G24" i="11"/>
  <c r="G23" i="11"/>
  <c r="G22" i="11"/>
  <c r="G21" i="11"/>
  <c r="F20" i="11"/>
  <c r="G20" i="11" s="1"/>
  <c r="F19" i="11"/>
  <c r="G19" i="11" s="1"/>
  <c r="F18" i="11"/>
  <c r="G18" i="11" s="1"/>
  <c r="O17" i="11"/>
  <c r="F17" i="11"/>
  <c r="O15" i="11" s="1"/>
  <c r="O16" i="11"/>
  <c r="F16" i="11"/>
  <c r="O14" i="11" s="1"/>
  <c r="O19" i="11" s="1"/>
  <c r="C37" i="11" s="1"/>
  <c r="G15" i="11"/>
  <c r="G14" i="11"/>
  <c r="H10" i="11"/>
  <c r="G10" i="11"/>
  <c r="F10" i="11"/>
  <c r="E10" i="11"/>
  <c r="D10" i="11"/>
  <c r="C9" i="11"/>
  <c r="C8" i="11"/>
  <c r="C7" i="11"/>
  <c r="C6" i="11"/>
  <c r="B10" i="10"/>
  <c r="B14" i="10" s="1"/>
  <c r="D78" i="9"/>
  <c r="F55" i="9"/>
  <c r="F51" i="9"/>
  <c r="E39" i="9"/>
  <c r="F36" i="9"/>
  <c r="F54" i="9" s="1"/>
  <c r="D36" i="9"/>
  <c r="E35" i="9"/>
  <c r="E34" i="9"/>
  <c r="E33" i="9"/>
  <c r="E32" i="9"/>
  <c r="E31" i="9"/>
  <c r="E30" i="9"/>
  <c r="E29" i="9"/>
  <c r="E28" i="9"/>
  <c r="F25" i="9"/>
  <c r="F53" i="9" s="1"/>
  <c r="D25" i="9"/>
  <c r="E24" i="9"/>
  <c r="E23" i="9"/>
  <c r="E22" i="9"/>
  <c r="F19" i="9"/>
  <c r="D19" i="9"/>
  <c r="E18" i="9"/>
  <c r="E17" i="9"/>
  <c r="E16" i="9"/>
  <c r="F13" i="9"/>
  <c r="D13" i="9"/>
  <c r="E12" i="9"/>
  <c r="E11" i="9"/>
  <c r="E10" i="9"/>
  <c r="I8" i="9"/>
  <c r="Q76" i="1"/>
  <c r="U76" i="1"/>
  <c r="T76" i="1"/>
  <c r="S76" i="1"/>
  <c r="R76" i="1"/>
  <c r="E101" i="6"/>
  <c r="J55" i="8"/>
  <c r="K55" i="8" s="1"/>
  <c r="H55" i="8" s="1"/>
  <c r="J43" i="8"/>
  <c r="K43" i="8" s="1"/>
  <c r="H43" i="8" s="1"/>
  <c r="J42" i="8"/>
  <c r="K42" i="8" s="1"/>
  <c r="H42" i="8" s="1"/>
  <c r="J41" i="8"/>
  <c r="K41" i="8" s="1"/>
  <c r="H41" i="8" s="1"/>
  <c r="J40" i="8"/>
  <c r="K40" i="8" s="1"/>
  <c r="H40" i="8" s="1"/>
  <c r="J39" i="8"/>
  <c r="K39" i="8" s="1"/>
  <c r="J54" i="8"/>
  <c r="K54" i="8" s="1"/>
  <c r="H54" i="8" s="1"/>
  <c r="J38" i="8"/>
  <c r="K38" i="8" s="1"/>
  <c r="J37" i="8"/>
  <c r="K37" i="8" s="1"/>
  <c r="M37" i="8" s="1"/>
  <c r="J53" i="8"/>
  <c r="K53" i="8" s="1"/>
  <c r="H53" i="8" s="1"/>
  <c r="J36" i="8"/>
  <c r="K36" i="8" s="1"/>
  <c r="H36" i="8" s="1"/>
  <c r="J35" i="8"/>
  <c r="K35" i="8" s="1"/>
  <c r="M35" i="8" s="1"/>
  <c r="J52" i="8"/>
  <c r="K52" i="8" s="1"/>
  <c r="H52" i="8" s="1"/>
  <c r="J34" i="8"/>
  <c r="K34" i="8" s="1"/>
  <c r="H34" i="8" s="1"/>
  <c r="J33" i="8"/>
  <c r="K33" i="8" s="1"/>
  <c r="M33" i="8" s="1"/>
  <c r="J51" i="8"/>
  <c r="K51" i="8" s="1"/>
  <c r="H51" i="8" s="1"/>
  <c r="J32" i="8"/>
  <c r="K32" i="8" s="1"/>
  <c r="J31" i="8"/>
  <c r="K31" i="8" s="1"/>
  <c r="M31" i="8" s="1"/>
  <c r="J50" i="8"/>
  <c r="K50" i="8" s="1"/>
  <c r="H50" i="8" s="1"/>
  <c r="J30" i="8"/>
  <c r="K30" i="8" s="1"/>
  <c r="H30" i="8" s="1"/>
  <c r="J29" i="8"/>
  <c r="K29" i="8" s="1"/>
  <c r="M29" i="8" s="1"/>
  <c r="J49" i="8"/>
  <c r="K49" i="8" s="1"/>
  <c r="H49" i="8" s="1"/>
  <c r="J28" i="8"/>
  <c r="K28" i="8" s="1"/>
  <c r="H28" i="8" s="1"/>
  <c r="J27" i="8"/>
  <c r="K27" i="8" s="1"/>
  <c r="H27" i="8" s="1"/>
  <c r="J48" i="8"/>
  <c r="K48" i="8" s="1"/>
  <c r="H48" i="8" s="1"/>
  <c r="J26" i="8"/>
  <c r="K26" i="8" s="1"/>
  <c r="H26" i="8" s="1"/>
  <c r="J25" i="8"/>
  <c r="K25" i="8" s="1"/>
  <c r="M25" i="8" s="1"/>
  <c r="J47" i="8"/>
  <c r="K47" i="8" s="1"/>
  <c r="H47" i="8" s="1"/>
  <c r="J24" i="8"/>
  <c r="K24" i="8" s="1"/>
  <c r="H24" i="8" s="1"/>
  <c r="J23" i="8"/>
  <c r="K23" i="8" s="1"/>
  <c r="H23" i="8" s="1"/>
  <c r="J22" i="8"/>
  <c r="K22" i="8" s="1"/>
  <c r="M22" i="8" s="1"/>
  <c r="J46" i="8"/>
  <c r="K46" i="8" s="1"/>
  <c r="H46" i="8" s="1"/>
  <c r="J21" i="8"/>
  <c r="K21" i="8" s="1"/>
  <c r="H21" i="8" s="1"/>
  <c r="J20" i="8"/>
  <c r="K20" i="8" s="1"/>
  <c r="H20" i="8" s="1"/>
  <c r="J45" i="8"/>
  <c r="K45" i="8" s="1"/>
  <c r="H45" i="8" s="1"/>
  <c r="J19" i="8"/>
  <c r="K19" i="8" s="1"/>
  <c r="J18" i="8"/>
  <c r="K18" i="8" s="1"/>
  <c r="M18" i="8" s="1"/>
  <c r="J44" i="8"/>
  <c r="K44" i="8" s="1"/>
  <c r="H44" i="8" s="1"/>
  <c r="J17" i="8"/>
  <c r="K17" i="8" s="1"/>
  <c r="H17" i="8" s="1"/>
  <c r="J16" i="8"/>
  <c r="K16" i="8" s="1"/>
  <c r="H16" i="8" s="1"/>
  <c r="J15" i="8"/>
  <c r="K15" i="8" s="1"/>
  <c r="H15" i="8" s="1"/>
  <c r="J14" i="8"/>
  <c r="K14" i="8" s="1"/>
  <c r="H14" i="8" s="1"/>
  <c r="J10" i="8"/>
  <c r="K10" i="8" s="1"/>
  <c r="M10" i="8" s="1"/>
  <c r="B63" i="8" s="1"/>
  <c r="J13" i="8"/>
  <c r="K13" i="8" s="1"/>
  <c r="H13" i="8" s="1"/>
  <c r="J12" i="8"/>
  <c r="K12" i="8" s="1"/>
  <c r="H12" i="8" s="1"/>
  <c r="J11" i="8"/>
  <c r="K11" i="8" s="1"/>
  <c r="M11" i="8" s="1"/>
  <c r="I39" i="3"/>
  <c r="I9" i="3"/>
  <c r="K100" i="6"/>
  <c r="M100" i="6" s="1"/>
  <c r="J100" i="6"/>
  <c r="K99" i="6"/>
  <c r="M99" i="6" s="1"/>
  <c r="J99" i="6"/>
  <c r="J98" i="6"/>
  <c r="K98" i="6" s="1"/>
  <c r="J97" i="6"/>
  <c r="K97" i="6" s="1"/>
  <c r="K96" i="6"/>
  <c r="H96" i="6" s="1"/>
  <c r="J96" i="6"/>
  <c r="J95" i="6"/>
  <c r="K95" i="6" s="1"/>
  <c r="K94" i="6"/>
  <c r="M94" i="6" s="1"/>
  <c r="J94" i="6"/>
  <c r="K93" i="6"/>
  <c r="M93" i="6" s="1"/>
  <c r="J93" i="6"/>
  <c r="J92" i="6"/>
  <c r="K92" i="6" s="1"/>
  <c r="K91" i="6"/>
  <c r="M91" i="6" s="1"/>
  <c r="J91" i="6"/>
  <c r="K90" i="6"/>
  <c r="H90" i="6" s="1"/>
  <c r="J90" i="6"/>
  <c r="J89" i="6"/>
  <c r="K89" i="6" s="1"/>
  <c r="K88" i="6"/>
  <c r="M88" i="6" s="1"/>
  <c r="J88" i="6"/>
  <c r="K87" i="6"/>
  <c r="M87" i="6" s="1"/>
  <c r="J87" i="6"/>
  <c r="J86" i="6"/>
  <c r="K86" i="6" s="1"/>
  <c r="K85" i="6"/>
  <c r="M85" i="6" s="1"/>
  <c r="J85" i="6"/>
  <c r="K84" i="6"/>
  <c r="H84" i="6" s="1"/>
  <c r="J84" i="6"/>
  <c r="J83" i="6"/>
  <c r="K83" i="6" s="1"/>
  <c r="K82" i="6"/>
  <c r="M82" i="6" s="1"/>
  <c r="J82" i="6"/>
  <c r="K81" i="6"/>
  <c r="M81" i="6" s="1"/>
  <c r="J81" i="6"/>
  <c r="J80" i="6"/>
  <c r="K80" i="6" s="1"/>
  <c r="K79" i="6"/>
  <c r="M79" i="6" s="1"/>
  <c r="J79" i="6"/>
  <c r="K78" i="6"/>
  <c r="H78" i="6" s="1"/>
  <c r="J78" i="6"/>
  <c r="J77" i="6"/>
  <c r="K77" i="6" s="1"/>
  <c r="K76" i="6"/>
  <c r="M76" i="6" s="1"/>
  <c r="J76" i="6"/>
  <c r="K75" i="6"/>
  <c r="M75" i="6" s="1"/>
  <c r="J75" i="6"/>
  <c r="J74" i="6"/>
  <c r="K74" i="6" s="1"/>
  <c r="K73" i="6"/>
  <c r="M73" i="6" s="1"/>
  <c r="J73" i="6"/>
  <c r="K72" i="6"/>
  <c r="H72" i="6" s="1"/>
  <c r="J72" i="6"/>
  <c r="J71" i="6"/>
  <c r="K71" i="6" s="1"/>
  <c r="K70" i="6"/>
  <c r="M70" i="6" s="1"/>
  <c r="J70" i="6"/>
  <c r="K69" i="6"/>
  <c r="M69" i="6" s="1"/>
  <c r="J69" i="6"/>
  <c r="J68" i="6"/>
  <c r="K68" i="6" s="1"/>
  <c r="K67" i="6"/>
  <c r="M67" i="6" s="1"/>
  <c r="J67" i="6"/>
  <c r="K66" i="6"/>
  <c r="H66" i="6" s="1"/>
  <c r="J66" i="6"/>
  <c r="J65" i="6"/>
  <c r="K65" i="6" s="1"/>
  <c r="K64" i="6"/>
  <c r="M64" i="6" s="1"/>
  <c r="J64" i="6"/>
  <c r="K63" i="6"/>
  <c r="M63" i="6" s="1"/>
  <c r="J63" i="6"/>
  <c r="J62" i="6"/>
  <c r="K62" i="6" s="1"/>
  <c r="K61" i="6"/>
  <c r="M61" i="6" s="1"/>
  <c r="J61" i="6"/>
  <c r="K60" i="6"/>
  <c r="H60" i="6" s="1"/>
  <c r="J60" i="6"/>
  <c r="J59" i="6"/>
  <c r="K59" i="6" s="1"/>
  <c r="K58" i="6"/>
  <c r="M58" i="6" s="1"/>
  <c r="J58" i="6"/>
  <c r="K57" i="6"/>
  <c r="M57" i="6" s="1"/>
  <c r="J57" i="6"/>
  <c r="J56" i="6"/>
  <c r="K56" i="6" s="1"/>
  <c r="K55" i="6"/>
  <c r="M55" i="6" s="1"/>
  <c r="J55" i="6"/>
  <c r="K54" i="6"/>
  <c r="H54" i="6" s="1"/>
  <c r="J54" i="6"/>
  <c r="J53" i="6"/>
  <c r="K53" i="6" s="1"/>
  <c r="K52" i="6"/>
  <c r="M52" i="6" s="1"/>
  <c r="J52" i="6"/>
  <c r="K51" i="6"/>
  <c r="M51" i="6" s="1"/>
  <c r="J51" i="6"/>
  <c r="J50" i="6"/>
  <c r="K50" i="6" s="1"/>
  <c r="K49" i="6"/>
  <c r="M49" i="6" s="1"/>
  <c r="J49" i="6"/>
  <c r="K48" i="6"/>
  <c r="H48" i="6" s="1"/>
  <c r="J48" i="6"/>
  <c r="J47" i="6"/>
  <c r="K47" i="6" s="1"/>
  <c r="K46" i="6"/>
  <c r="M46" i="6" s="1"/>
  <c r="J46" i="6"/>
  <c r="K45" i="6"/>
  <c r="M45" i="6" s="1"/>
  <c r="J45" i="6"/>
  <c r="J44" i="6"/>
  <c r="K44" i="6" s="1"/>
  <c r="K43" i="6"/>
  <c r="M43" i="6" s="1"/>
  <c r="J43" i="6"/>
  <c r="K42" i="6"/>
  <c r="H42" i="6" s="1"/>
  <c r="J42" i="6"/>
  <c r="J41" i="6"/>
  <c r="K41" i="6" s="1"/>
  <c r="K40" i="6"/>
  <c r="M40" i="6" s="1"/>
  <c r="J40" i="6"/>
  <c r="K39" i="6"/>
  <c r="M39" i="6" s="1"/>
  <c r="J39" i="6"/>
  <c r="J38" i="6"/>
  <c r="K38" i="6" s="1"/>
  <c r="K37" i="6"/>
  <c r="M37" i="6" s="1"/>
  <c r="J37" i="6"/>
  <c r="K36" i="6"/>
  <c r="H36" i="6" s="1"/>
  <c r="J36" i="6"/>
  <c r="J35" i="6"/>
  <c r="K35" i="6" s="1"/>
  <c r="K34" i="6"/>
  <c r="M34" i="6" s="1"/>
  <c r="J34" i="6"/>
  <c r="K33" i="6"/>
  <c r="M33" i="6" s="1"/>
  <c r="J33" i="6"/>
  <c r="J32" i="6"/>
  <c r="K32" i="6" s="1"/>
  <c r="K31" i="6"/>
  <c r="M31" i="6" s="1"/>
  <c r="J31" i="6"/>
  <c r="K30" i="6"/>
  <c r="H30" i="6" s="1"/>
  <c r="J30" i="6"/>
  <c r="J29" i="6"/>
  <c r="K29" i="6" s="1"/>
  <c r="K28" i="6"/>
  <c r="M28" i="6" s="1"/>
  <c r="J28" i="6"/>
  <c r="K27" i="6"/>
  <c r="M27" i="6" s="1"/>
  <c r="J27" i="6"/>
  <c r="J26" i="6"/>
  <c r="K26" i="6" s="1"/>
  <c r="K25" i="6"/>
  <c r="M25" i="6" s="1"/>
  <c r="J25" i="6"/>
  <c r="K24" i="6"/>
  <c r="H24" i="6" s="1"/>
  <c r="J24" i="6"/>
  <c r="J23" i="6"/>
  <c r="K23" i="6" s="1"/>
  <c r="K22" i="6"/>
  <c r="M22" i="6" s="1"/>
  <c r="J22" i="6"/>
  <c r="K21" i="6"/>
  <c r="M21" i="6" s="1"/>
  <c r="J21" i="6"/>
  <c r="J20" i="6"/>
  <c r="K20" i="6" s="1"/>
  <c r="K19" i="6"/>
  <c r="M19" i="6" s="1"/>
  <c r="J19" i="6"/>
  <c r="K18" i="6"/>
  <c r="H18" i="6" s="1"/>
  <c r="J18" i="6"/>
  <c r="J17" i="6"/>
  <c r="K17" i="6" s="1"/>
  <c r="K16" i="6"/>
  <c r="M16" i="6" s="1"/>
  <c r="J16" i="6"/>
  <c r="K15" i="6"/>
  <c r="M15" i="6" s="1"/>
  <c r="J15" i="6"/>
  <c r="J14" i="6"/>
  <c r="K14" i="6" s="1"/>
  <c r="K13" i="6"/>
  <c r="M13" i="6" s="1"/>
  <c r="J13" i="6"/>
  <c r="K12" i="6"/>
  <c r="H12" i="6" s="1"/>
  <c r="J12" i="6"/>
  <c r="J11" i="6"/>
  <c r="K11" i="6" s="1"/>
  <c r="K10" i="6"/>
  <c r="M10" i="6" s="1"/>
  <c r="J10" i="6"/>
  <c r="K9" i="6"/>
  <c r="M9" i="6" s="1"/>
  <c r="J9" i="6"/>
  <c r="J8" i="6"/>
  <c r="K8" i="6" s="1"/>
  <c r="N189" i="2"/>
  <c r="L189" i="2"/>
  <c r="H189" i="2"/>
  <c r="E189" i="2"/>
  <c r="N188" i="2"/>
  <c r="L188" i="2"/>
  <c r="H188" i="2"/>
  <c r="E188" i="2"/>
  <c r="L187" i="2"/>
  <c r="K187" i="2"/>
  <c r="H187" i="2"/>
  <c r="L186" i="2"/>
  <c r="K186" i="2"/>
  <c r="H186" i="2"/>
  <c r="L185" i="2"/>
  <c r="K185" i="2"/>
  <c r="H185" i="2"/>
  <c r="L184" i="2"/>
  <c r="K184" i="2"/>
  <c r="H184" i="2"/>
  <c r="L183" i="2"/>
  <c r="K183" i="2"/>
  <c r="H183" i="2"/>
  <c r="L182" i="2"/>
  <c r="K182" i="2"/>
  <c r="H182" i="2"/>
  <c r="N181" i="2"/>
  <c r="L181" i="2"/>
  <c r="H181" i="2"/>
  <c r="E181" i="2"/>
  <c r="L180" i="2"/>
  <c r="K180" i="2"/>
  <c r="H180" i="2"/>
  <c r="L179" i="2"/>
  <c r="K179" i="2"/>
  <c r="H179" i="2"/>
  <c r="L178" i="2"/>
  <c r="K178" i="2"/>
  <c r="H178" i="2"/>
  <c r="N177" i="2"/>
  <c r="L177" i="2"/>
  <c r="H177" i="2"/>
  <c r="E177" i="2"/>
  <c r="L176" i="2"/>
  <c r="K176" i="2"/>
  <c r="H176" i="2"/>
  <c r="L175" i="2"/>
  <c r="K175" i="2"/>
  <c r="H175" i="2"/>
  <c r="L174" i="2"/>
  <c r="K174" i="2"/>
  <c r="H174" i="2"/>
  <c r="N173" i="2"/>
  <c r="L173" i="2"/>
  <c r="H173" i="2"/>
  <c r="E173" i="2"/>
  <c r="L172" i="2"/>
  <c r="K172" i="2"/>
  <c r="H172" i="2"/>
  <c r="L171" i="2"/>
  <c r="K171" i="2"/>
  <c r="H171" i="2"/>
  <c r="L170" i="2"/>
  <c r="K170" i="2"/>
  <c r="H170" i="2"/>
  <c r="N169" i="2"/>
  <c r="L169" i="2"/>
  <c r="H169" i="2"/>
  <c r="E169" i="2"/>
  <c r="L168" i="2"/>
  <c r="K168" i="2"/>
  <c r="H168" i="2"/>
  <c r="L167" i="2"/>
  <c r="K167" i="2"/>
  <c r="H167" i="2"/>
  <c r="L166" i="2"/>
  <c r="K166" i="2"/>
  <c r="H166" i="2"/>
  <c r="N165" i="2"/>
  <c r="L165" i="2"/>
  <c r="H165" i="2"/>
  <c r="E165" i="2"/>
  <c r="L164" i="2"/>
  <c r="K164" i="2"/>
  <c r="H164" i="2"/>
  <c r="L163" i="2"/>
  <c r="K163" i="2"/>
  <c r="H163" i="2"/>
  <c r="L162" i="2"/>
  <c r="K162" i="2"/>
  <c r="H162" i="2"/>
  <c r="N161" i="2"/>
  <c r="L161" i="2"/>
  <c r="H161" i="2"/>
  <c r="E161" i="2"/>
  <c r="L160" i="2"/>
  <c r="K160" i="2"/>
  <c r="H160" i="2"/>
  <c r="L159" i="2"/>
  <c r="K159" i="2"/>
  <c r="H159" i="2"/>
  <c r="L158" i="2"/>
  <c r="K158" i="2"/>
  <c r="H158" i="2"/>
  <c r="N157" i="2"/>
  <c r="L157" i="2"/>
  <c r="H157" i="2"/>
  <c r="E157" i="2"/>
  <c r="L156" i="2"/>
  <c r="K156" i="2"/>
  <c r="H156" i="2"/>
  <c r="L155" i="2"/>
  <c r="K155" i="2"/>
  <c r="H155" i="2"/>
  <c r="L154" i="2"/>
  <c r="K154" i="2"/>
  <c r="H154" i="2"/>
  <c r="N153" i="2"/>
  <c r="L153" i="2"/>
  <c r="H153" i="2"/>
  <c r="E153" i="2"/>
  <c r="L152" i="2"/>
  <c r="K152" i="2"/>
  <c r="H152" i="2"/>
  <c r="L151" i="2"/>
  <c r="K151" i="2"/>
  <c r="H151" i="2"/>
  <c r="L150" i="2"/>
  <c r="K150" i="2"/>
  <c r="H150" i="2"/>
  <c r="L149" i="2"/>
  <c r="K149" i="2"/>
  <c r="H149" i="2"/>
  <c r="N148" i="2"/>
  <c r="L148" i="2"/>
  <c r="H148" i="2"/>
  <c r="E148" i="2"/>
  <c r="L147" i="2"/>
  <c r="K147" i="2"/>
  <c r="H147" i="2"/>
  <c r="L146" i="2"/>
  <c r="K146" i="2"/>
  <c r="H146" i="2"/>
  <c r="L145" i="2"/>
  <c r="K145" i="2"/>
  <c r="H145" i="2"/>
  <c r="N144" i="2"/>
  <c r="L144" i="2"/>
  <c r="H144" i="2"/>
  <c r="E144" i="2"/>
  <c r="L143" i="2"/>
  <c r="K143" i="2"/>
  <c r="H143" i="2"/>
  <c r="L142" i="2"/>
  <c r="K142" i="2"/>
  <c r="H142" i="2"/>
  <c r="L141" i="2"/>
  <c r="K141" i="2"/>
  <c r="H141" i="2"/>
  <c r="N140" i="2"/>
  <c r="L140" i="2"/>
  <c r="H140" i="2"/>
  <c r="E140" i="2"/>
  <c r="L139" i="2"/>
  <c r="K139" i="2"/>
  <c r="H139" i="2"/>
  <c r="L138" i="2"/>
  <c r="K138" i="2"/>
  <c r="H138" i="2"/>
  <c r="L137" i="2"/>
  <c r="K137" i="2"/>
  <c r="H137" i="2"/>
  <c r="L136" i="2"/>
  <c r="K136" i="2"/>
  <c r="H136" i="2"/>
  <c r="L135" i="2"/>
  <c r="K135" i="2"/>
  <c r="H135" i="2"/>
  <c r="L134" i="2"/>
  <c r="K134" i="2"/>
  <c r="H134" i="2"/>
  <c r="N133" i="2"/>
  <c r="L133" i="2"/>
  <c r="H133" i="2"/>
  <c r="E133" i="2"/>
  <c r="L132" i="2"/>
  <c r="K132" i="2"/>
  <c r="H132" i="2"/>
  <c r="L131" i="2"/>
  <c r="K131" i="2"/>
  <c r="H131" i="2"/>
  <c r="L130" i="2"/>
  <c r="K130" i="2"/>
  <c r="H130" i="2"/>
  <c r="N121" i="2"/>
  <c r="L121" i="2"/>
  <c r="H121" i="2"/>
  <c r="E121" i="2"/>
  <c r="N120" i="2"/>
  <c r="L120" i="2"/>
  <c r="H120" i="2"/>
  <c r="E120" i="2"/>
  <c r="L119" i="2"/>
  <c r="K119" i="2"/>
  <c r="H119" i="2"/>
  <c r="L118" i="2"/>
  <c r="K118" i="2"/>
  <c r="H118" i="2"/>
  <c r="L117" i="2"/>
  <c r="K117" i="2"/>
  <c r="H117" i="2"/>
  <c r="L116" i="2"/>
  <c r="K116" i="2"/>
  <c r="H116" i="2"/>
  <c r="L115" i="2"/>
  <c r="K115" i="2"/>
  <c r="H115" i="2"/>
  <c r="N114" i="2"/>
  <c r="L114" i="2"/>
  <c r="H114" i="2"/>
  <c r="E114" i="2"/>
  <c r="L113" i="2"/>
  <c r="K113" i="2"/>
  <c r="H113" i="2"/>
  <c r="L112" i="2"/>
  <c r="K112" i="2"/>
  <c r="H112" i="2"/>
  <c r="L111" i="2"/>
  <c r="K111" i="2"/>
  <c r="H111" i="2"/>
  <c r="L110" i="2"/>
  <c r="K110" i="2"/>
  <c r="H110" i="2"/>
  <c r="L109" i="2"/>
  <c r="K109" i="2"/>
  <c r="H109" i="2"/>
  <c r="L108" i="2"/>
  <c r="K108" i="2"/>
  <c r="H108" i="2"/>
  <c r="L107" i="2"/>
  <c r="K107" i="2"/>
  <c r="H107" i="2"/>
  <c r="L106" i="2"/>
  <c r="K106" i="2"/>
  <c r="H106" i="2"/>
  <c r="N105" i="2"/>
  <c r="L105" i="2"/>
  <c r="H105" i="2"/>
  <c r="E105" i="2"/>
  <c r="L104" i="2"/>
  <c r="K104" i="2"/>
  <c r="H104" i="2"/>
  <c r="L103" i="2"/>
  <c r="K103" i="2"/>
  <c r="H103" i="2"/>
  <c r="L102" i="2"/>
  <c r="K102" i="2"/>
  <c r="H102" i="2"/>
  <c r="L101" i="2"/>
  <c r="K101" i="2"/>
  <c r="H101" i="2"/>
  <c r="L100" i="2"/>
  <c r="K100" i="2"/>
  <c r="H100" i="2"/>
  <c r="L99" i="2"/>
  <c r="K99" i="2"/>
  <c r="H99" i="2"/>
  <c r="N98" i="2"/>
  <c r="L98" i="2"/>
  <c r="H98" i="2"/>
  <c r="E98" i="2"/>
  <c r="L97" i="2"/>
  <c r="K97" i="2"/>
  <c r="H97" i="2"/>
  <c r="L96" i="2"/>
  <c r="K96" i="2"/>
  <c r="H96" i="2"/>
  <c r="N95" i="2"/>
  <c r="L95" i="2"/>
  <c r="H95" i="2"/>
  <c r="E95" i="2"/>
  <c r="L94" i="2"/>
  <c r="K94" i="2"/>
  <c r="H94" i="2"/>
  <c r="L93" i="2"/>
  <c r="K93" i="2"/>
  <c r="H93" i="2"/>
  <c r="L92" i="2"/>
  <c r="K92" i="2"/>
  <c r="H92" i="2"/>
  <c r="L91" i="2"/>
  <c r="K91" i="2"/>
  <c r="H91" i="2"/>
  <c r="L90" i="2"/>
  <c r="K90" i="2"/>
  <c r="H90" i="2"/>
  <c r="N89" i="2"/>
  <c r="L89" i="2"/>
  <c r="H89" i="2"/>
  <c r="E89" i="2"/>
  <c r="L88" i="2"/>
  <c r="K88" i="2"/>
  <c r="H88" i="2"/>
  <c r="L87" i="2"/>
  <c r="K87" i="2"/>
  <c r="H87" i="2"/>
  <c r="L86" i="2"/>
  <c r="K86" i="2"/>
  <c r="H86" i="2"/>
  <c r="N85" i="2"/>
  <c r="L85" i="2"/>
  <c r="H85" i="2"/>
  <c r="E85" i="2"/>
  <c r="L84" i="2"/>
  <c r="K84" i="2"/>
  <c r="H84" i="2"/>
  <c r="L83" i="2"/>
  <c r="K83" i="2"/>
  <c r="H83" i="2"/>
  <c r="L82" i="2"/>
  <c r="K82" i="2"/>
  <c r="H82" i="2"/>
  <c r="N81" i="2"/>
  <c r="L81" i="2"/>
  <c r="H81" i="2"/>
  <c r="E81" i="2"/>
  <c r="L80" i="2"/>
  <c r="K80" i="2"/>
  <c r="H80" i="2"/>
  <c r="L79" i="2"/>
  <c r="K79" i="2"/>
  <c r="H79" i="2"/>
  <c r="L78" i="2"/>
  <c r="K78" i="2"/>
  <c r="H78" i="2"/>
  <c r="L77" i="2"/>
  <c r="K77" i="2"/>
  <c r="H77" i="2"/>
  <c r="N76" i="2"/>
  <c r="L76" i="2"/>
  <c r="H76" i="2"/>
  <c r="E76" i="2"/>
  <c r="L75" i="2"/>
  <c r="K75" i="2"/>
  <c r="H75" i="2"/>
  <c r="L74" i="2"/>
  <c r="K74" i="2"/>
  <c r="H74" i="2"/>
  <c r="L73" i="2"/>
  <c r="K73" i="2"/>
  <c r="H73" i="2"/>
  <c r="L72" i="2"/>
  <c r="K72" i="2"/>
  <c r="H72" i="2"/>
  <c r="L71" i="2"/>
  <c r="K71" i="2"/>
  <c r="H71" i="2"/>
  <c r="L70" i="2"/>
  <c r="K70" i="2"/>
  <c r="H70" i="2"/>
  <c r="L69" i="2"/>
  <c r="K69" i="2"/>
  <c r="H69" i="2"/>
  <c r="L68" i="2"/>
  <c r="K68" i="2"/>
  <c r="H68" i="2"/>
  <c r="L67" i="2"/>
  <c r="K67" i="2"/>
  <c r="H67" i="2"/>
  <c r="N66" i="2"/>
  <c r="L66" i="2"/>
  <c r="H66" i="2"/>
  <c r="E66" i="2"/>
  <c r="L65" i="2"/>
  <c r="K65" i="2"/>
  <c r="H65" i="2"/>
  <c r="L64" i="2"/>
  <c r="K64" i="2"/>
  <c r="H64" i="2"/>
  <c r="L63" i="2"/>
  <c r="K63" i="2"/>
  <c r="H63" i="2"/>
  <c r="L62" i="2"/>
  <c r="K62" i="2"/>
  <c r="H62" i="2"/>
  <c r="L61" i="2"/>
  <c r="K61" i="2"/>
  <c r="H61" i="2"/>
  <c r="L60" i="2"/>
  <c r="K60" i="2"/>
  <c r="H60" i="2"/>
  <c r="L59" i="2"/>
  <c r="K59" i="2"/>
  <c r="H59" i="2"/>
  <c r="L58" i="2"/>
  <c r="K58" i="2"/>
  <c r="H58" i="2"/>
  <c r="L57" i="2"/>
  <c r="K57" i="2"/>
  <c r="H57" i="2"/>
  <c r="L56" i="2"/>
  <c r="K56" i="2"/>
  <c r="H56" i="2"/>
  <c r="L55" i="2"/>
  <c r="K55" i="2"/>
  <c r="H55" i="2"/>
  <c r="N54" i="2"/>
  <c r="L54" i="2"/>
  <c r="H54" i="2"/>
  <c r="E54" i="2"/>
  <c r="L53" i="2"/>
  <c r="K53" i="2"/>
  <c r="H53" i="2"/>
  <c r="L52" i="2"/>
  <c r="K52" i="2"/>
  <c r="H52" i="2"/>
  <c r="L51" i="2"/>
  <c r="K51" i="2"/>
  <c r="H51" i="2"/>
  <c r="L50" i="2"/>
  <c r="K50" i="2"/>
  <c r="H50" i="2"/>
  <c r="N49" i="2"/>
  <c r="L49" i="2"/>
  <c r="H49" i="2"/>
  <c r="E49" i="2"/>
  <c r="L48" i="2"/>
  <c r="K48" i="2"/>
  <c r="H48" i="2"/>
  <c r="L47" i="2"/>
  <c r="K47" i="2"/>
  <c r="H47" i="2"/>
  <c r="L46" i="2"/>
  <c r="K46" i="2"/>
  <c r="H46" i="2"/>
  <c r="N45" i="2"/>
  <c r="L45" i="2"/>
  <c r="H45" i="2"/>
  <c r="E45" i="2"/>
  <c r="L44" i="2"/>
  <c r="K44" i="2"/>
  <c r="H44" i="2"/>
  <c r="L43" i="2"/>
  <c r="K43" i="2"/>
  <c r="H43" i="2"/>
  <c r="L42" i="2"/>
  <c r="K42" i="2"/>
  <c r="H42" i="2"/>
  <c r="L41" i="2"/>
  <c r="K41" i="2"/>
  <c r="H41" i="2"/>
  <c r="L40" i="2"/>
  <c r="K40" i="2"/>
  <c r="H40" i="2"/>
  <c r="N39" i="2"/>
  <c r="L39" i="2"/>
  <c r="H39" i="2"/>
  <c r="E39" i="2"/>
  <c r="L38" i="2"/>
  <c r="K38" i="2"/>
  <c r="H38" i="2"/>
  <c r="L37" i="2"/>
  <c r="K37" i="2"/>
  <c r="H37" i="2"/>
  <c r="L36" i="2"/>
  <c r="K36" i="2"/>
  <c r="H36" i="2"/>
  <c r="N35" i="2"/>
  <c r="L35" i="2"/>
  <c r="H35" i="2"/>
  <c r="E35" i="2"/>
  <c r="L34" i="2"/>
  <c r="K34" i="2"/>
  <c r="H34" i="2"/>
  <c r="L33" i="2"/>
  <c r="K33" i="2"/>
  <c r="H33" i="2"/>
  <c r="L32" i="2"/>
  <c r="K32" i="2"/>
  <c r="H32" i="2"/>
  <c r="L31" i="2"/>
  <c r="K31" i="2"/>
  <c r="H31" i="2"/>
  <c r="L30" i="2"/>
  <c r="K30" i="2"/>
  <c r="H30" i="2"/>
  <c r="N29" i="2"/>
  <c r="L29" i="2"/>
  <c r="H29" i="2"/>
  <c r="E29" i="2"/>
  <c r="L28" i="2"/>
  <c r="K28" i="2"/>
  <c r="H28" i="2"/>
  <c r="L27" i="2"/>
  <c r="K27" i="2"/>
  <c r="H27" i="2"/>
  <c r="L26" i="2"/>
  <c r="K26" i="2"/>
  <c r="H26" i="2"/>
  <c r="N25" i="2"/>
  <c r="L25" i="2"/>
  <c r="H25" i="2"/>
  <c r="E25" i="2"/>
  <c r="L24" i="2"/>
  <c r="K24" i="2"/>
  <c r="H24" i="2"/>
  <c r="L23" i="2"/>
  <c r="K23" i="2"/>
  <c r="H23" i="2"/>
  <c r="L22" i="2"/>
  <c r="K22" i="2"/>
  <c r="H22" i="2"/>
  <c r="L21" i="2"/>
  <c r="K21" i="2"/>
  <c r="H21" i="2"/>
  <c r="L20" i="2"/>
  <c r="K20" i="2"/>
  <c r="H20" i="2"/>
  <c r="L19" i="2"/>
  <c r="K19" i="2"/>
  <c r="H19" i="2"/>
  <c r="N18" i="2"/>
  <c r="L18" i="2"/>
  <c r="H18" i="2"/>
  <c r="E18" i="2"/>
  <c r="L17" i="2"/>
  <c r="K17" i="2"/>
  <c r="H17" i="2"/>
  <c r="L16" i="2"/>
  <c r="K16" i="2"/>
  <c r="H16" i="2"/>
  <c r="L15" i="2"/>
  <c r="K15" i="2"/>
  <c r="H15" i="2"/>
  <c r="L14" i="2"/>
  <c r="K14" i="2"/>
  <c r="H14" i="2"/>
  <c r="N13" i="2"/>
  <c r="L13" i="2"/>
  <c r="H13" i="2"/>
  <c r="E13" i="2"/>
  <c r="L12" i="2"/>
  <c r="K12" i="2"/>
  <c r="H12" i="2"/>
  <c r="L11" i="2"/>
  <c r="K11" i="2"/>
  <c r="H11" i="2"/>
  <c r="L10" i="2"/>
  <c r="K10" i="2"/>
  <c r="H10" i="2"/>
  <c r="L9" i="2"/>
  <c r="K9" i="2"/>
  <c r="H9" i="2"/>
  <c r="H46" i="4"/>
  <c r="E46" i="4"/>
  <c r="C46" i="4"/>
  <c r="G46" i="4" s="1"/>
  <c r="I46" i="4" s="1"/>
  <c r="F40" i="4"/>
  <c r="D40" i="4"/>
  <c r="H39" i="4"/>
  <c r="E39" i="4"/>
  <c r="C39" i="4"/>
  <c r="G39" i="4" s="1"/>
  <c r="H38" i="4"/>
  <c r="E38" i="4"/>
  <c r="C38" i="4"/>
  <c r="G38" i="4" s="1"/>
  <c r="I38" i="4" s="1"/>
  <c r="H37" i="4"/>
  <c r="E37" i="4"/>
  <c r="C37" i="4"/>
  <c r="G37" i="4" s="1"/>
  <c r="H36" i="4"/>
  <c r="E36" i="4"/>
  <c r="C36" i="4"/>
  <c r="G36" i="4" s="1"/>
  <c r="H35" i="4"/>
  <c r="E35" i="4"/>
  <c r="C35" i="4"/>
  <c r="G35" i="4" s="1"/>
  <c r="H34" i="4"/>
  <c r="E34" i="4"/>
  <c r="C34" i="4"/>
  <c r="G34" i="4" s="1"/>
  <c r="H21" i="4"/>
  <c r="E21" i="4"/>
  <c r="C21" i="4"/>
  <c r="G21" i="4" s="1"/>
  <c r="F15" i="4"/>
  <c r="D15" i="4"/>
  <c r="H14" i="4"/>
  <c r="E14" i="4"/>
  <c r="C14" i="4"/>
  <c r="G14" i="4" s="1"/>
  <c r="I14" i="4" s="1"/>
  <c r="H13" i="4"/>
  <c r="E13" i="4"/>
  <c r="C13" i="4"/>
  <c r="G13" i="4" s="1"/>
  <c r="H12" i="4"/>
  <c r="E12" i="4"/>
  <c r="C12" i="4"/>
  <c r="G12" i="4" s="1"/>
  <c r="H11" i="4"/>
  <c r="E11" i="4"/>
  <c r="C11" i="4"/>
  <c r="G11" i="4" s="1"/>
  <c r="H10" i="4"/>
  <c r="E10" i="4"/>
  <c r="C10" i="4"/>
  <c r="G10" i="4" s="1"/>
  <c r="H9" i="4"/>
  <c r="E9" i="4"/>
  <c r="C9" i="4"/>
  <c r="G9" i="4" s="1"/>
  <c r="A48" i="1"/>
  <c r="D37" i="1"/>
  <c r="D67" i="1" s="1"/>
  <c r="B37" i="1"/>
  <c r="B51" i="1" s="1"/>
  <c r="A37" i="1"/>
  <c r="A51" i="1" s="1"/>
  <c r="D36" i="1"/>
  <c r="D66" i="1" s="1"/>
  <c r="B36" i="1"/>
  <c r="B66" i="1" s="1"/>
  <c r="B80" i="1" s="1"/>
  <c r="A36" i="1"/>
  <c r="A66" i="1" s="1"/>
  <c r="A80" i="1" s="1"/>
  <c r="D35" i="1"/>
  <c r="D65" i="1" s="1"/>
  <c r="B35" i="1"/>
  <c r="B65" i="1" s="1"/>
  <c r="B79" i="1" s="1"/>
  <c r="A35" i="1"/>
  <c r="A65" i="1" s="1"/>
  <c r="A79" i="1" s="1"/>
  <c r="D34" i="1"/>
  <c r="D64" i="1" s="1"/>
  <c r="B34" i="1"/>
  <c r="B64" i="1" s="1"/>
  <c r="B78" i="1" s="1"/>
  <c r="A34" i="1"/>
  <c r="A64" i="1" s="1"/>
  <c r="A78" i="1" s="1"/>
  <c r="D33" i="1"/>
  <c r="D63" i="1" s="1"/>
  <c r="B33" i="1"/>
  <c r="B63" i="1" s="1"/>
  <c r="B77" i="1" s="1"/>
  <c r="A33" i="1"/>
  <c r="A63" i="1" s="1"/>
  <c r="A77" i="1" s="1"/>
  <c r="D32" i="1"/>
  <c r="D62" i="1" s="1"/>
  <c r="B32" i="1"/>
  <c r="B46" i="1" s="1"/>
  <c r="A32" i="1"/>
  <c r="A46" i="1" s="1"/>
  <c r="D31" i="1"/>
  <c r="D61" i="1" s="1"/>
  <c r="B31" i="1"/>
  <c r="B61" i="1" s="1"/>
  <c r="B75" i="1" s="1"/>
  <c r="A31" i="1"/>
  <c r="A61" i="1" s="1"/>
  <c r="A75" i="1" s="1"/>
  <c r="D30" i="1"/>
  <c r="D60" i="1" s="1"/>
  <c r="B30" i="1"/>
  <c r="B44" i="1" s="1"/>
  <c r="A30" i="1"/>
  <c r="A60" i="1" s="1"/>
  <c r="A74" i="1" s="1"/>
  <c r="E29" i="1"/>
  <c r="E59" i="1" s="1"/>
  <c r="D29" i="1"/>
  <c r="D59" i="1" s="1"/>
  <c r="B29" i="1"/>
  <c r="B59" i="1" s="1"/>
  <c r="B73" i="1" s="1"/>
  <c r="A29" i="1"/>
  <c r="A59" i="1" s="1"/>
  <c r="A73" i="1" s="1"/>
  <c r="E18" i="1"/>
  <c r="L17" i="1"/>
  <c r="I17" i="1"/>
  <c r="N17" i="1" s="1"/>
  <c r="G17" i="1"/>
  <c r="F17" i="1"/>
  <c r="L16" i="1"/>
  <c r="I16" i="1"/>
  <c r="N16" i="1" s="1"/>
  <c r="G16" i="1"/>
  <c r="O16" i="1" s="1"/>
  <c r="K36" i="1" s="1"/>
  <c r="F16" i="1"/>
  <c r="E36" i="1" s="1"/>
  <c r="E66" i="1" s="1"/>
  <c r="L15" i="1"/>
  <c r="I15" i="1"/>
  <c r="N15" i="1" s="1"/>
  <c r="G15" i="1"/>
  <c r="F15" i="1"/>
  <c r="E35" i="1" s="1"/>
  <c r="E65" i="1" s="1"/>
  <c r="L14" i="1"/>
  <c r="I14" i="1"/>
  <c r="G14" i="1"/>
  <c r="F14" i="1"/>
  <c r="L13" i="1"/>
  <c r="I13" i="1"/>
  <c r="G13" i="1"/>
  <c r="O13" i="1" s="1"/>
  <c r="F13" i="1"/>
  <c r="E33" i="1" s="1"/>
  <c r="L12" i="1"/>
  <c r="I12" i="1"/>
  <c r="N12" i="1" s="1"/>
  <c r="G12" i="1"/>
  <c r="F32" i="1" s="1"/>
  <c r="F62" i="1" s="1"/>
  <c r="F12" i="1"/>
  <c r="P12" i="1" s="1"/>
  <c r="L11" i="1"/>
  <c r="I11" i="1"/>
  <c r="G11" i="1"/>
  <c r="O11" i="1" s="1"/>
  <c r="K31" i="1" s="1"/>
  <c r="F11" i="1"/>
  <c r="L10" i="1"/>
  <c r="I10" i="1"/>
  <c r="N10" i="1" s="1"/>
  <c r="G10" i="1"/>
  <c r="O10" i="1" s="1"/>
  <c r="F10" i="1"/>
  <c r="E30" i="1" s="1"/>
  <c r="E60" i="1" s="1"/>
  <c r="L9" i="1"/>
  <c r="I9" i="1"/>
  <c r="H9" i="1"/>
  <c r="G9" i="1"/>
  <c r="O9" i="1" s="1"/>
  <c r="K29" i="1" s="1"/>
  <c r="F9" i="1"/>
  <c r="C38" i="5"/>
  <c r="C36" i="5"/>
  <c r="C19" i="5"/>
  <c r="C17" i="5"/>
  <c r="A44" i="1" l="1"/>
  <c r="B48" i="1"/>
  <c r="A49" i="1"/>
  <c r="B43" i="1"/>
  <c r="B49" i="1"/>
  <c r="B60" i="1"/>
  <c r="B74" i="1" s="1"/>
  <c r="I36" i="4"/>
  <c r="J36" i="4" s="1"/>
  <c r="K36" i="4" s="1"/>
  <c r="E40" i="4"/>
  <c r="H15" i="4"/>
  <c r="H40" i="4"/>
  <c r="I34" i="4"/>
  <c r="L34" i="4" s="1"/>
  <c r="I35" i="4"/>
  <c r="I37" i="4"/>
  <c r="I11" i="4"/>
  <c r="J11" i="4" s="1"/>
  <c r="K11" i="4" s="1"/>
  <c r="I12" i="4"/>
  <c r="L14" i="4"/>
  <c r="J14" i="4"/>
  <c r="K14" i="4" s="1"/>
  <c r="I21" i="4"/>
  <c r="L46" i="4"/>
  <c r="J46" i="4"/>
  <c r="K46" i="4" s="1"/>
  <c r="J38" i="4"/>
  <c r="K38" i="4" s="1"/>
  <c r="L38" i="4"/>
  <c r="G15" i="4"/>
  <c r="G40" i="4"/>
  <c r="I10" i="4"/>
  <c r="J35" i="4"/>
  <c r="K35" i="4" s="1"/>
  <c r="L35" i="4"/>
  <c r="J37" i="4"/>
  <c r="L37" i="4"/>
  <c r="I39" i="4"/>
  <c r="I13" i="4"/>
  <c r="I9" i="4"/>
  <c r="E15" i="4"/>
  <c r="D41" i="11"/>
  <c r="C10" i="11"/>
  <c r="O39" i="11"/>
  <c r="O40" i="11" s="1"/>
  <c r="C40" i="11" s="1"/>
  <c r="E40" i="11" s="1"/>
  <c r="F41" i="9"/>
  <c r="I24" i="9" s="1"/>
  <c r="E13" i="9"/>
  <c r="F52" i="9"/>
  <c r="F57" i="9" s="1"/>
  <c r="E25" i="9"/>
  <c r="I25" i="9"/>
  <c r="E36" i="9"/>
  <c r="M56" i="6"/>
  <c r="H56" i="6"/>
  <c r="M71" i="6"/>
  <c r="H71" i="6"/>
  <c r="M14" i="6"/>
  <c r="H14" i="6"/>
  <c r="M86" i="6"/>
  <c r="H86" i="6"/>
  <c r="M29" i="6"/>
  <c r="H29" i="6"/>
  <c r="M44" i="6"/>
  <c r="H44" i="6"/>
  <c r="M59" i="6"/>
  <c r="H59" i="6"/>
  <c r="M74" i="6"/>
  <c r="H74" i="6"/>
  <c r="M17" i="6"/>
  <c r="H17" i="6"/>
  <c r="M89" i="6"/>
  <c r="H89" i="6"/>
  <c r="M32" i="6"/>
  <c r="H32" i="6"/>
  <c r="M47" i="6"/>
  <c r="H47" i="6"/>
  <c r="M62" i="6"/>
  <c r="H62" i="6"/>
  <c r="M77" i="6"/>
  <c r="H77" i="6"/>
  <c r="M20" i="6"/>
  <c r="H20" i="6"/>
  <c r="M92" i="6"/>
  <c r="H92" i="6"/>
  <c r="M35" i="6"/>
  <c r="H35" i="6"/>
  <c r="M50" i="6"/>
  <c r="H50" i="6"/>
  <c r="M65" i="6"/>
  <c r="H65" i="6"/>
  <c r="M80" i="6"/>
  <c r="H80" i="6"/>
  <c r="M23" i="6"/>
  <c r="H23" i="6"/>
  <c r="M95" i="6"/>
  <c r="H95" i="6"/>
  <c r="M38" i="6"/>
  <c r="H38" i="6"/>
  <c r="K101" i="6"/>
  <c r="M8" i="6"/>
  <c r="H8" i="6"/>
  <c r="M53" i="6"/>
  <c r="H53" i="6"/>
  <c r="M68" i="6"/>
  <c r="H68" i="6"/>
  <c r="M97" i="6"/>
  <c r="H97" i="6"/>
  <c r="M11" i="6"/>
  <c r="H11" i="6"/>
  <c r="M83" i="6"/>
  <c r="H83" i="6"/>
  <c r="M98" i="6"/>
  <c r="H98" i="6"/>
  <c r="M26" i="6"/>
  <c r="H26" i="6"/>
  <c r="M41" i="6"/>
  <c r="H41" i="6"/>
  <c r="M12" i="6"/>
  <c r="M18" i="6"/>
  <c r="M24" i="6"/>
  <c r="M30" i="6"/>
  <c r="M36" i="6"/>
  <c r="M42" i="6"/>
  <c r="M48" i="6"/>
  <c r="M54" i="6"/>
  <c r="M60" i="6"/>
  <c r="M66" i="6"/>
  <c r="M72" i="6"/>
  <c r="M78" i="6"/>
  <c r="M84" i="6"/>
  <c r="M90" i="6"/>
  <c r="M96" i="6"/>
  <c r="H13" i="6"/>
  <c r="H19" i="6"/>
  <c r="H25" i="6"/>
  <c r="H31" i="6"/>
  <c r="H37" i="6"/>
  <c r="H43" i="6"/>
  <c r="H49" i="6"/>
  <c r="H55" i="6"/>
  <c r="H61" i="6"/>
  <c r="H67" i="6"/>
  <c r="H73" i="6"/>
  <c r="H79" i="6"/>
  <c r="H85" i="6"/>
  <c r="H91" i="6"/>
  <c r="H9" i="6"/>
  <c r="H15" i="6"/>
  <c r="H21" i="6"/>
  <c r="H27" i="6"/>
  <c r="H33" i="6"/>
  <c r="H39" i="6"/>
  <c r="H45" i="6"/>
  <c r="H51" i="6"/>
  <c r="H57" i="6"/>
  <c r="H63" i="6"/>
  <c r="H69" i="6"/>
  <c r="H75" i="6"/>
  <c r="H81" i="6"/>
  <c r="H87" i="6"/>
  <c r="H93" i="6"/>
  <c r="H99" i="6"/>
  <c r="H10" i="6"/>
  <c r="H16" i="6"/>
  <c r="H22" i="6"/>
  <c r="H28" i="6"/>
  <c r="H34" i="6"/>
  <c r="H40" i="6"/>
  <c r="H46" i="6"/>
  <c r="H52" i="6"/>
  <c r="H58" i="6"/>
  <c r="H64" i="6"/>
  <c r="H70" i="6"/>
  <c r="H76" i="6"/>
  <c r="H82" i="6"/>
  <c r="H88" i="6"/>
  <c r="H94" i="6"/>
  <c r="H100" i="6"/>
  <c r="F36" i="1"/>
  <c r="F66" i="1" s="1"/>
  <c r="N11" i="1"/>
  <c r="P11" i="1" s="1"/>
  <c r="K59" i="1"/>
  <c r="N13" i="1"/>
  <c r="F33" i="1" s="1"/>
  <c r="F63" i="1" s="1"/>
  <c r="O12" i="1"/>
  <c r="A67" i="1"/>
  <c r="A81" i="1" s="1"/>
  <c r="B67" i="1"/>
  <c r="B81" i="1" s="1"/>
  <c r="O15" i="1"/>
  <c r="K65" i="1" s="1"/>
  <c r="F35" i="1"/>
  <c r="F65" i="1" s="1"/>
  <c r="G65" i="1" s="1"/>
  <c r="I65" i="1" s="1"/>
  <c r="J65" i="1" s="1"/>
  <c r="K61" i="1"/>
  <c r="A62" i="1"/>
  <c r="A76" i="1" s="1"/>
  <c r="B62" i="1"/>
  <c r="B76" i="1" s="1"/>
  <c r="N14" i="1"/>
  <c r="F34" i="1" s="1"/>
  <c r="F64" i="1" s="1"/>
  <c r="N9" i="1"/>
  <c r="P9" i="1" s="1"/>
  <c r="A43" i="1"/>
  <c r="D34" i="14"/>
  <c r="B34" i="14"/>
  <c r="E32" i="14"/>
  <c r="C34" i="14"/>
  <c r="E17" i="14"/>
  <c r="E20" i="14"/>
  <c r="E22" i="14" s="1"/>
  <c r="E30" i="14"/>
  <c r="E15" i="14"/>
  <c r="E25" i="14"/>
  <c r="E27" i="14" s="1"/>
  <c r="E11" i="14"/>
  <c r="E10" i="14"/>
  <c r="E12" i="14" s="1"/>
  <c r="P8" i="13"/>
  <c r="P9" i="13"/>
  <c r="R9" i="13" s="1"/>
  <c r="D38" i="11"/>
  <c r="D37" i="11"/>
  <c r="E37" i="11" s="1"/>
  <c r="D40" i="11"/>
  <c r="D39" i="11"/>
  <c r="O28" i="11"/>
  <c r="O29" i="11"/>
  <c r="G17" i="11"/>
  <c r="O21" i="11"/>
  <c r="G16" i="11"/>
  <c r="O22" i="11"/>
  <c r="O23" i="11"/>
  <c r="O24" i="11"/>
  <c r="I32" i="9"/>
  <c r="I30" i="9"/>
  <c r="I36" i="9"/>
  <c r="I13" i="9"/>
  <c r="I18" i="9"/>
  <c r="I29" i="9"/>
  <c r="I23" i="9"/>
  <c r="I12" i="9"/>
  <c r="I22" i="9"/>
  <c r="I28" i="9"/>
  <c r="I31" i="9"/>
  <c r="I34" i="9"/>
  <c r="I10" i="9"/>
  <c r="I11" i="9"/>
  <c r="E19" i="9"/>
  <c r="I39" i="9"/>
  <c r="I33" i="9"/>
  <c r="I16" i="9"/>
  <c r="I35" i="9"/>
  <c r="I17" i="9"/>
  <c r="A47" i="1"/>
  <c r="G35" i="1"/>
  <c r="I35" i="1" s="1"/>
  <c r="J35" i="1" s="1"/>
  <c r="E49" i="1" s="1"/>
  <c r="F49" i="1" s="1"/>
  <c r="G66" i="1"/>
  <c r="I66" i="1" s="1"/>
  <c r="J66" i="1" s="1"/>
  <c r="E34" i="1"/>
  <c r="P14" i="1"/>
  <c r="P10" i="1"/>
  <c r="F30" i="1"/>
  <c r="F60" i="1" s="1"/>
  <c r="G60" i="1" s="1"/>
  <c r="G30" i="1"/>
  <c r="I30" i="1" s="1"/>
  <c r="J30" i="1" s="1"/>
  <c r="E44" i="1" s="1"/>
  <c r="F44" i="1" s="1"/>
  <c r="P17" i="1"/>
  <c r="E37" i="1"/>
  <c r="B47" i="1"/>
  <c r="K35" i="1"/>
  <c r="P16" i="1"/>
  <c r="F37" i="1"/>
  <c r="F67" i="1" s="1"/>
  <c r="O17" i="1"/>
  <c r="E63" i="1"/>
  <c r="K66" i="1"/>
  <c r="E31" i="1"/>
  <c r="A50" i="1"/>
  <c r="B50" i="1"/>
  <c r="O14" i="1"/>
  <c r="A45" i="1"/>
  <c r="B45" i="1"/>
  <c r="P15" i="1"/>
  <c r="E32" i="1"/>
  <c r="M50" i="8"/>
  <c r="M30" i="8"/>
  <c r="M49" i="8"/>
  <c r="M28" i="8"/>
  <c r="M27" i="8"/>
  <c r="M48" i="8"/>
  <c r="M26" i="8"/>
  <c r="M45" i="8"/>
  <c r="M16" i="8"/>
  <c r="M47" i="8"/>
  <c r="M24" i="8"/>
  <c r="M44" i="8"/>
  <c r="M23" i="8"/>
  <c r="M41" i="8"/>
  <c r="M40" i="8"/>
  <c r="M54" i="8"/>
  <c r="M17" i="8"/>
  <c r="H38" i="8"/>
  <c r="M38" i="8"/>
  <c r="H39" i="8"/>
  <c r="M39" i="8"/>
  <c r="H19" i="8"/>
  <c r="M19" i="8"/>
  <c r="H32" i="8"/>
  <c r="M32" i="8"/>
  <c r="M20" i="8"/>
  <c r="M55" i="8"/>
  <c r="M43" i="8"/>
  <c r="M42" i="8"/>
  <c r="M21" i="8"/>
  <c r="E56" i="8"/>
  <c r="M53" i="8"/>
  <c r="M36" i="8"/>
  <c r="M15" i="8"/>
  <c r="M14" i="8"/>
  <c r="M13" i="8"/>
  <c r="M52" i="8"/>
  <c r="M12" i="8"/>
  <c r="B64" i="8" s="1"/>
  <c r="M34" i="8"/>
  <c r="M46" i="8"/>
  <c r="M51" i="8"/>
  <c r="H33" i="8"/>
  <c r="H35" i="8"/>
  <c r="H37" i="8"/>
  <c r="H10" i="8"/>
  <c r="H22" i="8"/>
  <c r="H29" i="8"/>
  <c r="H31" i="8"/>
  <c r="H25" i="8"/>
  <c r="H18" i="8"/>
  <c r="H11" i="8"/>
  <c r="P13" i="1" l="1"/>
  <c r="G36" i="1"/>
  <c r="I36" i="1" s="1"/>
  <c r="J36" i="1" s="1"/>
  <c r="F31" i="1"/>
  <c r="F61" i="1" s="1"/>
  <c r="L36" i="4"/>
  <c r="K37" i="4"/>
  <c r="J34" i="4"/>
  <c r="K34" i="4" s="1"/>
  <c r="L11" i="4"/>
  <c r="I40" i="4"/>
  <c r="I15" i="4"/>
  <c r="J9" i="4"/>
  <c r="L9" i="4"/>
  <c r="L13" i="4"/>
  <c r="J13" i="4"/>
  <c r="K13" i="4" s="1"/>
  <c r="L21" i="4"/>
  <c r="J21" i="4"/>
  <c r="K21" i="4" s="1"/>
  <c r="L39" i="4"/>
  <c r="L40" i="4" s="1"/>
  <c r="J39" i="4"/>
  <c r="J10" i="4"/>
  <c r="K10" i="4" s="1"/>
  <c r="L10" i="4"/>
  <c r="J12" i="4"/>
  <c r="K12" i="4" s="1"/>
  <c r="L12" i="4"/>
  <c r="B65" i="8"/>
  <c r="I19" i="9"/>
  <c r="G8" i="9"/>
  <c r="F59" i="9"/>
  <c r="M101" i="6"/>
  <c r="B3" i="15" s="1"/>
  <c r="B105" i="6"/>
  <c r="B106" i="6"/>
  <c r="H101" i="6"/>
  <c r="F29" i="1"/>
  <c r="K32" i="1"/>
  <c r="K62" i="1"/>
  <c r="O18" i="1"/>
  <c r="P18" i="1"/>
  <c r="E34" i="14"/>
  <c r="E35" i="14" s="1"/>
  <c r="B38" i="14"/>
  <c r="B40" i="14" s="1"/>
  <c r="B35" i="14"/>
  <c r="P12" i="13"/>
  <c r="R8" i="13"/>
  <c r="R12" i="13" s="1"/>
  <c r="O44" i="11"/>
  <c r="G27" i="11"/>
  <c r="F33" i="11" s="1"/>
  <c r="G33" i="11" s="1"/>
  <c r="G34" i="11" s="1"/>
  <c r="O33" i="11"/>
  <c r="O26" i="11"/>
  <c r="C38" i="11" s="1"/>
  <c r="I59" i="9"/>
  <c r="I60" i="1"/>
  <c r="J60" i="1" s="1"/>
  <c r="E74" i="1" s="1"/>
  <c r="F74" i="1" s="1"/>
  <c r="E61" i="1"/>
  <c r="G37" i="1"/>
  <c r="I37" i="1" s="1"/>
  <c r="J37" i="1" s="1"/>
  <c r="E67" i="1"/>
  <c r="G67" i="1" s="1"/>
  <c r="I67" i="1" s="1"/>
  <c r="J67" i="1" s="1"/>
  <c r="E64" i="1"/>
  <c r="G64" i="1" s="1"/>
  <c r="I64" i="1" s="1"/>
  <c r="J64" i="1" s="1"/>
  <c r="G34" i="1"/>
  <c r="I34" i="1" s="1"/>
  <c r="J34" i="1" s="1"/>
  <c r="E50" i="1"/>
  <c r="F50" i="1" s="1"/>
  <c r="L36" i="1"/>
  <c r="Q32" i="1" s="1"/>
  <c r="G33" i="1"/>
  <c r="I33" i="1" s="1"/>
  <c r="J33" i="1" s="1"/>
  <c r="E47" i="1" s="1"/>
  <c r="F47" i="1" s="1"/>
  <c r="L66" i="1"/>
  <c r="Q62" i="1" s="1"/>
  <c r="E80" i="1"/>
  <c r="F80" i="1" s="1"/>
  <c r="K34" i="1"/>
  <c r="K64" i="1"/>
  <c r="G63" i="1"/>
  <c r="I63" i="1" s="1"/>
  <c r="J63" i="1" s="1"/>
  <c r="E77" i="1" s="1"/>
  <c r="F77" i="1" s="1"/>
  <c r="K67" i="1"/>
  <c r="K37" i="1"/>
  <c r="E79" i="1"/>
  <c r="F79" i="1" s="1"/>
  <c r="L65" i="1"/>
  <c r="G32" i="1"/>
  <c r="I32" i="1" s="1"/>
  <c r="J32" i="1" s="1"/>
  <c r="E62" i="1"/>
  <c r="G62" i="1" s="1"/>
  <c r="I62" i="1" s="1"/>
  <c r="J62" i="1" s="1"/>
  <c r="L35" i="1"/>
  <c r="M56" i="8"/>
  <c r="C4" i="15" s="1"/>
  <c r="D4" i="15" s="1"/>
  <c r="K56" i="8"/>
  <c r="G31" i="1" l="1"/>
  <c r="I31" i="1" s="1"/>
  <c r="J31" i="1" s="1"/>
  <c r="L31" i="1" s="1"/>
  <c r="G61" i="1"/>
  <c r="I61" i="1" s="1"/>
  <c r="J61" i="1" s="1"/>
  <c r="E75" i="1" s="1"/>
  <c r="F75" i="1" s="1"/>
  <c r="J40" i="4"/>
  <c r="L48" i="4"/>
  <c r="C34" i="5"/>
  <c r="L15" i="4"/>
  <c r="L23" i="4" s="1"/>
  <c r="J15" i="4"/>
  <c r="K39" i="4"/>
  <c r="K40" i="4" s="1"/>
  <c r="K9" i="4"/>
  <c r="K15" i="4" s="1"/>
  <c r="K23" i="4" s="1"/>
  <c r="C13" i="5" s="1"/>
  <c r="G31" i="9"/>
  <c r="H31" i="9" s="1"/>
  <c r="J31" i="9" s="1"/>
  <c r="K31" i="9" s="1"/>
  <c r="G33" i="9"/>
  <c r="H33" i="9" s="1"/>
  <c r="G11" i="9"/>
  <c r="H11" i="9" s="1"/>
  <c r="J11" i="9" s="1"/>
  <c r="K11" i="9" s="1"/>
  <c r="N11" i="9" s="1"/>
  <c r="G29" i="9"/>
  <c r="H29" i="9" s="1"/>
  <c r="J29" i="9" s="1"/>
  <c r="K29" i="9" s="1"/>
  <c r="G36" i="9"/>
  <c r="H36" i="9" s="1"/>
  <c r="J36" i="9" s="1"/>
  <c r="K36" i="9" s="1"/>
  <c r="G25" i="9"/>
  <c r="H25" i="9" s="1"/>
  <c r="J25" i="9" s="1"/>
  <c r="K25" i="9" s="1"/>
  <c r="P25" i="9" s="1"/>
  <c r="G34" i="9"/>
  <c r="H34" i="9" s="1"/>
  <c r="J34" i="9" s="1"/>
  <c r="K34" i="9" s="1"/>
  <c r="N34" i="9" s="1"/>
  <c r="G13" i="9"/>
  <c r="H13" i="9" s="1"/>
  <c r="J13" i="9" s="1"/>
  <c r="K13" i="9" s="1"/>
  <c r="G22" i="9"/>
  <c r="H22" i="9" s="1"/>
  <c r="G30" i="9"/>
  <c r="H30" i="9" s="1"/>
  <c r="J30" i="9" s="1"/>
  <c r="K30" i="9" s="1"/>
  <c r="P30" i="9" s="1"/>
  <c r="G32" i="9"/>
  <c r="H32" i="9" s="1"/>
  <c r="G12" i="9"/>
  <c r="H12" i="9" s="1"/>
  <c r="G16" i="9"/>
  <c r="H16" i="9" s="1"/>
  <c r="J16" i="9" s="1"/>
  <c r="K16" i="9" s="1"/>
  <c r="N16" i="9" s="1"/>
  <c r="G19" i="9"/>
  <c r="H19" i="9" s="1"/>
  <c r="G10" i="9"/>
  <c r="G39" i="9"/>
  <c r="H39" i="9" s="1"/>
  <c r="J39" i="9" s="1"/>
  <c r="K39" i="9" s="1"/>
  <c r="P39" i="9" s="1"/>
  <c r="G28" i="9"/>
  <c r="H28" i="9" s="1"/>
  <c r="J28" i="9" s="1"/>
  <c r="K28" i="9" s="1"/>
  <c r="N28" i="9" s="1"/>
  <c r="G35" i="9"/>
  <c r="H35" i="9" s="1"/>
  <c r="J35" i="9" s="1"/>
  <c r="K35" i="9" s="1"/>
  <c r="N35" i="9" s="1"/>
  <c r="G17" i="9"/>
  <c r="H17" i="9" s="1"/>
  <c r="J17" i="9" s="1"/>
  <c r="K17" i="9" s="1"/>
  <c r="P17" i="9" s="1"/>
  <c r="G24" i="9"/>
  <c r="H24" i="9" s="1"/>
  <c r="G18" i="9"/>
  <c r="H18" i="9" s="1"/>
  <c r="G23" i="9"/>
  <c r="H23" i="9" s="1"/>
  <c r="D3" i="15"/>
  <c r="K68" i="1"/>
  <c r="F59" i="1"/>
  <c r="G59" i="1" s="1"/>
  <c r="I59" i="1" s="1"/>
  <c r="J59" i="1" s="1"/>
  <c r="E73" i="1" s="1"/>
  <c r="G29" i="1"/>
  <c r="I29" i="1" s="1"/>
  <c r="C35" i="14"/>
  <c r="D35" i="14"/>
  <c r="E38" i="11"/>
  <c r="C39" i="11"/>
  <c r="E39" i="11" s="1"/>
  <c r="O42" i="11"/>
  <c r="O45" i="11" s="1"/>
  <c r="F38" i="11"/>
  <c r="F37" i="11"/>
  <c r="F40" i="11"/>
  <c r="G40" i="11" s="1"/>
  <c r="I40" i="11" s="1"/>
  <c r="C7" i="15" s="1"/>
  <c r="C10" i="15" s="1"/>
  <c r="F39" i="11"/>
  <c r="N29" i="9"/>
  <c r="P29" i="9"/>
  <c r="P13" i="9"/>
  <c r="N13" i="9"/>
  <c r="P11" i="9"/>
  <c r="P36" i="9"/>
  <c r="N36" i="9"/>
  <c r="P31" i="9"/>
  <c r="N31" i="9"/>
  <c r="N25" i="9"/>
  <c r="L62" i="1"/>
  <c r="E76" i="1"/>
  <c r="F76" i="1" s="1"/>
  <c r="L67" i="1"/>
  <c r="E81" i="1"/>
  <c r="F81" i="1" s="1"/>
  <c r="E51" i="1"/>
  <c r="F51" i="1" s="1"/>
  <c r="L37" i="1"/>
  <c r="E46" i="1"/>
  <c r="F46" i="1" s="1"/>
  <c r="L32" i="1"/>
  <c r="K38" i="1"/>
  <c r="H50" i="1"/>
  <c r="R47" i="1" s="1"/>
  <c r="J50" i="1"/>
  <c r="T47" i="1" s="1"/>
  <c r="I50" i="1"/>
  <c r="S47" i="1" s="1"/>
  <c r="K50" i="1"/>
  <c r="U47" i="1" s="1"/>
  <c r="G50" i="1"/>
  <c r="Q47" i="1" s="1"/>
  <c r="E78" i="1"/>
  <c r="F78" i="1" s="1"/>
  <c r="L64" i="1"/>
  <c r="Q61" i="1" s="1"/>
  <c r="G49" i="1"/>
  <c r="J49" i="1"/>
  <c r="I49" i="1"/>
  <c r="K49" i="1"/>
  <c r="H49" i="1"/>
  <c r="G38" i="1"/>
  <c r="G68" i="1"/>
  <c r="H79" i="1"/>
  <c r="I79" i="1"/>
  <c r="J79" i="1"/>
  <c r="K79" i="1"/>
  <c r="G79" i="1"/>
  <c r="L34" i="1"/>
  <c r="Q31" i="1" s="1"/>
  <c r="E48" i="1"/>
  <c r="F48" i="1" s="1"/>
  <c r="J29" i="1"/>
  <c r="H56" i="8"/>
  <c r="L61" i="1" l="1"/>
  <c r="L68" i="1" s="1"/>
  <c r="I38" i="1"/>
  <c r="E45" i="1"/>
  <c r="F45" i="1" s="1"/>
  <c r="I45" i="1" s="1"/>
  <c r="I68" i="1"/>
  <c r="K41" i="4"/>
  <c r="C32" i="5"/>
  <c r="K48" i="4"/>
  <c r="E28" i="4"/>
  <c r="H28" i="4"/>
  <c r="F28" i="4"/>
  <c r="G28" i="4"/>
  <c r="C15" i="5"/>
  <c r="D28" i="4"/>
  <c r="F53" i="4"/>
  <c r="H53" i="4"/>
  <c r="D53" i="4"/>
  <c r="E53" i="4"/>
  <c r="G53" i="4"/>
  <c r="P28" i="9"/>
  <c r="N17" i="9"/>
  <c r="G59" i="9"/>
  <c r="H10" i="9"/>
  <c r="J12" i="9"/>
  <c r="K12" i="9" s="1"/>
  <c r="J32" i="9"/>
  <c r="K32" i="9"/>
  <c r="J18" i="9"/>
  <c r="K18" i="9"/>
  <c r="P35" i="9"/>
  <c r="J22" i="9"/>
  <c r="K22" i="9" s="1"/>
  <c r="N39" i="9"/>
  <c r="J23" i="9"/>
  <c r="K23" i="9"/>
  <c r="N30" i="9"/>
  <c r="P34" i="9"/>
  <c r="P16" i="9"/>
  <c r="J33" i="9"/>
  <c r="K33" i="9" s="1"/>
  <c r="J24" i="9"/>
  <c r="K24" i="9" s="1"/>
  <c r="J19" i="9"/>
  <c r="K19" i="9" s="1"/>
  <c r="L59" i="1"/>
  <c r="J68" i="1"/>
  <c r="F41" i="11"/>
  <c r="G37" i="11"/>
  <c r="G39" i="11"/>
  <c r="C41" i="11"/>
  <c r="E41" i="11" s="1"/>
  <c r="G38" i="11"/>
  <c r="J46" i="1"/>
  <c r="K46" i="1"/>
  <c r="H46" i="1"/>
  <c r="I46" i="1"/>
  <c r="G46" i="1"/>
  <c r="H51" i="1"/>
  <c r="I51" i="1"/>
  <c r="J51" i="1"/>
  <c r="K51" i="1"/>
  <c r="G51" i="1"/>
  <c r="H81" i="1"/>
  <c r="I81" i="1"/>
  <c r="J81" i="1"/>
  <c r="K81" i="1"/>
  <c r="G81" i="1"/>
  <c r="H78" i="1"/>
  <c r="I78" i="1"/>
  <c r="J78" i="1"/>
  <c r="T75" i="1" s="1"/>
  <c r="K78" i="1"/>
  <c r="U75" i="1" s="1"/>
  <c r="G78" i="1"/>
  <c r="Q75" i="1" s="1"/>
  <c r="H48" i="1"/>
  <c r="I48" i="1"/>
  <c r="J48" i="1"/>
  <c r="K48" i="1"/>
  <c r="G48" i="1"/>
  <c r="H75" i="1"/>
  <c r="I75" i="1"/>
  <c r="J75" i="1"/>
  <c r="K75" i="1"/>
  <c r="G75" i="1"/>
  <c r="L29" i="1"/>
  <c r="E43" i="1"/>
  <c r="J38" i="1"/>
  <c r="H76" i="1"/>
  <c r="I76" i="1"/>
  <c r="J76" i="1"/>
  <c r="K76" i="1"/>
  <c r="G76" i="1"/>
  <c r="F73" i="1"/>
  <c r="E82" i="1"/>
  <c r="R46" i="1" l="1"/>
  <c r="H45" i="1"/>
  <c r="K45" i="1"/>
  <c r="J45" i="1"/>
  <c r="G45" i="1"/>
  <c r="Q60" i="1"/>
  <c r="S75" i="1"/>
  <c r="R75" i="1"/>
  <c r="G41" i="11"/>
  <c r="N19" i="9"/>
  <c r="P19" i="9"/>
  <c r="P12" i="9"/>
  <c r="K67" i="9"/>
  <c r="N12" i="9"/>
  <c r="P33" i="9"/>
  <c r="N33" i="9"/>
  <c r="P18" i="9"/>
  <c r="N18" i="9"/>
  <c r="P24" i="9"/>
  <c r="N24" i="9"/>
  <c r="P23" i="9"/>
  <c r="N23" i="9"/>
  <c r="N32" i="9"/>
  <c r="P32" i="9"/>
  <c r="H59" i="9"/>
  <c r="J10" i="9"/>
  <c r="J59" i="9" s="1"/>
  <c r="L73" i="9" s="1"/>
  <c r="N22" i="9"/>
  <c r="P22" i="9"/>
  <c r="U46" i="1"/>
  <c r="T46" i="1"/>
  <c r="S46" i="1"/>
  <c r="L38" i="1"/>
  <c r="Q30" i="1"/>
  <c r="G44" i="11"/>
  <c r="G45" i="11" s="1"/>
  <c r="I37" i="11"/>
  <c r="B7" i="15" s="1"/>
  <c r="D7" i="15" s="1"/>
  <c r="G73" i="1"/>
  <c r="Q74" i="1" s="1"/>
  <c r="Q77" i="1" s="1"/>
  <c r="H73" i="1"/>
  <c r="R74" i="1" s="1"/>
  <c r="R77" i="1" s="1"/>
  <c r="K73" i="1"/>
  <c r="U74" i="1" s="1"/>
  <c r="U77" i="1" s="1"/>
  <c r="I73" i="1"/>
  <c r="S74" i="1" s="1"/>
  <c r="S77" i="1" s="1"/>
  <c r="J73" i="1"/>
  <c r="T74" i="1" s="1"/>
  <c r="T77" i="1" s="1"/>
  <c r="F82" i="1"/>
  <c r="L39" i="1"/>
  <c r="C9" i="5"/>
  <c r="Q46" i="1"/>
  <c r="C28" i="5"/>
  <c r="L69" i="1"/>
  <c r="E52" i="1"/>
  <c r="F43" i="1"/>
  <c r="K10" i="9" l="1"/>
  <c r="L72" i="9"/>
  <c r="L76" i="9" s="1"/>
  <c r="K61" i="9"/>
  <c r="N47" i="9"/>
  <c r="C30" i="5"/>
  <c r="C40" i="5" s="1"/>
  <c r="G43" i="1"/>
  <c r="Q45" i="1" s="1"/>
  <c r="Q48" i="1" s="1"/>
  <c r="F52" i="1"/>
  <c r="C11" i="5" s="1"/>
  <c r="C21" i="5" s="1"/>
  <c r="H43" i="1"/>
  <c r="R45" i="1" s="1"/>
  <c r="R48" i="1" s="1"/>
  <c r="I43" i="1"/>
  <c r="S45" i="1" s="1"/>
  <c r="S48" i="1" s="1"/>
  <c r="J43" i="1"/>
  <c r="T45" i="1" s="1"/>
  <c r="T48" i="1" s="1"/>
  <c r="K43" i="1"/>
  <c r="U45" i="1" s="1"/>
  <c r="U48" i="1" s="1"/>
  <c r="K71" i="9" l="1"/>
  <c r="K76" i="9" s="1"/>
  <c r="N10" i="9"/>
  <c r="P10" i="9"/>
  <c r="K59" i="9"/>
  <c r="P41" i="9" l="1"/>
  <c r="B5" i="15" s="1"/>
  <c r="N48" i="9"/>
  <c r="D5" i="15" l="1"/>
  <c r="D10" i="15" s="1"/>
  <c r="B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tc={59D1E1F1-BA90-452A-9A95-E64512E3DFEA}</author>
    <author>tc={08DEA5CB-22F2-463B-9EB2-DE5C2476AF41}</author>
    <author>tc={234FE7FA-A702-432B-9467-A987DE9548EE}</author>
    <author>tc={3118B652-C0A5-4C64-9929-1BB13CA2092A}</author>
    <author>tc={E43609F6-7E3B-4C65-8274-B22542C7743F}</author>
  </authors>
  <commentList>
    <comment ref="A9" authorId="0" shapeId="0" xr:uid="{59D1E1F1-BA90-452A-9A95-E64512E3DFEA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2" authorId="1" shapeId="0" xr:uid="{08DEA5CB-22F2-463B-9EB2-DE5C2476A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  <comment ref="A130" authorId="2" shapeId="0" xr:uid="{234FE7FA-A702-432B-9467-A987DE9548EE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34" authorId="3" shapeId="0" xr:uid="{3118B652-C0A5-4C64-9929-1BB13CA2092A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139" authorId="4" shapeId="0" xr:uid="{E43609F6-7E3B-4C65-8274-B22542C7743F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tc={6DF39B8B-1665-407F-945B-A9F3A6AAEA08}</author>
    <author>tc={67B4AE1C-AD91-48C8-8149-F720F21D6DB6}</author>
    <author>tc={9677DDA3-8D7E-4EC8-A151-41852BD304EF}</author>
    <author>tc={39471ECE-D658-4209-89BA-5DAC031CE662}</author>
    <author>tc={2265F3E6-2352-4CD1-9675-E609A2383123}</author>
    <author>tc={594EBABC-EB30-4E5B-B17E-639062D00B45}</author>
  </authors>
  <commentList>
    <comment ref="A10" authorId="0" shapeId="0" xr:uid="{6DF39B8B-1665-407F-945B-A9F3A6AAEA08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11" authorId="1" shapeId="0" xr:uid="{67B4AE1C-AD91-48C8-8149-F720F21D6DB6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44" authorId="2" shapeId="0" xr:uid="{9677DDA3-8D7E-4EC8-A151-41852BD304EF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  <comment ref="A63" authorId="3" shapeId="0" xr:uid="{39471ECE-D658-4209-89BA-5DAC031CE662}">
      <text>
        <t>[Threaded comment]
Your version of Excel allows you to read this threaded comment; however, any edits to it will get removed if the file is opened in a newer version of Excel. Learn more: https://go.microsoft.com/fwlink/?linkid=870924
Comment:
    Structures</t>
      </text>
    </comment>
    <comment ref="A64" authorId="4" shapeId="0" xr:uid="{2265F3E6-2352-4CD1-9675-E609A2383123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65" authorId="5" shapeId="0" xr:uid="{594EBABC-EB30-4E5B-B17E-639062D00B45}">
      <text>
        <t>[Threaded comment]
Your version of Excel allows you to read this threaded comment; however, any edits to it will get removed if the file is opened in a newer version of Excel. Learn more: https://go.microsoft.com/fwlink/?linkid=870924
Comment:
    Meters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tc={0C074AF8-5EE2-4E47-B1A2-90A8E6A647BC}</author>
    <author>tc={39175423-8925-4B86-BDD9-F1FF9B94BD45}</author>
    <author>tc={A4BE0E7A-6C5F-4B40-A663-53E307AC4293}</author>
    <author>tc={8918A11D-9009-47FD-8508-59D19B3B58FD}</author>
  </authors>
  <commentList>
    <comment ref="A8" authorId="0" shapeId="0" xr:uid="{0C074AF8-5EE2-4E47-B1A2-90A8E6A647B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84" authorId="1" shapeId="0" xr:uid="{39175423-8925-4B86-BDD9-F1FF9B94BD45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  <comment ref="A105" authorId="2" shapeId="0" xr:uid="{A4BE0E7A-6C5F-4B40-A663-53E307AC4293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A106" authorId="3" shapeId="0" xr:uid="{8918A11D-9009-47FD-8508-59D19B3B58FD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tc={61D2EAAB-0EBA-4318-8393-386C767DD6FB}</author>
    <author>tc={553AA7F4-DC70-4D87-A1AE-8A0B8488AA09}</author>
  </authors>
  <commentList>
    <comment ref="M47" authorId="0" shapeId="0" xr:uid="{61D2EAAB-0EBA-4318-8393-386C767DD6FB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Mains</t>
      </text>
    </comment>
    <comment ref="M48" authorId="1" shapeId="0" xr:uid="{553AA7F4-DC70-4D87-A1AE-8A0B8488AA09}">
      <text>
        <t>[Threaded comment]
Your version of Excel allows you to read this threaded comment; however, any edits to it will get removed if the file is opened in a newer version of Excel. Learn more: https://go.microsoft.com/fwlink/?linkid=870924
Comment:
    Hydrants</t>
      </text>
    </comment>
  </commentList>
</comments>
</file>

<file path=xl/sharedStrings.xml><?xml version="1.0" encoding="utf-8"?>
<sst xmlns="http://schemas.openxmlformats.org/spreadsheetml/2006/main" count="1773" uniqueCount="484">
  <si>
    <t>WARREN COUNTY WATER DISTIRCT</t>
  </si>
  <si>
    <t>Known &amp; Measurable Items</t>
  </si>
  <si>
    <t>WATER DIVISION</t>
  </si>
  <si>
    <t>No</t>
  </si>
  <si>
    <t>Description</t>
  </si>
  <si>
    <t>Amount</t>
  </si>
  <si>
    <t>New Employees - Wages</t>
  </si>
  <si>
    <t>New Employees - Employee Overhead</t>
  </si>
  <si>
    <t>Customer Service - Wages Previously Capitalized in Base Year</t>
  </si>
  <si>
    <t>Customer Service - Benefits</t>
  </si>
  <si>
    <t>Depreciation Expense - Developments</t>
  </si>
  <si>
    <t>Depreciation Expense - Capital Projects</t>
  </si>
  <si>
    <t>TOTAL</t>
  </si>
  <si>
    <t>SEWER DIVISION</t>
  </si>
  <si>
    <t>WARREN COUNTY WATER DISTRICT</t>
  </si>
  <si>
    <t>New Positions</t>
  </si>
  <si>
    <t>NEW EMPLOYEE DATA</t>
  </si>
  <si>
    <t>Wages Not in Base Year</t>
  </si>
  <si>
    <t>No.</t>
  </si>
  <si>
    <t>Title</t>
  </si>
  <si>
    <t>Category</t>
  </si>
  <si>
    <t>Hire Date</t>
  </si>
  <si>
    <t>Annual</t>
  </si>
  <si>
    <t>Hourly</t>
  </si>
  <si>
    <t>Factor</t>
  </si>
  <si>
    <t>Total</t>
  </si>
  <si>
    <t>Holiday</t>
  </si>
  <si>
    <t>BH</t>
  </si>
  <si>
    <t>UWD</t>
  </si>
  <si>
    <t>SL</t>
  </si>
  <si>
    <t>AL</t>
  </si>
  <si>
    <t>Working</t>
  </si>
  <si>
    <t>2H-225</t>
  </si>
  <si>
    <t>CMMS Administrator</t>
  </si>
  <si>
    <t>Admin</t>
  </si>
  <si>
    <t>2B-198</t>
  </si>
  <si>
    <t>GIS Analyst</t>
  </si>
  <si>
    <t>Capital (Not Included)</t>
  </si>
  <si>
    <t>2K-235</t>
  </si>
  <si>
    <t>Safety Specialist</t>
  </si>
  <si>
    <t>2H-154</t>
  </si>
  <si>
    <t>IT Supervisor</t>
  </si>
  <si>
    <t>2F-218</t>
  </si>
  <si>
    <t>Engineering Technician</t>
  </si>
  <si>
    <t>2O-113</t>
  </si>
  <si>
    <t>Lead Dispatch Operator</t>
  </si>
  <si>
    <t>T&amp;D Operations</t>
  </si>
  <si>
    <t>2J-238</t>
  </si>
  <si>
    <t>Accountant</t>
  </si>
  <si>
    <t>Lead Meter Technician</t>
  </si>
  <si>
    <t>T&amp;D Maint</t>
  </si>
  <si>
    <t>2B-210</t>
  </si>
  <si>
    <t>Utility Locate Specialist</t>
  </si>
  <si>
    <t>Expense</t>
  </si>
  <si>
    <t>Capital</t>
  </si>
  <si>
    <t>Rates &amp; Allocation Memo</t>
  </si>
  <si>
    <t>Direct Time - Engineering</t>
  </si>
  <si>
    <t>Direct Time - Operations</t>
  </si>
  <si>
    <t>New Employees- WATER DIVISION</t>
  </si>
  <si>
    <t>Year 2024</t>
  </si>
  <si>
    <t>Hire</t>
  </si>
  <si>
    <t xml:space="preserve">No. </t>
  </si>
  <si>
    <t>WCWD</t>
  </si>
  <si>
    <t>Wage</t>
  </si>
  <si>
    <t>Date</t>
  </si>
  <si>
    <t>Rate</t>
  </si>
  <si>
    <t>Working Hours</t>
  </si>
  <si>
    <t>Wages</t>
  </si>
  <si>
    <t>Allocation %</t>
  </si>
  <si>
    <t>Adjustment</t>
  </si>
  <si>
    <t>Expense Wages</t>
  </si>
  <si>
    <t>Comments</t>
  </si>
  <si>
    <t>Allocation Memo- No. of Customers</t>
  </si>
  <si>
    <t>Total Wages by Category</t>
  </si>
  <si>
    <t>Allocation Memo - No. of Customers</t>
  </si>
  <si>
    <t>T&amp;D Oper</t>
  </si>
  <si>
    <t xml:space="preserve">Allocation Memo - No. of Customers </t>
  </si>
  <si>
    <t xml:space="preserve">     Total</t>
  </si>
  <si>
    <t>Employee OH Split</t>
  </si>
  <si>
    <t>Employee OH</t>
  </si>
  <si>
    <t xml:space="preserve">(Excl Wage Adj) </t>
  </si>
  <si>
    <t>Payroll Taxes</t>
  </si>
  <si>
    <t>Worker Comp</t>
  </si>
  <si>
    <t>Insurance</t>
  </si>
  <si>
    <t>Retirement</t>
  </si>
  <si>
    <t>Total Employee OH by Category</t>
  </si>
  <si>
    <t>New Employees- SEWER DIVISION</t>
  </si>
  <si>
    <t>WCWD Call</t>
  </si>
  <si>
    <t>Guffey, Ross started the meeting</t>
  </si>
  <si>
    <t>(Excl Wage Adj)</t>
  </si>
  <si>
    <t>CSR Wage Expense - Wages Expensed That Were Previously Capitalized</t>
  </si>
  <si>
    <t>CSR Wages- WATER DIVISION</t>
  </si>
  <si>
    <t>WCWD Water Division EXPENSE WAGES</t>
  </si>
  <si>
    <t>Wages Worked</t>
  </si>
  <si>
    <t>Employee</t>
  </si>
  <si>
    <t>Regular Pay Rate</t>
  </si>
  <si>
    <t>OT Pay Rate</t>
  </si>
  <si>
    <t>Regular Hrs</t>
  </si>
  <si>
    <t>Regular $s</t>
  </si>
  <si>
    <t>OT Hours</t>
  </si>
  <si>
    <t>OT $s</t>
  </si>
  <si>
    <t>Total Hrs</t>
  </si>
  <si>
    <t>Total $s</t>
  </si>
  <si>
    <t>Adjustment $</t>
  </si>
  <si>
    <t>Overhead</t>
  </si>
  <si>
    <t>Total Amount</t>
  </si>
  <si>
    <t>CSR Wages- SEWER DIVISION</t>
  </si>
  <si>
    <t>WCWD Sewer Division EXPENSE WAGES</t>
  </si>
  <si>
    <t>Developments Added to Fixed Assets</t>
  </si>
  <si>
    <t>7/1/23-4/30/24</t>
  </si>
  <si>
    <t>Not Recorded In Base Year</t>
  </si>
  <si>
    <t>$ Recorded</t>
  </si>
  <si>
    <t>Recorded to</t>
  </si>
  <si>
    <t>In-Service</t>
  </si>
  <si>
    <t>Accum Depr</t>
  </si>
  <si>
    <t>Depr</t>
  </si>
  <si>
    <t>Monthly</t>
  </si>
  <si>
    <t>Months</t>
  </si>
  <si>
    <t>Depreciation</t>
  </si>
  <si>
    <t>GL Acct</t>
  </si>
  <si>
    <t>GL Date</t>
  </si>
  <si>
    <t>Source</t>
  </si>
  <si>
    <t>Development</t>
  </si>
  <si>
    <t>Fixed Assets</t>
  </si>
  <si>
    <t>Date (Depr)</t>
  </si>
  <si>
    <t>thru 4/30/24</t>
  </si>
  <si>
    <t>Pd</t>
  </si>
  <si>
    <t>Mos</t>
  </si>
  <si>
    <t>101-3314-2</t>
  </si>
  <si>
    <t>AP-030862</t>
  </si>
  <si>
    <t>CEDAR CREEK (11/2032) /IN: DEV07/2023</t>
  </si>
  <si>
    <t>101-3354-2</t>
  </si>
  <si>
    <t>CEDAR CREEK (11/2032) /IN: DEV07/2023 Total</t>
  </si>
  <si>
    <t>EAGLE FURNITURE (02/2033) /IN: DEV07/2023</t>
  </si>
  <si>
    <t>EAGLE FURNITURE (02/2033) /IN: DEV07/2023 Total</t>
  </si>
  <si>
    <t>HARMONY PH 1 (04/2032) /IN: DEV07/2023</t>
  </si>
  <si>
    <t>HARMONY PH 1 (04/2032) /IN: DEV07/2023 Total</t>
  </si>
  <si>
    <t>LANSING SUBDIVISION (08/2032) /IN: DEV07/2023</t>
  </si>
  <si>
    <t>LANSING SUBDIVISION (08/2032) /IN: DEV07/2023 Total</t>
  </si>
  <si>
    <t>NASHVILLE RD APTS (01/2033) /IN: DEV07/2023</t>
  </si>
  <si>
    <t>NASHVILLE RD APTS (01/2033) /IN: DEV07/2023 Total</t>
  </si>
  <si>
    <t>NORTHPOINTE APTS PH 2 (10/2032) /IN: DEV07/2023</t>
  </si>
  <si>
    <t>NORTHPOINTE APTS PH 2 (10/2032) /IN: DEV07/2023 Total</t>
  </si>
  <si>
    <t>REVILO SUBDIVISION (03/2033) /IN: DEV07/2023</t>
  </si>
  <si>
    <t>REVILO SUBDIVISION (03/2033) /IN: DEV07/2023 Total</t>
  </si>
  <si>
    <t>RICHPOND MANOR RELOC (11/2032) /IN: DEV07/2023</t>
  </si>
  <si>
    <t>RICHPOND MANOR RELOC (11/2032) /IN: DEV07/2023 Total</t>
  </si>
  <si>
    <t>WALNUT CREEK APTS (10/2032) /IN: DEV07/2023</t>
  </si>
  <si>
    <t>WALNUT CREEK APTS (10/2032) /IN: DEV07/2023 Total</t>
  </si>
  <si>
    <t>AP-030870</t>
  </si>
  <si>
    <t>CARTERS CROSSING S/F (03/2030) /IN: DEV08/2023</t>
  </si>
  <si>
    <t>CARTERS CROSSING S/F (03/2030) /IN: DEV08/2023 Total</t>
  </si>
  <si>
    <t>AP-031248</t>
  </si>
  <si>
    <t>SOUTH GLEN GABLES SECT 5 &amp; 6 (12/2031) /IN: DEV10/2023</t>
  </si>
  <si>
    <t>SOUTH GLEN GABLES SECT 5 &amp; 6 (12/2031) /IN: DEV10/2023 Total</t>
  </si>
  <si>
    <t>AP-031299</t>
  </si>
  <si>
    <t>EWING POINTE @ MT VICTOR (04/2033) /IN: DEV11/2023</t>
  </si>
  <si>
    <t>EWING POINTE @ MT VICTOR (04/2033) /IN: DEV11/2023 Total</t>
  </si>
  <si>
    <t>WOODSPRING SUITES (06/2033) /IN: DEV11/2023</t>
  </si>
  <si>
    <t>WOODSPRING SUITES (06/2033) /IN: DEV11/2023 Total</t>
  </si>
  <si>
    <t>AP-031735</t>
  </si>
  <si>
    <t>GREYSTONE SECT 19 (06/2033) /IN: DEV01/2024</t>
  </si>
  <si>
    <t>GREYSTONE SECT 19 (06/2033) /IN: DEV01/2024 Total</t>
  </si>
  <si>
    <t>MURPHY RD APTS (04/2032) /IN: DEV03/2024</t>
  </si>
  <si>
    <t>MURPHY RD APTS (04/2032) /IN: DEV03/2024 Total</t>
  </si>
  <si>
    <t>OAKLAND/FLATROCK WLE (03/2034) /IN: DEV04/2024</t>
  </si>
  <si>
    <t>OAKLAND/FLATROCK WLE (03/2034) /IN: DEV04/2024 Total</t>
  </si>
  <si>
    <t>MOUNTAIN STONE APTS (07/2033) /IN: DEV04/2024</t>
  </si>
  <si>
    <t>MOUNTAIN STONE APTS (07/2033) /IN: DEV04/2024 Total</t>
  </si>
  <si>
    <t>HILLVIEW MILLS MIXED USE (02/2033) /IN: DEV04/2024</t>
  </si>
  <si>
    <t>HILLVIEW MILLS MIXED USE (02/2033) /IN: DEV04/2024 Total</t>
  </si>
  <si>
    <t>SOUTH PARK COMMONS (04/2032) /IN: DEV04/2024</t>
  </si>
  <si>
    <t>SOUTH PARK COMMONS (04/2032) /IN: DEV04/2024 Total</t>
  </si>
  <si>
    <t>Grand Total</t>
  </si>
  <si>
    <t>101-3314-3</t>
  </si>
  <si>
    <t>101-3043-3</t>
  </si>
  <si>
    <t>101-3334-3</t>
  </si>
  <si>
    <t>VININGS SUBDIVISION (09/2033) /IN: DEV10/2023</t>
  </si>
  <si>
    <t>VININGS SUBDIVISION (09/2033) /IN: DEV10/2023 Total</t>
  </si>
  <si>
    <t>COLLETT RD SLE (01/2034) /IN: DEV03/2024</t>
  </si>
  <si>
    <t>COLLETT RD SLE (01/2034) /IN: DEV03/2024 Total</t>
  </si>
  <si>
    <t>$ Recorded Fixed Assets</t>
  </si>
  <si>
    <t>Recorded to Fixed Assets</t>
  </si>
  <si>
    <t>In-Service Date (Depr)</t>
  </si>
  <si>
    <t>Accum Depr thru 4/30/24</t>
  </si>
  <si>
    <t>Depr Pd</t>
  </si>
  <si>
    <t>Depr Mos</t>
  </si>
  <si>
    <t>Monthly Depr</t>
  </si>
  <si>
    <t>Months Depreciation</t>
  </si>
  <si>
    <t>Depreciation Expense</t>
  </si>
  <si>
    <t>Summary</t>
  </si>
  <si>
    <t>Dep Exp</t>
  </si>
  <si>
    <t>Construction In Progress</t>
  </si>
  <si>
    <t xml:space="preserve">Completion </t>
  </si>
  <si>
    <t xml:space="preserve">Annual </t>
  </si>
  <si>
    <t>Job No.</t>
  </si>
  <si>
    <t>Completed Y/N</t>
  </si>
  <si>
    <t>In Service Date</t>
  </si>
  <si>
    <t>Billable Y/N</t>
  </si>
  <si>
    <t>CIP Balance</t>
  </si>
  <si>
    <t>Period</t>
  </si>
  <si>
    <t>13642-2</t>
  </si>
  <si>
    <t>Hwy 185 Ph 1</t>
  </si>
  <si>
    <t>N</t>
  </si>
  <si>
    <t>14808-2</t>
  </si>
  <si>
    <t>Transpark II</t>
  </si>
  <si>
    <t>Y</t>
  </si>
  <si>
    <t>?</t>
  </si>
  <si>
    <t>23796-2</t>
  </si>
  <si>
    <t>Blue Level Tank Replacement</t>
  </si>
  <si>
    <t>23899-2</t>
  </si>
  <si>
    <t>AMR System</t>
  </si>
  <si>
    <t>Periodic Trsfs</t>
  </si>
  <si>
    <t>27246-2</t>
  </si>
  <si>
    <t>Map Book Updates - GIS</t>
  </si>
  <si>
    <t>Transfer Quarterly</t>
  </si>
  <si>
    <t>34015-2</t>
  </si>
  <si>
    <t>RTU Replacement 2022</t>
  </si>
  <si>
    <t>43720-2</t>
  </si>
  <si>
    <t>Hwy 242 at Richpond School</t>
  </si>
  <si>
    <t>44435-2</t>
  </si>
  <si>
    <t>Mizpah Repaint</t>
  </si>
  <si>
    <t>46491-2</t>
  </si>
  <si>
    <t>Transpark III (Envision)</t>
  </si>
  <si>
    <t>49125-2</t>
  </si>
  <si>
    <t>GIS Mapping Fieldwork</t>
  </si>
  <si>
    <t>56783-2</t>
  </si>
  <si>
    <t>Design &amp; Construction Standards Update</t>
  </si>
  <si>
    <t>59658-2</t>
  </si>
  <si>
    <t>GIS Mobile Pilot Study</t>
  </si>
  <si>
    <t>67257-2</t>
  </si>
  <si>
    <t>Moon Rd WLE (Fiscal Ct)</t>
  </si>
  <si>
    <t>74108-2</t>
  </si>
  <si>
    <t>Brookwood Ext</t>
  </si>
  <si>
    <t>75961-2</t>
  </si>
  <si>
    <t>Greenhill Area Upgrades</t>
  </si>
  <si>
    <t>8418-2</t>
  </si>
  <si>
    <t>G I S Mapping</t>
  </si>
  <si>
    <t>8460-2</t>
  </si>
  <si>
    <t>Meter Assembly Replacement</t>
  </si>
  <si>
    <t>8461-2</t>
  </si>
  <si>
    <t>S/L &amp; Meter Assembly Replacement</t>
  </si>
  <si>
    <t>8490-2</t>
  </si>
  <si>
    <t>Service Line Replacement</t>
  </si>
  <si>
    <t>89392-2</t>
  </si>
  <si>
    <t>Transpark - Kelly Rd Additions</t>
  </si>
  <si>
    <t>91401-2</t>
  </si>
  <si>
    <t>Everbridge Implementation</t>
  </si>
  <si>
    <t>93019-2</t>
  </si>
  <si>
    <t>Alvaton Capacity Improvements</t>
  </si>
  <si>
    <t>93020-2</t>
  </si>
  <si>
    <t>Rockfield Capacity Improvements</t>
  </si>
  <si>
    <t>98152-2</t>
  </si>
  <si>
    <t>Hwy 68W Reservoir Tank #2</t>
  </si>
  <si>
    <t>98154-2</t>
  </si>
  <si>
    <t>Woodburn Reservoir Tank Replacement</t>
  </si>
  <si>
    <t>99489-2</t>
  </si>
  <si>
    <t>Smiths Grove Area Improvements</t>
  </si>
  <si>
    <t>In-Service Date</t>
  </si>
  <si>
    <t>14162-3</t>
  </si>
  <si>
    <t>I T Upgrades</t>
  </si>
  <si>
    <t>27246-3</t>
  </si>
  <si>
    <t>GIS - Sewer Mapbook Updates</t>
  </si>
  <si>
    <t>29090-3</t>
  </si>
  <si>
    <t>Various Manhole Repairs</t>
  </si>
  <si>
    <t>34015-3</t>
  </si>
  <si>
    <t>RTU Replacement-2022</t>
  </si>
  <si>
    <t>35579-3</t>
  </si>
  <si>
    <t>Cyber Security Testing</t>
  </si>
  <si>
    <t>40281-3</t>
  </si>
  <si>
    <t>Pioneer Dr F/M Improvements</t>
  </si>
  <si>
    <t>43180-3</t>
  </si>
  <si>
    <t>New Office/Whse Russellville Rd</t>
  </si>
  <si>
    <t>46491-3</t>
  </si>
  <si>
    <t>Transpark III</t>
  </si>
  <si>
    <t>49125-3</t>
  </si>
  <si>
    <t>G I S Mapping - Fieldwork</t>
  </si>
  <si>
    <t>49732-3</t>
  </si>
  <si>
    <t>LS #1 Replacement</t>
  </si>
  <si>
    <t>51056-3</t>
  </si>
  <si>
    <t>SG #2 LS Rehabilitation</t>
  </si>
  <si>
    <t>56783-3</t>
  </si>
  <si>
    <t>Design &amp; Construction Standards</t>
  </si>
  <si>
    <t>59658-3</t>
  </si>
  <si>
    <t>62538-3</t>
  </si>
  <si>
    <t>Dillard/Nashville Rd LS</t>
  </si>
  <si>
    <t>64987-3</t>
  </si>
  <si>
    <t>2022 Sewer Rehab</t>
  </si>
  <si>
    <t>74108-3</t>
  </si>
  <si>
    <t>Brookwood Sewer Ext</t>
  </si>
  <si>
    <t>80807-3</t>
  </si>
  <si>
    <t>Three Springs LS Pump Repl</t>
  </si>
  <si>
    <t>89392-3</t>
  </si>
  <si>
    <t>92975-3</t>
  </si>
  <si>
    <t>Southside WW Masterplan</t>
  </si>
  <si>
    <t>County:</t>
  </si>
  <si>
    <t>Warren County Water</t>
  </si>
  <si>
    <t>Project:</t>
  </si>
  <si>
    <t>Transpark 2, Phases 1, 2, &amp; 3 (14808-2)</t>
  </si>
  <si>
    <t>In-Service Date:</t>
  </si>
  <si>
    <t>**Direct Cost</t>
  </si>
  <si>
    <t>Allocate:</t>
  </si>
  <si>
    <t>Misc</t>
  </si>
  <si>
    <t xml:space="preserve">Total </t>
  </si>
  <si>
    <t>Engineering</t>
  </si>
  <si>
    <t>Indirect</t>
  </si>
  <si>
    <t>Average</t>
  </si>
  <si>
    <t>Costs</t>
  </si>
  <si>
    <t xml:space="preserve">Cost </t>
  </si>
  <si>
    <t>Labor</t>
  </si>
  <si>
    <t>Project</t>
  </si>
  <si>
    <t xml:space="preserve">Asset </t>
  </si>
  <si>
    <t>Item #</t>
  </si>
  <si>
    <t>Size</t>
  </si>
  <si>
    <t>Description:</t>
  </si>
  <si>
    <t># of Units</t>
  </si>
  <si>
    <t>Unit Cost</t>
  </si>
  <si>
    <t>Cost</t>
  </si>
  <si>
    <t>Per Contract</t>
  </si>
  <si>
    <t>Class</t>
  </si>
  <si>
    <t>G/L #</t>
  </si>
  <si>
    <t>(FAS)</t>
  </si>
  <si>
    <t>Fred Madison Relocation (Cumberland Pipeline)</t>
  </si>
  <si>
    <t>Fire Hydrant Relocation</t>
  </si>
  <si>
    <t>Hydrants</t>
  </si>
  <si>
    <t>12" CL200 PVC</t>
  </si>
  <si>
    <t>T&amp;D Mains</t>
  </si>
  <si>
    <t>8" CL200 PVC</t>
  </si>
  <si>
    <t>Other-T&amp;D Mains</t>
  </si>
  <si>
    <t>Production Ave (Cumberland Pipeline)</t>
  </si>
  <si>
    <t>12" SDR21 PVC</t>
  </si>
  <si>
    <t>8" SDR21 PVC</t>
  </si>
  <si>
    <t>5.25" Fire Hydrant Assy</t>
  </si>
  <si>
    <t>Mizpah Rd/Bilstein (Cumberland Pipeline)</t>
  </si>
  <si>
    <t>Transpark 2 Ph 3 (Cumberland Pipeline)</t>
  </si>
  <si>
    <t>24" CL250 DIP-RJ</t>
  </si>
  <si>
    <t>20" CL250 DIP</t>
  </si>
  <si>
    <t>20" CL250 DIP-RJ</t>
  </si>
  <si>
    <t>16" CL250 DIP</t>
  </si>
  <si>
    <t>16" CL250 DIP-RJ</t>
  </si>
  <si>
    <t>12" CL250 DIP</t>
  </si>
  <si>
    <t>12" CL250 DIP-RJ</t>
  </si>
  <si>
    <t>O-I Glass Relocation (Scott &amp; Ritter)</t>
  </si>
  <si>
    <t>Derpeciation Expense Per Year</t>
  </si>
  <si>
    <t>Contractor Cost Allocations:</t>
  </si>
  <si>
    <t>Crushed Stone, Fittings, Retainage/Other Adjmts</t>
  </si>
  <si>
    <t>Totals</t>
  </si>
  <si>
    <t>WCWD Engineering Allocations:</t>
  </si>
  <si>
    <t>Journal Entry:</t>
  </si>
  <si>
    <t>910-2</t>
  </si>
  <si>
    <t>System Improvements</t>
  </si>
  <si>
    <t>101-3043-2</t>
  </si>
  <si>
    <t>Structures - T&amp;D</t>
  </si>
  <si>
    <t>950-2</t>
  </si>
  <si>
    <t>Indirect Labor Allocation</t>
  </si>
  <si>
    <t>101-3112-2</t>
  </si>
  <si>
    <t>Pumping Equipment</t>
  </si>
  <si>
    <t>960-2</t>
  </si>
  <si>
    <t>Project Administration</t>
  </si>
  <si>
    <t>961-2</t>
  </si>
  <si>
    <t>Project Construction</t>
  </si>
  <si>
    <t>101-3324-2</t>
  </si>
  <si>
    <t>SCADA</t>
  </si>
  <si>
    <t>962-2</t>
  </si>
  <si>
    <t>Engineering Design</t>
  </si>
  <si>
    <t>101-3334-2</t>
  </si>
  <si>
    <t>Services</t>
  </si>
  <si>
    <t>963-2</t>
  </si>
  <si>
    <t>Easement Acquisition</t>
  </si>
  <si>
    <t>101-3344-2</t>
  </si>
  <si>
    <t>Meters</t>
  </si>
  <si>
    <t>964-2</t>
  </si>
  <si>
    <t>Force Account Work</t>
  </si>
  <si>
    <t>965-2</t>
  </si>
  <si>
    <t>Construction Inspection</t>
  </si>
  <si>
    <t>105-0000-2</t>
  </si>
  <si>
    <t>CIP</t>
  </si>
  <si>
    <t>968-2</t>
  </si>
  <si>
    <t>Contracted Engineering</t>
  </si>
  <si>
    <t>105-0010-2</t>
  </si>
  <si>
    <t>CIP - Indirect</t>
  </si>
  <si>
    <t>970-2</t>
  </si>
  <si>
    <t>Real Estate Acquisition</t>
  </si>
  <si>
    <t>231-1000-2</t>
  </si>
  <si>
    <t>Retainage Payable (S&amp;R)</t>
  </si>
  <si>
    <t>971-2</t>
  </si>
  <si>
    <t>Construction Supervision</t>
  </si>
  <si>
    <t>972-2</t>
  </si>
  <si>
    <t>Miscellaneous Engineering</t>
  </si>
  <si>
    <t>973-2</t>
  </si>
  <si>
    <t>System Mapping</t>
  </si>
  <si>
    <t xml:space="preserve">     Total - Force Acct</t>
  </si>
  <si>
    <t>Transpark 2 Tank</t>
  </si>
  <si>
    <t>The tank should be in service by 9/1, per Clint.</t>
  </si>
  <si>
    <t>The balance remaining for the Tank Portion of the Transpark 2 project is:</t>
  </si>
  <si>
    <t>Current Balance in CIP (#14808-2) for the Tank</t>
  </si>
  <si>
    <t xml:space="preserve">Est Cost to Complete Tank </t>
  </si>
  <si>
    <t>Total Estimated Tank Cost</t>
  </si>
  <si>
    <t>Total Cost</t>
  </si>
  <si>
    <t>Depreciation Period</t>
  </si>
  <si>
    <t>Depreciation Expense Per Year</t>
  </si>
  <si>
    <t>SCADA RTU Upgrades</t>
  </si>
  <si>
    <t>Project Cost Estimate</t>
  </si>
  <si>
    <t>Site Census</t>
  </si>
  <si>
    <t>% Sites</t>
  </si>
  <si>
    <t>Count Total</t>
  </si>
  <si>
    <t>Count PS</t>
  </si>
  <si>
    <t>Count CV</t>
  </si>
  <si>
    <t>Count Tank</t>
  </si>
  <si>
    <t>Count Meter</t>
  </si>
  <si>
    <t>Count LS</t>
  </si>
  <si>
    <t>SCWD</t>
  </si>
  <si>
    <t>BCWS</t>
  </si>
  <si>
    <t>WCWD WW</t>
  </si>
  <si>
    <t>Integrator Proposal Cost</t>
  </si>
  <si>
    <t>System Allocation</t>
  </si>
  <si>
    <t>Qty.</t>
  </si>
  <si>
    <t>Unit</t>
  </si>
  <si>
    <t>Predesign , Design, Submittals</t>
  </si>
  <si>
    <t>LS</t>
  </si>
  <si>
    <t>Pump Station RTU</t>
  </si>
  <si>
    <t>HMI Software &amp; Radio Com Development</t>
  </si>
  <si>
    <t>Control Valve Station RTU</t>
  </si>
  <si>
    <t>EA</t>
  </si>
  <si>
    <t>Tank RTU</t>
  </si>
  <si>
    <t>District Meter RTU</t>
  </si>
  <si>
    <t>Lift Station RTU</t>
  </si>
  <si>
    <t>Pump Station RTU Installation/Integration</t>
  </si>
  <si>
    <t>Control Valve RTU Installation/Integration</t>
  </si>
  <si>
    <t>Tank RTU Installation/Integration</t>
  </si>
  <si>
    <t>District Meter RTU Installation/Integration</t>
  </si>
  <si>
    <t>Lift Station RTU Installation/Integration</t>
  </si>
  <si>
    <t>Training</t>
  </si>
  <si>
    <t>Total Contract Price</t>
  </si>
  <si>
    <t>Other Expenses</t>
  </si>
  <si>
    <t>Electrician</t>
  </si>
  <si>
    <t>IT/OT Office Coms</t>
  </si>
  <si>
    <t>Pre-RFP Force Account</t>
  </si>
  <si>
    <t>Post- RFP Force Account</t>
  </si>
  <si>
    <t>Contingency (10%)</t>
  </si>
  <si>
    <t>(Contract)</t>
  </si>
  <si>
    <t>Integrator Direct Cost</t>
  </si>
  <si>
    <t>Integrator Allocated Cost</t>
  </si>
  <si>
    <t>Integrator Total Cost</t>
  </si>
  <si>
    <t>Other Allocated Exp.</t>
  </si>
  <si>
    <t>Depreciation Per Year</t>
  </si>
  <si>
    <t>Check</t>
  </si>
  <si>
    <t>Migration</t>
  </si>
  <si>
    <t>License Fees</t>
  </si>
  <si>
    <t>Additional Annual Support</t>
  </si>
  <si>
    <t>Allocation to Districts (2024):</t>
  </si>
  <si>
    <t>Allocation $</t>
  </si>
  <si>
    <t>Per Year</t>
  </si>
  <si>
    <t>Warren</t>
  </si>
  <si>
    <t>Warren Sewer</t>
  </si>
  <si>
    <t>Simpson</t>
  </si>
  <si>
    <t>Butler</t>
  </si>
  <si>
    <t>Meter Change Out Program 2023/2024:</t>
  </si>
  <si>
    <t>5/8" Kamstrup</t>
  </si>
  <si>
    <t>PO 9976 4/26/2024</t>
  </si>
  <si>
    <t>1" Kampstrup</t>
  </si>
  <si>
    <t>PO 9682 1/30/24</t>
  </si>
  <si>
    <t>MCO Contractor</t>
  </si>
  <si>
    <t>WC</t>
  </si>
  <si>
    <t>SC</t>
  </si>
  <si>
    <t>BC</t>
  </si>
  <si>
    <t>Qty - Badger 5/8" MCO - 2023</t>
  </si>
  <si>
    <t xml:space="preserve">  Meter Replacement</t>
  </si>
  <si>
    <t xml:space="preserve">  Contractor</t>
  </si>
  <si>
    <t xml:space="preserve">  Total Cost</t>
  </si>
  <si>
    <t>Qty - Badger 5/8" MCO - 2024</t>
  </si>
  <si>
    <t>Qty - Sensus 5/8" - 2024</t>
  </si>
  <si>
    <t>Qty - Badger 1" MCO - 2023</t>
  </si>
  <si>
    <t>Qty - Badger1"" MCO - 2024</t>
  </si>
  <si>
    <t>MCO Cost</t>
  </si>
  <si>
    <t>Total depreciation</t>
  </si>
  <si>
    <t xml:space="preserve">Water </t>
  </si>
  <si>
    <t>Sewer</t>
  </si>
  <si>
    <t>Developments- Water</t>
  </si>
  <si>
    <t>Developments- Sewer</t>
  </si>
  <si>
    <t>Transpark 2 Upgrades</t>
  </si>
  <si>
    <t>SCADA Upgrade</t>
  </si>
  <si>
    <t>CIS Infinity Upgrade</t>
  </si>
  <si>
    <t>MCO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</si>
</sst>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E+00"/>
    <numFmt numFmtId="165" formatCode="_(* #,##0_);_(* \(#,##0\);_(* &quot;-&quot;??_);_(@_)"/>
    <numFmt numFmtId="166" formatCode="0.0%"/>
    <numFmt numFmtId="167" formatCode="[$-409]mmm\-yy;@"/>
    <numFmt numFmtId="168" formatCode="0.0"/>
    <numFmt numFmtId="169" formatCode="#,##0.00;#,##0.00\-"/>
    <numFmt numFmtId="170" formatCode="mm/dd/yy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(* #,##0.0_);_(* \(#,##0.0\);_(* &quot;-&quot;??_);_(@_)"/>
    <numFmt numFmtId="174" formatCode="mmmm\-yy"/>
    <numFmt numFmtId="175" formatCode="[$-409]mmmm\ d\,\ yyyy;@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1"/>
      <color theme="1"/>
      <name val="Aptos"/>
      <family val="2"/>
    </font>
    <font>
      <sz val="14"/>
      <color theme="1"/>
      <name val="Aptos Narrow"/>
      <family val="2"/>
      <scheme val="minor"/>
    </font>
    <font>
      <i/>
      <sz val="10"/>
      <name val="Arial"/>
      <family val="2"/>
    </font>
    <font>
      <sz val="11"/>
      <color rgb="FFFFFFFF"/>
      <name val="Segoe UI"/>
      <family val="2"/>
    </font>
    <font>
      <sz val="11"/>
      <color rgb="FFFFFFFF"/>
      <name val="Var(--fontFamilyBase)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1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43" fontId="2" fillId="0" borderId="0" xfId="1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3" fontId="2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0" applyNumberFormat="1" applyFont="1"/>
    <xf numFmtId="43" fontId="2" fillId="0" borderId="2" xfId="1" applyFont="1" applyBorder="1"/>
    <xf numFmtId="43" fontId="2" fillId="0" borderId="2" xfId="0" applyNumberFormat="1" applyFont="1" applyBorder="1"/>
    <xf numFmtId="43" fontId="2" fillId="2" borderId="2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3" applyFont="1" applyAlignment="1">
      <alignment horizontal="center"/>
    </xf>
    <xf numFmtId="9" fontId="3" fillId="0" borderId="0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 applyBorder="1"/>
    <xf numFmtId="43" fontId="1" fillId="0" borderId="0" xfId="1" applyFont="1" applyBorder="1"/>
    <xf numFmtId="43" fontId="0" fillId="0" borderId="2" xfId="0" applyNumberFormat="1" applyBorder="1"/>
    <xf numFmtId="43" fontId="0" fillId="0" borderId="0" xfId="0" applyNumberFormat="1"/>
    <xf numFmtId="43" fontId="0" fillId="0" borderId="2" xfId="1" applyFont="1" applyBorder="1"/>
    <xf numFmtId="0" fontId="3" fillId="0" borderId="0" xfId="0" applyFont="1"/>
    <xf numFmtId="43" fontId="2" fillId="0" borderId="0" xfId="1" applyFont="1"/>
    <xf numFmtId="44" fontId="0" fillId="0" borderId="0" xfId="0" applyNumberFormat="1"/>
    <xf numFmtId="44" fontId="0" fillId="0" borderId="0" xfId="2" applyFont="1" applyBorder="1"/>
    <xf numFmtId="43" fontId="0" fillId="0" borderId="0" xfId="1" applyFont="1" applyBorder="1"/>
    <xf numFmtId="43" fontId="3" fillId="0" borderId="0" xfId="0" applyNumberFormat="1" applyFont="1"/>
    <xf numFmtId="4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0" fontId="3" fillId="0" borderId="0" xfId="3" applyNumberFormat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1" xfId="0" applyFont="1" applyBorder="1"/>
    <xf numFmtId="14" fontId="4" fillId="0" borderId="0" xfId="0" applyNumberFormat="1" applyFont="1" applyAlignment="1">
      <alignment horizontal="left"/>
    </xf>
    <xf numFmtId="43" fontId="4" fillId="2" borderId="2" xfId="0" applyNumberFormat="1" applyFont="1" applyFill="1" applyBorder="1"/>
    <xf numFmtId="43" fontId="3" fillId="2" borderId="2" xfId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41" fontId="5" fillId="0" borderId="0" xfId="0" applyNumberFormat="1" applyFont="1" applyAlignment="1">
      <alignment vertical="top"/>
    </xf>
    <xf numFmtId="167" fontId="5" fillId="0" borderId="0" xfId="0" applyNumberFormat="1" applyFont="1" applyAlignment="1">
      <alignment vertical="top"/>
    </xf>
    <xf numFmtId="41" fontId="5" fillId="0" borderId="0" xfId="0" applyNumberFormat="1" applyFont="1"/>
    <xf numFmtId="168" fontId="5" fillId="0" borderId="0" xfId="0" applyNumberFormat="1" applyFont="1"/>
    <xf numFmtId="0" fontId="6" fillId="0" borderId="0" xfId="0" applyFont="1"/>
    <xf numFmtId="0" fontId="7" fillId="0" borderId="3" xfId="0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/>
    <xf numFmtId="0" fontId="7" fillId="0" borderId="3" xfId="4" applyFont="1" applyBorder="1" applyAlignment="1">
      <alignment horizontal="center"/>
    </xf>
    <xf numFmtId="167" fontId="7" fillId="0" borderId="3" xfId="4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3" xfId="4" applyNumberFormat="1" applyFont="1" applyBorder="1" applyAlignment="1">
      <alignment horizontal="center"/>
    </xf>
    <xf numFmtId="167" fontId="7" fillId="0" borderId="3" xfId="4" quotePrefix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7" fontId="7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1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170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73" fontId="6" fillId="0" borderId="0" xfId="1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4" fillId="0" borderId="0" xfId="0" applyFont="1"/>
    <xf numFmtId="9" fontId="4" fillId="0" borderId="1" xfId="3" applyFont="1" applyFill="1" applyBorder="1" applyAlignment="1">
      <alignment horizontal="center"/>
    </xf>
    <xf numFmtId="10" fontId="2" fillId="0" borderId="0" xfId="3" applyNumberFormat="1" applyFont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44" fontId="11" fillId="0" borderId="0" xfId="2" applyFont="1" applyFill="1"/>
    <xf numFmtId="44" fontId="12" fillId="0" borderId="0" xfId="2" applyFont="1" applyFill="1"/>
    <xf numFmtId="43" fontId="2" fillId="0" borderId="0" xfId="1" applyFont="1" applyFill="1"/>
    <xf numFmtId="10" fontId="2" fillId="0" borderId="0" xfId="3" applyNumberFormat="1" applyFont="1" applyFill="1"/>
    <xf numFmtId="9" fontId="7" fillId="0" borderId="1" xfId="3" applyFont="1" applyFill="1" applyBorder="1" applyAlignment="1">
      <alignment horizontal="center"/>
    </xf>
    <xf numFmtId="41" fontId="2" fillId="0" borderId="0" xfId="0" applyNumberFormat="1" applyFont="1"/>
    <xf numFmtId="14" fontId="2" fillId="0" borderId="0" xfId="0" applyNumberFormat="1" applyFont="1" applyAlignment="1">
      <alignment vertical="top"/>
    </xf>
    <xf numFmtId="41" fontId="2" fillId="0" borderId="0" xfId="0" applyNumberFormat="1" applyFont="1" applyAlignment="1">
      <alignment vertical="top"/>
    </xf>
    <xf numFmtId="167" fontId="2" fillId="0" borderId="0" xfId="0" applyNumberFormat="1" applyFont="1" applyAlignment="1">
      <alignment vertical="top"/>
    </xf>
    <xf numFmtId="168" fontId="2" fillId="0" borderId="0" xfId="0" applyNumberFormat="1" applyFont="1"/>
    <xf numFmtId="169" fontId="2" fillId="0" borderId="0" xfId="0" applyNumberFormat="1" applyFont="1" applyAlignment="1">
      <alignment vertical="top"/>
    </xf>
    <xf numFmtId="41" fontId="4" fillId="0" borderId="0" xfId="0" applyNumberFormat="1" applyFont="1"/>
    <xf numFmtId="168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71" fontId="2" fillId="0" borderId="0" xfId="2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/>
    <xf numFmtId="171" fontId="2" fillId="0" borderId="2" xfId="2" applyNumberFormat="1" applyFont="1" applyBorder="1"/>
    <xf numFmtId="0" fontId="6" fillId="0" borderId="3" xfId="4" applyBorder="1" applyAlignment="1">
      <alignment horizontal="center"/>
    </xf>
    <xf numFmtId="170" fontId="6" fillId="0" borderId="3" xfId="4" applyNumberFormat="1" applyBorder="1" applyAlignment="1">
      <alignment horizontal="center"/>
    </xf>
    <xf numFmtId="167" fontId="6" fillId="0" borderId="3" xfId="4" applyNumberFormat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44" fontId="2" fillId="0" borderId="0" xfId="2" applyFont="1" applyFill="1"/>
    <xf numFmtId="173" fontId="2" fillId="0" borderId="0" xfId="1" applyNumberFormat="1" applyFont="1"/>
    <xf numFmtId="173" fontId="4" fillId="0" borderId="0" xfId="1" applyNumberFormat="1" applyFont="1" applyAlignment="1">
      <alignment horizontal="center"/>
    </xf>
    <xf numFmtId="173" fontId="7" fillId="0" borderId="1" xfId="1" applyNumberFormat="1" applyFont="1" applyBorder="1" applyAlignment="1">
      <alignment horizontal="center"/>
    </xf>
    <xf numFmtId="173" fontId="8" fillId="0" borderId="0" xfId="1" applyNumberFormat="1" applyFont="1" applyAlignment="1">
      <alignment horizontal="center"/>
    </xf>
    <xf numFmtId="0" fontId="13" fillId="0" borderId="0" xfId="0" applyFont="1"/>
    <xf numFmtId="43" fontId="4" fillId="2" borderId="2" xfId="1" applyFont="1" applyFill="1" applyBorder="1"/>
    <xf numFmtId="43" fontId="2" fillId="0" borderId="1" xfId="1" applyFont="1" applyBorder="1" applyAlignment="1">
      <alignment horizontal="center"/>
    </xf>
    <xf numFmtId="43" fontId="2" fillId="0" borderId="1" xfId="1" applyFont="1" applyBorder="1"/>
    <xf numFmtId="14" fontId="13" fillId="0" borderId="0" xfId="0" applyNumberFormat="1" applyFont="1"/>
    <xf numFmtId="43" fontId="2" fillId="2" borderId="2" xfId="1" applyFont="1" applyFill="1" applyBorder="1"/>
    <xf numFmtId="10" fontId="2" fillId="0" borderId="0" xfId="3" applyNumberFormat="1" applyFont="1" applyFill="1" applyAlignment="1">
      <alignment horizontal="center"/>
    </xf>
    <xf numFmtId="172" fontId="2" fillId="0" borderId="0" xfId="0" applyNumberFormat="1" applyFont="1"/>
    <xf numFmtId="0" fontId="2" fillId="0" borderId="0" xfId="0" applyFont="1" applyAlignment="1">
      <alignment horizontal="left" vertical="center" wrapText="1"/>
    </xf>
    <xf numFmtId="173" fontId="2" fillId="0" borderId="1" xfId="1" applyNumberFormat="1" applyFont="1" applyBorder="1"/>
    <xf numFmtId="173" fontId="2" fillId="0" borderId="0" xfId="1" applyNumberFormat="1" applyFont="1" applyAlignment="1">
      <alignment horizontal="center"/>
    </xf>
    <xf numFmtId="173" fontId="2" fillId="0" borderId="1" xfId="1" applyNumberFormat="1" applyFont="1" applyBorder="1" applyAlignment="1">
      <alignment horizontal="center"/>
    </xf>
    <xf numFmtId="43" fontId="6" fillId="2" borderId="0" xfId="0" applyNumberFormat="1" applyFont="1" applyFill="1" applyAlignment="1">
      <alignment horizontal="center"/>
    </xf>
    <xf numFmtId="173" fontId="6" fillId="2" borderId="0" xfId="1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center"/>
    </xf>
    <xf numFmtId="43" fontId="2" fillId="3" borderId="0" xfId="1" applyFont="1" applyFill="1" applyBorder="1"/>
    <xf numFmtId="43" fontId="2" fillId="3" borderId="0" xfId="1" applyFont="1" applyFill="1" applyBorder="1" applyAlignment="1">
      <alignment horizontal="center"/>
    </xf>
    <xf numFmtId="43" fontId="2" fillId="3" borderId="0" xfId="0" applyNumberFormat="1" applyFont="1" applyFill="1"/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44" fontId="0" fillId="3" borderId="0" xfId="2" applyFont="1" applyFill="1"/>
    <xf numFmtId="165" fontId="0" fillId="3" borderId="0" xfId="1" applyNumberFormat="1" applyFont="1" applyFill="1" applyAlignment="1"/>
    <xf numFmtId="166" fontId="0" fillId="3" borderId="0" xfId="3" applyNumberFormat="1" applyFont="1" applyFill="1" applyAlignment="1">
      <alignment horizontal="center"/>
    </xf>
    <xf numFmtId="44" fontId="1" fillId="3" borderId="0" xfId="2" applyFont="1" applyFill="1" applyBorder="1"/>
    <xf numFmtId="43" fontId="2" fillId="3" borderId="0" xfId="1" applyFont="1" applyFill="1"/>
    <xf numFmtId="43" fontId="4" fillId="3" borderId="0" xfId="0" applyNumberFormat="1" applyFont="1" applyFill="1"/>
    <xf numFmtId="43" fontId="0" fillId="3" borderId="0" xfId="1" applyFont="1" applyFill="1"/>
    <xf numFmtId="43" fontId="1" fillId="3" borderId="0" xfId="1" applyFont="1" applyFill="1" applyBorder="1"/>
    <xf numFmtId="44" fontId="0" fillId="3" borderId="0" xfId="0" applyNumberFormat="1" applyFill="1" applyAlignment="1">
      <alignment horizontal="center"/>
    </xf>
    <xf numFmtId="43" fontId="0" fillId="3" borderId="0" xfId="1" applyFont="1" applyFill="1" applyBorder="1"/>
    <xf numFmtId="165" fontId="3" fillId="3" borderId="0" xfId="1" applyNumberFormat="1" applyFont="1" applyFill="1" applyBorder="1" applyAlignment="1"/>
    <xf numFmtId="43" fontId="0" fillId="3" borderId="0" xfId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43" fontId="2" fillId="4" borderId="0" xfId="0" applyNumberFormat="1" applyFont="1" applyFill="1"/>
    <xf numFmtId="0" fontId="0" fillId="4" borderId="0" xfId="0" applyFill="1" applyAlignment="1">
      <alignment horizont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43" fontId="0" fillId="4" borderId="0" xfId="1" applyFont="1" applyFill="1"/>
    <xf numFmtId="165" fontId="0" fillId="4" borderId="0" xfId="1" applyNumberFormat="1" applyFont="1" applyFill="1" applyAlignment="1"/>
    <xf numFmtId="166" fontId="0" fillId="4" borderId="0" xfId="3" applyNumberFormat="1" applyFont="1" applyFill="1" applyAlignment="1">
      <alignment horizontal="center"/>
    </xf>
    <xf numFmtId="43" fontId="1" fillId="4" borderId="0" xfId="1" applyFont="1" applyFill="1" applyBorder="1"/>
    <xf numFmtId="43" fontId="2" fillId="4" borderId="0" xfId="1" applyFont="1" applyFill="1"/>
    <xf numFmtId="43" fontId="4" fillId="4" borderId="0" xfId="0" applyNumberFormat="1" applyFont="1" applyFill="1"/>
    <xf numFmtId="43" fontId="0" fillId="4" borderId="0" xfId="1" applyFont="1" applyFill="1" applyBorder="1" applyAlignment="1">
      <alignment horizontal="center"/>
    </xf>
    <xf numFmtId="43" fontId="0" fillId="4" borderId="0" xfId="1" applyFont="1" applyFill="1" applyBorder="1"/>
    <xf numFmtId="165" fontId="3" fillId="4" borderId="0" xfId="1" applyNumberFormat="1" applyFont="1" applyFill="1" applyBorder="1" applyAlignment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14" fontId="2" fillId="5" borderId="0" xfId="0" applyNumberFormat="1" applyFont="1" applyFill="1" applyAlignment="1">
      <alignment horizontal="center"/>
    </xf>
    <xf numFmtId="43" fontId="2" fillId="5" borderId="0" xfId="1" applyFont="1" applyFill="1" applyBorder="1"/>
    <xf numFmtId="43" fontId="2" fillId="5" borderId="0" xfId="1" applyFont="1" applyFill="1" applyBorder="1" applyAlignment="1">
      <alignment horizontal="center"/>
    </xf>
    <xf numFmtId="43" fontId="2" fillId="5" borderId="0" xfId="0" applyNumberFormat="1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43" fontId="0" fillId="5" borderId="0" xfId="1" applyFont="1" applyFill="1"/>
    <xf numFmtId="165" fontId="0" fillId="5" borderId="0" xfId="1" applyNumberFormat="1" applyFont="1" applyFill="1" applyAlignment="1"/>
    <xf numFmtId="166" fontId="0" fillId="5" borderId="0" xfId="3" applyNumberFormat="1" applyFont="1" applyFill="1" applyAlignment="1">
      <alignment horizontal="center"/>
    </xf>
    <xf numFmtId="43" fontId="1" fillId="5" borderId="0" xfId="1" applyFont="1" applyFill="1" applyBorder="1"/>
    <xf numFmtId="43" fontId="2" fillId="5" borderId="0" xfId="1" applyFont="1" applyFill="1"/>
    <xf numFmtId="43" fontId="4" fillId="5" borderId="0" xfId="0" applyNumberFormat="1" applyFont="1" applyFill="1"/>
    <xf numFmtId="43" fontId="0" fillId="5" borderId="0" xfId="1" applyFont="1" applyFill="1" applyBorder="1" applyAlignment="1">
      <alignment horizontal="center"/>
    </xf>
    <xf numFmtId="43" fontId="0" fillId="5" borderId="0" xfId="1" applyFont="1" applyFill="1" applyBorder="1"/>
    <xf numFmtId="165" fontId="3" fillId="5" borderId="0" xfId="1" applyNumberFormat="1" applyFont="1" applyFill="1" applyBorder="1" applyAlignment="1"/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0" applyFont="1" applyFill="1"/>
    <xf numFmtId="14" fontId="0" fillId="6" borderId="0" xfId="0" applyNumberFormat="1" applyFill="1" applyAlignment="1">
      <alignment horizontal="center"/>
    </xf>
    <xf numFmtId="43" fontId="0" fillId="6" borderId="0" xfId="1" applyFont="1" applyFill="1"/>
    <xf numFmtId="165" fontId="0" fillId="6" borderId="0" xfId="1" applyNumberFormat="1" applyFont="1" applyFill="1" applyAlignment="1"/>
    <xf numFmtId="166" fontId="0" fillId="6" borderId="0" xfId="3" applyNumberFormat="1" applyFont="1" applyFill="1" applyAlignment="1">
      <alignment horizontal="center"/>
    </xf>
    <xf numFmtId="43" fontId="1" fillId="6" borderId="0" xfId="1" applyFont="1" applyFill="1" applyBorder="1"/>
    <xf numFmtId="43" fontId="2" fillId="6" borderId="0" xfId="1" applyFont="1" applyFill="1"/>
    <xf numFmtId="43" fontId="4" fillId="6" borderId="0" xfId="0" applyNumberFormat="1" applyFont="1" applyFill="1"/>
    <xf numFmtId="43" fontId="0" fillId="6" borderId="0" xfId="1" applyFont="1" applyFill="1" applyBorder="1" applyAlignment="1">
      <alignment horizontal="center"/>
    </xf>
    <xf numFmtId="43" fontId="0" fillId="6" borderId="0" xfId="1" applyFont="1" applyFill="1" applyBorder="1"/>
    <xf numFmtId="165" fontId="3" fillId="6" borderId="0" xfId="1" applyNumberFormat="1" applyFont="1" applyFill="1" applyBorder="1" applyAlignment="1"/>
    <xf numFmtId="164" fontId="2" fillId="6" borderId="0" xfId="0" applyNumberFormat="1" applyFont="1" applyFill="1" applyAlignment="1">
      <alignment horizontal="center"/>
    </xf>
    <xf numFmtId="14" fontId="2" fillId="6" borderId="0" xfId="0" applyNumberFormat="1" applyFont="1" applyFill="1" applyAlignment="1">
      <alignment horizontal="center"/>
    </xf>
    <xf numFmtId="43" fontId="2" fillId="6" borderId="0" xfId="1" applyFont="1" applyFill="1" applyBorder="1"/>
    <xf numFmtId="43" fontId="2" fillId="6" borderId="0" xfId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43" fontId="2" fillId="6" borderId="0" xfId="0" applyNumberFormat="1" applyFont="1" applyFill="1"/>
    <xf numFmtId="2" fontId="2" fillId="5" borderId="0" xfId="0" applyNumberFormat="1" applyFont="1" applyFill="1"/>
    <xf numFmtId="43" fontId="10" fillId="5" borderId="0" xfId="1" applyFont="1" applyFill="1" applyBorder="1"/>
    <xf numFmtId="43" fontId="10" fillId="5" borderId="0" xfId="0" applyNumberFormat="1" applyFont="1" applyFill="1"/>
    <xf numFmtId="9" fontId="7" fillId="0" borderId="0" xfId="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4" fontId="4" fillId="0" borderId="0" xfId="2" applyFont="1" applyFill="1"/>
    <xf numFmtId="173" fontId="2" fillId="5" borderId="0" xfId="1" applyNumberFormat="1" applyFont="1" applyFill="1" applyBorder="1"/>
    <xf numFmtId="44" fontId="2" fillId="5" borderId="0" xfId="2" applyFont="1" applyFill="1"/>
    <xf numFmtId="168" fontId="5" fillId="0" borderId="0" xfId="0" applyNumberFormat="1" applyFont="1" applyAlignment="1">
      <alignment horizontal="center" wrapText="1"/>
    </xf>
    <xf numFmtId="41" fontId="5" fillId="0" borderId="0" xfId="0" applyNumberFormat="1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173" fontId="2" fillId="0" borderId="5" xfId="1" applyNumberFormat="1" applyFont="1" applyBorder="1" applyAlignment="1">
      <alignment horizontal="center" wrapText="1"/>
    </xf>
    <xf numFmtId="43" fontId="2" fillId="0" borderId="5" xfId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73" fontId="2" fillId="0" borderId="0" xfId="0" applyNumberFormat="1" applyFont="1"/>
    <xf numFmtId="41" fontId="4" fillId="0" borderId="0" xfId="0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73" fontId="4" fillId="0" borderId="0" xfId="1" applyNumberFormat="1" applyFont="1" applyBorder="1"/>
    <xf numFmtId="43" fontId="4" fillId="2" borderId="5" xfId="1" applyFont="1" applyFill="1" applyBorder="1"/>
    <xf numFmtId="43" fontId="2" fillId="0" borderId="6" xfId="1" applyFont="1" applyBorder="1"/>
    <xf numFmtId="0" fontId="2" fillId="0" borderId="6" xfId="0" applyFont="1" applyBorder="1"/>
    <xf numFmtId="14" fontId="2" fillId="0" borderId="6" xfId="0" applyNumberFormat="1" applyFont="1" applyBorder="1" applyAlignment="1">
      <alignment vertical="top"/>
    </xf>
    <xf numFmtId="41" fontId="2" fillId="0" borderId="6" xfId="0" applyNumberFormat="1" applyFont="1" applyBorder="1" applyAlignment="1">
      <alignment vertical="top"/>
    </xf>
    <xf numFmtId="167" fontId="2" fillId="0" borderId="6" xfId="0" applyNumberFormat="1" applyFont="1" applyBorder="1" applyAlignment="1">
      <alignment vertical="top"/>
    </xf>
    <xf numFmtId="41" fontId="2" fillId="0" borderId="6" xfId="0" applyNumberFormat="1" applyFont="1" applyBorder="1"/>
    <xf numFmtId="168" fontId="2" fillId="0" borderId="6" xfId="0" applyNumberFormat="1" applyFont="1" applyBorder="1"/>
    <xf numFmtId="173" fontId="2" fillId="0" borderId="6" xfId="1" applyNumberFormat="1" applyFont="1" applyBorder="1"/>
    <xf numFmtId="0" fontId="2" fillId="8" borderId="7" xfId="0" applyFont="1" applyFill="1" applyBorder="1"/>
    <xf numFmtId="0" fontId="2" fillId="0" borderId="7" xfId="0" applyFont="1" applyBorder="1"/>
    <xf numFmtId="0" fontId="3" fillId="9" borderId="7" xfId="0" applyFont="1" applyFill="1" applyBorder="1"/>
    <xf numFmtId="0" fontId="3" fillId="12" borderId="7" xfId="0" applyFont="1" applyFill="1" applyBorder="1"/>
    <xf numFmtId="0" fontId="2" fillId="7" borderId="8" xfId="0" applyFont="1" applyFill="1" applyBorder="1"/>
    <xf numFmtId="10" fontId="0" fillId="0" borderId="0" xfId="3" applyNumberFormat="1" applyFont="1" applyAlignment="1">
      <alignment horizontal="center"/>
    </xf>
    <xf numFmtId="44" fontId="0" fillId="13" borderId="0" xfId="2" applyFont="1" applyFill="1" applyBorder="1"/>
    <xf numFmtId="166" fontId="0" fillId="4" borderId="0" xfId="3" applyNumberFormat="1" applyFont="1" applyFill="1" applyBorder="1" applyAlignment="1">
      <alignment horizontal="center"/>
    </xf>
    <xf numFmtId="44" fontId="0" fillId="5" borderId="0" xfId="2" applyFont="1" applyFill="1" applyBorder="1"/>
    <xf numFmtId="44" fontId="0" fillId="6" borderId="0" xfId="2" applyFont="1" applyFill="1" applyBorder="1"/>
    <xf numFmtId="0" fontId="3" fillId="0" borderId="1" xfId="0" applyFont="1" applyBorder="1" applyAlignment="1">
      <alignment horizontal="center"/>
    </xf>
    <xf numFmtId="44" fontId="1" fillId="13" borderId="0" xfId="2" applyFont="1" applyFill="1" applyBorder="1"/>
    <xf numFmtId="44" fontId="1" fillId="5" borderId="0" xfId="2" applyFont="1" applyFill="1" applyBorder="1"/>
    <xf numFmtId="44" fontId="1" fillId="6" borderId="0" xfId="2" applyFont="1" applyFill="1" applyBorder="1"/>
    <xf numFmtId="0" fontId="6" fillId="0" borderId="1" xfId="0" applyFont="1" applyBorder="1" applyAlignment="1">
      <alignment horizontal="center"/>
    </xf>
    <xf numFmtId="0" fontId="6" fillId="5" borderId="3" xfId="0" applyFont="1" applyFill="1" applyBorder="1"/>
    <xf numFmtId="0" fontId="7" fillId="5" borderId="3" xfId="4" applyFont="1" applyFill="1" applyBorder="1" applyAlignment="1">
      <alignment horizontal="center"/>
    </xf>
    <xf numFmtId="167" fontId="7" fillId="5" borderId="3" xfId="4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1" fontId="7" fillId="5" borderId="3" xfId="0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43" fontId="16" fillId="0" borderId="0" xfId="0" applyNumberFormat="1" applyFont="1"/>
    <xf numFmtId="174" fontId="16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4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0" fontId="18" fillId="0" borderId="0" xfId="1" applyNumberFormat="1" applyFont="1" applyAlignment="1">
      <alignment horizontal="right"/>
    </xf>
    <xf numFmtId="166" fontId="18" fillId="14" borderId="0" xfId="1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43" fontId="18" fillId="0" borderId="0" xfId="0" applyNumberFormat="1" applyFont="1" applyAlignment="1">
      <alignment horizontal="right"/>
    </xf>
    <xf numFmtId="0" fontId="17" fillId="0" borderId="0" xfId="0" applyFont="1"/>
    <xf numFmtId="173" fontId="16" fillId="0" borderId="0" xfId="1" applyNumberFormat="1" applyFont="1"/>
    <xf numFmtId="2" fontId="16" fillId="0" borderId="0" xfId="1" applyNumberFormat="1" applyFont="1"/>
    <xf numFmtId="40" fontId="16" fillId="0" borderId="0" xfId="1" applyNumberFormat="1" applyFont="1"/>
    <xf numFmtId="43" fontId="17" fillId="0" borderId="0" xfId="0" applyNumberFormat="1" applyFont="1"/>
    <xf numFmtId="43" fontId="16" fillId="0" borderId="0" xfId="1" applyFont="1"/>
    <xf numFmtId="0" fontId="16" fillId="6" borderId="0" xfId="0" applyFont="1" applyFill="1"/>
    <xf numFmtId="0" fontId="16" fillId="6" borderId="0" xfId="0" applyFont="1" applyFill="1" applyAlignment="1">
      <alignment horizontal="center"/>
    </xf>
    <xf numFmtId="43" fontId="16" fillId="6" borderId="0" xfId="0" applyNumberFormat="1" applyFont="1" applyFill="1"/>
    <xf numFmtId="43" fontId="16" fillId="6" borderId="0" xfId="1" applyFont="1" applyFill="1"/>
    <xf numFmtId="0" fontId="16" fillId="5" borderId="0" xfId="0" applyFont="1" applyFill="1"/>
    <xf numFmtId="0" fontId="16" fillId="5" borderId="0" xfId="0" applyFont="1" applyFill="1" applyAlignment="1">
      <alignment horizontal="center"/>
    </xf>
    <xf numFmtId="43" fontId="16" fillId="5" borderId="0" xfId="0" applyNumberFormat="1" applyFont="1" applyFill="1"/>
    <xf numFmtId="43" fontId="16" fillId="5" borderId="0" xfId="1" applyFont="1" applyFill="1"/>
    <xf numFmtId="0" fontId="16" fillId="0" borderId="0" xfId="1" applyNumberFormat="1" applyFont="1"/>
    <xf numFmtId="40" fontId="16" fillId="0" borderId="9" xfId="1" applyNumberFormat="1" applyFont="1" applyBorder="1"/>
    <xf numFmtId="0" fontId="16" fillId="0" borderId="0" xfId="0" applyFont="1" applyAlignment="1">
      <alignment horizontal="left"/>
    </xf>
    <xf numFmtId="43" fontId="16" fillId="2" borderId="2" xfId="0" applyNumberFormat="1" applyFont="1" applyFill="1" applyBorder="1"/>
    <xf numFmtId="0" fontId="18" fillId="0" borderId="0" xfId="0" applyFont="1" applyAlignment="1">
      <alignment horizontal="left"/>
    </xf>
    <xf numFmtId="43" fontId="16" fillId="0" borderId="2" xfId="0" applyNumberFormat="1" applyFont="1" applyBorder="1"/>
    <xf numFmtId="43" fontId="16" fillId="0" borderId="9" xfId="0" applyNumberFormat="1" applyFont="1" applyBorder="1"/>
    <xf numFmtId="43" fontId="17" fillId="0" borderId="2" xfId="0" applyNumberFormat="1" applyFont="1" applyBorder="1"/>
    <xf numFmtId="43" fontId="17" fillId="0" borderId="10" xfId="0" applyNumberFormat="1" applyFont="1" applyBorder="1"/>
    <xf numFmtId="43" fontId="16" fillId="0" borderId="11" xfId="0" applyNumberFormat="1" applyFont="1" applyBorder="1"/>
    <xf numFmtId="10" fontId="18" fillId="0" borderId="0" xfId="0" applyNumberFormat="1" applyFont="1"/>
    <xf numFmtId="0" fontId="18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 applyAlignment="1">
      <alignment horizontal="center"/>
    </xf>
    <xf numFmtId="0" fontId="16" fillId="0" borderId="16" xfId="0" applyFont="1" applyBorder="1"/>
    <xf numFmtId="40" fontId="16" fillId="0" borderId="0" xfId="0" applyNumberFormat="1" applyFont="1"/>
    <xf numFmtId="0" fontId="16" fillId="0" borderId="15" xfId="0" applyFont="1" applyBorder="1"/>
    <xf numFmtId="40" fontId="16" fillId="0" borderId="2" xfId="0" applyNumberFormat="1" applyFont="1" applyBorder="1"/>
    <xf numFmtId="40" fontId="16" fillId="0" borderId="2" xfId="1" applyNumberFormat="1" applyFont="1" applyBorder="1"/>
    <xf numFmtId="40" fontId="16" fillId="0" borderId="0" xfId="1" applyNumberFormat="1" applyFont="1" applyBorder="1"/>
    <xf numFmtId="0" fontId="16" fillId="0" borderId="17" xfId="0" applyFont="1" applyBorder="1"/>
    <xf numFmtId="0" fontId="16" fillId="0" borderId="6" xfId="0" applyFont="1" applyBorder="1"/>
    <xf numFmtId="0" fontId="16" fillId="0" borderId="18" xfId="0" applyFont="1" applyBorder="1"/>
    <xf numFmtId="0" fontId="20" fillId="0" borderId="0" xfId="0" applyFont="1" applyAlignment="1">
      <alignment vertical="center"/>
    </xf>
    <xf numFmtId="43" fontId="0" fillId="0" borderId="1" xfId="1" applyFont="1" applyBorder="1"/>
    <xf numFmtId="165" fontId="0" fillId="0" borderId="0" xfId="1" applyNumberFormat="1" applyFont="1"/>
    <xf numFmtId="43" fontId="0" fillId="2" borderId="2" xfId="1" applyFont="1" applyFill="1" applyBorder="1"/>
    <xf numFmtId="0" fontId="21" fillId="0" borderId="0" xfId="0" applyFont="1"/>
    <xf numFmtId="0" fontId="3" fillId="0" borderId="1" xfId="0" applyFont="1" applyBorder="1"/>
    <xf numFmtId="0" fontId="0" fillId="0" borderId="1" xfId="0" applyBorder="1" applyAlignment="1">
      <alignment horizontal="right"/>
    </xf>
    <xf numFmtId="9" fontId="0" fillId="0" borderId="0" xfId="3" applyFont="1"/>
    <xf numFmtId="9" fontId="1" fillId="0" borderId="0" xfId="3" applyFont="1"/>
    <xf numFmtId="9" fontId="0" fillId="0" borderId="1" xfId="3" applyFont="1" applyBorder="1"/>
    <xf numFmtId="0" fontId="0" fillId="0" borderId="0" xfId="0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0" borderId="0" xfId="0" applyFont="1" applyAlignment="1">
      <alignment horizontal="center" wrapText="1"/>
    </xf>
    <xf numFmtId="0" fontId="3" fillId="6" borderId="0" xfId="0" applyFont="1" applyFill="1"/>
    <xf numFmtId="4" fontId="0" fillId="6" borderId="0" xfId="0" applyNumberFormat="1" applyFill="1"/>
    <xf numFmtId="4" fontId="3" fillId="6" borderId="0" xfId="0" applyNumberFormat="1" applyFont="1" applyFill="1"/>
    <xf numFmtId="37" fontId="0" fillId="6" borderId="0" xfId="1" applyNumberFormat="1" applyFont="1" applyFill="1" applyAlignment="1">
      <alignment horizontal="center"/>
    </xf>
    <xf numFmtId="37" fontId="0" fillId="0" borderId="0" xfId="3" applyNumberFormat="1" applyFont="1" applyAlignment="1">
      <alignment horizontal="center"/>
    </xf>
    <xf numFmtId="0" fontId="3" fillId="5" borderId="1" xfId="0" applyFont="1" applyFill="1" applyBorder="1"/>
    <xf numFmtId="0" fontId="0" fillId="5" borderId="1" xfId="0" applyFill="1" applyBorder="1"/>
    <xf numFmtId="4" fontId="0" fillId="5" borderId="1" xfId="0" applyNumberFormat="1" applyFill="1" applyBorder="1"/>
    <xf numFmtId="4" fontId="3" fillId="5" borderId="1" xfId="0" applyNumberFormat="1" applyFont="1" applyFill="1" applyBorder="1"/>
    <xf numFmtId="37" fontId="0" fillId="5" borderId="0" xfId="1" applyNumberFormat="1" applyFont="1" applyFill="1" applyAlignment="1">
      <alignment horizontal="center"/>
    </xf>
    <xf numFmtId="43" fontId="0" fillId="5" borderId="0" xfId="0" applyNumberFormat="1" applyFill="1"/>
    <xf numFmtId="10" fontId="0" fillId="6" borderId="0" xfId="3" applyNumberFormat="1" applyFont="1" applyFill="1" applyAlignment="1">
      <alignment horizontal="center"/>
    </xf>
    <xf numFmtId="43" fontId="0" fillId="6" borderId="0" xfId="0" applyNumberFormat="1" applyFill="1"/>
    <xf numFmtId="43" fontId="0" fillId="2" borderId="0" xfId="1" applyFont="1" applyFill="1"/>
    <xf numFmtId="10" fontId="0" fillId="5" borderId="0" xfId="3" applyNumberFormat="1" applyFont="1" applyFill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8" fillId="0" borderId="0" xfId="0" applyFont="1"/>
    <xf numFmtId="0" fontId="6" fillId="0" borderId="0" xfId="0" quotePrefix="1" applyFont="1"/>
    <xf numFmtId="44" fontId="6" fillId="0" borderId="0" xfId="2" applyFont="1"/>
    <xf numFmtId="43" fontId="6" fillId="0" borderId="0" xfId="1" applyFont="1"/>
    <xf numFmtId="165" fontId="6" fillId="0" borderId="0" xfId="1" applyNumberFormat="1" applyFont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9" fontId="22" fillId="0" borderId="0" xfId="3" applyFont="1" applyAlignment="1">
      <alignment horizontal="center"/>
    </xf>
    <xf numFmtId="165" fontId="0" fillId="2" borderId="2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2" fillId="0" borderId="5" xfId="3" applyNumberFormat="1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0" fontId="0" fillId="0" borderId="20" xfId="3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4" fontId="0" fillId="5" borderId="7" xfId="2" applyFont="1" applyFill="1" applyBorder="1"/>
    <xf numFmtId="44" fontId="0" fillId="0" borderId="7" xfId="2" applyFont="1" applyBorder="1"/>
    <xf numFmtId="44" fontId="0" fillId="6" borderId="7" xfId="2" applyFont="1" applyFill="1" applyBorder="1"/>
    <xf numFmtId="44" fontId="0" fillId="0" borderId="0" xfId="2" applyFont="1"/>
    <xf numFmtId="44" fontId="3" fillId="0" borderId="0" xfId="2" applyFont="1"/>
    <xf numFmtId="44" fontId="3" fillId="0" borderId="0" xfId="0" applyNumberFormat="1" applyFont="1"/>
    <xf numFmtId="44" fontId="0" fillId="0" borderId="0" xfId="2" applyFont="1" applyFill="1"/>
    <xf numFmtId="0" fontId="24" fillId="0" borderId="0" xfId="0" applyFont="1" applyAlignment="1">
      <alignment horizontal="left" vertical="center" wrapText="1"/>
    </xf>
    <xf numFmtId="0" fontId="23" fillId="0" borderId="0" xfId="0" applyFont="1"/>
    <xf numFmtId="43" fontId="2" fillId="15" borderId="4" xfId="0" applyNumberFormat="1" applyFont="1" applyFill="1" applyBorder="1"/>
    <xf numFmtId="43" fontId="2" fillId="15" borderId="21" xfId="0" applyNumberFormat="1" applyFont="1" applyFill="1" applyBorder="1"/>
    <xf numFmtId="43" fontId="2" fillId="15" borderId="1" xfId="0" applyNumberFormat="1" applyFont="1" applyFill="1" applyBorder="1"/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4" fontId="3" fillId="13" borderId="24" xfId="2" applyFont="1" applyFill="1" applyBorder="1"/>
    <xf numFmtId="44" fontId="0" fillId="13" borderId="0" xfId="0" applyNumberFormat="1" applyFill="1"/>
    <xf numFmtId="44" fontId="2" fillId="13" borderId="0" xfId="0" applyNumberFormat="1" applyFont="1" applyFill="1"/>
    <xf numFmtId="44" fontId="2" fillId="13" borderId="22" xfId="0" applyNumberFormat="1" applyFont="1" applyFill="1" applyBorder="1"/>
    <xf numFmtId="43" fontId="3" fillId="5" borderId="24" xfId="1" applyFont="1" applyFill="1" applyBorder="1"/>
    <xf numFmtId="44" fontId="0" fillId="5" borderId="0" xfId="0" applyNumberFormat="1" applyFill="1"/>
    <xf numFmtId="44" fontId="2" fillId="5" borderId="0" xfId="0" applyNumberFormat="1" applyFont="1" applyFill="1"/>
    <xf numFmtId="44" fontId="2" fillId="5" borderId="22" xfId="0" applyNumberFormat="1" applyFont="1" applyFill="1" applyBorder="1"/>
    <xf numFmtId="43" fontId="3" fillId="6" borderId="24" xfId="1" applyFont="1" applyFill="1" applyBorder="1"/>
    <xf numFmtId="44" fontId="0" fillId="6" borderId="0" xfId="0" applyNumberFormat="1" applyFill="1"/>
    <xf numFmtId="44" fontId="2" fillId="6" borderId="0" xfId="0" applyNumberFormat="1" applyFont="1" applyFill="1"/>
    <xf numFmtId="44" fontId="2" fillId="6" borderId="22" xfId="0" applyNumberFormat="1" applyFont="1" applyFill="1" applyBorder="1"/>
    <xf numFmtId="43" fontId="3" fillId="15" borderId="4" xfId="1" applyFont="1" applyFill="1" applyBorder="1"/>
    <xf numFmtId="43" fontId="1" fillId="15" borderId="1" xfId="1" applyFont="1" applyFill="1" applyBorder="1"/>
    <xf numFmtId="43" fontId="1" fillId="15" borderId="21" xfId="1" applyFont="1" applyFill="1" applyBorder="1"/>
    <xf numFmtId="44" fontId="3" fillId="13" borderId="19" xfId="2" applyFont="1" applyFill="1" applyBorder="1"/>
    <xf numFmtId="43" fontId="0" fillId="0" borderId="20" xfId="0" applyNumberFormat="1" applyBorder="1"/>
    <xf numFmtId="43" fontId="0" fillId="0" borderId="22" xfId="0" applyNumberFormat="1" applyBorder="1"/>
    <xf numFmtId="43" fontId="3" fillId="6" borderId="4" xfId="1" applyFont="1" applyFill="1" applyBorder="1"/>
    <xf numFmtId="43" fontId="0" fillId="0" borderId="21" xfId="0" applyNumberFormat="1" applyBorder="1"/>
    <xf numFmtId="0" fontId="15" fillId="11" borderId="7" xfId="0" applyFont="1" applyFill="1" applyBorder="1" applyAlignment="1">
      <alignment horizontal="center"/>
    </xf>
    <xf numFmtId="173" fontId="2" fillId="0" borderId="1" xfId="1" applyNumberFormat="1" applyFont="1" applyBorder="1" applyAlignment="1">
      <alignment wrapText="1"/>
    </xf>
    <xf numFmtId="0" fontId="2" fillId="7" borderId="7" xfId="0" applyFont="1" applyFill="1" applyBorder="1"/>
    <xf numFmtId="0" fontId="25" fillId="0" borderId="0" xfId="0" applyFont="1"/>
    <xf numFmtId="0" fontId="26" fillId="0" borderId="0" xfId="0" applyFont="1"/>
    <xf numFmtId="43" fontId="2" fillId="0" borderId="0" xfId="1" applyFont="1" applyFill="1" applyBorder="1"/>
    <xf numFmtId="0" fontId="17" fillId="0" borderId="0" xfId="0" applyFont="1" applyAlignment="1">
      <alignment wrapText="1"/>
    </xf>
    <xf numFmtId="0" fontId="4" fillId="0" borderId="2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175" fontId="0" fillId="0" borderId="0" xfId="0" applyNumberForma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 xr:uid="{84DC4868-EE41-4FF4-86EC-0E868415223E}"/>
    <cellStyle name="Percent" xfId="3" builtinId="5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[$-409]mmm\-yy;@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3" formatCode="_(* #,##0_);_(* \(#,##0\);_(* &quot;-&quot;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64</xdr:row>
      <xdr:rowOff>0</xdr:rowOff>
    </xdr:from>
    <xdr:to>
      <xdr:col>16</xdr:col>
      <xdr:colOff>304800</xdr:colOff>
      <xdr:row>65</xdr:row>
      <xdr:rowOff>114300</xdr:rowOff>
    </xdr:to>
    <xdr:sp macro="" textlink="">
      <xdr:nvSpPr>
        <xdr:cNvPr id="19457" name="AutoShape 1">
          <a:extLst>
            <a:ext uri="{FF2B5EF4-FFF2-40B4-BE49-F238E27FC236}">
              <a16:creationId xmlns:a16="http://schemas.microsoft.com/office/drawing/2014/main" id="{E6B9D7FD-BA22-D412-B426-F06C8475F6C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1159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9</xdr:col>
      <xdr:colOff>275927</xdr:colOff>
      <xdr:row>26</xdr:row>
      <xdr:rowOff>144071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404C6F-2320-75B5-EF56-989B758E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85725"/>
          <a:ext cx="5352752" cy="50113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552451</xdr:colOff>
      <xdr:row>43</xdr:row>
      <xdr:rowOff>88857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0F827-58BB-40EA-8496-88462B11F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648450" cy="8318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139065</xdr:rowOff>
    </xdr:from>
    <xdr:to>
      <xdr:col>11</xdr:col>
      <xdr:colOff>553733</xdr:colOff>
      <xdr:row>84</xdr:row>
      <xdr:rowOff>119046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26E9D-A1C5-47D1-AEB9-03FE60454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59165"/>
          <a:ext cx="7259333" cy="75999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9F3FED-C653-40C8-8661-6BE019C43168}" name="Table6" displayName="Table6" ref="A9:M57" totalsRowCount="1" dataDxfId="40">
  <autoFilter ref="A9:M56" xr:uid="{6D9F3FED-C653-40C8-8661-6BE019C43168}"/>
  <sortState xmlns:xlrd2="http://schemas.microsoft.com/office/spreadsheetml/2017/richdata2" ref="A10:M56">
    <sortCondition ref="A9:A56"/>
  </sortState>
  <tableColumns count="13">
    <tableColumn id="1" xr3:uid="{0804A533-E787-459F-B139-E1EA86883A82}" name="GL Acct" dataDxfId="39" totalsRowDxfId="38"/>
    <tableColumn id="2" xr3:uid="{291471C3-0D70-436E-9129-70314A9A3067}" name="GL Date" dataDxfId="37" totalsRowDxfId="36"/>
    <tableColumn id="3" xr3:uid="{E35AF7A3-E9A1-4489-BB7D-54F290DD0E4E}" name="Source" dataDxfId="35" totalsRowDxfId="34"/>
    <tableColumn id="4" xr3:uid="{C0DCA7C0-BF38-4546-8714-C0A1931C2A3A}" name="Development" dataDxfId="33" totalsRowDxfId="32"/>
    <tableColumn id="5" xr3:uid="{CBF3A4D6-5857-4587-83B1-74DD76B89AEF}" name="$ Recorded Fixed Assets" dataDxfId="31" totalsRowDxfId="30"/>
    <tableColumn id="6" xr3:uid="{09EB24CB-8C7C-427F-9C9E-839BB367ED35}" name="Recorded to Fixed Assets" dataDxfId="29" totalsRowDxfId="28"/>
    <tableColumn id="7" xr3:uid="{B1FEE45E-838D-435F-AA86-6378E06ED231}" name="In-Service Date (Depr)" dataDxfId="27" totalsRowDxfId="26"/>
    <tableColumn id="8" xr3:uid="{CB8A108A-17D5-4281-8C14-822641516F93}" name="Accum Depr thru 4/30/24" dataDxfId="25" totalsRowDxfId="24"/>
    <tableColumn id="10" xr3:uid="{C7ED9B7F-182D-487A-AF58-B7F665023785}" name="Depr Pd" dataDxfId="23" totalsRowDxfId="22"/>
    <tableColumn id="11" xr3:uid="{607A9C69-7152-4D8C-A11B-654D39E2D229}" name="Depr Mos" dataDxfId="21" totalsRowDxfId="20"/>
    <tableColumn id="12" xr3:uid="{E0015DDE-AB02-4264-9ACA-BDE2D3CBB1AB}" name="Monthly Depr" dataDxfId="19" totalsRowDxfId="18"/>
    <tableColumn id="13" xr3:uid="{AB2BD1DE-125F-4B74-9F36-487BB3A4AF6C}" name="Months Depreciation" dataDxfId="17" totalsRowDxfId="16" dataCellStyle="Comma"/>
    <tableColumn id="14" xr3:uid="{CB572522-E77E-4E2B-B255-F011465952FB}" name="Depreciation Expense" dataDxfId="15" totalsRowDxfId="14" dataCellStyle="Comma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6961A5-91F9-4F20-BDD9-1B35B9FFD265}" name="Table2" displayName="Table2" ref="A7:M101" totalsRowShown="0" dataDxfId="13">
  <autoFilter ref="A7:M101" xr:uid="{786961A5-91F9-4F20-BDD9-1B35B9FFD265}"/>
  <sortState xmlns:xlrd2="http://schemas.microsoft.com/office/spreadsheetml/2017/richdata2" ref="A8:M119">
    <sortCondition ref="A7:A100"/>
  </sortState>
  <tableColumns count="13">
    <tableColumn id="1" xr3:uid="{E9AA6CBF-234A-485B-8919-909330B82E2B}" name="GL Acct" dataDxfId="12"/>
    <tableColumn id="2" xr3:uid="{9DFBD775-327F-4A43-BD44-5745F2FCFB47}" name="GL Date" dataDxfId="11"/>
    <tableColumn id="3" xr3:uid="{FD1E17A0-93BA-447D-AA03-FAD33F66FA13}" name="Source" dataDxfId="10"/>
    <tableColumn id="4" xr3:uid="{76772C5E-DCD1-4AAA-9924-228CE9DD44D9}" name="Development" dataDxfId="9"/>
    <tableColumn id="5" xr3:uid="{A12FAEEA-E434-4B51-A220-0B62F563FFEF}" name="$ Recorded Fixed Assets" dataDxfId="8"/>
    <tableColumn id="6" xr3:uid="{A3F3A788-2A25-42B4-8B67-609C96FCC216}" name="Recorded to Fixed Assets" dataDxfId="7"/>
    <tableColumn id="7" xr3:uid="{64789575-CCE6-4723-BE8D-61440FF0BA16}" name="In-Service Date (Depr)" dataDxfId="6"/>
    <tableColumn id="8" xr3:uid="{0D184E25-D19D-4B65-95C6-53F572C9156E}" name="Accum Depr thru 4/30/24" dataDxfId="5"/>
    <tableColumn id="10" xr3:uid="{5C71933F-1E09-4363-9884-7E6CF98D392B}" name="Depr Pd" dataDxfId="4"/>
    <tableColumn id="11" xr3:uid="{2B86B2F8-F6A3-4D04-8628-1CE8ED02B069}" name="Depr Mos" dataDxfId="3"/>
    <tableColumn id="12" xr3:uid="{E70EAEC8-9B04-4E76-B302-2C71BF562906}" name="Monthly Depr" dataDxfId="2"/>
    <tableColumn id="13" xr3:uid="{D94B626D-F38D-451B-9084-775AC48474FE}" name="Months Depreciation" dataDxfId="1" dataCellStyle="Comma"/>
    <tableColumn id="14" xr3:uid="{1B0E9B88-A75F-4F4B-8116-186627815481}" name="Depreciation Expense" dataDxfId="0" dataCellStyle="Comm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06-03T16:31:28.24" personId="{00000000-0000-0000-0000-000000000000}" id="{59D1E1F1-BA90-452A-9A95-E64512E3DFEA}">
    <text>Mains</text>
  </threadedComment>
  <threadedComment ref="A12" dT="2024-06-03T16:31:38.13" personId="{00000000-0000-0000-0000-000000000000}" id="{08DEA5CB-22F2-463B-9EB2-DE5C2476AF41}">
    <text>Hydrants</text>
  </threadedComment>
  <threadedComment ref="A130" dT="2024-06-03T16:34:24.43" personId="{00000000-0000-0000-0000-000000000000}" id="{234FE7FA-A702-432B-9467-A987DE9548EE}">
    <text>Mains</text>
  </threadedComment>
  <threadedComment ref="A134" dT="2024-06-03T16:32:57.78" personId="{00000000-0000-0000-0000-000000000000}" id="{3118B652-C0A5-4C64-9929-1BB13CA2092A}">
    <text>Structures</text>
  </threadedComment>
  <threadedComment ref="A139" dT="2024-06-03T16:32:42.77" personId="{00000000-0000-0000-0000-000000000000}" id="{E43609F6-7E3B-4C65-8274-B22542C7743F}">
    <text>Meters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0" dT="2024-06-03T16:32:57.78" personId="{00000000-0000-0000-0000-000000000000}" id="{6DF39B8B-1665-407F-945B-A9F3A6AAEA08}">
    <text>Structures</text>
  </threadedComment>
  <threadedComment ref="A11" dT="2024-06-03T16:34:24.43" personId="{00000000-0000-0000-0000-000000000000}" id="{67B4AE1C-AD91-48C8-8149-F720F21D6DB6}">
    <text>Mains</text>
  </threadedComment>
  <threadedComment ref="A44" dT="2024-06-03T16:32:42.77" personId="{00000000-0000-0000-0000-000000000000}" id="{9677DDA3-8D7E-4EC8-A151-41852BD304EF}">
    <text>Meters</text>
  </threadedComment>
  <threadedComment ref="A63" dT="2024-06-03T16:32:57.78" personId="{00000000-0000-0000-0000-000000000000}" id="{39471ECE-D658-4209-89BA-5DAC031CE662}">
    <text>Structures</text>
  </threadedComment>
  <threadedComment ref="A64" dT="2024-06-03T16:34:24.43" personId="{00000000-0000-0000-0000-000000000000}" id="{2265F3E6-2352-4CD1-9675-E609A2383123}">
    <text>Mains</text>
  </threadedComment>
  <threadedComment ref="A65" dT="2024-06-03T16:32:42.77" personId="{00000000-0000-0000-0000-000000000000}" id="{594EBABC-EB30-4E5B-B17E-639062D00B45}">
    <text>Meters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8" dT="2024-06-03T16:31:28.24" personId="{00000000-0000-0000-0000-000000000000}" id="{0C074AF8-5EE2-4E47-B1A2-90A8E6A647BC}">
    <text>Mains</text>
  </threadedComment>
  <threadedComment ref="A84" dT="2024-06-03T16:31:38.13" personId="{00000000-0000-0000-0000-000000000000}" id="{39175423-8925-4B86-BDD9-F1FF9B94BD45}">
    <text>Hydrants</text>
  </threadedComment>
  <threadedComment ref="A105" dT="2024-06-03T16:31:28.24" personId="{00000000-0000-0000-0000-000000000000}" id="{A4BE0E7A-6C5F-4B40-A663-53E307AC4293}">
    <text>Mains</text>
  </threadedComment>
  <threadedComment ref="A106" dT="2024-06-03T16:31:38.13" personId="{00000000-0000-0000-0000-000000000000}" id="{8918A11D-9009-47FD-8508-59D19B3B58FD}">
    <text>Hydrants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47" dT="2024-06-03T16:31:28.24" personId="{00000000-0000-0000-0000-000000000000}" id="{61D2EAAB-0EBA-4318-8393-386C767DD6FB}">
    <text>Mains</text>
  </threadedComment>
  <threadedComment ref="M48" dT="2024-06-03T16:31:38.13" personId="{00000000-0000-0000-0000-000000000000}" id="{553AA7F4-DC70-4D87-A1AE-8A0B8488AA09}">
    <text>Hydrants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D93C-E17E-4E6C-A568-D3B9AECDDECB}">
  <dimension ref="A1:F41"/>
  <sheetViews>
    <sheetView topLeftCell="A10" workbookViewId="0">
      <selection activeCell="A38" sqref="A38"/>
    </sheetView>
  </sheetViews>
  <sheetFormatPr defaultColWidth="12.75" defaultRowHeight="12.75"/>
  <cols>
    <col min="1" max="1" width="7" style="1" customWidth="1"/>
    <col min="2" max="2" width="32.875" style="94" customWidth="1"/>
    <col min="3" max="16384" width="12.75" style="1"/>
  </cols>
  <sheetData>
    <row r="1" spans="1:6">
      <c r="A1" s="1" t="s">
        <v>0</v>
      </c>
    </row>
    <row r="2" spans="1:6">
      <c r="A2" s="1" t="s">
        <v>1</v>
      </c>
    </row>
    <row r="5" spans="1:6">
      <c r="A5" s="75" t="s">
        <v>2</v>
      </c>
    </row>
    <row r="7" spans="1:6">
      <c r="A7" s="9" t="s">
        <v>3</v>
      </c>
      <c r="B7" s="95" t="s">
        <v>4</v>
      </c>
      <c r="C7" s="9" t="s">
        <v>5</v>
      </c>
    </row>
    <row r="9" spans="1:6">
      <c r="A9" s="3">
        <v>1</v>
      </c>
      <c r="B9" s="96" t="s">
        <v>6</v>
      </c>
      <c r="C9" s="97">
        <f>ROUND('New Employees'!L38,0)</f>
        <v>189075</v>
      </c>
      <c r="D9" s="10"/>
    </row>
    <row r="10" spans="1:6">
      <c r="A10" s="3"/>
      <c r="C10" s="98"/>
    </row>
    <row r="11" spans="1:6">
      <c r="A11" s="3">
        <v>2</v>
      </c>
      <c r="B11" s="96" t="s">
        <v>7</v>
      </c>
      <c r="C11" s="98">
        <f>ROUND('New Employees'!F52,0)</f>
        <v>103440</v>
      </c>
      <c r="D11" s="10"/>
      <c r="F11" s="98"/>
    </row>
    <row r="12" spans="1:6">
      <c r="A12" s="3"/>
      <c r="C12" s="98"/>
    </row>
    <row r="13" spans="1:6" ht="25.5">
      <c r="A13" s="99">
        <v>3</v>
      </c>
      <c r="B13" s="122" t="s">
        <v>8</v>
      </c>
      <c r="C13" s="100">
        <f>ROUND('CSR Wages'!K23,0)</f>
        <v>68196</v>
      </c>
    </row>
    <row r="14" spans="1:6">
      <c r="A14" s="3"/>
      <c r="C14" s="98"/>
    </row>
    <row r="15" spans="1:6">
      <c r="A15" s="3">
        <v>4</v>
      </c>
      <c r="B15" s="96" t="s">
        <v>9</v>
      </c>
      <c r="C15" s="101">
        <f>ROUND('CSR Wages'!L23,0)</f>
        <v>38346</v>
      </c>
      <c r="D15" s="10"/>
    </row>
    <row r="16" spans="1:6">
      <c r="A16" s="3"/>
      <c r="C16" s="98"/>
    </row>
    <row r="17" spans="1:3">
      <c r="A17" s="99">
        <v>5</v>
      </c>
      <c r="B17" s="122" t="s">
        <v>10</v>
      </c>
      <c r="C17" s="98">
        <f>ROUND(Developments!N121,0)</f>
        <v>43042</v>
      </c>
    </row>
    <row r="18" spans="1:3">
      <c r="A18" s="3"/>
      <c r="C18" s="98"/>
    </row>
    <row r="19" spans="1:3">
      <c r="A19" s="99">
        <v>6</v>
      </c>
      <c r="B19" s="122" t="s">
        <v>11</v>
      </c>
      <c r="C19" s="98">
        <f>ROUND('Capital Projects'!I9,0)</f>
        <v>252543</v>
      </c>
    </row>
    <row r="20" spans="1:3">
      <c r="A20" s="3"/>
      <c r="C20" s="98"/>
    </row>
    <row r="21" spans="1:3" ht="13.5" thickBot="1">
      <c r="A21" s="3"/>
      <c r="B21" s="96" t="s">
        <v>12</v>
      </c>
      <c r="C21" s="102">
        <f>SUM(C9:C20)</f>
        <v>694642</v>
      </c>
    </row>
    <row r="22" spans="1:3" ht="13.5" thickTop="1"/>
    <row r="24" spans="1:3">
      <c r="A24" s="75" t="s">
        <v>13</v>
      </c>
    </row>
    <row r="26" spans="1:3">
      <c r="A26" s="9" t="s">
        <v>3</v>
      </c>
      <c r="B26" s="95" t="s">
        <v>4</v>
      </c>
      <c r="C26" s="9" t="s">
        <v>5</v>
      </c>
    </row>
    <row r="28" spans="1:3">
      <c r="A28" s="3">
        <v>1</v>
      </c>
      <c r="B28" s="96" t="s">
        <v>6</v>
      </c>
      <c r="C28" s="97">
        <f>ROUND('New Employees'!L68,0)</f>
        <v>46046</v>
      </c>
    </row>
    <row r="29" spans="1:3">
      <c r="A29" s="3"/>
      <c r="C29" s="98"/>
    </row>
    <row r="30" spans="1:3">
      <c r="A30" s="3">
        <v>2</v>
      </c>
      <c r="B30" s="96" t="s">
        <v>7</v>
      </c>
      <c r="C30" s="98">
        <f>ROUND('New Employees'!F82,0)</f>
        <v>25077</v>
      </c>
    </row>
    <row r="31" spans="1:3">
      <c r="A31" s="3"/>
      <c r="C31" s="98"/>
    </row>
    <row r="32" spans="1:3" ht="25.5">
      <c r="A32" s="99">
        <v>3</v>
      </c>
      <c r="B32" s="122" t="s">
        <v>8</v>
      </c>
      <c r="C32" s="98">
        <f>ROUND('CSR Wages'!K40,0)+ROUND('CSR Wages'!K46,0)</f>
        <v>39323</v>
      </c>
    </row>
    <row r="33" spans="1:3">
      <c r="A33" s="3"/>
      <c r="C33" s="98"/>
    </row>
    <row r="34" spans="1:3">
      <c r="A34" s="3">
        <v>4</v>
      </c>
      <c r="B34" s="96" t="s">
        <v>9</v>
      </c>
      <c r="C34" s="101">
        <f>ROUND('CSR Wages'!L40+'CSR Wages'!L46,0)</f>
        <v>22111</v>
      </c>
    </row>
    <row r="35" spans="1:3">
      <c r="A35" s="3"/>
      <c r="C35" s="98"/>
    </row>
    <row r="36" spans="1:3">
      <c r="A36" s="99">
        <v>5</v>
      </c>
      <c r="B36" s="122" t="s">
        <v>10</v>
      </c>
      <c r="C36" s="98">
        <f>ROUND(Developments!N189,0)</f>
        <v>100494</v>
      </c>
    </row>
    <row r="37" spans="1:3">
      <c r="A37" s="3"/>
      <c r="C37" s="98"/>
    </row>
    <row r="38" spans="1:3">
      <c r="A38" s="99">
        <v>6</v>
      </c>
      <c r="B38" s="122" t="s">
        <v>11</v>
      </c>
      <c r="C38" s="98">
        <f>ROUND('Capital Projects'!I39,0)</f>
        <v>98241</v>
      </c>
    </row>
    <row r="39" spans="1:3">
      <c r="A39" s="3"/>
      <c r="C39" s="98"/>
    </row>
    <row r="40" spans="1:3" ht="13.5" thickBot="1">
      <c r="A40" s="3"/>
      <c r="B40" s="96" t="s">
        <v>12</v>
      </c>
      <c r="C40" s="102">
        <f>SUM(C28:C39)</f>
        <v>331292</v>
      </c>
    </row>
    <row r="41" spans="1:3" ht="13.5" thickTop="1"/>
  </sheetData>
  <pageMargins left="0.7" right="0.7" top="0.75" bottom="0.75" header="0.3" footer="0.3"/>
  <pageSetup paperSize="256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6EC4-FE48-4114-BD09-945370861332}">
  <dimension ref="A1:O45"/>
  <sheetViews>
    <sheetView topLeftCell="A6" workbookViewId="0">
      <selection activeCell="O45" sqref="O45"/>
    </sheetView>
  </sheetViews>
  <sheetFormatPr defaultRowHeight="14.25"/>
  <cols>
    <col min="3" max="3" width="13" customWidth="1"/>
    <col min="4" max="4" width="15.375" customWidth="1"/>
    <col min="5" max="5" width="11.75" bestFit="1" customWidth="1"/>
    <col min="6" max="6" width="13.75" customWidth="1"/>
    <col min="7" max="7" width="11.75" bestFit="1" customWidth="1"/>
    <col min="8" max="8" width="13.25" customWidth="1"/>
    <col min="9" max="9" width="13.125" customWidth="1"/>
    <col min="15" max="15" width="11.75" bestFit="1" customWidth="1"/>
  </cols>
  <sheetData>
    <row r="1" spans="1:15" ht="18">
      <c r="A1" s="392" t="s">
        <v>401</v>
      </c>
      <c r="B1" s="391"/>
      <c r="C1" s="391"/>
      <c r="D1" s="309"/>
      <c r="E1" s="309"/>
      <c r="F1" s="309"/>
    </row>
    <row r="2" spans="1:15">
      <c r="A2" t="s">
        <v>402</v>
      </c>
    </row>
    <row r="3" spans="1:15">
      <c r="A3" s="409">
        <v>44847</v>
      </c>
      <c r="B3" s="409"/>
      <c r="C3" s="409"/>
      <c r="D3" s="409"/>
      <c r="E3" s="409"/>
      <c r="F3" s="409"/>
    </row>
    <row r="5" spans="1:15" ht="15">
      <c r="A5" s="310" t="s">
        <v>403</v>
      </c>
      <c r="B5" s="311" t="s">
        <v>404</v>
      </c>
      <c r="C5" s="311" t="s">
        <v>405</v>
      </c>
      <c r="D5" s="311" t="s">
        <v>406</v>
      </c>
      <c r="E5" s="311" t="s">
        <v>407</v>
      </c>
      <c r="F5" s="311" t="s">
        <v>408</v>
      </c>
      <c r="G5" s="311" t="s">
        <v>409</v>
      </c>
      <c r="H5" s="311" t="s">
        <v>410</v>
      </c>
    </row>
    <row r="6" spans="1:15">
      <c r="A6" t="s">
        <v>62</v>
      </c>
      <c r="B6" s="312">
        <v>0.42682926829268292</v>
      </c>
      <c r="C6">
        <f>SUM(D6:H6)</f>
        <v>67</v>
      </c>
      <c r="D6">
        <v>25</v>
      </c>
      <c r="E6">
        <v>2</v>
      </c>
      <c r="F6">
        <v>22</v>
      </c>
      <c r="G6">
        <v>18</v>
      </c>
    </row>
    <row r="7" spans="1:15">
      <c r="A7" t="s">
        <v>411</v>
      </c>
      <c r="B7" s="313">
        <v>0.13414634146341464</v>
      </c>
      <c r="C7">
        <f>SUM(D7:H7)</f>
        <v>22</v>
      </c>
      <c r="D7">
        <v>8</v>
      </c>
      <c r="E7">
        <v>1</v>
      </c>
      <c r="F7">
        <v>7</v>
      </c>
      <c r="G7">
        <v>6</v>
      </c>
    </row>
    <row r="8" spans="1:15">
      <c r="A8" t="s">
        <v>412</v>
      </c>
      <c r="B8" s="313">
        <v>0.1951219512195122</v>
      </c>
      <c r="C8">
        <f>SUM(D8:H8)</f>
        <v>31</v>
      </c>
      <c r="D8">
        <v>13</v>
      </c>
      <c r="E8">
        <v>2</v>
      </c>
      <c r="F8">
        <v>10</v>
      </c>
      <c r="G8">
        <v>6</v>
      </c>
    </row>
    <row r="9" spans="1:15">
      <c r="A9" s="19" t="s">
        <v>413</v>
      </c>
      <c r="B9" s="314">
        <v>0.24390243902439024</v>
      </c>
      <c r="C9" s="19">
        <f>SUM(D9:H9)</f>
        <v>44</v>
      </c>
      <c r="D9" s="19"/>
      <c r="E9" s="19"/>
      <c r="F9" s="19"/>
      <c r="G9" s="19">
        <v>3</v>
      </c>
      <c r="H9" s="19">
        <v>41</v>
      </c>
    </row>
    <row r="10" spans="1:15">
      <c r="A10" t="s">
        <v>25</v>
      </c>
      <c r="B10" s="312">
        <v>1</v>
      </c>
      <c r="C10">
        <f>SUM(C6:C9)</f>
        <v>164</v>
      </c>
      <c r="D10">
        <f>SUM(D6:D9)</f>
        <v>46</v>
      </c>
      <c r="E10">
        <f>SUM(E6:E9)</f>
        <v>5</v>
      </c>
      <c r="F10">
        <f t="shared" ref="F10:H10" si="0">SUM(F6:F9)</f>
        <v>39</v>
      </c>
      <c r="G10">
        <f>SUM(G6:G9)</f>
        <v>33</v>
      </c>
      <c r="H10">
        <f t="shared" si="0"/>
        <v>41</v>
      </c>
    </row>
    <row r="12" spans="1:15" ht="15">
      <c r="A12" s="28" t="s">
        <v>414</v>
      </c>
      <c r="K12" t="s">
        <v>415</v>
      </c>
    </row>
    <row r="13" spans="1:15" ht="15">
      <c r="D13" s="14" t="s">
        <v>416</v>
      </c>
      <c r="E13" s="14" t="s">
        <v>417</v>
      </c>
      <c r="F13" s="315" t="s">
        <v>316</v>
      </c>
      <c r="G13" s="315" t="s">
        <v>25</v>
      </c>
      <c r="K13" s="28" t="s">
        <v>62</v>
      </c>
    </row>
    <row r="14" spans="1:15">
      <c r="A14" t="s">
        <v>418</v>
      </c>
      <c r="D14" s="14">
        <v>1</v>
      </c>
      <c r="E14" s="14" t="s">
        <v>419</v>
      </c>
      <c r="F14" s="316">
        <v>35350</v>
      </c>
      <c r="G14" s="316">
        <f t="shared" ref="G14:G26" si="1">F14*D14</f>
        <v>35350</v>
      </c>
      <c r="K14" t="s">
        <v>420</v>
      </c>
      <c r="O14" s="316">
        <f>D6*F16</f>
        <v>487575</v>
      </c>
    </row>
    <row r="15" spans="1:15">
      <c r="A15" t="s">
        <v>421</v>
      </c>
      <c r="D15" s="14">
        <v>1</v>
      </c>
      <c r="E15" s="14" t="s">
        <v>419</v>
      </c>
      <c r="F15" s="316">
        <v>75000</v>
      </c>
      <c r="G15" s="316">
        <f t="shared" si="1"/>
        <v>75000</v>
      </c>
      <c r="K15" t="s">
        <v>422</v>
      </c>
      <c r="O15" s="316">
        <f>E6*F17</f>
        <v>40502</v>
      </c>
    </row>
    <row r="16" spans="1:15">
      <c r="A16" t="s">
        <v>420</v>
      </c>
      <c r="D16" s="14">
        <v>46</v>
      </c>
      <c r="E16" s="14" t="s">
        <v>423</v>
      </c>
      <c r="F16" s="316">
        <f>18503+1000</f>
        <v>19503</v>
      </c>
      <c r="G16" s="316">
        <f t="shared" si="1"/>
        <v>897138</v>
      </c>
      <c r="K16" t="s">
        <v>424</v>
      </c>
      <c r="O16" s="316">
        <f>F6*F18</f>
        <v>394042</v>
      </c>
    </row>
    <row r="17" spans="1:15">
      <c r="A17" t="s">
        <v>422</v>
      </c>
      <c r="D17" s="14">
        <v>5</v>
      </c>
      <c r="E17" s="14" t="s">
        <v>423</v>
      </c>
      <c r="F17" s="316">
        <f>19251+1000</f>
        <v>20251</v>
      </c>
      <c r="G17" s="316">
        <f t="shared" si="1"/>
        <v>101255</v>
      </c>
      <c r="K17" t="s">
        <v>425</v>
      </c>
      <c r="O17" s="316">
        <f>G6*F19</f>
        <v>322398</v>
      </c>
    </row>
    <row r="18" spans="1:15">
      <c r="A18" t="s">
        <v>424</v>
      </c>
      <c r="D18" s="14">
        <v>39</v>
      </c>
      <c r="E18" s="14" t="s">
        <v>423</v>
      </c>
      <c r="F18" s="316">
        <f>16911+1000</f>
        <v>17911</v>
      </c>
      <c r="G18" s="316">
        <f>F18*D18</f>
        <v>698529</v>
      </c>
      <c r="K18" t="s">
        <v>426</v>
      </c>
      <c r="O18" s="317"/>
    </row>
    <row r="19" spans="1:15">
      <c r="A19" t="s">
        <v>425</v>
      </c>
      <c r="D19" s="14">
        <v>33</v>
      </c>
      <c r="E19" s="14" t="s">
        <v>423</v>
      </c>
      <c r="F19" s="316">
        <f>16911+1000</f>
        <v>17911</v>
      </c>
      <c r="G19" s="316">
        <f t="shared" si="1"/>
        <v>591063</v>
      </c>
      <c r="O19" s="316">
        <f>SUM(O14:O18)</f>
        <v>1244517</v>
      </c>
    </row>
    <row r="20" spans="1:15" ht="15">
      <c r="A20" t="s">
        <v>426</v>
      </c>
      <c r="D20" s="14">
        <v>41</v>
      </c>
      <c r="E20" s="14" t="s">
        <v>423</v>
      </c>
      <c r="F20" s="316">
        <f>18701+1000</f>
        <v>19701</v>
      </c>
      <c r="G20" s="316">
        <f t="shared" si="1"/>
        <v>807741</v>
      </c>
      <c r="K20" s="28" t="s">
        <v>411</v>
      </c>
      <c r="O20" s="316"/>
    </row>
    <row r="21" spans="1:15">
      <c r="A21" t="s">
        <v>427</v>
      </c>
      <c r="D21" s="14">
        <v>3</v>
      </c>
      <c r="E21" s="14" t="s">
        <v>423</v>
      </c>
      <c r="F21" s="316">
        <v>10000</v>
      </c>
      <c r="G21" s="316">
        <f t="shared" si="1"/>
        <v>30000</v>
      </c>
      <c r="K21" t="s">
        <v>420</v>
      </c>
      <c r="O21" s="316">
        <f>D7*F16</f>
        <v>156024</v>
      </c>
    </row>
    <row r="22" spans="1:15">
      <c r="A22" t="s">
        <v>428</v>
      </c>
      <c r="D22" s="14">
        <v>3</v>
      </c>
      <c r="E22" s="14" t="s">
        <v>423</v>
      </c>
      <c r="F22" s="316">
        <v>10000</v>
      </c>
      <c r="G22" s="316">
        <f t="shared" si="1"/>
        <v>30000</v>
      </c>
      <c r="K22" t="s">
        <v>422</v>
      </c>
      <c r="O22" s="316">
        <f>E7*F17</f>
        <v>20251</v>
      </c>
    </row>
    <row r="23" spans="1:15">
      <c r="A23" t="s">
        <v>429</v>
      </c>
      <c r="D23" s="14">
        <v>3</v>
      </c>
      <c r="E23" s="14" t="s">
        <v>423</v>
      </c>
      <c r="F23" s="316">
        <v>10000</v>
      </c>
      <c r="G23" s="316">
        <f t="shared" si="1"/>
        <v>30000</v>
      </c>
      <c r="K23" t="s">
        <v>424</v>
      </c>
      <c r="O23" s="316">
        <f>F7*F18</f>
        <v>125377</v>
      </c>
    </row>
    <row r="24" spans="1:15">
      <c r="A24" t="s">
        <v>430</v>
      </c>
      <c r="D24" s="14">
        <v>3</v>
      </c>
      <c r="E24" s="14" t="s">
        <v>423</v>
      </c>
      <c r="F24" s="316">
        <v>10000</v>
      </c>
      <c r="G24" s="316">
        <f t="shared" si="1"/>
        <v>30000</v>
      </c>
      <c r="K24" t="s">
        <v>425</v>
      </c>
      <c r="O24" s="316">
        <f>G7*F19</f>
        <v>107466</v>
      </c>
    </row>
    <row r="25" spans="1:15">
      <c r="A25" t="s">
        <v>431</v>
      </c>
      <c r="D25" s="14">
        <v>3</v>
      </c>
      <c r="E25" s="14" t="s">
        <v>423</v>
      </c>
      <c r="F25" s="316">
        <v>10000</v>
      </c>
      <c r="G25" s="316">
        <f t="shared" si="1"/>
        <v>30000</v>
      </c>
      <c r="K25" t="s">
        <v>426</v>
      </c>
      <c r="O25" s="317"/>
    </row>
    <row r="26" spans="1:15">
      <c r="A26" t="s">
        <v>432</v>
      </c>
      <c r="D26" s="14">
        <v>1</v>
      </c>
      <c r="E26" s="14" t="s">
        <v>419</v>
      </c>
      <c r="F26" s="316">
        <v>2800</v>
      </c>
      <c r="G26" s="317">
        <f t="shared" si="1"/>
        <v>2800</v>
      </c>
      <c r="O26" s="316">
        <f>SUM(O21:O25)</f>
        <v>409118</v>
      </c>
    </row>
    <row r="27" spans="1:15" ht="15">
      <c r="F27" s="316"/>
      <c r="G27" s="316">
        <f>SUM(G14:G26)</f>
        <v>3358876</v>
      </c>
      <c r="H27" t="s">
        <v>433</v>
      </c>
      <c r="K27" s="28" t="s">
        <v>412</v>
      </c>
      <c r="O27" s="316"/>
    </row>
    <row r="28" spans="1:15" ht="15">
      <c r="A28" s="28" t="s">
        <v>434</v>
      </c>
      <c r="K28" t="s">
        <v>420</v>
      </c>
      <c r="O28" s="316">
        <f>D8*F16</f>
        <v>253539</v>
      </c>
    </row>
    <row r="29" spans="1:15">
      <c r="A29" t="s">
        <v>435</v>
      </c>
      <c r="D29" s="14">
        <v>1</v>
      </c>
      <c r="E29" s="14" t="s">
        <v>419</v>
      </c>
      <c r="F29" s="316">
        <v>475000</v>
      </c>
      <c r="G29" s="316">
        <f>F29*D29</f>
        <v>475000</v>
      </c>
      <c r="K29" t="s">
        <v>422</v>
      </c>
      <c r="O29" s="316">
        <f>E8*F17</f>
        <v>40502</v>
      </c>
    </row>
    <row r="30" spans="1:15">
      <c r="A30" t="s">
        <v>436</v>
      </c>
      <c r="D30" s="14">
        <v>1</v>
      </c>
      <c r="E30" s="14" t="s">
        <v>419</v>
      </c>
      <c r="F30" s="316">
        <v>25000</v>
      </c>
      <c r="G30" s="316">
        <f t="shared" ref="G30:G32" si="2">F30*D30</f>
        <v>25000</v>
      </c>
      <c r="K30" t="s">
        <v>424</v>
      </c>
      <c r="O30" s="316">
        <f>F8*F18</f>
        <v>179110</v>
      </c>
    </row>
    <row r="31" spans="1:15">
      <c r="A31" t="s">
        <v>437</v>
      </c>
      <c r="D31" s="14">
        <v>1</v>
      </c>
      <c r="E31" s="14" t="s">
        <v>419</v>
      </c>
      <c r="F31" s="316">
        <v>40000</v>
      </c>
      <c r="G31" s="316">
        <f t="shared" si="2"/>
        <v>40000</v>
      </c>
      <c r="K31" t="s">
        <v>425</v>
      </c>
      <c r="O31" s="316">
        <f>G8*F19</f>
        <v>107466</v>
      </c>
    </row>
    <row r="32" spans="1:15">
      <c r="A32" t="s">
        <v>438</v>
      </c>
      <c r="D32" s="14">
        <v>1</v>
      </c>
      <c r="E32" s="14" t="s">
        <v>419</v>
      </c>
      <c r="F32" s="316">
        <v>275000</v>
      </c>
      <c r="G32" s="316">
        <f t="shared" si="2"/>
        <v>275000</v>
      </c>
      <c r="K32" t="s">
        <v>426</v>
      </c>
      <c r="O32" s="317"/>
    </row>
    <row r="33" spans="1:15">
      <c r="A33" t="s">
        <v>439</v>
      </c>
      <c r="D33" s="14">
        <v>1</v>
      </c>
      <c r="E33" s="14" t="s">
        <v>419</v>
      </c>
      <c r="F33" s="316">
        <f>ROUND(0.1*(F32+F31+F29+F30+G27), -3)</f>
        <v>417000</v>
      </c>
      <c r="G33" s="317">
        <f>F33*D33</f>
        <v>417000</v>
      </c>
      <c r="O33" s="316">
        <f>SUM(O28:O32)</f>
        <v>580617</v>
      </c>
    </row>
    <row r="34" spans="1:15" ht="15">
      <c r="G34" s="316">
        <f>SUM(G29:G33)</f>
        <v>1232000</v>
      </c>
      <c r="K34" s="28" t="s">
        <v>413</v>
      </c>
      <c r="O34" s="316"/>
    </row>
    <row r="35" spans="1:15">
      <c r="E35" s="14" t="s">
        <v>440</v>
      </c>
      <c r="K35" t="s">
        <v>420</v>
      </c>
      <c r="O35" s="316"/>
    </row>
    <row r="36" spans="1:15" ht="30">
      <c r="C36" s="318" t="s">
        <v>441</v>
      </c>
      <c r="D36" s="318" t="s">
        <v>442</v>
      </c>
      <c r="E36" s="318" t="s">
        <v>443</v>
      </c>
      <c r="F36" s="318" t="s">
        <v>444</v>
      </c>
      <c r="G36" s="18" t="s">
        <v>25</v>
      </c>
      <c r="H36" s="318" t="s">
        <v>399</v>
      </c>
      <c r="I36" s="318" t="s">
        <v>445</v>
      </c>
      <c r="K36" t="s">
        <v>422</v>
      </c>
      <c r="O36" s="316"/>
    </row>
    <row r="37" spans="1:15" ht="15">
      <c r="A37" s="319" t="s">
        <v>62</v>
      </c>
      <c r="B37" s="188"/>
      <c r="C37" s="320">
        <f>O19</f>
        <v>1244517</v>
      </c>
      <c r="D37" s="320">
        <f>B6*$D$41</f>
        <v>112320.12195121951</v>
      </c>
      <c r="E37" s="320">
        <f>C37+D37</f>
        <v>1356837.1219512196</v>
      </c>
      <c r="F37" s="320">
        <f>B6*$G$34</f>
        <v>525853.6585365854</v>
      </c>
      <c r="G37" s="321">
        <f>SUM(E37:F37)</f>
        <v>1882690.7804878051</v>
      </c>
      <c r="H37" s="322">
        <v>10</v>
      </c>
      <c r="I37" s="320">
        <f>+G37/H37</f>
        <v>188269.0780487805</v>
      </c>
      <c r="K37" t="s">
        <v>424</v>
      </c>
      <c r="O37" s="316"/>
    </row>
    <row r="38" spans="1:15" ht="15">
      <c r="A38" s="28" t="s">
        <v>411</v>
      </c>
      <c r="C38" s="316">
        <f>O26</f>
        <v>409118</v>
      </c>
      <c r="D38" s="316">
        <f>B7*$D$41</f>
        <v>35300.609756097561</v>
      </c>
      <c r="E38" s="316">
        <f t="shared" ref="E38:E41" si="3">C38+D38</f>
        <v>444418.60975609755</v>
      </c>
      <c r="F38" s="316">
        <f>B7*$G$34</f>
        <v>165268.29268292684</v>
      </c>
      <c r="G38" s="316">
        <f t="shared" ref="G38:G41" si="4">SUM(E38:F38)</f>
        <v>609686.90243902442</v>
      </c>
      <c r="H38" s="323"/>
      <c r="K38" t="s">
        <v>425</v>
      </c>
      <c r="O38" s="316">
        <f>G9*F19</f>
        <v>53733</v>
      </c>
    </row>
    <row r="39" spans="1:15" ht="15">
      <c r="A39" s="28" t="s">
        <v>412</v>
      </c>
      <c r="C39" s="316">
        <f>O33</f>
        <v>580617</v>
      </c>
      <c r="D39" s="316">
        <f>B8*$D$41</f>
        <v>51346.341463414639</v>
      </c>
      <c r="E39" s="316">
        <f t="shared" si="3"/>
        <v>631963.3414634146</v>
      </c>
      <c r="F39" s="316">
        <f>B8*$G$34</f>
        <v>240390.24390243902</v>
      </c>
      <c r="G39" s="316">
        <f t="shared" si="4"/>
        <v>872353.58536585362</v>
      </c>
      <c r="H39" s="323"/>
      <c r="K39" t="s">
        <v>426</v>
      </c>
      <c r="O39" s="317">
        <f>H9*F20</f>
        <v>807741</v>
      </c>
    </row>
    <row r="40" spans="1:15" ht="15">
      <c r="A40" s="324" t="s">
        <v>413</v>
      </c>
      <c r="B40" s="325"/>
      <c r="C40" s="326">
        <f>O40</f>
        <v>861474</v>
      </c>
      <c r="D40" s="326">
        <f>B9*$D$41</f>
        <v>64182.92682926829</v>
      </c>
      <c r="E40" s="326">
        <f t="shared" si="3"/>
        <v>925656.92682926834</v>
      </c>
      <c r="F40" s="326">
        <f>B9*$G$34</f>
        <v>300487.80487804877</v>
      </c>
      <c r="G40" s="327">
        <f t="shared" si="4"/>
        <v>1226144.7317073171</v>
      </c>
      <c r="H40" s="328">
        <v>10</v>
      </c>
      <c r="I40" s="329">
        <f>+G40/H40</f>
        <v>122614.47317073171</v>
      </c>
      <c r="O40" s="316">
        <f>SUM(O35:O39)</f>
        <v>861474</v>
      </c>
    </row>
    <row r="41" spans="1:15" ht="15">
      <c r="A41" s="28" t="s">
        <v>25</v>
      </c>
      <c r="C41" s="316">
        <f>SUM(C37:C40)</f>
        <v>3095726</v>
      </c>
      <c r="D41" s="316">
        <f>SUM(G21:G26,G14:G15)</f>
        <v>263150</v>
      </c>
      <c r="E41" s="316">
        <f t="shared" si="3"/>
        <v>3358876</v>
      </c>
      <c r="F41" s="316">
        <f>SUM(F37:F40)</f>
        <v>1232000</v>
      </c>
      <c r="G41" s="316">
        <f t="shared" si="4"/>
        <v>4590876</v>
      </c>
      <c r="O41" s="316"/>
    </row>
    <row r="42" spans="1:15">
      <c r="K42" t="s">
        <v>25</v>
      </c>
      <c r="O42" s="316">
        <f>O40+O33+O26+O19</f>
        <v>3095726</v>
      </c>
    </row>
    <row r="44" spans="1:15">
      <c r="F44" t="s">
        <v>446</v>
      </c>
      <c r="G44" s="316">
        <f>SUM(G37:G40)</f>
        <v>4590876</v>
      </c>
      <c r="K44" t="s">
        <v>446</v>
      </c>
      <c r="O44" s="316">
        <f>SUM(G16:G20)</f>
        <v>3095726</v>
      </c>
    </row>
    <row r="45" spans="1:15">
      <c r="G45" s="315" t="str">
        <f>IF(G41=G44,"OK","Error")</f>
        <v>OK</v>
      </c>
      <c r="O45" s="315" t="str">
        <f>IF(O42=O44,"OK","Error")</f>
        <v>OK</v>
      </c>
    </row>
  </sheetData>
  <mergeCells count="1">
    <mergeCell ref="A3:F3"/>
  </mergeCells>
  <pageMargins left="0.7" right="0.7" top="0.75" bottom="0.75" header="0.3" footer="0.3"/>
  <pageSetup paperSize="3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26EA-F3A7-4054-BB3B-E253E08042D0}">
  <dimension ref="A1"/>
  <sheetViews>
    <sheetView workbookViewId="0">
      <selection activeCell="G33" sqref="G33"/>
    </sheetView>
  </sheetViews>
  <sheetFormatPr defaultRowHeight="14.25"/>
  <sheetData/>
  <pageMargins left="0.7" right="0.7" top="0.75" bottom="0.75" header="0.3" footer="0.3"/>
  <pageSetup paperSize="256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DF7A-AB78-45FE-BD31-C117EFBCA5B8}">
  <dimension ref="N1:R13"/>
  <sheetViews>
    <sheetView workbookViewId="0">
      <selection activeCell="O24" sqref="O24"/>
    </sheetView>
  </sheetViews>
  <sheetFormatPr defaultRowHeight="14.25"/>
  <cols>
    <col min="14" max="14" width="26.875" bestFit="1" customWidth="1"/>
    <col min="15" max="15" width="12" bestFit="1" customWidth="1"/>
    <col min="16" max="16" width="11.625" bestFit="1" customWidth="1"/>
    <col min="18" max="18" width="12.25" bestFit="1" customWidth="1"/>
  </cols>
  <sheetData>
    <row r="1" spans="14:18">
      <c r="N1" s="19" t="s">
        <v>398</v>
      </c>
      <c r="O1" s="15" t="s">
        <v>5</v>
      </c>
    </row>
    <row r="2" spans="14:18">
      <c r="N2" t="s">
        <v>447</v>
      </c>
      <c r="O2" s="22">
        <v>528250</v>
      </c>
    </row>
    <row r="3" spans="14:18">
      <c r="N3" t="s">
        <v>448</v>
      </c>
      <c r="O3" s="22">
        <v>30000</v>
      </c>
    </row>
    <row r="4" spans="14:18">
      <c r="N4" t="s">
        <v>449</v>
      </c>
      <c r="O4" s="22">
        <v>14697</v>
      </c>
    </row>
    <row r="5" spans="14:18" ht="15" thickBot="1">
      <c r="O5" s="27">
        <f>SUM(O2:O4)</f>
        <v>572947</v>
      </c>
    </row>
    <row r="6" spans="14:18" ht="15" thickTop="1">
      <c r="Q6" s="14" t="s">
        <v>118</v>
      </c>
      <c r="R6" s="14" t="s">
        <v>118</v>
      </c>
    </row>
    <row r="7" spans="14:18">
      <c r="N7" s="19" t="s">
        <v>450</v>
      </c>
      <c r="O7" s="15" t="s">
        <v>68</v>
      </c>
      <c r="P7" s="15" t="s">
        <v>451</v>
      </c>
      <c r="Q7" s="15" t="s">
        <v>200</v>
      </c>
      <c r="R7" s="15" t="s">
        <v>452</v>
      </c>
    </row>
    <row r="8" spans="14:18">
      <c r="N8" s="188" t="s">
        <v>453</v>
      </c>
      <c r="O8" s="330">
        <v>0.64100000000000001</v>
      </c>
      <c r="P8" s="331">
        <f>+O8*$O$5</f>
        <v>367259.027</v>
      </c>
      <c r="Q8" s="187">
        <v>5</v>
      </c>
      <c r="R8" s="332">
        <f>+P8/Q8</f>
        <v>73451.805399999997</v>
      </c>
    </row>
    <row r="9" spans="14:18">
      <c r="N9" s="176" t="s">
        <v>454</v>
      </c>
      <c r="O9" s="333">
        <v>0.19400000000000001</v>
      </c>
      <c r="P9" s="329">
        <f>+O9*$O$5</f>
        <v>111151.71800000001</v>
      </c>
      <c r="Q9" s="175">
        <f>+Q8</f>
        <v>5</v>
      </c>
      <c r="R9" s="332">
        <f t="shared" ref="R9:R11" si="0">+P9/Q9</f>
        <v>22230.3436</v>
      </c>
    </row>
    <row r="10" spans="14:18">
      <c r="N10" t="s">
        <v>455</v>
      </c>
      <c r="O10" s="238">
        <v>6.9000000000000006E-2</v>
      </c>
      <c r="P10" s="26">
        <f>+O10*$O$5</f>
        <v>39533.343000000001</v>
      </c>
      <c r="Q10" s="14">
        <f t="shared" ref="Q10:Q11" si="1">+Q9</f>
        <v>5</v>
      </c>
      <c r="R10" s="22">
        <f t="shared" si="0"/>
        <v>7906.6686</v>
      </c>
    </row>
    <row r="11" spans="14:18">
      <c r="N11" t="s">
        <v>456</v>
      </c>
      <c r="O11" s="334">
        <v>9.6000000000000002E-2</v>
      </c>
      <c r="P11" s="26">
        <f>+O11*$O$5</f>
        <v>55002.912000000004</v>
      </c>
      <c r="Q11" s="14">
        <f t="shared" si="1"/>
        <v>5</v>
      </c>
      <c r="R11" s="22">
        <f t="shared" si="0"/>
        <v>11000.582400000001</v>
      </c>
    </row>
    <row r="12" spans="14:18" ht="15" thickBot="1">
      <c r="N12" t="s">
        <v>25</v>
      </c>
      <c r="O12" s="35">
        <f>SUM(O8:O11)</f>
        <v>0.99999999999999989</v>
      </c>
      <c r="P12" s="25">
        <f>SUM(P8:P11)</f>
        <v>572947</v>
      </c>
      <c r="R12" s="25">
        <f>SUM(R8:R11)</f>
        <v>114589.40000000001</v>
      </c>
    </row>
    <row r="13" spans="14:18" ht="15" thickTop="1"/>
  </sheetData>
  <pageMargins left="0.7" right="0.7" top="0.75" bottom="0.75" header="0.3" footer="0.3"/>
  <pageSetup paperSize="3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A43D-163E-4DA5-B561-7DB8BAC753F8}">
  <dimension ref="A3:E41"/>
  <sheetViews>
    <sheetView workbookViewId="0">
      <selection activeCell="F38" sqref="F38"/>
    </sheetView>
  </sheetViews>
  <sheetFormatPr defaultRowHeight="14.25"/>
  <cols>
    <col min="1" max="1" width="28.375" customWidth="1"/>
    <col min="2" max="2" width="10.625" bestFit="1" customWidth="1"/>
    <col min="5" max="5" width="10.25" bestFit="1" customWidth="1"/>
  </cols>
  <sheetData>
    <row r="3" spans="1:5">
      <c r="A3" s="335" t="s">
        <v>457</v>
      </c>
      <c r="B3" s="54"/>
      <c r="C3" s="54"/>
      <c r="D3" s="54"/>
      <c r="E3" s="54"/>
    </row>
    <row r="4" spans="1:5">
      <c r="A4" s="336" t="s">
        <v>458</v>
      </c>
      <c r="B4" s="337">
        <v>197</v>
      </c>
      <c r="C4" s="54" t="s">
        <v>459</v>
      </c>
      <c r="D4" s="54"/>
      <c r="E4" s="54"/>
    </row>
    <row r="5" spans="1:5">
      <c r="A5" s="336" t="s">
        <v>460</v>
      </c>
      <c r="B5" s="338">
        <v>288</v>
      </c>
      <c r="C5" s="54" t="s">
        <v>461</v>
      </c>
      <c r="D5" s="54"/>
      <c r="E5" s="54"/>
    </row>
    <row r="6" spans="1:5">
      <c r="A6" s="54" t="s">
        <v>462</v>
      </c>
      <c r="B6" s="338">
        <v>75</v>
      </c>
      <c r="C6" s="54"/>
      <c r="D6" s="54"/>
      <c r="E6" s="54"/>
    </row>
    <row r="7" spans="1:5">
      <c r="A7" s="54"/>
      <c r="B7" s="54"/>
      <c r="C7" s="54"/>
      <c r="D7" s="54"/>
      <c r="E7" s="54"/>
    </row>
    <row r="8" spans="1:5">
      <c r="A8" s="54"/>
      <c r="B8" s="247" t="s">
        <v>463</v>
      </c>
      <c r="C8" s="247" t="s">
        <v>464</v>
      </c>
      <c r="D8" s="247" t="s">
        <v>465</v>
      </c>
      <c r="E8" s="247" t="s">
        <v>25</v>
      </c>
    </row>
    <row r="9" spans="1:5">
      <c r="A9" s="54" t="s">
        <v>466</v>
      </c>
      <c r="B9" s="339">
        <v>2684</v>
      </c>
      <c r="C9" s="339">
        <v>236</v>
      </c>
      <c r="D9" s="339">
        <v>195</v>
      </c>
      <c r="E9" s="339">
        <f>+B9+C9+D9</f>
        <v>3115</v>
      </c>
    </row>
    <row r="10" spans="1:5">
      <c r="A10" s="54" t="s">
        <v>467</v>
      </c>
      <c r="B10" s="339">
        <f>+B9*$B$4</f>
        <v>528748</v>
      </c>
      <c r="C10" s="339">
        <f>+C9*$B$4</f>
        <v>46492</v>
      </c>
      <c r="D10" s="339">
        <f>+D9*$B$4</f>
        <v>38415</v>
      </c>
      <c r="E10" s="339">
        <f>+B10+C10+D10</f>
        <v>613655</v>
      </c>
    </row>
    <row r="11" spans="1:5">
      <c r="A11" s="54" t="s">
        <v>468</v>
      </c>
      <c r="B11" s="339">
        <f>+B9*$B$6</f>
        <v>201300</v>
      </c>
      <c r="C11" s="339">
        <f>+C9*$B$6</f>
        <v>17700</v>
      </c>
      <c r="D11" s="339">
        <f>+D9*$B$6</f>
        <v>14625</v>
      </c>
      <c r="E11" s="339">
        <f>+B11+C11+D11</f>
        <v>233625</v>
      </c>
    </row>
    <row r="12" spans="1:5" ht="15" thickBot="1">
      <c r="A12" s="54" t="s">
        <v>469</v>
      </c>
      <c r="B12" s="340">
        <f>SUM(B9:B11)</f>
        <v>732732</v>
      </c>
      <c r="C12" s="340">
        <f>SUM(C9:C11)</f>
        <v>64428</v>
      </c>
      <c r="D12" s="340">
        <f>SUM(D9:D11)</f>
        <v>53235</v>
      </c>
      <c r="E12" s="340">
        <f>SUM(E9:E11)</f>
        <v>850395</v>
      </c>
    </row>
    <row r="13" spans="1:5" ht="15" thickTop="1">
      <c r="A13" s="54"/>
      <c r="B13" s="64"/>
      <c r="C13" s="64"/>
      <c r="D13" s="64"/>
      <c r="E13" s="64"/>
    </row>
    <row r="14" spans="1:5">
      <c r="A14" s="54" t="s">
        <v>470</v>
      </c>
      <c r="B14" s="339">
        <v>2551</v>
      </c>
      <c r="C14" s="339">
        <v>495</v>
      </c>
      <c r="D14" s="339">
        <v>513</v>
      </c>
      <c r="E14" s="339">
        <f>+B14+C14+D14</f>
        <v>3559</v>
      </c>
    </row>
    <row r="15" spans="1:5">
      <c r="A15" s="54" t="s">
        <v>467</v>
      </c>
      <c r="B15" s="339">
        <f>+B14*$B$4</f>
        <v>502547</v>
      </c>
      <c r="C15" s="339">
        <f>+C14*$B$4</f>
        <v>97515</v>
      </c>
      <c r="D15" s="339">
        <f>+D14*$B$4</f>
        <v>101061</v>
      </c>
      <c r="E15" s="339">
        <f>+B15+C15+D15</f>
        <v>701123</v>
      </c>
    </row>
    <row r="16" spans="1:5">
      <c r="A16" s="54" t="s">
        <v>468</v>
      </c>
      <c r="B16" s="339">
        <f>+B14*$B$6</f>
        <v>191325</v>
      </c>
      <c r="C16" s="339">
        <f>+C14*$B$6</f>
        <v>37125</v>
      </c>
      <c r="D16" s="339">
        <f>+D14*$B$6</f>
        <v>38475</v>
      </c>
      <c r="E16" s="339">
        <f>+B16+C16+D16</f>
        <v>266925</v>
      </c>
    </row>
    <row r="17" spans="1:5" ht="15" thickBot="1">
      <c r="A17" s="54" t="s">
        <v>469</v>
      </c>
      <c r="B17" s="340">
        <f>SUM(B14:B16)</f>
        <v>696423</v>
      </c>
      <c r="C17" s="340">
        <f>SUM(C14:C16)</f>
        <v>135135</v>
      </c>
      <c r="D17" s="340">
        <f>SUM(D14:D16)</f>
        <v>140049</v>
      </c>
      <c r="E17" s="340">
        <f>SUM(E14:E16)</f>
        <v>971607</v>
      </c>
    </row>
    <row r="18" spans="1:5" ht="15" thickTop="1">
      <c r="A18" s="54"/>
      <c r="B18" s="64"/>
      <c r="C18" s="64"/>
      <c r="D18" s="64"/>
      <c r="E18" s="64"/>
    </row>
    <row r="19" spans="1:5">
      <c r="A19" s="54" t="s">
        <v>471</v>
      </c>
      <c r="B19" s="339">
        <v>549</v>
      </c>
      <c r="C19" s="341">
        <v>35</v>
      </c>
      <c r="D19" s="339">
        <v>88</v>
      </c>
      <c r="E19" s="339">
        <f>+B19+C19+D19</f>
        <v>672</v>
      </c>
    </row>
    <row r="20" spans="1:5">
      <c r="A20" s="54" t="s">
        <v>467</v>
      </c>
      <c r="B20" s="339">
        <f>+B19*$B$4</f>
        <v>108153</v>
      </c>
      <c r="C20" s="339">
        <f>+C19*$B$4</f>
        <v>6895</v>
      </c>
      <c r="D20" s="339">
        <f>+D19*$B$4</f>
        <v>17336</v>
      </c>
      <c r="E20" s="339">
        <f>+B20+C20+D20</f>
        <v>132384</v>
      </c>
    </row>
    <row r="21" spans="1:5">
      <c r="A21" s="54" t="s">
        <v>468</v>
      </c>
      <c r="B21" s="339">
        <f>+B19*$B$6</f>
        <v>41175</v>
      </c>
      <c r="C21" s="339">
        <f>+C19*$B$6</f>
        <v>2625</v>
      </c>
      <c r="D21" s="339">
        <f>+D19*$B$6</f>
        <v>6600</v>
      </c>
      <c r="E21" s="339">
        <f>+B21+C21+D21</f>
        <v>50400</v>
      </c>
    </row>
    <row r="22" spans="1:5" ht="15" thickBot="1">
      <c r="A22" s="54" t="s">
        <v>469</v>
      </c>
      <c r="B22" s="340">
        <f>SUM(B19:B21)</f>
        <v>149877</v>
      </c>
      <c r="C22" s="340">
        <f>SUM(C19:C21)</f>
        <v>9555</v>
      </c>
      <c r="D22" s="340">
        <f>SUM(D19:D21)</f>
        <v>24024</v>
      </c>
      <c r="E22" s="340">
        <f>SUM(E19:E21)</f>
        <v>183456</v>
      </c>
    </row>
    <row r="23" spans="1:5" ht="15" thickTop="1">
      <c r="A23" s="54"/>
      <c r="B23" s="64"/>
      <c r="C23" s="64"/>
      <c r="D23" s="64"/>
      <c r="E23" s="64"/>
    </row>
    <row r="24" spans="1:5">
      <c r="A24" s="54" t="s">
        <v>472</v>
      </c>
      <c r="B24" s="339">
        <v>47</v>
      </c>
      <c r="C24" s="339">
        <v>4</v>
      </c>
      <c r="D24" s="339">
        <v>3</v>
      </c>
      <c r="E24" s="339">
        <f>+B24+C24+D24</f>
        <v>54</v>
      </c>
    </row>
    <row r="25" spans="1:5">
      <c r="A25" s="54" t="s">
        <v>467</v>
      </c>
      <c r="B25" s="339">
        <f>+B24*$B$4</f>
        <v>9259</v>
      </c>
      <c r="C25" s="339">
        <f>+C24*$B$4</f>
        <v>788</v>
      </c>
      <c r="D25" s="339">
        <f>+D24*$B$4</f>
        <v>591</v>
      </c>
      <c r="E25" s="339">
        <f>+B25+C25+D25</f>
        <v>10638</v>
      </c>
    </row>
    <row r="26" spans="1:5">
      <c r="A26" s="54" t="s">
        <v>468</v>
      </c>
      <c r="B26" s="339">
        <f>+B24*$B$6</f>
        <v>3525</v>
      </c>
      <c r="C26" s="339">
        <f>+C24*$B$6</f>
        <v>300</v>
      </c>
      <c r="D26" s="339">
        <f>+D24*$B$6</f>
        <v>225</v>
      </c>
      <c r="E26" s="339">
        <f>+B26+C26+D26</f>
        <v>4050</v>
      </c>
    </row>
    <row r="27" spans="1:5" ht="15" thickBot="1">
      <c r="A27" s="54" t="s">
        <v>469</v>
      </c>
      <c r="B27" s="340">
        <f>SUM(B24:B26)</f>
        <v>12831</v>
      </c>
      <c r="C27" s="340">
        <f>SUM(C24:C26)</f>
        <v>1092</v>
      </c>
      <c r="D27" s="340">
        <f>SUM(D24:D26)</f>
        <v>819</v>
      </c>
      <c r="E27" s="340">
        <f>SUM(E24:E26)</f>
        <v>14742</v>
      </c>
    </row>
    <row r="28" spans="1:5" ht="15" thickTop="1">
      <c r="A28" s="54"/>
      <c r="B28" s="342"/>
      <c r="C28" s="342"/>
      <c r="D28" s="342"/>
      <c r="E28" s="342"/>
    </row>
    <row r="29" spans="1:5">
      <c r="A29" s="54" t="s">
        <v>473</v>
      </c>
      <c r="B29" s="339">
        <v>117</v>
      </c>
      <c r="C29" s="339">
        <v>10</v>
      </c>
      <c r="D29" s="339">
        <v>5</v>
      </c>
      <c r="E29" s="339">
        <f>+B29+C29+D29</f>
        <v>132</v>
      </c>
    </row>
    <row r="30" spans="1:5">
      <c r="A30" s="54" t="s">
        <v>467</v>
      </c>
      <c r="B30" s="339">
        <f>+B29*$B$4</f>
        <v>23049</v>
      </c>
      <c r="C30" s="339">
        <f>+C29*$B$4</f>
        <v>1970</v>
      </c>
      <c r="D30" s="339">
        <f>+D29*$B$4</f>
        <v>985</v>
      </c>
      <c r="E30" s="339">
        <f>+B30+C30+D30</f>
        <v>26004</v>
      </c>
    </row>
    <row r="31" spans="1:5">
      <c r="A31" s="54" t="s">
        <v>468</v>
      </c>
      <c r="B31" s="339">
        <f>+B29*$B$6</f>
        <v>8775</v>
      </c>
      <c r="C31" s="339">
        <f>+C29*$B$6</f>
        <v>750</v>
      </c>
      <c r="D31" s="339">
        <f>+D29*$B$6</f>
        <v>375</v>
      </c>
      <c r="E31" s="339">
        <f>+B31+C31+D31</f>
        <v>9900</v>
      </c>
    </row>
    <row r="32" spans="1:5" ht="15" thickBot="1">
      <c r="A32" s="54" t="s">
        <v>469</v>
      </c>
      <c r="B32" s="340">
        <f>SUM(B29:B31)</f>
        <v>31941</v>
      </c>
      <c r="C32" s="340">
        <f>SUM(C29:C31)</f>
        <v>2730</v>
      </c>
      <c r="D32" s="340">
        <f>SUM(D29:D31)</f>
        <v>1365</v>
      </c>
      <c r="E32" s="340">
        <f>SUM(E29:E31)</f>
        <v>36036</v>
      </c>
    </row>
    <row r="33" spans="1:5" ht="15" thickTop="1">
      <c r="A33" s="54"/>
      <c r="B33" s="64"/>
      <c r="C33" s="64"/>
      <c r="D33" s="64"/>
      <c r="E33" s="54"/>
    </row>
    <row r="34" spans="1:5" ht="15" thickBot="1">
      <c r="A34" s="54" t="s">
        <v>12</v>
      </c>
      <c r="B34" s="343">
        <f>+B12+B17+B22+B27+B32</f>
        <v>1623804</v>
      </c>
      <c r="C34" s="343">
        <f>+C12+C17+C22+C27+C32</f>
        <v>212940</v>
      </c>
      <c r="D34" s="343">
        <f>+D12+D17+D22+D27+D32</f>
        <v>219492</v>
      </c>
      <c r="E34" s="343">
        <f>+E12+E17+E22+E27+E32</f>
        <v>2056236</v>
      </c>
    </row>
    <row r="35" spans="1:5" ht="15" thickTop="1">
      <c r="A35" s="54"/>
      <c r="B35" s="344">
        <f>+B34/$E$34</f>
        <v>0.78969729155602764</v>
      </c>
      <c r="C35" s="344">
        <f>+C34/$E$34</f>
        <v>0.10355815188528943</v>
      </c>
      <c r="D35" s="344">
        <f>+D34/$E$34</f>
        <v>0.10674455655868295</v>
      </c>
      <c r="E35" s="344">
        <f>+E34/$E$34</f>
        <v>1</v>
      </c>
    </row>
    <row r="38" spans="1:5">
      <c r="A38" t="s">
        <v>474</v>
      </c>
      <c r="B38" s="307">
        <f>+B34</f>
        <v>1623804</v>
      </c>
    </row>
    <row r="39" spans="1:5">
      <c r="A39" t="s">
        <v>399</v>
      </c>
      <c r="B39" s="307">
        <v>10</v>
      </c>
    </row>
    <row r="40" spans="1:5" ht="15" thickBot="1">
      <c r="A40" s="188" t="s">
        <v>400</v>
      </c>
      <c r="B40" s="345">
        <f>+B38/B39</f>
        <v>162380.4</v>
      </c>
    </row>
    <row r="41" spans="1:5" ht="15" thickTop="1"/>
  </sheetData>
  <pageMargins left="0.7" right="0.7" top="0.75" bottom="0.75" header="0.3" footer="0.3"/>
  <pageSetup paperSize="25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C2F3-A881-4BCA-B640-54F4FF21E236}">
  <dimension ref="A1:D10"/>
  <sheetViews>
    <sheetView workbookViewId="0">
      <selection activeCell="A4" sqref="A4"/>
    </sheetView>
  </sheetViews>
  <sheetFormatPr defaultRowHeight="14.25"/>
  <cols>
    <col min="1" max="1" width="20" bestFit="1" customWidth="1"/>
    <col min="2" max="4" width="12.625" bestFit="1" customWidth="1"/>
  </cols>
  <sheetData>
    <row r="1" spans="1:4" ht="15">
      <c r="A1" s="28" t="s">
        <v>475</v>
      </c>
    </row>
    <row r="2" spans="1:4">
      <c r="B2" s="188" t="s">
        <v>476</v>
      </c>
      <c r="C2" s="176" t="s">
        <v>477</v>
      </c>
      <c r="D2" t="s">
        <v>25</v>
      </c>
    </row>
    <row r="3" spans="1:4">
      <c r="A3" t="s">
        <v>478</v>
      </c>
      <c r="B3" s="358">
        <f>'Developments-W'!M101</f>
        <v>43042.039999999994</v>
      </c>
      <c r="C3" s="358"/>
      <c r="D3" s="30">
        <f>B3+C3</f>
        <v>43042.039999999994</v>
      </c>
    </row>
    <row r="4" spans="1:4">
      <c r="A4" t="s">
        <v>479</v>
      </c>
      <c r="C4" s="358">
        <f>'Developments-S'!M56</f>
        <v>100494.48958333333</v>
      </c>
      <c r="D4" s="30">
        <f t="shared" ref="D4:D9" si="0">B4+C4</f>
        <v>100494.48958333333</v>
      </c>
    </row>
    <row r="5" spans="1:4">
      <c r="A5" t="s">
        <v>480</v>
      </c>
      <c r="B5" s="358">
        <f>'Transpark 2 Upgrade'!P41</f>
        <v>81978.779770871741</v>
      </c>
      <c r="C5" s="358"/>
      <c r="D5" s="30">
        <f t="shared" si="0"/>
        <v>81978.779770871741</v>
      </c>
    </row>
    <row r="6" spans="1:4">
      <c r="A6" t="s">
        <v>392</v>
      </c>
      <c r="B6" s="358">
        <f>'Transpark 2 Tank'!B14</f>
        <v>123171.44444444444</v>
      </c>
      <c r="C6" s="358"/>
      <c r="D6" s="30">
        <f t="shared" si="0"/>
        <v>123171.44444444444</v>
      </c>
    </row>
    <row r="7" spans="1:4">
      <c r="A7" t="s">
        <v>481</v>
      </c>
      <c r="B7" s="355">
        <f>'SCADA Upgrade'!I37</f>
        <v>188269.0780487805</v>
      </c>
      <c r="C7" s="355">
        <f>'SCADA Upgrade'!I40</f>
        <v>122614.47317073171</v>
      </c>
      <c r="D7" s="30">
        <f t="shared" si="0"/>
        <v>310883.55121951224</v>
      </c>
    </row>
    <row r="8" spans="1:4">
      <c r="A8" t="s">
        <v>482</v>
      </c>
      <c r="B8" s="355">
        <f>'CIS Infinity Upgrade'!R8</f>
        <v>73451.805399999997</v>
      </c>
      <c r="C8" s="355">
        <f>'CIS Infinity Upgrade'!R9</f>
        <v>22230.3436</v>
      </c>
      <c r="D8" s="30">
        <f t="shared" si="0"/>
        <v>95682.149000000005</v>
      </c>
    </row>
    <row r="9" spans="1:4">
      <c r="A9" t="s">
        <v>483</v>
      </c>
      <c r="B9" s="355">
        <f>'MCO Program'!B40</f>
        <v>162380.4</v>
      </c>
      <c r="C9" s="355"/>
      <c r="D9" s="30">
        <f t="shared" si="0"/>
        <v>162380.4</v>
      </c>
    </row>
    <row r="10" spans="1:4" ht="15">
      <c r="A10" s="28" t="s">
        <v>25</v>
      </c>
      <c r="B10" s="356">
        <f>SUM(B3:B9)</f>
        <v>672293.5476640967</v>
      </c>
      <c r="C10" s="356">
        <f>SUM(C3:C9)</f>
        <v>245339.30635406505</v>
      </c>
      <c r="D10" s="357">
        <f>SUM(D3:D9)</f>
        <v>917632.85401816177</v>
      </c>
    </row>
  </sheetData>
  <pageMargins left="0.7" right="0.7" top="0.75" bottom="0.75" header="0.3" footer="0.3"/>
  <pageSetup paperSize="2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7CF5-5176-4048-AFB8-ABD28023765F}">
  <dimension ref="A1:U86"/>
  <sheetViews>
    <sheetView topLeftCell="D31" workbookViewId="0">
      <selection activeCell="Q14" sqref="Q14"/>
    </sheetView>
  </sheetViews>
  <sheetFormatPr defaultColWidth="8.875" defaultRowHeight="12.75"/>
  <cols>
    <col min="1" max="1" width="9.25" style="1" customWidth="1"/>
    <col min="2" max="2" width="21" style="1" customWidth="1"/>
    <col min="3" max="3" width="19.375" style="1" customWidth="1"/>
    <col min="4" max="4" width="12.625" style="1" customWidth="1"/>
    <col min="5" max="5" width="11.625" style="1" bestFit="1" customWidth="1"/>
    <col min="6" max="6" width="13.875" style="1" customWidth="1"/>
    <col min="7" max="7" width="12.625" style="1" customWidth="1"/>
    <col min="8" max="8" width="11.75" style="1" customWidth="1"/>
    <col min="9" max="9" width="12.25" style="1" customWidth="1"/>
    <col min="10" max="10" width="11.625" style="1" bestFit="1" customWidth="1"/>
    <col min="11" max="11" width="15" style="1" customWidth="1"/>
    <col min="12" max="12" width="15.625" style="1" customWidth="1"/>
    <col min="13" max="13" width="20.75" style="1" customWidth="1"/>
    <col min="14" max="14" width="13.25" style="1" customWidth="1"/>
    <col min="15" max="15" width="12.625" style="1" bestFit="1" customWidth="1"/>
    <col min="16" max="16" width="13.625" style="1" bestFit="1" customWidth="1"/>
    <col min="17" max="17" width="13.75" style="1" customWidth="1"/>
    <col min="18" max="18" width="11.625" style="1" bestFit="1" customWidth="1"/>
    <col min="19" max="19" width="13.625" style="1" bestFit="1" customWidth="1"/>
    <col min="20" max="21" width="11.25" style="1" bestFit="1" customWidth="1"/>
    <col min="22" max="16384" width="8.875" style="1"/>
  </cols>
  <sheetData>
    <row r="1" spans="1:16">
      <c r="A1" s="1" t="s">
        <v>14</v>
      </c>
    </row>
    <row r="2" spans="1:16">
      <c r="A2" s="6" t="s">
        <v>15</v>
      </c>
    </row>
    <row r="3" spans="1:16">
      <c r="A3" s="7">
        <v>45429</v>
      </c>
    </row>
    <row r="4" spans="1:16">
      <c r="A4" s="7"/>
    </row>
    <row r="5" spans="1:16">
      <c r="A5" s="7"/>
    </row>
    <row r="6" spans="1:16">
      <c r="A6" s="42" t="s">
        <v>16</v>
      </c>
    </row>
    <row r="7" spans="1:16">
      <c r="A7" s="2"/>
      <c r="G7" s="5">
        <v>44927</v>
      </c>
      <c r="O7" s="400" t="s">
        <v>17</v>
      </c>
      <c r="P7" s="400"/>
    </row>
    <row r="8" spans="1:16" s="3" customFormat="1">
      <c r="A8" s="9" t="s">
        <v>18</v>
      </c>
      <c r="B8" s="9" t="s">
        <v>19</v>
      </c>
      <c r="C8" s="9" t="s">
        <v>20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26</v>
      </c>
      <c r="J8" s="9" t="s">
        <v>27</v>
      </c>
      <c r="K8" s="9" t="s">
        <v>28</v>
      </c>
      <c r="L8" s="9" t="s">
        <v>29</v>
      </c>
      <c r="M8" s="9" t="s">
        <v>30</v>
      </c>
      <c r="N8" s="9" t="s">
        <v>31</v>
      </c>
      <c r="O8" s="9" t="s">
        <v>25</v>
      </c>
      <c r="P8" s="9" t="s">
        <v>31</v>
      </c>
    </row>
    <row r="9" spans="1:16">
      <c r="A9" s="130" t="s">
        <v>32</v>
      </c>
      <c r="B9" s="131" t="s">
        <v>33</v>
      </c>
      <c r="C9" s="131" t="s">
        <v>34</v>
      </c>
      <c r="D9" s="132">
        <v>44995</v>
      </c>
      <c r="E9" s="133">
        <v>70183.23</v>
      </c>
      <c r="F9" s="133">
        <f t="shared" ref="F9:F17" si="0">+E9/2080</f>
        <v>33.741937499999999</v>
      </c>
      <c r="G9" s="134">
        <f t="shared" ref="G9:G17" si="1">IF((D9-$G$7)/365&lt;1,(D9-$G$7)/365,1)</f>
        <v>0.18630136986301371</v>
      </c>
      <c r="H9" s="130">
        <f>52*40</f>
        <v>2080</v>
      </c>
      <c r="I9" s="130">
        <f>11*8</f>
        <v>88</v>
      </c>
      <c r="J9" s="130">
        <v>8</v>
      </c>
      <c r="K9" s="130">
        <v>8</v>
      </c>
      <c r="L9" s="130">
        <f>8*12</f>
        <v>96</v>
      </c>
      <c r="M9" s="130">
        <v>120</v>
      </c>
      <c r="N9" s="130">
        <f>+H9-I9-J9-K9-L9-M9</f>
        <v>1760</v>
      </c>
      <c r="O9" s="135">
        <f t="shared" ref="O9:O17" si="2">+E9*G9</f>
        <v>13075.23189041096</v>
      </c>
      <c r="P9" s="135">
        <f t="shared" ref="P9:P17" si="3">+F9*N9*G9</f>
        <v>11063.657753424657</v>
      </c>
    </row>
    <row r="10" spans="1:16">
      <c r="A10" s="151" t="s">
        <v>35</v>
      </c>
      <c r="B10" s="152" t="s">
        <v>36</v>
      </c>
      <c r="C10" s="152" t="s">
        <v>37</v>
      </c>
      <c r="D10" s="153">
        <v>45257</v>
      </c>
      <c r="E10" s="154">
        <v>68139.058000000005</v>
      </c>
      <c r="F10" s="154">
        <f t="shared" si="0"/>
        <v>32.759162500000002</v>
      </c>
      <c r="G10" s="155">
        <f t="shared" si="1"/>
        <v>0.90410958904109584</v>
      </c>
      <c r="H10" s="151">
        <v>2080</v>
      </c>
      <c r="I10" s="151">
        <f t="shared" ref="I10:I17" si="4">11*8</f>
        <v>88</v>
      </c>
      <c r="J10" s="151">
        <v>8</v>
      </c>
      <c r="K10" s="151">
        <v>8</v>
      </c>
      <c r="L10" s="151">
        <f t="shared" ref="L10:L17" si="5">8*12</f>
        <v>96</v>
      </c>
      <c r="M10" s="151">
        <v>120</v>
      </c>
      <c r="N10" s="151">
        <f t="shared" ref="N10:N17" si="6">+H10-I10-J10-K10-L10-M10</f>
        <v>1760</v>
      </c>
      <c r="O10" s="156">
        <f t="shared" si="2"/>
        <v>61605.175726027395</v>
      </c>
      <c r="P10" s="156">
        <f t="shared" si="3"/>
        <v>52127.456383561643</v>
      </c>
    </row>
    <row r="11" spans="1:16">
      <c r="A11" s="130" t="s">
        <v>38</v>
      </c>
      <c r="B11" s="131" t="s">
        <v>39</v>
      </c>
      <c r="C11" s="131" t="s">
        <v>34</v>
      </c>
      <c r="D11" s="132">
        <v>45397</v>
      </c>
      <c r="E11" s="133">
        <v>89999.987999999998</v>
      </c>
      <c r="F11" s="133">
        <f t="shared" si="0"/>
        <v>43.269224999999999</v>
      </c>
      <c r="G11" s="134">
        <f t="shared" si="1"/>
        <v>1</v>
      </c>
      <c r="H11" s="130">
        <v>2080</v>
      </c>
      <c r="I11" s="130">
        <f t="shared" si="4"/>
        <v>88</v>
      </c>
      <c r="J11" s="130">
        <v>8</v>
      </c>
      <c r="K11" s="130">
        <v>0</v>
      </c>
      <c r="L11" s="130">
        <f t="shared" si="5"/>
        <v>96</v>
      </c>
      <c r="M11" s="130">
        <v>120</v>
      </c>
      <c r="N11" s="130">
        <f t="shared" si="6"/>
        <v>1768</v>
      </c>
      <c r="O11" s="135">
        <f t="shared" si="2"/>
        <v>89999.987999999998</v>
      </c>
      <c r="P11" s="135">
        <f t="shared" si="3"/>
        <v>76499.989799999996</v>
      </c>
    </row>
    <row r="12" spans="1:16">
      <c r="A12" s="130" t="s">
        <v>40</v>
      </c>
      <c r="B12" s="131" t="s">
        <v>41</v>
      </c>
      <c r="C12" s="131" t="s">
        <v>34</v>
      </c>
      <c r="D12" s="132">
        <v>45339</v>
      </c>
      <c r="E12" s="133">
        <v>109565.04</v>
      </c>
      <c r="F12" s="133">
        <f t="shared" si="0"/>
        <v>52.6755</v>
      </c>
      <c r="G12" s="134">
        <f t="shared" si="1"/>
        <v>1</v>
      </c>
      <c r="H12" s="130">
        <v>2080</v>
      </c>
      <c r="I12" s="130">
        <f t="shared" si="4"/>
        <v>88</v>
      </c>
      <c r="J12" s="130">
        <v>8</v>
      </c>
      <c r="K12" s="130">
        <v>16</v>
      </c>
      <c r="L12" s="130">
        <f t="shared" si="5"/>
        <v>96</v>
      </c>
      <c r="M12" s="130">
        <v>120</v>
      </c>
      <c r="N12" s="130">
        <f t="shared" si="6"/>
        <v>1752</v>
      </c>
      <c r="O12" s="135">
        <f t="shared" si="2"/>
        <v>109565.04</v>
      </c>
      <c r="P12" s="135">
        <f t="shared" si="3"/>
        <v>92287.475999999995</v>
      </c>
    </row>
    <row r="13" spans="1:16">
      <c r="A13" s="151" t="s">
        <v>42</v>
      </c>
      <c r="B13" s="152" t="s">
        <v>43</v>
      </c>
      <c r="C13" s="152" t="s">
        <v>37</v>
      </c>
      <c r="D13" s="153">
        <v>45325</v>
      </c>
      <c r="E13" s="154">
        <v>60320</v>
      </c>
      <c r="F13" s="154">
        <f t="shared" si="0"/>
        <v>29</v>
      </c>
      <c r="G13" s="155">
        <f t="shared" si="1"/>
        <v>1</v>
      </c>
      <c r="H13" s="151">
        <v>2080</v>
      </c>
      <c r="I13" s="151">
        <f t="shared" si="4"/>
        <v>88</v>
      </c>
      <c r="J13" s="151">
        <v>8</v>
      </c>
      <c r="K13" s="151">
        <v>16</v>
      </c>
      <c r="L13" s="151">
        <f t="shared" si="5"/>
        <v>96</v>
      </c>
      <c r="M13" s="151">
        <v>120</v>
      </c>
      <c r="N13" s="151">
        <f t="shared" si="6"/>
        <v>1752</v>
      </c>
      <c r="O13" s="156">
        <f t="shared" si="2"/>
        <v>60320</v>
      </c>
      <c r="P13" s="156">
        <f t="shared" si="3"/>
        <v>50808</v>
      </c>
    </row>
    <row r="14" spans="1:16">
      <c r="A14" s="169" t="s">
        <v>44</v>
      </c>
      <c r="B14" s="170" t="s">
        <v>45</v>
      </c>
      <c r="C14" s="170" t="s">
        <v>46</v>
      </c>
      <c r="D14" s="171">
        <v>45325</v>
      </c>
      <c r="E14" s="172">
        <v>70720</v>
      </c>
      <c r="F14" s="172">
        <f t="shared" si="0"/>
        <v>34</v>
      </c>
      <c r="G14" s="173">
        <f t="shared" si="1"/>
        <v>1</v>
      </c>
      <c r="H14" s="169">
        <v>2080</v>
      </c>
      <c r="I14" s="169">
        <f t="shared" si="4"/>
        <v>88</v>
      </c>
      <c r="J14" s="169">
        <v>8</v>
      </c>
      <c r="K14" s="169">
        <v>16</v>
      </c>
      <c r="L14" s="169">
        <f t="shared" si="5"/>
        <v>96</v>
      </c>
      <c r="M14" s="169">
        <v>120</v>
      </c>
      <c r="N14" s="169">
        <f t="shared" si="6"/>
        <v>1752</v>
      </c>
      <c r="O14" s="174">
        <f t="shared" si="2"/>
        <v>70720</v>
      </c>
      <c r="P14" s="174">
        <f t="shared" si="3"/>
        <v>59568</v>
      </c>
    </row>
    <row r="15" spans="1:16">
      <c r="A15" s="130" t="s">
        <v>47</v>
      </c>
      <c r="B15" s="131" t="s">
        <v>48</v>
      </c>
      <c r="C15" s="131" t="s">
        <v>34</v>
      </c>
      <c r="D15" s="132">
        <v>45453</v>
      </c>
      <c r="E15" s="133">
        <v>68016</v>
      </c>
      <c r="F15" s="133">
        <f t="shared" si="0"/>
        <v>32.700000000000003</v>
      </c>
      <c r="G15" s="134">
        <f t="shared" si="1"/>
        <v>1</v>
      </c>
      <c r="H15" s="130">
        <v>2080</v>
      </c>
      <c r="I15" s="130">
        <f t="shared" si="4"/>
        <v>88</v>
      </c>
      <c r="J15" s="130">
        <v>8</v>
      </c>
      <c r="K15" s="130">
        <v>0</v>
      </c>
      <c r="L15" s="130">
        <f t="shared" si="5"/>
        <v>96</v>
      </c>
      <c r="M15" s="130">
        <v>120</v>
      </c>
      <c r="N15" s="130">
        <f t="shared" si="6"/>
        <v>1768</v>
      </c>
      <c r="O15" s="135">
        <f t="shared" si="2"/>
        <v>68016</v>
      </c>
      <c r="P15" s="135">
        <f t="shared" si="3"/>
        <v>57813.600000000006</v>
      </c>
    </row>
    <row r="16" spans="1:16">
      <c r="A16" s="200">
        <v>2.0000000000000001E-196</v>
      </c>
      <c r="B16" s="189" t="s">
        <v>49</v>
      </c>
      <c r="C16" s="189" t="s">
        <v>50</v>
      </c>
      <c r="D16" s="201">
        <v>45353</v>
      </c>
      <c r="E16" s="202">
        <v>52000</v>
      </c>
      <c r="F16" s="202">
        <f t="shared" si="0"/>
        <v>25</v>
      </c>
      <c r="G16" s="203">
        <f t="shared" si="1"/>
        <v>1</v>
      </c>
      <c r="H16" s="204">
        <v>2080</v>
      </c>
      <c r="I16" s="204">
        <f t="shared" si="4"/>
        <v>88</v>
      </c>
      <c r="J16" s="204">
        <v>8</v>
      </c>
      <c r="K16" s="204">
        <v>16</v>
      </c>
      <c r="L16" s="204">
        <f t="shared" si="5"/>
        <v>96</v>
      </c>
      <c r="M16" s="204">
        <v>120</v>
      </c>
      <c r="N16" s="204">
        <f t="shared" si="6"/>
        <v>1752</v>
      </c>
      <c r="O16" s="205">
        <f t="shared" si="2"/>
        <v>52000</v>
      </c>
      <c r="P16" s="205">
        <f t="shared" si="3"/>
        <v>43800</v>
      </c>
    </row>
    <row r="17" spans="1:17">
      <c r="A17" s="169" t="s">
        <v>51</v>
      </c>
      <c r="B17" s="170" t="s">
        <v>52</v>
      </c>
      <c r="C17" s="170" t="s">
        <v>46</v>
      </c>
      <c r="D17" s="171">
        <v>45061</v>
      </c>
      <c r="E17" s="172">
        <v>46169.759999999995</v>
      </c>
      <c r="F17" s="172">
        <f t="shared" si="0"/>
        <v>22.196999999999999</v>
      </c>
      <c r="G17" s="173">
        <f t="shared" si="1"/>
        <v>0.36712328767123287</v>
      </c>
      <c r="H17" s="169">
        <v>2080</v>
      </c>
      <c r="I17" s="169">
        <f t="shared" si="4"/>
        <v>88</v>
      </c>
      <c r="J17" s="169">
        <v>8</v>
      </c>
      <c r="K17" s="169">
        <v>0</v>
      </c>
      <c r="L17" s="169">
        <f t="shared" si="5"/>
        <v>96</v>
      </c>
      <c r="M17" s="169">
        <v>120</v>
      </c>
      <c r="N17" s="169">
        <f t="shared" si="6"/>
        <v>1768</v>
      </c>
      <c r="O17" s="174">
        <f t="shared" si="2"/>
        <v>16949.994082191777</v>
      </c>
      <c r="P17" s="174">
        <f t="shared" si="3"/>
        <v>14407.494969863013</v>
      </c>
    </row>
    <row r="18" spans="1:17" ht="13.5" thickBot="1">
      <c r="E18" s="11">
        <f>SUM(E9:E17)</f>
        <v>635113.076</v>
      </c>
      <c r="F18" s="4"/>
      <c r="O18" s="12">
        <f>SUM(O9:O17)</f>
        <v>542251.42969863</v>
      </c>
      <c r="P18" s="12">
        <f>SUM(P9:P17)</f>
        <v>458375.67490684934</v>
      </c>
    </row>
    <row r="19" spans="1:17" ht="13.5" thickTop="1"/>
    <row r="21" spans="1:17" ht="14.25">
      <c r="A21" s="14"/>
      <c r="F21"/>
      <c r="G21"/>
      <c r="J21"/>
      <c r="K21" s="15" t="s">
        <v>53</v>
      </c>
      <c r="L21" s="15" t="s">
        <v>54</v>
      </c>
      <c r="M21"/>
      <c r="N21"/>
      <c r="O21"/>
      <c r="P21"/>
    </row>
    <row r="22" spans="1:17" ht="14.25">
      <c r="A22" s="14"/>
      <c r="F22"/>
      <c r="G22"/>
      <c r="I22" t="s">
        <v>55</v>
      </c>
      <c r="K22" s="16">
        <v>0.57999999999999996</v>
      </c>
      <c r="L22" s="16">
        <v>0.42</v>
      </c>
      <c r="M22"/>
      <c r="N22"/>
      <c r="O22"/>
      <c r="P22"/>
    </row>
    <row r="23" spans="1:17" ht="14.25">
      <c r="A23" s="14"/>
      <c r="F23"/>
      <c r="G23"/>
      <c r="I23" t="s">
        <v>56</v>
      </c>
      <c r="K23" s="16">
        <v>0</v>
      </c>
      <c r="L23" s="16">
        <v>1</v>
      </c>
      <c r="M23"/>
      <c r="N23"/>
      <c r="O23"/>
      <c r="P23"/>
    </row>
    <row r="24" spans="1:17" ht="14.25">
      <c r="A24" s="14"/>
      <c r="F24"/>
      <c r="G24"/>
      <c r="I24" t="s">
        <v>57</v>
      </c>
      <c r="K24" s="16">
        <v>1</v>
      </c>
      <c r="L24" s="16">
        <v>0</v>
      </c>
      <c r="M24"/>
      <c r="N24"/>
      <c r="O24"/>
      <c r="P24"/>
    </row>
    <row r="25" spans="1:17" ht="14.25">
      <c r="A25" s="14"/>
      <c r="F25"/>
      <c r="G25"/>
      <c r="I25"/>
      <c r="K25" s="16"/>
      <c r="L25" s="16"/>
      <c r="M25"/>
      <c r="N25"/>
      <c r="O25"/>
      <c r="P25"/>
    </row>
    <row r="26" spans="1:17" ht="15">
      <c r="A26" s="28" t="s">
        <v>58</v>
      </c>
      <c r="D26"/>
      <c r="E26"/>
      <c r="F26"/>
      <c r="G26"/>
      <c r="H26" s="14" t="s">
        <v>59</v>
      </c>
      <c r="I26"/>
      <c r="J26" s="14"/>
      <c r="K26" s="17">
        <v>0.05</v>
      </c>
      <c r="L26" s="17"/>
      <c r="N26"/>
      <c r="O26"/>
      <c r="P26"/>
      <c r="Q26"/>
    </row>
    <row r="27" spans="1:17" ht="14.25">
      <c r="A27" s="14"/>
      <c r="B27"/>
      <c r="C27"/>
      <c r="D27" s="14" t="s">
        <v>60</v>
      </c>
      <c r="E27" s="14" t="s">
        <v>23</v>
      </c>
      <c r="F27" s="14" t="s">
        <v>61</v>
      </c>
      <c r="G27" s="14" t="s">
        <v>31</v>
      </c>
      <c r="H27" s="14" t="s">
        <v>62</v>
      </c>
      <c r="I27" s="14" t="s">
        <v>62</v>
      </c>
      <c r="J27" s="14" t="s">
        <v>53</v>
      </c>
      <c r="K27" s="3" t="s">
        <v>63</v>
      </c>
      <c r="L27" s="37" t="s">
        <v>25</v>
      </c>
      <c r="O27"/>
      <c r="P27"/>
    </row>
    <row r="28" spans="1:17" ht="14.25">
      <c r="A28" s="9" t="s">
        <v>18</v>
      </c>
      <c r="B28" s="19" t="s">
        <v>4</v>
      </c>
      <c r="C28" s="19"/>
      <c r="D28" s="20" t="s">
        <v>64</v>
      </c>
      <c r="E28" s="15" t="s">
        <v>65</v>
      </c>
      <c r="F28" s="15" t="s">
        <v>66</v>
      </c>
      <c r="G28" s="15" t="s">
        <v>67</v>
      </c>
      <c r="H28" s="15" t="s">
        <v>68</v>
      </c>
      <c r="I28" s="15" t="s">
        <v>67</v>
      </c>
      <c r="J28" s="15" t="s">
        <v>67</v>
      </c>
      <c r="K28" s="9" t="s">
        <v>69</v>
      </c>
      <c r="L28" s="38" t="s">
        <v>70</v>
      </c>
      <c r="M28" s="41" t="s">
        <v>71</v>
      </c>
      <c r="N28" s="41"/>
      <c r="O28" s="19"/>
      <c r="P28"/>
    </row>
    <row r="29" spans="1:17" ht="14.25">
      <c r="A29" s="136" t="str">
        <f t="shared" ref="A29:B37" si="7">+A9</f>
        <v>2H-225</v>
      </c>
      <c r="B29" s="137" t="str">
        <f t="shared" si="7"/>
        <v>CMMS Administrator</v>
      </c>
      <c r="C29" s="131" t="s">
        <v>34</v>
      </c>
      <c r="D29" s="138">
        <f t="shared" ref="D29:D37" si="8">+D9</f>
        <v>44995</v>
      </c>
      <c r="E29" s="139">
        <f t="shared" ref="E29:E37" si="9">+F9</f>
        <v>33.741937499999999</v>
      </c>
      <c r="F29" s="140">
        <f t="shared" ref="F29:F37" si="10">+G9*N9</f>
        <v>327.89041095890411</v>
      </c>
      <c r="G29" s="139">
        <f>+E29*F29</f>
        <v>11063.657753424657</v>
      </c>
      <c r="H29" s="141">
        <v>0.64100000000000001</v>
      </c>
      <c r="I29" s="139">
        <f>+G29*H29</f>
        <v>7091.8046199452056</v>
      </c>
      <c r="J29" s="142">
        <f>+I29*$K$22</f>
        <v>4113.2466795682185</v>
      </c>
      <c r="K29" s="143">
        <f>(O9*H29)*$K$26</f>
        <v>419.06118208767134</v>
      </c>
      <c r="L29" s="144">
        <f>+J29+K29</f>
        <v>4532.3078616558896</v>
      </c>
      <c r="M29" s="131" t="s">
        <v>72</v>
      </c>
      <c r="N29" s="131"/>
      <c r="O29"/>
      <c r="P29" s="395" t="s">
        <v>73</v>
      </c>
      <c r="Q29" s="397"/>
    </row>
    <row r="30" spans="1:17" ht="15">
      <c r="A30" s="157" t="str">
        <f t="shared" si="7"/>
        <v>2B-198</v>
      </c>
      <c r="B30" s="158" t="str">
        <f t="shared" si="7"/>
        <v>GIS Analyst</v>
      </c>
      <c r="C30" s="152" t="s">
        <v>37</v>
      </c>
      <c r="D30" s="159">
        <f t="shared" si="8"/>
        <v>45257</v>
      </c>
      <c r="E30" s="160">
        <f t="shared" si="9"/>
        <v>32.759162500000002</v>
      </c>
      <c r="F30" s="161">
        <f t="shared" si="10"/>
        <v>1591.2328767123288</v>
      </c>
      <c r="G30" s="160">
        <f>+E30*F30</f>
        <v>52127.45638356165</v>
      </c>
      <c r="H30" s="162">
        <v>0.64100000000000001</v>
      </c>
      <c r="I30" s="160">
        <f>+G30*H30</f>
        <v>33413.699541863018</v>
      </c>
      <c r="J30" s="163">
        <f>+I30*$K$23</f>
        <v>0</v>
      </c>
      <c r="K30" s="164">
        <v>0</v>
      </c>
      <c r="L30" s="165">
        <v>0</v>
      </c>
      <c r="M30" s="152" t="s">
        <v>74</v>
      </c>
      <c r="N30" s="152"/>
      <c r="O30"/>
      <c r="P30" s="383" t="s">
        <v>34</v>
      </c>
      <c r="Q30" s="384">
        <f>L29+L31+L32+L35</f>
        <v>117949.35130613588</v>
      </c>
    </row>
    <row r="31" spans="1:17" ht="15">
      <c r="A31" s="136" t="str">
        <f t="shared" si="7"/>
        <v>2K-235</v>
      </c>
      <c r="B31" s="137" t="str">
        <f t="shared" si="7"/>
        <v>Safety Specialist</v>
      </c>
      <c r="C31" s="131" t="s">
        <v>34</v>
      </c>
      <c r="D31" s="138">
        <f t="shared" si="8"/>
        <v>45397</v>
      </c>
      <c r="E31" s="145">
        <f t="shared" si="9"/>
        <v>43.269224999999999</v>
      </c>
      <c r="F31" s="140">
        <f t="shared" si="10"/>
        <v>1768</v>
      </c>
      <c r="G31" s="145">
        <f t="shared" ref="G31:G37" si="11">+E31*F31</f>
        <v>76499.989799999996</v>
      </c>
      <c r="H31" s="141">
        <v>0.64100000000000001</v>
      </c>
      <c r="I31" s="145">
        <f t="shared" ref="I31:I37" si="12">+G31*H31</f>
        <v>49036.493461799997</v>
      </c>
      <c r="J31" s="146">
        <f>+I31*$K$24</f>
        <v>49036.493461799997</v>
      </c>
      <c r="K31" s="143">
        <f>(O11*H31)*$K$26</f>
        <v>2884.4996154</v>
      </c>
      <c r="L31" s="144">
        <f>+J31+K31</f>
        <v>51920.993077199993</v>
      </c>
      <c r="M31" s="131" t="s">
        <v>74</v>
      </c>
      <c r="N31" s="131"/>
      <c r="O31"/>
      <c r="P31" s="372" t="s">
        <v>75</v>
      </c>
      <c r="Q31" s="385">
        <f>L34+L37</f>
        <v>34191.218626016438</v>
      </c>
    </row>
    <row r="32" spans="1:17" ht="15">
      <c r="A32" s="136" t="str">
        <f t="shared" si="7"/>
        <v>2H-154</v>
      </c>
      <c r="B32" s="137" t="str">
        <f t="shared" si="7"/>
        <v>IT Supervisor</v>
      </c>
      <c r="C32" s="131" t="s">
        <v>34</v>
      </c>
      <c r="D32" s="138">
        <f t="shared" si="8"/>
        <v>45339</v>
      </c>
      <c r="E32" s="145">
        <f t="shared" si="9"/>
        <v>52.6755</v>
      </c>
      <c r="F32" s="140">
        <f t="shared" si="10"/>
        <v>1752</v>
      </c>
      <c r="G32" s="145">
        <f t="shared" si="11"/>
        <v>92287.475999999995</v>
      </c>
      <c r="H32" s="141">
        <v>0.64100000000000001</v>
      </c>
      <c r="I32" s="145">
        <f t="shared" si="12"/>
        <v>59156.272116</v>
      </c>
      <c r="J32" s="146">
        <f>+I32*$K$22</f>
        <v>34310.637827279999</v>
      </c>
      <c r="K32" s="143">
        <f>(O12*H32)*$K$26</f>
        <v>3511.5595320000002</v>
      </c>
      <c r="L32" s="144">
        <f>+J32+K32</f>
        <v>37822.197359279999</v>
      </c>
      <c r="M32" s="131" t="s">
        <v>74</v>
      </c>
      <c r="N32" s="131"/>
      <c r="O32"/>
      <c r="P32" s="386" t="s">
        <v>50</v>
      </c>
      <c r="Q32" s="387">
        <f>L36</f>
        <v>36934.400000000001</v>
      </c>
    </row>
    <row r="33" spans="1:21" ht="14.25">
      <c r="A33" s="157" t="str">
        <f t="shared" si="7"/>
        <v>2F-218</v>
      </c>
      <c r="B33" s="158" t="str">
        <f t="shared" si="7"/>
        <v>Engineering Technician</v>
      </c>
      <c r="C33" s="152" t="s">
        <v>37</v>
      </c>
      <c r="D33" s="159">
        <f t="shared" si="8"/>
        <v>45325</v>
      </c>
      <c r="E33" s="160">
        <f t="shared" si="9"/>
        <v>29</v>
      </c>
      <c r="F33" s="161">
        <f t="shared" si="10"/>
        <v>1752</v>
      </c>
      <c r="G33" s="160">
        <f t="shared" si="11"/>
        <v>50808</v>
      </c>
      <c r="H33" s="162">
        <v>0.64100000000000001</v>
      </c>
      <c r="I33" s="160">
        <f t="shared" si="12"/>
        <v>32567.928</v>
      </c>
      <c r="J33" s="163">
        <f>+I33*$K$23</f>
        <v>0</v>
      </c>
      <c r="K33" s="164">
        <v>0</v>
      </c>
      <c r="L33" s="165">
        <v>0</v>
      </c>
      <c r="M33" s="152" t="s">
        <v>74</v>
      </c>
      <c r="N33" s="152"/>
      <c r="O33"/>
      <c r="P33"/>
    </row>
    <row r="34" spans="1:21" ht="14.25">
      <c r="A34" s="175" t="str">
        <f t="shared" si="7"/>
        <v>2O-113</v>
      </c>
      <c r="B34" s="176" t="str">
        <f t="shared" si="7"/>
        <v>Lead Dispatch Operator</v>
      </c>
      <c r="C34" s="170" t="s">
        <v>46</v>
      </c>
      <c r="D34" s="177">
        <f t="shared" si="8"/>
        <v>45325</v>
      </c>
      <c r="E34" s="178">
        <f t="shared" si="9"/>
        <v>34</v>
      </c>
      <c r="F34" s="179">
        <f t="shared" si="10"/>
        <v>1752</v>
      </c>
      <c r="G34" s="178">
        <f t="shared" si="11"/>
        <v>59568</v>
      </c>
      <c r="H34" s="180">
        <v>0.64100000000000001</v>
      </c>
      <c r="I34" s="178">
        <f t="shared" si="12"/>
        <v>38183.088000000003</v>
      </c>
      <c r="J34" s="181">
        <f>+I34*$K$22</f>
        <v>22146.191040000002</v>
      </c>
      <c r="K34" s="182">
        <f>(O14*H34)*$K$26</f>
        <v>2266.5760000000005</v>
      </c>
      <c r="L34" s="183">
        <f>+J34+K34</f>
        <v>24412.767040000002</v>
      </c>
      <c r="M34" s="170" t="s">
        <v>74</v>
      </c>
      <c r="N34" s="170"/>
      <c r="O34"/>
      <c r="P34"/>
    </row>
    <row r="35" spans="1:21" ht="14.25">
      <c r="A35" s="136" t="str">
        <f t="shared" si="7"/>
        <v>2J-238</v>
      </c>
      <c r="B35" s="137" t="str">
        <f t="shared" si="7"/>
        <v>Accountant</v>
      </c>
      <c r="C35" s="131" t="s">
        <v>34</v>
      </c>
      <c r="D35" s="138">
        <f t="shared" si="8"/>
        <v>45453</v>
      </c>
      <c r="E35" s="145">
        <f t="shared" si="9"/>
        <v>32.700000000000003</v>
      </c>
      <c r="F35" s="140">
        <f>+G15*N15</f>
        <v>1768</v>
      </c>
      <c r="G35" s="145">
        <f t="shared" si="11"/>
        <v>57813.600000000006</v>
      </c>
      <c r="H35" s="141">
        <v>0.64100000000000001</v>
      </c>
      <c r="I35" s="145">
        <f t="shared" si="12"/>
        <v>37058.517600000006</v>
      </c>
      <c r="J35" s="146">
        <f>+I35*$K$22</f>
        <v>21493.940208000004</v>
      </c>
      <c r="K35" s="143">
        <f>(O15*H35)*$K$26</f>
        <v>2179.9128000000001</v>
      </c>
      <c r="L35" s="144">
        <f>+J35+K35</f>
        <v>23673.853008000006</v>
      </c>
      <c r="M35" s="131" t="s">
        <v>74</v>
      </c>
      <c r="N35" s="131"/>
      <c r="O35"/>
      <c r="P35"/>
    </row>
    <row r="36" spans="1:21" ht="14.25">
      <c r="A36" s="187">
        <f t="shared" si="7"/>
        <v>2.0000000000000001E-196</v>
      </c>
      <c r="B36" s="188" t="str">
        <f t="shared" si="7"/>
        <v>Lead Meter Technician</v>
      </c>
      <c r="C36" s="189" t="s">
        <v>50</v>
      </c>
      <c r="D36" s="190">
        <f t="shared" si="8"/>
        <v>45353</v>
      </c>
      <c r="E36" s="191">
        <f t="shared" si="9"/>
        <v>25</v>
      </c>
      <c r="F36" s="192">
        <f t="shared" si="10"/>
        <v>1752</v>
      </c>
      <c r="G36" s="191">
        <f t="shared" si="11"/>
        <v>43800</v>
      </c>
      <c r="H36" s="193">
        <v>0.79600000000000004</v>
      </c>
      <c r="I36" s="191">
        <f t="shared" si="12"/>
        <v>34864.800000000003</v>
      </c>
      <c r="J36" s="194">
        <f>+I36*$K$24</f>
        <v>34864.800000000003</v>
      </c>
      <c r="K36" s="195">
        <f>(O16*H36)*$K$26</f>
        <v>2069.6</v>
      </c>
      <c r="L36" s="196">
        <f>+J36+K36</f>
        <v>36934.400000000001</v>
      </c>
      <c r="M36" s="189" t="s">
        <v>76</v>
      </c>
      <c r="N36" s="189"/>
      <c r="O36"/>
      <c r="P36"/>
    </row>
    <row r="37" spans="1:21" ht="14.25">
      <c r="A37" s="175" t="str">
        <f t="shared" si="7"/>
        <v>2B-210</v>
      </c>
      <c r="B37" s="176" t="str">
        <f t="shared" si="7"/>
        <v>Utility Locate Specialist</v>
      </c>
      <c r="C37" s="170" t="s">
        <v>46</v>
      </c>
      <c r="D37" s="177">
        <f t="shared" si="8"/>
        <v>45061</v>
      </c>
      <c r="E37" s="178">
        <f t="shared" si="9"/>
        <v>22.196999999999999</v>
      </c>
      <c r="F37" s="179">
        <f t="shared" si="10"/>
        <v>649.07397260273967</v>
      </c>
      <c r="G37" s="178">
        <f t="shared" si="11"/>
        <v>14407.494969863012</v>
      </c>
      <c r="H37" s="180">
        <v>0.64100000000000001</v>
      </c>
      <c r="I37" s="178">
        <f t="shared" si="12"/>
        <v>9235.2042756821902</v>
      </c>
      <c r="J37" s="181">
        <f>+I37*$K$24</f>
        <v>9235.2042756821902</v>
      </c>
      <c r="K37" s="182">
        <f>(O17*H37)*$K$26</f>
        <v>543.24731033424655</v>
      </c>
      <c r="L37" s="183">
        <f>+J37+K37</f>
        <v>9778.4515860164374</v>
      </c>
      <c r="M37" s="170" t="s">
        <v>74</v>
      </c>
      <c r="N37" s="170"/>
      <c r="O37"/>
      <c r="P37"/>
    </row>
    <row r="38" spans="1:21" ht="15" thickBot="1">
      <c r="A38" s="14"/>
      <c r="B38" t="s">
        <v>77</v>
      </c>
      <c r="C38"/>
      <c r="D38" s="21"/>
      <c r="E38" s="22"/>
      <c r="F38" s="22"/>
      <c r="G38" s="27">
        <f>SUM(G29:G37)</f>
        <v>458375.67490684934</v>
      </c>
      <c r="H38" s="22"/>
      <c r="I38" s="25">
        <f>SUM(I29:I37)</f>
        <v>300607.8076152904</v>
      </c>
      <c r="J38" s="25">
        <f>SUM(J29:J37)</f>
        <v>175200.51349233041</v>
      </c>
      <c r="K38" s="12">
        <f>SUM(K29:K37)</f>
        <v>13874.456439821919</v>
      </c>
      <c r="L38" s="43">
        <f>SUM(L29:L37)</f>
        <v>189074.96993215231</v>
      </c>
      <c r="O38"/>
      <c r="P38"/>
    </row>
    <row r="39" spans="1:21" ht="15" thickTop="1">
      <c r="A39" s="14"/>
      <c r="B39"/>
      <c r="C39"/>
      <c r="D39"/>
      <c r="E39"/>
      <c r="F39"/>
      <c r="G39"/>
      <c r="H39" s="26"/>
      <c r="I39" s="26"/>
      <c r="J39"/>
      <c r="K39" s="26"/>
      <c r="L39" s="10">
        <f>+L38-K38-J38</f>
        <v>0</v>
      </c>
      <c r="O39"/>
      <c r="P39"/>
      <c r="Q39" s="10"/>
    </row>
    <row r="40" spans="1:21" ht="15">
      <c r="A40" s="14"/>
      <c r="B40"/>
      <c r="C40"/>
      <c r="D40"/>
      <c r="E40"/>
      <c r="F40" s="39">
        <v>0.59041193662902092</v>
      </c>
      <c r="G40" s="398" t="s">
        <v>78</v>
      </c>
      <c r="H40" s="399"/>
      <c r="I40" s="399"/>
      <c r="J40" s="399"/>
      <c r="K40" s="399"/>
      <c r="L40" s="26"/>
      <c r="M40" s="30"/>
      <c r="N40"/>
      <c r="O40"/>
      <c r="P40"/>
      <c r="Q40" s="10"/>
    </row>
    <row r="41" spans="1:21" ht="15">
      <c r="A41" s="14"/>
      <c r="B41"/>
      <c r="C41"/>
      <c r="D41" s="14"/>
      <c r="E41" s="14" t="s">
        <v>53</v>
      </c>
      <c r="F41" s="18" t="s">
        <v>79</v>
      </c>
      <c r="G41" s="35">
        <v>0.15234881948497214</v>
      </c>
      <c r="H41" s="77">
        <v>0.27011036732790655</v>
      </c>
      <c r="I41" s="77">
        <v>9.9056871747690498E-3</v>
      </c>
      <c r="J41" s="238">
        <v>0.21367687214610187</v>
      </c>
      <c r="K41" s="238">
        <v>0.35395825386625035</v>
      </c>
      <c r="L41" s="14"/>
    </row>
    <row r="42" spans="1:21" ht="15">
      <c r="A42" s="9" t="s">
        <v>18</v>
      </c>
      <c r="B42" s="19" t="s">
        <v>4</v>
      </c>
      <c r="C42" s="19"/>
      <c r="D42" s="15"/>
      <c r="E42" s="15" t="s">
        <v>67</v>
      </c>
      <c r="F42" s="40" t="s">
        <v>80</v>
      </c>
      <c r="G42" s="243" t="s">
        <v>81</v>
      </c>
      <c r="H42" s="38" t="s">
        <v>67</v>
      </c>
      <c r="I42" s="38" t="s">
        <v>82</v>
      </c>
      <c r="J42" s="243" t="s">
        <v>83</v>
      </c>
      <c r="K42" s="243" t="s">
        <v>84</v>
      </c>
      <c r="L42" s="14"/>
    </row>
    <row r="43" spans="1:21" ht="15">
      <c r="A43" s="136" t="str">
        <f t="shared" ref="A43:B51" si="13">+A29</f>
        <v>2H-225</v>
      </c>
      <c r="B43" s="137" t="str">
        <f t="shared" si="13"/>
        <v>CMMS Administrator</v>
      </c>
      <c r="C43" s="131" t="s">
        <v>34</v>
      </c>
      <c r="D43" s="147"/>
      <c r="E43" s="148">
        <f t="shared" ref="E43:E51" si="14">+J29</f>
        <v>4113.2466795682185</v>
      </c>
      <c r="F43" s="149">
        <f t="shared" ref="F43:F51" si="15">+E43*$F$40</f>
        <v>2428.5099379167618</v>
      </c>
      <c r="G43" s="239">
        <f>$F$43*G41</f>
        <v>369.98062214914165</v>
      </c>
      <c r="H43" s="239">
        <f>$F$43*H41</f>
        <v>655.96571139016805</v>
      </c>
      <c r="I43" s="239">
        <f t="shared" ref="I43:K43" si="16">$F$43*I41</f>
        <v>24.056059745821248</v>
      </c>
      <c r="J43" s="239">
        <f t="shared" si="16"/>
        <v>518.91640750977774</v>
      </c>
      <c r="K43" s="239">
        <f t="shared" si="16"/>
        <v>859.59113712185308</v>
      </c>
      <c r="L43" s="31"/>
      <c r="P43" s="401" t="s">
        <v>85</v>
      </c>
      <c r="Q43" s="401"/>
      <c r="R43" s="401"/>
      <c r="S43" s="401"/>
      <c r="T43" s="401"/>
      <c r="U43" s="401"/>
    </row>
    <row r="44" spans="1:21" ht="15">
      <c r="A44" s="157" t="str">
        <f t="shared" si="13"/>
        <v>2B-198</v>
      </c>
      <c r="B44" s="158" t="str">
        <f t="shared" si="13"/>
        <v>GIS Analyst</v>
      </c>
      <c r="C44" s="152" t="s">
        <v>37</v>
      </c>
      <c r="D44" s="166"/>
      <c r="E44" s="167">
        <f t="shared" si="14"/>
        <v>0</v>
      </c>
      <c r="F44" s="168">
        <f t="shared" si="15"/>
        <v>0</v>
      </c>
      <c r="G44" s="167"/>
      <c r="H44" s="154"/>
      <c r="I44" s="156"/>
      <c r="J44" s="240"/>
      <c r="K44" s="240"/>
      <c r="L44" s="32"/>
      <c r="P44" s="364"/>
      <c r="Q44" s="365" t="s">
        <v>81</v>
      </c>
      <c r="R44" s="366" t="s">
        <v>67</v>
      </c>
      <c r="S44" s="366" t="s">
        <v>82</v>
      </c>
      <c r="T44" s="365" t="s">
        <v>83</v>
      </c>
      <c r="U44" s="367" t="s">
        <v>84</v>
      </c>
    </row>
    <row r="45" spans="1:21" ht="15">
      <c r="A45" s="136" t="str">
        <f t="shared" si="13"/>
        <v>2K-235</v>
      </c>
      <c r="B45" s="137" t="str">
        <f t="shared" si="13"/>
        <v>Safety Specialist</v>
      </c>
      <c r="C45" s="131" t="s">
        <v>34</v>
      </c>
      <c r="D45" s="150"/>
      <c r="E45" s="148">
        <f t="shared" si="14"/>
        <v>49036.493461799997</v>
      </c>
      <c r="F45" s="149">
        <f t="shared" si="15"/>
        <v>28951.731070277659</v>
      </c>
      <c r="G45" s="239">
        <f>$F$45*G41</f>
        <v>4410.7620506031908</v>
      </c>
      <c r="H45" s="239">
        <f t="shared" ref="H45:K45" si="17">$F$45*H41</f>
        <v>7820.1627141714634</v>
      </c>
      <c r="I45" s="239">
        <f t="shared" si="17"/>
        <v>286.78679115021203</v>
      </c>
      <c r="J45" s="239">
        <f t="shared" si="17"/>
        <v>6186.3153383120443</v>
      </c>
      <c r="K45" s="239">
        <f t="shared" si="17"/>
        <v>10247.704176040748</v>
      </c>
      <c r="L45" s="32"/>
      <c r="P45" s="368" t="s">
        <v>34</v>
      </c>
      <c r="Q45" s="244">
        <f>G43+G45+G46+G49</f>
        <v>9800.2841952244453</v>
      </c>
      <c r="R45" s="369">
        <f>H43+H45+H46+H49</f>
        <v>17375.640801411464</v>
      </c>
      <c r="S45" s="370">
        <f>I43+I45+I46+I49</f>
        <v>637.21235116825142</v>
      </c>
      <c r="T45" s="370">
        <f>J43+J45+J46+J49</f>
        <v>13745.390873770442</v>
      </c>
      <c r="U45" s="371">
        <f>K43+K45+K46+K49</f>
        <v>22769.401777194806</v>
      </c>
    </row>
    <row r="46" spans="1:21" ht="15">
      <c r="A46" s="136" t="str">
        <f t="shared" si="13"/>
        <v>2H-154</v>
      </c>
      <c r="B46" s="137" t="str">
        <f t="shared" si="13"/>
        <v>IT Supervisor</v>
      </c>
      <c r="C46" s="131" t="s">
        <v>34</v>
      </c>
      <c r="D46" s="150"/>
      <c r="E46" s="148">
        <f t="shared" si="14"/>
        <v>34310.637827279999</v>
      </c>
      <c r="F46" s="149">
        <f t="shared" si="15"/>
        <v>20257.410126581326</v>
      </c>
      <c r="G46" s="239">
        <f>$F$46*G41</f>
        <v>3086.192518607585</v>
      </c>
      <c r="H46" s="239">
        <f t="shared" ref="H46:K46" si="18">$F$46*H41</f>
        <v>5471.7364904029364</v>
      </c>
      <c r="I46" s="239">
        <f t="shared" si="18"/>
        <v>200.66356768491332</v>
      </c>
      <c r="J46" s="239">
        <f t="shared" si="18"/>
        <v>4328.5400336286675</v>
      </c>
      <c r="K46" s="239">
        <f t="shared" si="18"/>
        <v>7170.2775162572234</v>
      </c>
      <c r="L46" s="32"/>
      <c r="P46" s="372" t="s">
        <v>75</v>
      </c>
      <c r="Q46" s="245">
        <f>G48+G51</f>
        <v>2822.7113682428235</v>
      </c>
      <c r="R46" s="373">
        <f>H48+H51</f>
        <v>5004.5914836375541</v>
      </c>
      <c r="S46" s="374">
        <f>I48+I51</f>
        <v>183.53208047822008</v>
      </c>
      <c r="T46" s="374">
        <f>J48+J51</f>
        <v>3958.9944850006877</v>
      </c>
      <c r="U46" s="375">
        <f>K48+K51</f>
        <v>6558.1209650935216</v>
      </c>
    </row>
    <row r="47" spans="1:21" ht="15">
      <c r="A47" s="157" t="str">
        <f t="shared" si="13"/>
        <v>2F-218</v>
      </c>
      <c r="B47" s="158" t="str">
        <f t="shared" si="13"/>
        <v>Engineering Technician</v>
      </c>
      <c r="C47" s="152" t="s">
        <v>37</v>
      </c>
      <c r="D47" s="166"/>
      <c r="E47" s="167">
        <f t="shared" si="14"/>
        <v>0</v>
      </c>
      <c r="F47" s="168">
        <f t="shared" si="15"/>
        <v>0</v>
      </c>
      <c r="G47" s="167"/>
      <c r="H47" s="154"/>
      <c r="I47" s="156"/>
      <c r="J47" s="240"/>
      <c r="K47" s="240"/>
      <c r="L47" s="32"/>
      <c r="M47" s="23"/>
      <c r="N47" s="24"/>
      <c r="O47"/>
      <c r="P47" s="376" t="s">
        <v>50</v>
      </c>
      <c r="Q47" s="246">
        <f>G50</f>
        <v>3136.0386089120911</v>
      </c>
      <c r="R47" s="377">
        <f>H50</f>
        <v>5560.1122704550962</v>
      </c>
      <c r="S47" s="378">
        <f>I50</f>
        <v>203.90454965714599</v>
      </c>
      <c r="T47" s="378">
        <f>J50</f>
        <v>4398.4516791601882</v>
      </c>
      <c r="U47" s="379">
        <f>K50</f>
        <v>7286.0869799989678</v>
      </c>
    </row>
    <row r="48" spans="1:21" ht="15">
      <c r="A48" s="175" t="str">
        <f t="shared" si="13"/>
        <v>2O-113</v>
      </c>
      <c r="B48" s="176" t="str">
        <f t="shared" si="13"/>
        <v>Lead Dispatch Operator</v>
      </c>
      <c r="C48" s="170" t="s">
        <v>46</v>
      </c>
      <c r="D48" s="184"/>
      <c r="E48" s="185">
        <f t="shared" si="14"/>
        <v>22146.191040000002</v>
      </c>
      <c r="F48" s="186">
        <f t="shared" si="15"/>
        <v>13075.375540882671</v>
      </c>
      <c r="G48" s="241">
        <f>$F$48*G41</f>
        <v>1992.0180279761539</v>
      </c>
      <c r="H48" s="241">
        <f t="shared" ref="H48:K48" si="19">$F$48*H41</f>
        <v>3531.794490298143</v>
      </c>
      <c r="I48" s="241">
        <f t="shared" si="19"/>
        <v>129.52057980061039</v>
      </c>
      <c r="J48" s="241">
        <f t="shared" si="19"/>
        <v>2793.9053477114539</v>
      </c>
      <c r="K48" s="241">
        <f t="shared" si="19"/>
        <v>4628.1370950963092</v>
      </c>
      <c r="L48" s="32"/>
      <c r="M48" s="23"/>
      <c r="N48" s="10"/>
      <c r="O48" s="10"/>
      <c r="P48" s="380" t="s">
        <v>25</v>
      </c>
      <c r="Q48" s="381">
        <f>SUM(Q45:Q47)</f>
        <v>15759.034172379361</v>
      </c>
      <c r="R48" s="381">
        <f>SUM(R45:R47)</f>
        <v>27940.344555504111</v>
      </c>
      <c r="S48" s="381">
        <f>SUM(S45:S47)</f>
        <v>1024.6489813036176</v>
      </c>
      <c r="T48" s="381">
        <f>SUM(T45:T47)</f>
        <v>22102.83703793132</v>
      </c>
      <c r="U48" s="382">
        <f>SUM(U45:U47)</f>
        <v>36613.609722287292</v>
      </c>
    </row>
    <row r="49" spans="1:18" ht="15">
      <c r="A49" s="136" t="str">
        <f t="shared" si="13"/>
        <v>2J-238</v>
      </c>
      <c r="B49" s="137" t="str">
        <f t="shared" si="13"/>
        <v>Accountant</v>
      </c>
      <c r="C49" s="131" t="s">
        <v>34</v>
      </c>
      <c r="D49" s="150"/>
      <c r="E49" s="148">
        <f>J35</f>
        <v>21493.940208000004</v>
      </c>
      <c r="F49" s="149">
        <f>E49*$F$40</f>
        <v>12690.278863993663</v>
      </c>
      <c r="G49" s="239">
        <f>G41*$F$49</f>
        <v>1933.3490038645277</v>
      </c>
      <c r="H49" s="239">
        <f t="shared" ref="H49:K49" si="20">H41*$F$49</f>
        <v>3427.7758854468971</v>
      </c>
      <c r="I49" s="239">
        <f t="shared" si="20"/>
        <v>125.70593258730477</v>
      </c>
      <c r="J49" s="239">
        <f t="shared" si="20"/>
        <v>2711.6190943199526</v>
      </c>
      <c r="K49" s="239">
        <f t="shared" si="20"/>
        <v>4491.8289477749795</v>
      </c>
      <c r="L49" s="32"/>
      <c r="M49" s="23"/>
      <c r="N49" s="24"/>
      <c r="O49" s="24"/>
      <c r="P49" s="24"/>
      <c r="Q49" s="24"/>
      <c r="R49" s="24"/>
    </row>
    <row r="50" spans="1:18" ht="15">
      <c r="A50" s="187">
        <f t="shared" si="13"/>
        <v>2.0000000000000001E-196</v>
      </c>
      <c r="B50" s="188" t="str">
        <f t="shared" si="13"/>
        <v>Lead Meter Technician</v>
      </c>
      <c r="C50" s="189" t="s">
        <v>50</v>
      </c>
      <c r="D50" s="197"/>
      <c r="E50" s="198">
        <f t="shared" si="14"/>
        <v>34864.800000000003</v>
      </c>
      <c r="F50" s="199">
        <f t="shared" si="15"/>
        <v>20584.59408818349</v>
      </c>
      <c r="G50" s="242">
        <f>$F$50*G41</f>
        <v>3136.0386089120911</v>
      </c>
      <c r="H50" s="242">
        <f t="shared" ref="H50:K50" si="21">$F$50*H41</f>
        <v>5560.1122704550962</v>
      </c>
      <c r="I50" s="242">
        <f t="shared" si="21"/>
        <v>203.90454965714599</v>
      </c>
      <c r="J50" s="242">
        <f t="shared" si="21"/>
        <v>4398.4516791601882</v>
      </c>
      <c r="K50" s="242">
        <f t="shared" si="21"/>
        <v>7286.0869799989678</v>
      </c>
      <c r="L50" s="32"/>
      <c r="M50" s="23"/>
      <c r="N50" s="24"/>
      <c r="O50"/>
    </row>
    <row r="51" spans="1:18" ht="15">
      <c r="A51" s="175" t="str">
        <f t="shared" si="13"/>
        <v>2B-210</v>
      </c>
      <c r="B51" s="176" t="str">
        <f t="shared" si="13"/>
        <v>Utility Locate Specialist</v>
      </c>
      <c r="C51" s="170" t="s">
        <v>46</v>
      </c>
      <c r="D51" s="184"/>
      <c r="E51" s="185">
        <f t="shared" si="14"/>
        <v>9235.2042756821902</v>
      </c>
      <c r="F51" s="186">
        <f t="shared" si="15"/>
        <v>5452.5748415701364</v>
      </c>
      <c r="G51" s="241">
        <f>$F$51*G41</f>
        <v>830.69334026666934</v>
      </c>
      <c r="H51" s="241">
        <f t="shared" ref="H51:K51" si="22">$F$51*H41</f>
        <v>1472.7969933394115</v>
      </c>
      <c r="I51" s="241">
        <f t="shared" si="22"/>
        <v>54.011500677609682</v>
      </c>
      <c r="J51" s="241">
        <f t="shared" si="22"/>
        <v>1165.0891372892338</v>
      </c>
      <c r="K51" s="241">
        <f t="shared" si="22"/>
        <v>1929.9838699972122</v>
      </c>
      <c r="L51" s="32"/>
      <c r="M51" s="23"/>
      <c r="N51" s="24"/>
      <c r="O51"/>
    </row>
    <row r="52" spans="1:18" ht="15.75" thickBot="1">
      <c r="A52" s="14"/>
      <c r="B52" t="s">
        <v>77</v>
      </c>
      <c r="C52"/>
      <c r="D52" s="34"/>
      <c r="E52" s="27">
        <f>SUM(E43:E51)</f>
        <v>175200.51349233041</v>
      </c>
      <c r="F52" s="44">
        <f>SUM(F43:F51)</f>
        <v>103440.47446940572</v>
      </c>
      <c r="G52" s="32"/>
      <c r="H52" s="10"/>
      <c r="I52" s="10"/>
      <c r="J52" s="32"/>
      <c r="K52" s="32"/>
      <c r="L52" s="26"/>
      <c r="M52" s="33"/>
      <c r="N52" s="26"/>
      <c r="O52"/>
    </row>
    <row r="53" spans="1:18" ht="13.5" thickTop="1">
      <c r="F53" s="29"/>
      <c r="G53" s="29"/>
    </row>
    <row r="54" spans="1:18">
      <c r="G54" s="29"/>
    </row>
    <row r="55" spans="1:18">
      <c r="F55" s="29"/>
      <c r="G55" s="29"/>
    </row>
    <row r="56" spans="1:18" ht="15">
      <c r="A56" s="28" t="s">
        <v>86</v>
      </c>
      <c r="D56"/>
      <c r="E56"/>
      <c r="F56"/>
      <c r="G56"/>
      <c r="H56" s="14" t="s">
        <v>59</v>
      </c>
      <c r="I56"/>
      <c r="J56" s="14"/>
      <c r="K56" s="17">
        <v>0.05</v>
      </c>
      <c r="L56" s="17"/>
      <c r="N56"/>
      <c r="O56"/>
      <c r="P56"/>
    </row>
    <row r="57" spans="1:18" ht="14.25">
      <c r="A57" s="14"/>
      <c r="B57"/>
      <c r="C57"/>
      <c r="D57" s="14" t="s">
        <v>60</v>
      </c>
      <c r="E57" s="14" t="s">
        <v>23</v>
      </c>
      <c r="F57" s="14" t="s">
        <v>61</v>
      </c>
      <c r="G57" s="14" t="s">
        <v>31</v>
      </c>
      <c r="H57" s="14" t="s">
        <v>62</v>
      </c>
      <c r="I57" s="14" t="s">
        <v>62</v>
      </c>
      <c r="J57" s="14" t="s">
        <v>53</v>
      </c>
      <c r="K57" s="3" t="s">
        <v>63</v>
      </c>
      <c r="L57" s="37" t="s">
        <v>25</v>
      </c>
      <c r="O57"/>
      <c r="P57"/>
    </row>
    <row r="58" spans="1:18" ht="14.25">
      <c r="A58" s="9" t="s">
        <v>18</v>
      </c>
      <c r="B58" s="19" t="s">
        <v>4</v>
      </c>
      <c r="C58" s="19"/>
      <c r="D58" s="20" t="s">
        <v>64</v>
      </c>
      <c r="E58" s="15" t="s">
        <v>65</v>
      </c>
      <c r="F58" s="15" t="s">
        <v>66</v>
      </c>
      <c r="G58" s="15" t="s">
        <v>67</v>
      </c>
      <c r="H58" s="15" t="s">
        <v>68</v>
      </c>
      <c r="I58" s="15" t="s">
        <v>67</v>
      </c>
      <c r="J58" s="15" t="s">
        <v>67</v>
      </c>
      <c r="K58" s="9" t="s">
        <v>69</v>
      </c>
      <c r="L58" s="38" t="s">
        <v>70</v>
      </c>
      <c r="O58"/>
      <c r="P58"/>
    </row>
    <row r="59" spans="1:18" ht="14.25">
      <c r="A59" s="136" t="str">
        <f t="shared" ref="A59:B67" si="23">+A29</f>
        <v>2H-225</v>
      </c>
      <c r="B59" s="137" t="str">
        <f t="shared" si="23"/>
        <v>CMMS Administrator</v>
      </c>
      <c r="C59" s="131" t="s">
        <v>34</v>
      </c>
      <c r="D59" s="138">
        <f t="shared" ref="D59:F67" si="24">+D29</f>
        <v>44995</v>
      </c>
      <c r="E59" s="139">
        <f t="shared" si="24"/>
        <v>33.741937499999999</v>
      </c>
      <c r="F59" s="140">
        <f t="shared" si="24"/>
        <v>327.89041095890411</v>
      </c>
      <c r="G59" s="139">
        <f>+E59*F59</f>
        <v>11063.657753424657</v>
      </c>
      <c r="H59" s="141">
        <v>0.19400000000000001</v>
      </c>
      <c r="I59" s="139">
        <f>+G59*H59</f>
        <v>2146.3496041643834</v>
      </c>
      <c r="J59" s="142">
        <f>+I59*$K$22</f>
        <v>1244.8827704153423</v>
      </c>
      <c r="K59" s="143">
        <f>(O9*H59)*$K$26</f>
        <v>126.82974933698631</v>
      </c>
      <c r="L59" s="144">
        <f>+J59+K59</f>
        <v>1371.7125197523287</v>
      </c>
      <c r="P59" s="395" t="s">
        <v>73</v>
      </c>
      <c r="Q59" s="397"/>
    </row>
    <row r="60" spans="1:18" ht="15">
      <c r="A60" s="157" t="str">
        <f t="shared" si="23"/>
        <v>2B-198</v>
      </c>
      <c r="B60" s="158" t="str">
        <f t="shared" si="23"/>
        <v>GIS Analyst</v>
      </c>
      <c r="C60" s="152" t="s">
        <v>37</v>
      </c>
      <c r="D60" s="159">
        <f t="shared" si="24"/>
        <v>45257</v>
      </c>
      <c r="E60" s="160">
        <f t="shared" si="24"/>
        <v>32.759162500000002</v>
      </c>
      <c r="F60" s="161">
        <f t="shared" si="24"/>
        <v>1591.2328767123288</v>
      </c>
      <c r="G60" s="160">
        <f t="shared" ref="G60:G67" si="25">+E60*F60</f>
        <v>52127.45638356165</v>
      </c>
      <c r="H60" s="162">
        <v>0.19400000000000001</v>
      </c>
      <c r="I60" s="160">
        <f>+G60*H60</f>
        <v>10112.72653841096</v>
      </c>
      <c r="J60" s="163">
        <f>+I60*$K$23</f>
        <v>0</v>
      </c>
      <c r="K60" s="164">
        <v>0</v>
      </c>
      <c r="L60" s="165">
        <v>0</v>
      </c>
      <c r="P60" s="383" t="s">
        <v>34</v>
      </c>
      <c r="Q60" s="384">
        <f>SUM(L59,L61,L62,L65)</f>
        <v>35697.619584072323</v>
      </c>
    </row>
    <row r="61" spans="1:18" ht="15">
      <c r="A61" s="136" t="str">
        <f t="shared" si="23"/>
        <v>2K-235</v>
      </c>
      <c r="B61" s="137" t="str">
        <f t="shared" si="23"/>
        <v>Safety Specialist</v>
      </c>
      <c r="C61" s="131" t="s">
        <v>34</v>
      </c>
      <c r="D61" s="138">
        <f t="shared" si="24"/>
        <v>45397</v>
      </c>
      <c r="E61" s="145">
        <f t="shared" si="24"/>
        <v>43.269224999999999</v>
      </c>
      <c r="F61" s="140">
        <f t="shared" si="24"/>
        <v>1768</v>
      </c>
      <c r="G61" s="145">
        <f t="shared" si="25"/>
        <v>76499.989799999996</v>
      </c>
      <c r="H61" s="141">
        <v>0.19400000000000001</v>
      </c>
      <c r="I61" s="145">
        <f t="shared" ref="I61:I67" si="26">+G61*H61</f>
        <v>14840.998021199999</v>
      </c>
      <c r="J61" s="146">
        <f>+I61*$K$24</f>
        <v>14840.998021199999</v>
      </c>
      <c r="K61" s="143">
        <f>(O11*H61)*$K$26</f>
        <v>872.99988360000009</v>
      </c>
      <c r="L61" s="144">
        <f>+J61+K61</f>
        <v>15713.997904799999</v>
      </c>
      <c r="P61" s="372" t="s">
        <v>75</v>
      </c>
      <c r="Q61" s="385">
        <f>SUM(L64,L67)</f>
        <v>10348.044326750685</v>
      </c>
    </row>
    <row r="62" spans="1:18" ht="15">
      <c r="A62" s="136" t="str">
        <f t="shared" si="23"/>
        <v>2H-154</v>
      </c>
      <c r="B62" s="137" t="str">
        <f t="shared" si="23"/>
        <v>IT Supervisor</v>
      </c>
      <c r="C62" s="131" t="s">
        <v>34</v>
      </c>
      <c r="D62" s="138">
        <f t="shared" si="24"/>
        <v>45339</v>
      </c>
      <c r="E62" s="145">
        <f t="shared" si="24"/>
        <v>52.6755</v>
      </c>
      <c r="F62" s="140">
        <f t="shared" si="24"/>
        <v>1752</v>
      </c>
      <c r="G62" s="145">
        <f t="shared" si="25"/>
        <v>92287.475999999995</v>
      </c>
      <c r="H62" s="141">
        <v>0.19400000000000001</v>
      </c>
      <c r="I62" s="145">
        <f t="shared" si="26"/>
        <v>17903.770344</v>
      </c>
      <c r="J62" s="146">
        <f>+I62*$K$22</f>
        <v>10384.186799519999</v>
      </c>
      <c r="K62" s="143">
        <f>(O12*H62)*$K$26</f>
        <v>1062.780888</v>
      </c>
      <c r="L62" s="144">
        <f>+J62+K62</f>
        <v>11446.967687519998</v>
      </c>
      <c r="P62" s="386" t="s">
        <v>50</v>
      </c>
      <c r="Q62" s="387">
        <f>SUM(L66)</f>
        <v>0</v>
      </c>
    </row>
    <row r="63" spans="1:18" ht="14.25">
      <c r="A63" s="157" t="str">
        <f t="shared" si="23"/>
        <v>2F-218</v>
      </c>
      <c r="B63" s="158" t="str">
        <f t="shared" si="23"/>
        <v>Engineering Technician</v>
      </c>
      <c r="C63" s="152" t="s">
        <v>37</v>
      </c>
      <c r="D63" s="159">
        <f t="shared" si="24"/>
        <v>45325</v>
      </c>
      <c r="E63" s="160">
        <f t="shared" si="24"/>
        <v>29</v>
      </c>
      <c r="F63" s="161">
        <f t="shared" si="24"/>
        <v>1752</v>
      </c>
      <c r="G63" s="160">
        <f t="shared" si="25"/>
        <v>50808</v>
      </c>
      <c r="H63" s="162">
        <v>0.19400000000000001</v>
      </c>
      <c r="I63" s="160">
        <f t="shared" si="26"/>
        <v>9856.7520000000004</v>
      </c>
      <c r="J63" s="163">
        <f>+I63*$K$23</f>
        <v>0</v>
      </c>
      <c r="K63" s="164">
        <v>0</v>
      </c>
      <c r="L63" s="165">
        <v>0</v>
      </c>
      <c r="O63"/>
      <c r="P63"/>
    </row>
    <row r="64" spans="1:18" ht="14.25">
      <c r="A64" s="175" t="str">
        <f t="shared" si="23"/>
        <v>2O-113</v>
      </c>
      <c r="B64" s="176" t="str">
        <f t="shared" si="23"/>
        <v>Lead Dispatch Operator</v>
      </c>
      <c r="C64" s="170" t="s">
        <v>46</v>
      </c>
      <c r="D64" s="177">
        <f t="shared" si="24"/>
        <v>45325</v>
      </c>
      <c r="E64" s="178">
        <f t="shared" si="24"/>
        <v>34</v>
      </c>
      <c r="F64" s="179">
        <f t="shared" si="24"/>
        <v>1752</v>
      </c>
      <c r="G64" s="178">
        <f t="shared" si="25"/>
        <v>59568</v>
      </c>
      <c r="H64" s="180">
        <v>0.19400000000000001</v>
      </c>
      <c r="I64" s="178">
        <f t="shared" si="26"/>
        <v>11556.192000000001</v>
      </c>
      <c r="J64" s="181">
        <f>+I64*$K$22</f>
        <v>6702.5913600000003</v>
      </c>
      <c r="K64" s="182">
        <f>(O14*H64)*$K$26</f>
        <v>685.98400000000004</v>
      </c>
      <c r="L64" s="183">
        <f>+J64+K64</f>
        <v>7388.5753600000007</v>
      </c>
      <c r="O64"/>
      <c r="P64"/>
    </row>
    <row r="65" spans="1:21" ht="14.25">
      <c r="A65" s="136" t="str">
        <f t="shared" si="23"/>
        <v>2J-238</v>
      </c>
      <c r="B65" s="137" t="str">
        <f t="shared" si="23"/>
        <v>Accountant</v>
      </c>
      <c r="C65" s="131" t="s">
        <v>34</v>
      </c>
      <c r="D65" s="138">
        <f t="shared" si="24"/>
        <v>45453</v>
      </c>
      <c r="E65" s="145">
        <f t="shared" si="24"/>
        <v>32.700000000000003</v>
      </c>
      <c r="F65" s="140">
        <f t="shared" si="24"/>
        <v>1768</v>
      </c>
      <c r="G65" s="145">
        <f t="shared" si="25"/>
        <v>57813.600000000006</v>
      </c>
      <c r="H65" s="141">
        <v>0.19400000000000001</v>
      </c>
      <c r="I65" s="145">
        <f t="shared" si="26"/>
        <v>11215.838400000002</v>
      </c>
      <c r="J65" s="146">
        <f>+I65*$K$22</f>
        <v>6505.1862720000008</v>
      </c>
      <c r="K65" s="143">
        <f>(O15*H65)*$K$26</f>
        <v>659.75520000000006</v>
      </c>
      <c r="L65" s="144">
        <f>+J65+K65</f>
        <v>7164.9414720000004</v>
      </c>
      <c r="O65"/>
      <c r="P65"/>
      <c r="Q65"/>
    </row>
    <row r="66" spans="1:21" ht="14.25">
      <c r="A66" s="187">
        <f t="shared" si="23"/>
        <v>2.0000000000000001E-196</v>
      </c>
      <c r="B66" s="188" t="str">
        <f t="shared" si="23"/>
        <v>Lead Meter Technician</v>
      </c>
      <c r="C66" s="189" t="s">
        <v>50</v>
      </c>
      <c r="D66" s="190">
        <f t="shared" si="24"/>
        <v>45353</v>
      </c>
      <c r="E66" s="191">
        <f t="shared" si="24"/>
        <v>25</v>
      </c>
      <c r="F66" s="192">
        <f t="shared" si="24"/>
        <v>1752</v>
      </c>
      <c r="G66" s="191">
        <f t="shared" si="25"/>
        <v>43800</v>
      </c>
      <c r="H66" s="193">
        <v>0</v>
      </c>
      <c r="I66" s="191">
        <f t="shared" si="26"/>
        <v>0</v>
      </c>
      <c r="J66" s="194">
        <f>+I66*$K$24</f>
        <v>0</v>
      </c>
      <c r="K66" s="195">
        <f>(O16*H66)*$K$26</f>
        <v>0</v>
      </c>
      <c r="L66" s="196">
        <f>+J66+K66</f>
        <v>0</v>
      </c>
      <c r="O66"/>
      <c r="P66"/>
      <c r="Q66" s="359" t="s">
        <v>87</v>
      </c>
    </row>
    <row r="67" spans="1:21" ht="16.5">
      <c r="A67" s="175" t="str">
        <f t="shared" si="23"/>
        <v>2B-210</v>
      </c>
      <c r="B67" s="176" t="str">
        <f t="shared" si="23"/>
        <v>Utility Locate Specialist</v>
      </c>
      <c r="C67" s="170" t="s">
        <v>46</v>
      </c>
      <c r="D67" s="177">
        <f t="shared" si="24"/>
        <v>45061</v>
      </c>
      <c r="E67" s="178">
        <f t="shared" si="24"/>
        <v>22.196999999999999</v>
      </c>
      <c r="F67" s="179">
        <f t="shared" si="24"/>
        <v>649.07397260273967</v>
      </c>
      <c r="G67" s="178">
        <f t="shared" si="25"/>
        <v>14407.494969863012</v>
      </c>
      <c r="H67" s="180">
        <v>0.19400000000000001</v>
      </c>
      <c r="I67" s="178">
        <f t="shared" si="26"/>
        <v>2795.0540241534245</v>
      </c>
      <c r="J67" s="181">
        <f>+I67*$K$24</f>
        <v>2795.0540241534245</v>
      </c>
      <c r="K67" s="182">
        <f>(O17*H67)*$K$26</f>
        <v>164.41494259726025</v>
      </c>
      <c r="L67" s="183">
        <f>+J67+K67</f>
        <v>2959.4689667506846</v>
      </c>
      <c r="O67"/>
      <c r="P67"/>
      <c r="Q67" s="360" t="s">
        <v>88</v>
      </c>
    </row>
    <row r="68" spans="1:21" ht="15" thickBot="1">
      <c r="A68" s="14"/>
      <c r="B68" t="s">
        <v>77</v>
      </c>
      <c r="C68"/>
      <c r="D68" s="21"/>
      <c r="E68" s="22"/>
      <c r="F68" s="22"/>
      <c r="G68" s="27">
        <f>SUM(G59:G67)</f>
        <v>458375.67490684934</v>
      </c>
      <c r="H68" s="22"/>
      <c r="I68" s="25">
        <f>SUM(I59:I67)</f>
        <v>80427.680931928771</v>
      </c>
      <c r="J68" s="25">
        <f>SUM(J59:J67)</f>
        <v>42472.899247288762</v>
      </c>
      <c r="K68" s="12">
        <f>SUM(K59:K67)</f>
        <v>3572.7646635342462</v>
      </c>
      <c r="L68" s="43">
        <f>SUM(L59:L67)</f>
        <v>46045.663910823008</v>
      </c>
      <c r="O68"/>
      <c r="P68"/>
    </row>
    <row r="69" spans="1:21" ht="15" thickTop="1">
      <c r="A69" s="14"/>
      <c r="B69"/>
      <c r="C69"/>
      <c r="D69"/>
      <c r="E69"/>
      <c r="F69"/>
      <c r="G69"/>
      <c r="H69" s="26"/>
      <c r="I69" s="26"/>
      <c r="J69"/>
      <c r="K69" s="26"/>
      <c r="L69" s="10">
        <f>+L68-K68-J68</f>
        <v>0</v>
      </c>
      <c r="O69"/>
      <c r="P69"/>
    </row>
    <row r="70" spans="1:21" ht="15">
      <c r="A70" s="14"/>
      <c r="B70"/>
      <c r="C70"/>
      <c r="D70"/>
      <c r="E70"/>
      <c r="F70" s="39">
        <v>0.59041193662902092</v>
      </c>
      <c r="G70" s="398" t="s">
        <v>78</v>
      </c>
      <c r="H70" s="399"/>
      <c r="I70" s="399"/>
      <c r="J70" s="399"/>
      <c r="K70" s="399"/>
      <c r="L70" s="26"/>
      <c r="M70" s="30"/>
      <c r="N70"/>
      <c r="O70"/>
      <c r="P70"/>
    </row>
    <row r="71" spans="1:21" ht="15">
      <c r="A71" s="14"/>
      <c r="B71"/>
      <c r="C71"/>
      <c r="D71" s="14"/>
      <c r="E71" s="14" t="s">
        <v>53</v>
      </c>
      <c r="F71" s="18" t="s">
        <v>79</v>
      </c>
      <c r="G71" s="35">
        <v>0.15234881948497214</v>
      </c>
      <c r="H71" s="77">
        <v>0.27011036732790655</v>
      </c>
      <c r="I71" s="77">
        <v>9.9056871747690498E-3</v>
      </c>
      <c r="J71" s="238">
        <v>0.21367687214610187</v>
      </c>
      <c r="K71" s="238">
        <v>0.35395825386625035</v>
      </c>
      <c r="L71" s="14"/>
      <c r="M71" s="36"/>
      <c r="N71" s="14"/>
      <c r="O71"/>
    </row>
    <row r="72" spans="1:21" ht="15">
      <c r="A72" s="9" t="s">
        <v>18</v>
      </c>
      <c r="B72" s="19" t="s">
        <v>4</v>
      </c>
      <c r="C72" s="19"/>
      <c r="D72" s="15"/>
      <c r="E72" s="15" t="s">
        <v>67</v>
      </c>
      <c r="F72" s="40" t="s">
        <v>89</v>
      </c>
      <c r="G72" s="243" t="s">
        <v>81</v>
      </c>
      <c r="H72" s="38" t="s">
        <v>67</v>
      </c>
      <c r="I72" s="38" t="s">
        <v>82</v>
      </c>
      <c r="J72" s="243" t="s">
        <v>83</v>
      </c>
      <c r="K72" s="243" t="s">
        <v>84</v>
      </c>
      <c r="L72" s="14"/>
      <c r="M72" s="18"/>
      <c r="N72" s="14"/>
      <c r="O72" s="14"/>
      <c r="P72" s="395" t="s">
        <v>85</v>
      </c>
      <c r="Q72" s="396"/>
      <c r="R72" s="396"/>
      <c r="S72" s="396"/>
      <c r="T72" s="396"/>
      <c r="U72" s="397"/>
    </row>
    <row r="73" spans="1:21" ht="15">
      <c r="A73" s="136" t="str">
        <f t="shared" ref="A73:B81" si="27">+A59</f>
        <v>2H-225</v>
      </c>
      <c r="B73" s="137" t="str">
        <f t="shared" si="27"/>
        <v>CMMS Administrator</v>
      </c>
      <c r="C73" s="131" t="s">
        <v>34</v>
      </c>
      <c r="D73" s="147"/>
      <c r="E73" s="148">
        <f t="shared" ref="E73:E81" si="28">+J59</f>
        <v>1244.8827704153423</v>
      </c>
      <c r="F73" s="149">
        <f t="shared" ref="F73:F81" si="29">+E73*$F$40</f>
        <v>734.99364735702306</v>
      </c>
      <c r="G73" s="239">
        <f>$F$73*G71</f>
        <v>111.97541450379637</v>
      </c>
      <c r="H73" s="239">
        <f t="shared" ref="H73:K73" si="30">$F$73*H71</f>
        <v>198.52940407128332</v>
      </c>
      <c r="I73" s="239">
        <f t="shared" si="30"/>
        <v>7.2806171461611893</v>
      </c>
      <c r="J73" s="239">
        <f t="shared" si="30"/>
        <v>157.0511436145037</v>
      </c>
      <c r="K73" s="239">
        <f t="shared" si="30"/>
        <v>260.15706802127846</v>
      </c>
      <c r="L73" s="31"/>
      <c r="P73" s="364"/>
      <c r="Q73" s="365" t="s">
        <v>81</v>
      </c>
      <c r="R73" s="366" t="s">
        <v>67</v>
      </c>
      <c r="S73" s="366" t="s">
        <v>82</v>
      </c>
      <c r="T73" s="365" t="s">
        <v>83</v>
      </c>
      <c r="U73" s="367" t="s">
        <v>84</v>
      </c>
    </row>
    <row r="74" spans="1:21" ht="15">
      <c r="A74" s="157" t="str">
        <f t="shared" si="27"/>
        <v>2B-198</v>
      </c>
      <c r="B74" s="158" t="str">
        <f t="shared" si="27"/>
        <v>GIS Analyst</v>
      </c>
      <c r="C74" s="152" t="s">
        <v>37</v>
      </c>
      <c r="D74" s="166"/>
      <c r="E74" s="167">
        <f t="shared" si="28"/>
        <v>0</v>
      </c>
      <c r="F74" s="168">
        <f t="shared" si="29"/>
        <v>0</v>
      </c>
      <c r="G74" s="167"/>
      <c r="H74" s="154"/>
      <c r="I74" s="156"/>
      <c r="J74" s="240"/>
      <c r="K74" s="240"/>
      <c r="L74" s="32"/>
      <c r="P74" s="368" t="s">
        <v>34</v>
      </c>
      <c r="Q74" s="244">
        <f>G73+G75+G76+G79</f>
        <v>2966.076651908802</v>
      </c>
      <c r="R74" s="369">
        <f>H73+H75+H76+H79</f>
        <v>5258.7742831104897</v>
      </c>
      <c r="S74" s="370">
        <f>I73+I75+I76+I79</f>
        <v>192.85366010396373</v>
      </c>
      <c r="T74" s="370">
        <f>J73+J75+J76+J79</f>
        <v>4160.0714968977627</v>
      </c>
      <c r="U74" s="371">
        <f>K73+K75+K76+K79</f>
        <v>6891.2074021463213</v>
      </c>
    </row>
    <row r="75" spans="1:21" ht="15">
      <c r="A75" s="136" t="str">
        <f t="shared" si="27"/>
        <v>2K-235</v>
      </c>
      <c r="B75" s="137" t="str">
        <f t="shared" si="27"/>
        <v>Safety Specialist</v>
      </c>
      <c r="C75" s="131" t="s">
        <v>34</v>
      </c>
      <c r="D75" s="150"/>
      <c r="E75" s="148">
        <f t="shared" si="28"/>
        <v>14840.998021199999</v>
      </c>
      <c r="F75" s="149">
        <f t="shared" si="29"/>
        <v>8762.3023832041581</v>
      </c>
      <c r="G75" s="239">
        <f>$F$75*G71</f>
        <v>1334.9264240515115</v>
      </c>
      <c r="H75" s="239">
        <f t="shared" ref="H75:K75" si="31">$F$75*H71</f>
        <v>2366.788715365466</v>
      </c>
      <c r="I75" s="239">
        <f t="shared" si="31"/>
        <v>86.796626338753711</v>
      </c>
      <c r="J75" s="239">
        <f t="shared" si="31"/>
        <v>1872.3013660413985</v>
      </c>
      <c r="K75" s="239">
        <f t="shared" si="31"/>
        <v>3101.489251407028</v>
      </c>
      <c r="L75" s="32"/>
      <c r="P75" s="372" t="s">
        <v>75</v>
      </c>
      <c r="Q75" s="245">
        <f>G78+G81</f>
        <v>854.29954046662669</v>
      </c>
      <c r="R75" s="373">
        <f>H78+H81</f>
        <v>1514.6501526141742</v>
      </c>
      <c r="S75" s="374">
        <f>I78+I81</f>
        <v>55.546370690756163</v>
      </c>
      <c r="T75" s="374">
        <f>J78+J81</f>
        <v>1198.1980188613627</v>
      </c>
      <c r="U75" s="375">
        <f>K78+K81</f>
        <v>1984.829122040785</v>
      </c>
    </row>
    <row r="76" spans="1:21" ht="15">
      <c r="A76" s="136" t="str">
        <f t="shared" si="27"/>
        <v>2H-154</v>
      </c>
      <c r="B76" s="137" t="str">
        <f t="shared" si="27"/>
        <v>IT Supervisor</v>
      </c>
      <c r="C76" s="131" t="s">
        <v>34</v>
      </c>
      <c r="D76" s="150"/>
      <c r="E76" s="148">
        <f t="shared" si="28"/>
        <v>10384.186799519999</v>
      </c>
      <c r="F76" s="149">
        <f t="shared" si="29"/>
        <v>6130.9478386221172</v>
      </c>
      <c r="G76" s="239">
        <f>$F$76*G71</f>
        <v>934.04266553802108</v>
      </c>
      <c r="H76" s="239">
        <f t="shared" ref="H76:K76" si="32">$F$76*H71</f>
        <v>1656.0325727584548</v>
      </c>
      <c r="I76" s="239">
        <f t="shared" si="32"/>
        <v>60.73125137421713</v>
      </c>
      <c r="J76" s="239">
        <f t="shared" si="32"/>
        <v>1310.0417574476778</v>
      </c>
      <c r="K76" s="239">
        <f t="shared" si="32"/>
        <v>2170.0995915037461</v>
      </c>
      <c r="L76" s="32"/>
      <c r="P76" s="376" t="s">
        <v>50</v>
      </c>
      <c r="Q76" s="246">
        <f>G80</f>
        <v>0</v>
      </c>
      <c r="R76" s="377">
        <f>H82</f>
        <v>0</v>
      </c>
      <c r="S76" s="378">
        <f>I82</f>
        <v>0</v>
      </c>
      <c r="T76" s="378">
        <f>J82</f>
        <v>0</v>
      </c>
      <c r="U76" s="379">
        <f>K82</f>
        <v>0</v>
      </c>
    </row>
    <row r="77" spans="1:21" ht="15">
      <c r="A77" s="157" t="str">
        <f t="shared" si="27"/>
        <v>2F-218</v>
      </c>
      <c r="B77" s="158" t="str">
        <f t="shared" si="27"/>
        <v>Engineering Technician</v>
      </c>
      <c r="C77" s="152" t="s">
        <v>37</v>
      </c>
      <c r="D77" s="166"/>
      <c r="E77" s="167">
        <f t="shared" si="28"/>
        <v>0</v>
      </c>
      <c r="F77" s="168">
        <f t="shared" si="29"/>
        <v>0</v>
      </c>
      <c r="G77" s="167"/>
      <c r="H77" s="154"/>
      <c r="I77" s="156"/>
      <c r="J77" s="240"/>
      <c r="K77" s="240"/>
      <c r="L77" s="32"/>
      <c r="P77" s="380" t="s">
        <v>25</v>
      </c>
      <c r="Q77" s="381">
        <f>SUM(Q74:Q76)</f>
        <v>3820.3761923754287</v>
      </c>
      <c r="R77" s="381">
        <f>SUM(R74:R76)</f>
        <v>6773.4244357246644</v>
      </c>
      <c r="S77" s="381">
        <f>SUM(S74:S76)</f>
        <v>248.4000307947199</v>
      </c>
      <c r="T77" s="381">
        <f t="shared" ref="T77:U77" si="33">SUM(T74:T76)</f>
        <v>5358.2695157591252</v>
      </c>
      <c r="U77" s="382">
        <f t="shared" si="33"/>
        <v>8876.0365241871059</v>
      </c>
    </row>
    <row r="78" spans="1:21" ht="15">
      <c r="A78" s="175" t="str">
        <f t="shared" si="27"/>
        <v>2O-113</v>
      </c>
      <c r="B78" s="176" t="str">
        <f t="shared" si="27"/>
        <v>Lead Dispatch Operator</v>
      </c>
      <c r="C78" s="170" t="s">
        <v>46</v>
      </c>
      <c r="D78" s="184"/>
      <c r="E78" s="185">
        <f t="shared" si="28"/>
        <v>6702.5913600000003</v>
      </c>
      <c r="F78" s="186">
        <f t="shared" si="29"/>
        <v>3957.2899452905435</v>
      </c>
      <c r="G78" s="241">
        <f>$F$78*G71</f>
        <v>602.88845152476426</v>
      </c>
      <c r="H78" s="241">
        <f t="shared" ref="H78:K78" si="34">$F$78*H71</f>
        <v>1068.9050407454599</v>
      </c>
      <c r="I78" s="241">
        <f t="shared" si="34"/>
        <v>39.199676257907051</v>
      </c>
      <c r="J78" s="241">
        <f t="shared" si="34"/>
        <v>845.58133768490188</v>
      </c>
      <c r="K78" s="241">
        <f t="shared" si="34"/>
        <v>1400.7154390775102</v>
      </c>
      <c r="L78" s="32"/>
    </row>
    <row r="79" spans="1:21" ht="15">
      <c r="A79" s="136" t="str">
        <f t="shared" si="27"/>
        <v>2J-238</v>
      </c>
      <c r="B79" s="137" t="str">
        <f t="shared" si="27"/>
        <v>Accountant</v>
      </c>
      <c r="C79" s="131" t="s">
        <v>34</v>
      </c>
      <c r="D79" s="150"/>
      <c r="E79" s="148">
        <f t="shared" si="28"/>
        <v>6505.1862720000008</v>
      </c>
      <c r="F79" s="149">
        <f t="shared" si="29"/>
        <v>3840.7396249840413</v>
      </c>
      <c r="G79" s="239">
        <f>$F$79*G71</f>
        <v>585.13214781547333</v>
      </c>
      <c r="H79" s="239">
        <f t="shared" ref="H79:K79" si="35">$F$79*H71</f>
        <v>1037.4235909152856</v>
      </c>
      <c r="I79" s="239">
        <f t="shared" si="35"/>
        <v>38.045165244831708</v>
      </c>
      <c r="J79" s="239">
        <f t="shared" si="35"/>
        <v>820.67722979418227</v>
      </c>
      <c r="K79" s="239">
        <f t="shared" si="35"/>
        <v>1359.4614912142683</v>
      </c>
      <c r="L79" s="32"/>
      <c r="M79" s="23"/>
      <c r="N79" s="24"/>
      <c r="O79"/>
    </row>
    <row r="80" spans="1:21" ht="15">
      <c r="A80" s="187">
        <f t="shared" si="27"/>
        <v>2.0000000000000001E-196</v>
      </c>
      <c r="B80" s="188" t="str">
        <f t="shared" si="27"/>
        <v>Lead Meter Technician</v>
      </c>
      <c r="C80" s="189" t="s">
        <v>50</v>
      </c>
      <c r="D80" s="197"/>
      <c r="E80" s="198">
        <f t="shared" si="28"/>
        <v>0</v>
      </c>
      <c r="F80" s="199">
        <f t="shared" si="29"/>
        <v>0</v>
      </c>
      <c r="G80" s="242"/>
      <c r="H80" s="242"/>
      <c r="I80" s="242"/>
      <c r="J80" s="242"/>
      <c r="K80" s="242"/>
      <c r="L80" s="32"/>
      <c r="M80" s="23"/>
      <c r="N80"/>
      <c r="O80"/>
      <c r="P80"/>
      <c r="Q80"/>
      <c r="R80"/>
    </row>
    <row r="81" spans="1:18" ht="15">
      <c r="A81" s="175" t="str">
        <f t="shared" si="27"/>
        <v>2B-210</v>
      </c>
      <c r="B81" s="176" t="str">
        <f t="shared" si="27"/>
        <v>Utility Locate Specialist</v>
      </c>
      <c r="C81" s="170" t="s">
        <v>46</v>
      </c>
      <c r="D81" s="184"/>
      <c r="E81" s="185">
        <f t="shared" si="28"/>
        <v>2795.0540241534245</v>
      </c>
      <c r="F81" s="186">
        <f t="shared" si="29"/>
        <v>1650.2332593831616</v>
      </c>
      <c r="G81" s="241">
        <f>$F$81*G71</f>
        <v>251.41108894186249</v>
      </c>
      <c r="H81" s="241">
        <f t="shared" ref="H81:K81" si="36">$F$81*H71</f>
        <v>445.74511186871428</v>
      </c>
      <c r="I81" s="241">
        <f t="shared" si="36"/>
        <v>16.346694432849109</v>
      </c>
      <c r="J81" s="241">
        <f t="shared" si="36"/>
        <v>352.61668117646076</v>
      </c>
      <c r="K81" s="241">
        <f t="shared" si="36"/>
        <v>584.11368296327487</v>
      </c>
      <c r="L81" s="32"/>
      <c r="M81" s="23"/>
      <c r="N81"/>
      <c r="O81"/>
      <c r="P81"/>
      <c r="Q81"/>
      <c r="R81"/>
    </row>
    <row r="82" spans="1:18" ht="15.75" thickBot="1">
      <c r="A82" s="14"/>
      <c r="B82" t="s">
        <v>77</v>
      </c>
      <c r="C82"/>
      <c r="D82" s="34"/>
      <c r="E82" s="27">
        <f>SUM(E73:E81)</f>
        <v>42472.899247288762</v>
      </c>
      <c r="F82" s="44">
        <f>SUM(F73:F81)</f>
        <v>25076.506698841047</v>
      </c>
      <c r="G82" s="32"/>
      <c r="H82" s="10"/>
      <c r="I82" s="10"/>
      <c r="J82" s="32"/>
      <c r="K82" s="32"/>
      <c r="L82" s="26"/>
      <c r="M82" s="33"/>
      <c r="N82"/>
      <c r="O82"/>
      <c r="P82"/>
      <c r="Q82"/>
      <c r="R82"/>
    </row>
    <row r="83" spans="1:18" ht="13.5" thickTop="1"/>
    <row r="84" spans="1:18">
      <c r="F84" s="10"/>
    </row>
    <row r="85" spans="1:18">
      <c r="F85" s="10"/>
    </row>
    <row r="86" spans="1:18">
      <c r="E86" s="10"/>
    </row>
  </sheetData>
  <mergeCells count="7">
    <mergeCell ref="P72:U72"/>
    <mergeCell ref="G40:K40"/>
    <mergeCell ref="G70:K70"/>
    <mergeCell ref="O7:P7"/>
    <mergeCell ref="P43:U43"/>
    <mergeCell ref="P59:Q59"/>
    <mergeCell ref="P29:Q29"/>
  </mergeCells>
  <pageMargins left="0.7" right="0.7" top="0.75" bottom="0.75" header="0.3" footer="0.3"/>
  <pageSetup paperSize="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8A95-A8EF-48F6-AEC8-52486F8A5123}">
  <dimension ref="A1:Q58"/>
  <sheetViews>
    <sheetView topLeftCell="A27" workbookViewId="0">
      <selection activeCell="N46" sqref="N46"/>
    </sheetView>
  </sheetViews>
  <sheetFormatPr defaultColWidth="11.375" defaultRowHeight="12.75"/>
  <cols>
    <col min="1" max="1" width="11.375" style="1"/>
    <col min="2" max="2" width="16.125" style="1" customWidth="1"/>
    <col min="3" max="3" width="17.75" style="1" customWidth="1"/>
    <col min="4" max="4" width="12.75" style="1" bestFit="1" customWidth="1"/>
    <col min="5" max="5" width="11.375" style="1"/>
    <col min="6" max="6" width="13.625" style="1" bestFit="1" customWidth="1"/>
    <col min="7" max="8" width="11.375" style="1"/>
    <col min="9" max="9" width="14.25" style="1" bestFit="1" customWidth="1"/>
    <col min="10" max="10" width="11.375" style="1"/>
    <col min="11" max="11" width="11.875" style="1" bestFit="1" customWidth="1"/>
    <col min="12" max="16" width="11.375" style="1"/>
    <col min="17" max="17" width="13.25" style="1" bestFit="1" customWidth="1"/>
    <col min="18" max="18" width="10.25" style="1" bestFit="1" customWidth="1"/>
    <col min="19" max="19" width="13.625" style="1" bestFit="1" customWidth="1"/>
    <col min="20" max="16384" width="11.375" style="1"/>
  </cols>
  <sheetData>
    <row r="1" spans="1:17">
      <c r="A1" s="1" t="s">
        <v>14</v>
      </c>
    </row>
    <row r="2" spans="1:17">
      <c r="A2" s="1" t="s">
        <v>90</v>
      </c>
    </row>
    <row r="4" spans="1:17">
      <c r="A4" s="75"/>
    </row>
    <row r="5" spans="1:17">
      <c r="A5" s="75" t="s">
        <v>91</v>
      </c>
    </row>
    <row r="6" spans="1:17">
      <c r="D6" s="400" t="s">
        <v>92</v>
      </c>
      <c r="E6" s="400"/>
      <c r="F6" s="400"/>
      <c r="G6" s="400"/>
      <c r="H6" s="400"/>
      <c r="I6" s="76"/>
      <c r="L6" s="77">
        <v>0.59040000000000004</v>
      </c>
    </row>
    <row r="7" spans="1:17">
      <c r="B7" s="5">
        <v>45432</v>
      </c>
      <c r="C7" s="5">
        <v>45432</v>
      </c>
      <c r="D7" s="37"/>
      <c r="E7" s="37"/>
      <c r="F7" s="37"/>
      <c r="G7" s="37"/>
      <c r="H7" s="37"/>
      <c r="I7" s="78" t="s">
        <v>93</v>
      </c>
      <c r="J7" s="78" t="s">
        <v>63</v>
      </c>
      <c r="K7" s="209" t="s">
        <v>63</v>
      </c>
      <c r="L7" s="78" t="s">
        <v>94</v>
      </c>
    </row>
    <row r="8" spans="1:17">
      <c r="B8" s="79" t="s">
        <v>95</v>
      </c>
      <c r="C8" s="79" t="s">
        <v>96</v>
      </c>
      <c r="D8" s="79" t="s">
        <v>97</v>
      </c>
      <c r="E8" s="79" t="s">
        <v>98</v>
      </c>
      <c r="F8" s="79" t="s">
        <v>99</v>
      </c>
      <c r="G8" s="79" t="s">
        <v>100</v>
      </c>
      <c r="H8" s="79" t="s">
        <v>101</v>
      </c>
      <c r="I8" s="79" t="s">
        <v>102</v>
      </c>
      <c r="J8" s="79" t="s">
        <v>103</v>
      </c>
      <c r="K8" s="210" t="s">
        <v>53</v>
      </c>
      <c r="L8" s="79" t="s">
        <v>104</v>
      </c>
    </row>
    <row r="9" spans="1:17">
      <c r="A9" s="3">
        <v>49</v>
      </c>
      <c r="B9" s="206">
        <v>21.09</v>
      </c>
      <c r="C9" s="206">
        <f t="shared" ref="C9:C14" si="0">+B9*1.5</f>
        <v>31.634999999999998</v>
      </c>
      <c r="D9" s="172">
        <v>333</v>
      </c>
      <c r="E9" s="172">
        <f t="shared" ref="E9:E14" si="1">+D9*B9</f>
        <v>7022.97</v>
      </c>
      <c r="F9" s="172">
        <v>47.76</v>
      </c>
      <c r="G9" s="172">
        <f t="shared" ref="G9:G14" si="2">+F9*C9</f>
        <v>1510.8875999999998</v>
      </c>
      <c r="H9" s="174">
        <f>+D9+F9</f>
        <v>380.76</v>
      </c>
      <c r="I9" s="174">
        <f>+E9+G9</f>
        <v>8533.8575999999994</v>
      </c>
      <c r="J9" s="174">
        <f t="shared" ref="J9:J14" si="3">+I9*0.05</f>
        <v>426.69288</v>
      </c>
      <c r="K9" s="174">
        <f t="shared" ref="K9:K14" si="4">+I9+J9</f>
        <v>8960.5504799999999</v>
      </c>
      <c r="L9" s="174">
        <f t="shared" ref="L9:L14" si="5">+I9*$L$6</f>
        <v>5038.3895270399998</v>
      </c>
    </row>
    <row r="10" spans="1:17">
      <c r="A10" s="3">
        <v>60</v>
      </c>
      <c r="B10" s="206">
        <v>22.94</v>
      </c>
      <c r="C10" s="206">
        <f t="shared" si="0"/>
        <v>34.410000000000004</v>
      </c>
      <c r="D10" s="172">
        <v>413.03999999999996</v>
      </c>
      <c r="E10" s="172">
        <f t="shared" si="1"/>
        <v>9475.1376</v>
      </c>
      <c r="F10" s="172">
        <v>21.840000000000003</v>
      </c>
      <c r="G10" s="172">
        <f t="shared" si="2"/>
        <v>751.51440000000025</v>
      </c>
      <c r="H10" s="174">
        <f t="shared" ref="H10:I14" si="6">+D10+F10</f>
        <v>434.88</v>
      </c>
      <c r="I10" s="174">
        <f t="shared" si="6"/>
        <v>10226.652</v>
      </c>
      <c r="J10" s="174">
        <f t="shared" si="3"/>
        <v>511.33260000000001</v>
      </c>
      <c r="K10" s="174">
        <f t="shared" si="4"/>
        <v>10737.9846</v>
      </c>
      <c r="L10" s="174">
        <f t="shared" si="5"/>
        <v>6037.8153408000007</v>
      </c>
    </row>
    <row r="11" spans="1:17">
      <c r="A11" s="3">
        <v>163</v>
      </c>
      <c r="B11" s="206">
        <v>20</v>
      </c>
      <c r="C11" s="206">
        <f t="shared" si="0"/>
        <v>30</v>
      </c>
      <c r="D11" s="172">
        <v>322.08</v>
      </c>
      <c r="E11" s="172">
        <f t="shared" si="1"/>
        <v>6441.5999999999995</v>
      </c>
      <c r="F11" s="172">
        <v>43.32</v>
      </c>
      <c r="G11" s="172">
        <f t="shared" si="2"/>
        <v>1299.5999999999999</v>
      </c>
      <c r="H11" s="174">
        <f t="shared" si="6"/>
        <v>365.4</v>
      </c>
      <c r="I11" s="174">
        <f t="shared" si="6"/>
        <v>7741.1999999999989</v>
      </c>
      <c r="J11" s="174">
        <f t="shared" si="3"/>
        <v>387.05999999999995</v>
      </c>
      <c r="K11" s="174">
        <f t="shared" si="4"/>
        <v>8128.2599999999984</v>
      </c>
      <c r="L11" s="174">
        <f t="shared" si="5"/>
        <v>4570.4044799999992</v>
      </c>
    </row>
    <row r="12" spans="1:17">
      <c r="A12" s="3">
        <v>199</v>
      </c>
      <c r="B12" s="206">
        <v>16.850000000000001</v>
      </c>
      <c r="C12" s="206">
        <f t="shared" si="0"/>
        <v>25.275000000000002</v>
      </c>
      <c r="D12" s="172">
        <v>368.28</v>
      </c>
      <c r="E12" s="172">
        <f t="shared" si="1"/>
        <v>6205.518</v>
      </c>
      <c r="F12" s="172">
        <v>21.6</v>
      </c>
      <c r="G12" s="172">
        <f t="shared" si="2"/>
        <v>545.94000000000005</v>
      </c>
      <c r="H12" s="174">
        <f t="shared" si="6"/>
        <v>389.88</v>
      </c>
      <c r="I12" s="174">
        <f t="shared" si="6"/>
        <v>6751.4580000000005</v>
      </c>
      <c r="J12" s="174">
        <f t="shared" si="3"/>
        <v>337.57290000000006</v>
      </c>
      <c r="K12" s="174">
        <f t="shared" si="4"/>
        <v>7089.0309000000007</v>
      </c>
      <c r="L12" s="174">
        <f t="shared" si="5"/>
        <v>3986.0608032000005</v>
      </c>
    </row>
    <row r="13" spans="1:17">
      <c r="A13" s="3">
        <v>217</v>
      </c>
      <c r="B13" s="206">
        <v>19.670000000000002</v>
      </c>
      <c r="C13" s="206">
        <f t="shared" si="0"/>
        <v>29.505000000000003</v>
      </c>
      <c r="D13" s="172">
        <v>429</v>
      </c>
      <c r="E13" s="172">
        <f t="shared" si="1"/>
        <v>8438.43</v>
      </c>
      <c r="F13" s="172">
        <v>6.96</v>
      </c>
      <c r="G13" s="172">
        <f t="shared" si="2"/>
        <v>205.35480000000001</v>
      </c>
      <c r="H13" s="174">
        <f t="shared" si="6"/>
        <v>435.96</v>
      </c>
      <c r="I13" s="174">
        <f t="shared" si="6"/>
        <v>8643.7847999999994</v>
      </c>
      <c r="J13" s="174">
        <f t="shared" si="3"/>
        <v>432.18923999999998</v>
      </c>
      <c r="K13" s="174">
        <f t="shared" si="4"/>
        <v>9075.9740399999991</v>
      </c>
      <c r="L13" s="174">
        <f t="shared" si="5"/>
        <v>5103.2905459200001</v>
      </c>
    </row>
    <row r="14" spans="1:17" ht="15">
      <c r="A14" s="3">
        <v>222</v>
      </c>
      <c r="B14" s="206">
        <v>18.2</v>
      </c>
      <c r="C14" s="206">
        <f t="shared" si="0"/>
        <v>27.299999999999997</v>
      </c>
      <c r="D14" s="207">
        <v>371.16</v>
      </c>
      <c r="E14" s="207">
        <f t="shared" si="1"/>
        <v>6755.1120000000001</v>
      </c>
      <c r="F14" s="207">
        <v>20.76</v>
      </c>
      <c r="G14" s="207">
        <f t="shared" si="2"/>
        <v>566.74799999999993</v>
      </c>
      <c r="H14" s="208">
        <f t="shared" si="6"/>
        <v>391.92</v>
      </c>
      <c r="I14" s="208">
        <f t="shared" si="6"/>
        <v>7321.86</v>
      </c>
      <c r="J14" s="208">
        <f t="shared" si="3"/>
        <v>366.09300000000002</v>
      </c>
      <c r="K14" s="208">
        <f t="shared" si="4"/>
        <v>7687.9529999999995</v>
      </c>
      <c r="L14" s="208">
        <f t="shared" si="5"/>
        <v>4322.8261439999997</v>
      </c>
    </row>
    <row r="15" spans="1:17">
      <c r="A15" s="3">
        <v>224</v>
      </c>
      <c r="B15" s="108" t="s">
        <v>105</v>
      </c>
      <c r="D15" s="10">
        <f t="shared" ref="D15:I15" si="7">SUM(D9:D14)</f>
        <v>2236.56</v>
      </c>
      <c r="E15" s="10">
        <f t="shared" si="7"/>
        <v>44338.767599999999</v>
      </c>
      <c r="F15" s="10">
        <f t="shared" si="7"/>
        <v>162.23999999999998</v>
      </c>
      <c r="G15" s="10">
        <f t="shared" si="7"/>
        <v>4880.0447999999997</v>
      </c>
      <c r="H15" s="10">
        <f t="shared" si="7"/>
        <v>2398.8000000000002</v>
      </c>
      <c r="I15" s="109">
        <f t="shared" si="7"/>
        <v>49218.812399999995</v>
      </c>
      <c r="J15" s="109">
        <f>SUM(J9:J14)</f>
        <v>2460.9406199999999</v>
      </c>
      <c r="K15" s="211">
        <f>SUM(K9:K14)</f>
        <v>51679.753020000004</v>
      </c>
      <c r="L15" s="109">
        <f>SUM(L9:L14)</f>
        <v>29058.786840960001</v>
      </c>
      <c r="Q15" s="10"/>
    </row>
    <row r="16" spans="1:17" ht="15">
      <c r="A16" s="3"/>
      <c r="D16" s="10"/>
      <c r="E16" s="10"/>
      <c r="F16" s="10"/>
      <c r="G16" s="10"/>
      <c r="H16" s="80"/>
      <c r="I16" s="81"/>
      <c r="J16" s="81"/>
      <c r="K16" s="82"/>
      <c r="L16" s="82"/>
    </row>
    <row r="17" spans="1:12" ht="15">
      <c r="A17" s="3"/>
      <c r="D17" s="10"/>
      <c r="E17" s="10"/>
      <c r="F17" s="10"/>
      <c r="G17" s="10"/>
      <c r="H17" s="80"/>
      <c r="I17" s="81"/>
      <c r="J17" s="81"/>
      <c r="K17" s="82"/>
      <c r="L17" s="82"/>
    </row>
    <row r="18" spans="1:12">
      <c r="B18" s="5"/>
      <c r="C18" s="5"/>
      <c r="D18" s="400" t="s">
        <v>92</v>
      </c>
      <c r="E18" s="400"/>
      <c r="F18" s="400"/>
      <c r="G18" s="400"/>
      <c r="H18" s="400"/>
      <c r="I18" s="76"/>
      <c r="L18" s="120">
        <v>0.59040000000000004</v>
      </c>
    </row>
    <row r="19" spans="1:12">
      <c r="B19" s="5">
        <v>45432</v>
      </c>
      <c r="C19" s="5">
        <v>45432</v>
      </c>
      <c r="D19" s="37"/>
      <c r="E19" s="37"/>
      <c r="F19" s="37"/>
      <c r="G19" s="37"/>
      <c r="H19" s="37"/>
      <c r="I19" s="78" t="s">
        <v>93</v>
      </c>
      <c r="J19" s="78" t="s">
        <v>63</v>
      </c>
      <c r="K19" s="78" t="s">
        <v>63</v>
      </c>
      <c r="L19" s="78" t="s">
        <v>94</v>
      </c>
    </row>
    <row r="20" spans="1:12">
      <c r="B20" s="79" t="s">
        <v>95</v>
      </c>
      <c r="C20" s="79" t="s">
        <v>96</v>
      </c>
      <c r="D20" s="79" t="s">
        <v>97</v>
      </c>
      <c r="E20" s="79" t="s">
        <v>98</v>
      </c>
      <c r="F20" s="79" t="s">
        <v>99</v>
      </c>
      <c r="G20" s="79" t="s">
        <v>100</v>
      </c>
      <c r="H20" s="79" t="s">
        <v>101</v>
      </c>
      <c r="I20" s="79" t="s">
        <v>102</v>
      </c>
      <c r="J20" s="79" t="s">
        <v>103</v>
      </c>
      <c r="K20" s="79" t="s">
        <v>53</v>
      </c>
      <c r="L20" s="79" t="s">
        <v>104</v>
      </c>
    </row>
    <row r="21" spans="1:12">
      <c r="A21" s="3">
        <v>41</v>
      </c>
      <c r="B21" s="206">
        <v>29.57</v>
      </c>
      <c r="C21" s="206">
        <f>+B21*1.5</f>
        <v>44.355000000000004</v>
      </c>
      <c r="D21" s="212">
        <v>370.62620000000004</v>
      </c>
      <c r="E21" s="172">
        <f>+D21*B21</f>
        <v>10959.416734000002</v>
      </c>
      <c r="F21" s="212">
        <v>107.5598</v>
      </c>
      <c r="G21" s="172">
        <f>+F21*C21</f>
        <v>4770.8149290000001</v>
      </c>
      <c r="H21" s="174">
        <f>+D21+F21</f>
        <v>478.18600000000004</v>
      </c>
      <c r="I21" s="213">
        <f>+E21+G21</f>
        <v>15730.231663000002</v>
      </c>
      <c r="J21" s="174">
        <f>+I21*0.05</f>
        <v>786.51158315000021</v>
      </c>
      <c r="K21" s="174">
        <f>+I21+J21</f>
        <v>16516.743246150003</v>
      </c>
      <c r="L21" s="174">
        <f>+I21*$L$18</f>
        <v>9287.1287738352021</v>
      </c>
    </row>
    <row r="22" spans="1:12" ht="15">
      <c r="A22" s="3"/>
      <c r="D22" s="10"/>
      <c r="E22" s="10"/>
      <c r="F22" s="10"/>
      <c r="G22" s="10"/>
      <c r="H22" s="80"/>
      <c r="I22" s="81"/>
      <c r="J22" s="81"/>
      <c r="K22" s="82"/>
      <c r="L22" s="82"/>
    </row>
    <row r="23" spans="1:12" ht="13.5" thickBot="1">
      <c r="H23" s="10"/>
      <c r="I23" s="10"/>
      <c r="J23" s="3" t="s">
        <v>12</v>
      </c>
      <c r="K23" s="119">
        <f>+K15+K21</f>
        <v>68196.496266150003</v>
      </c>
      <c r="L23" s="13">
        <f>+L15+L21</f>
        <v>38345.915614795202</v>
      </c>
    </row>
    <row r="24" spans="1:12" ht="13.5" thickTop="1">
      <c r="H24" s="10"/>
      <c r="I24" s="10"/>
      <c r="J24" s="3"/>
      <c r="K24" s="393"/>
      <c r="L24" s="10"/>
    </row>
    <row r="25" spans="1:12">
      <c r="D25" s="404" t="s">
        <v>85</v>
      </c>
      <c r="E25" s="405"/>
      <c r="F25" s="405"/>
      <c r="G25" s="405"/>
      <c r="H25" s="406"/>
      <c r="K25" s="393"/>
      <c r="L25" s="10"/>
    </row>
    <row r="26" spans="1:12" ht="14.25">
      <c r="D26" s="346">
        <v>0.152348819484972</v>
      </c>
      <c r="E26" s="347">
        <v>0.27011036732790655</v>
      </c>
      <c r="F26" s="347">
        <v>9.9056871747690498E-3</v>
      </c>
      <c r="G26" s="348">
        <v>0.21367687214610187</v>
      </c>
      <c r="H26" s="349">
        <v>0.35395825386625035</v>
      </c>
      <c r="K26" s="393"/>
      <c r="L26" s="10"/>
    </row>
    <row r="27" spans="1:12" ht="15">
      <c r="D27" s="350" t="s">
        <v>81</v>
      </c>
      <c r="E27" s="38" t="s">
        <v>67</v>
      </c>
      <c r="F27" s="38" t="s">
        <v>82</v>
      </c>
      <c r="G27" s="243" t="s">
        <v>83</v>
      </c>
      <c r="H27" s="351" t="s">
        <v>84</v>
      </c>
      <c r="K27" s="393"/>
      <c r="L27" s="10"/>
    </row>
    <row r="28" spans="1:12">
      <c r="D28" s="361">
        <f>$L$23*D26</f>
        <v>5841.9549759844031</v>
      </c>
      <c r="E28" s="363">
        <f>$L$23*E26</f>
        <v>10357.62935223724</v>
      </c>
      <c r="F28" s="363">
        <f>$L$23*F26</f>
        <v>379.84264451025308</v>
      </c>
      <c r="G28" s="363">
        <f>$L$23*G26</f>
        <v>8193.6353081478064</v>
      </c>
      <c r="H28" s="362">
        <f>$L$23*H26</f>
        <v>13572.853333915493</v>
      </c>
      <c r="L28" s="84"/>
    </row>
    <row r="29" spans="1:12">
      <c r="L29" s="84"/>
    </row>
    <row r="30" spans="1:12">
      <c r="A30" s="75" t="s">
        <v>106</v>
      </c>
    </row>
    <row r="31" spans="1:12">
      <c r="D31" s="402" t="s">
        <v>107</v>
      </c>
      <c r="E31" s="402"/>
      <c r="F31" s="402"/>
      <c r="G31" s="402"/>
      <c r="H31" s="402"/>
      <c r="I31" s="85"/>
      <c r="L31" s="77">
        <v>0.59040000000000004</v>
      </c>
    </row>
    <row r="32" spans="1:12">
      <c r="B32" s="5">
        <v>45432</v>
      </c>
      <c r="C32" s="5">
        <v>45432</v>
      </c>
      <c r="D32" s="70"/>
      <c r="E32" s="70"/>
      <c r="F32" s="70"/>
      <c r="G32" s="70"/>
      <c r="H32" s="70"/>
      <c r="I32" s="78" t="s">
        <v>93</v>
      </c>
      <c r="J32" s="78" t="s">
        <v>63</v>
      </c>
      <c r="K32" s="209" t="s">
        <v>63</v>
      </c>
      <c r="L32" s="78" t="s">
        <v>94</v>
      </c>
    </row>
    <row r="33" spans="1:12">
      <c r="B33" s="79" t="s">
        <v>95</v>
      </c>
      <c r="C33" s="79" t="s">
        <v>96</v>
      </c>
      <c r="D33" s="79" t="s">
        <v>97</v>
      </c>
      <c r="E33" s="79" t="s">
        <v>98</v>
      </c>
      <c r="F33" s="79" t="s">
        <v>99</v>
      </c>
      <c r="G33" s="79" t="s">
        <v>100</v>
      </c>
      <c r="H33" s="79" t="s">
        <v>101</v>
      </c>
      <c r="I33" s="79" t="s">
        <v>102</v>
      </c>
      <c r="J33" s="79" t="s">
        <v>103</v>
      </c>
      <c r="K33" s="210" t="s">
        <v>53</v>
      </c>
      <c r="L33" s="79" t="s">
        <v>104</v>
      </c>
    </row>
    <row r="34" spans="1:12">
      <c r="A34" s="3">
        <v>49</v>
      </c>
      <c r="B34" s="206">
        <v>21.09</v>
      </c>
      <c r="C34" s="206">
        <f t="shared" ref="C34:C39" si="8">+B34*1.5</f>
        <v>31.634999999999998</v>
      </c>
      <c r="D34" s="172">
        <v>222</v>
      </c>
      <c r="E34" s="172">
        <f t="shared" ref="E34:E39" si="9">+D34*B34</f>
        <v>4681.9799999999996</v>
      </c>
      <c r="F34" s="172">
        <v>31.840000000000003</v>
      </c>
      <c r="G34" s="172">
        <f t="shared" ref="G34:G39" si="10">+F34*C34</f>
        <v>1007.2584000000001</v>
      </c>
      <c r="H34" s="174">
        <f t="shared" ref="H34:I39" si="11">+D34+F34</f>
        <v>253.84</v>
      </c>
      <c r="I34" s="174">
        <f t="shared" si="11"/>
        <v>5689.2383999999993</v>
      </c>
      <c r="J34" s="174">
        <f t="shared" ref="J34:J39" si="12">+I34*0.05</f>
        <v>284.46191999999996</v>
      </c>
      <c r="K34" s="174">
        <f t="shared" ref="K34:K39" si="13">+I34+J34</f>
        <v>5973.700319999999</v>
      </c>
      <c r="L34" s="174">
        <f t="shared" ref="L34:L39" si="14">+I34*$L$31</f>
        <v>3358.9263513599999</v>
      </c>
    </row>
    <row r="35" spans="1:12">
      <c r="A35" s="3">
        <v>60</v>
      </c>
      <c r="B35" s="206">
        <v>22.94</v>
      </c>
      <c r="C35" s="206">
        <f t="shared" si="8"/>
        <v>34.410000000000004</v>
      </c>
      <c r="D35" s="172">
        <v>275.36000000000007</v>
      </c>
      <c r="E35" s="172">
        <f t="shared" si="9"/>
        <v>6316.7584000000015</v>
      </c>
      <c r="F35" s="172">
        <v>14.56</v>
      </c>
      <c r="G35" s="172">
        <f t="shared" si="10"/>
        <v>501.00960000000009</v>
      </c>
      <c r="H35" s="174">
        <f t="shared" si="11"/>
        <v>289.92000000000007</v>
      </c>
      <c r="I35" s="174">
        <f t="shared" si="11"/>
        <v>6817.7680000000018</v>
      </c>
      <c r="J35" s="174">
        <f t="shared" si="12"/>
        <v>340.8884000000001</v>
      </c>
      <c r="K35" s="174">
        <f t="shared" si="13"/>
        <v>7158.6564000000017</v>
      </c>
      <c r="L35" s="174">
        <f t="shared" si="14"/>
        <v>4025.2102272000016</v>
      </c>
    </row>
    <row r="36" spans="1:12">
      <c r="A36" s="3">
        <v>199</v>
      </c>
      <c r="B36" s="206">
        <v>20</v>
      </c>
      <c r="C36" s="206">
        <f t="shared" si="8"/>
        <v>30</v>
      </c>
      <c r="D36" s="172">
        <v>214.72000000000003</v>
      </c>
      <c r="E36" s="172">
        <f t="shared" si="9"/>
        <v>4294.4000000000005</v>
      </c>
      <c r="F36" s="172">
        <v>28.880000000000003</v>
      </c>
      <c r="G36" s="172">
        <f t="shared" si="10"/>
        <v>866.40000000000009</v>
      </c>
      <c r="H36" s="174">
        <f t="shared" si="11"/>
        <v>243.60000000000002</v>
      </c>
      <c r="I36" s="174">
        <f t="shared" si="11"/>
        <v>5160.8000000000011</v>
      </c>
      <c r="J36" s="174">
        <f t="shared" si="12"/>
        <v>258.04000000000008</v>
      </c>
      <c r="K36" s="174">
        <f t="shared" si="13"/>
        <v>5418.8400000000011</v>
      </c>
      <c r="L36" s="174">
        <f t="shared" si="14"/>
        <v>3046.9363200000007</v>
      </c>
    </row>
    <row r="37" spans="1:12">
      <c r="A37" s="3">
        <v>217</v>
      </c>
      <c r="B37" s="206">
        <v>16.850000000000001</v>
      </c>
      <c r="C37" s="206">
        <f t="shared" si="8"/>
        <v>25.275000000000002</v>
      </c>
      <c r="D37" s="172">
        <v>245.52000000000004</v>
      </c>
      <c r="E37" s="172">
        <f t="shared" si="9"/>
        <v>4137.0120000000006</v>
      </c>
      <c r="F37" s="172">
        <v>14.4</v>
      </c>
      <c r="G37" s="172">
        <f t="shared" si="10"/>
        <v>363.96000000000004</v>
      </c>
      <c r="H37" s="174">
        <f t="shared" si="11"/>
        <v>259.92</v>
      </c>
      <c r="I37" s="174">
        <f t="shared" si="11"/>
        <v>4500.9720000000007</v>
      </c>
      <c r="J37" s="174">
        <f t="shared" si="12"/>
        <v>225.04860000000005</v>
      </c>
      <c r="K37" s="174">
        <f t="shared" si="13"/>
        <v>4726.0206000000007</v>
      </c>
      <c r="L37" s="174">
        <f t="shared" si="14"/>
        <v>2657.3738688000008</v>
      </c>
    </row>
    <row r="38" spans="1:12">
      <c r="A38" s="3">
        <v>222</v>
      </c>
      <c r="B38" s="206">
        <v>19.670000000000002</v>
      </c>
      <c r="C38" s="206">
        <f t="shared" si="8"/>
        <v>29.505000000000003</v>
      </c>
      <c r="D38" s="172">
        <v>286</v>
      </c>
      <c r="E38" s="172">
        <f t="shared" si="9"/>
        <v>5625.6200000000008</v>
      </c>
      <c r="F38" s="172">
        <v>4.6400000000000006</v>
      </c>
      <c r="G38" s="172">
        <f t="shared" si="10"/>
        <v>136.90320000000003</v>
      </c>
      <c r="H38" s="174">
        <f t="shared" si="11"/>
        <v>290.64</v>
      </c>
      <c r="I38" s="174">
        <f t="shared" si="11"/>
        <v>5762.5232000000005</v>
      </c>
      <c r="J38" s="174">
        <f t="shared" si="12"/>
        <v>288.12616000000003</v>
      </c>
      <c r="K38" s="174">
        <f t="shared" si="13"/>
        <v>6050.6493600000003</v>
      </c>
      <c r="L38" s="174">
        <f t="shared" si="14"/>
        <v>3402.1936972800004</v>
      </c>
    </row>
    <row r="39" spans="1:12" ht="15">
      <c r="A39" s="3">
        <v>224</v>
      </c>
      <c r="B39" s="206">
        <v>18.2</v>
      </c>
      <c r="C39" s="206">
        <f t="shared" si="8"/>
        <v>27.299999999999997</v>
      </c>
      <c r="D39" s="207">
        <v>247.44000000000003</v>
      </c>
      <c r="E39" s="207">
        <f t="shared" si="9"/>
        <v>4503.4080000000004</v>
      </c>
      <c r="F39" s="207">
        <v>13.840000000000002</v>
      </c>
      <c r="G39" s="207">
        <f t="shared" si="10"/>
        <v>377.83199999999999</v>
      </c>
      <c r="H39" s="208">
        <f t="shared" si="11"/>
        <v>261.28000000000003</v>
      </c>
      <c r="I39" s="208">
        <f t="shared" si="11"/>
        <v>4881.2400000000007</v>
      </c>
      <c r="J39" s="208">
        <f t="shared" si="12"/>
        <v>244.06200000000004</v>
      </c>
      <c r="K39" s="208">
        <f t="shared" si="13"/>
        <v>5125.3020000000006</v>
      </c>
      <c r="L39" s="208">
        <f t="shared" si="14"/>
        <v>2881.8840960000007</v>
      </c>
    </row>
    <row r="40" spans="1:12">
      <c r="B40" s="108" t="s">
        <v>105</v>
      </c>
      <c r="D40" s="10">
        <f t="shared" ref="D40:L40" si="15">SUM(D34:D39)</f>
        <v>1491.0400000000002</v>
      </c>
      <c r="E40" s="10">
        <f t="shared" si="15"/>
        <v>29559.178400000008</v>
      </c>
      <c r="F40" s="10">
        <f t="shared" si="15"/>
        <v>108.16000000000001</v>
      </c>
      <c r="G40" s="10">
        <f t="shared" si="15"/>
        <v>3253.3632000000002</v>
      </c>
      <c r="H40" s="10">
        <f t="shared" si="15"/>
        <v>1599.2</v>
      </c>
      <c r="I40" s="109">
        <f t="shared" si="15"/>
        <v>32812.541600000004</v>
      </c>
      <c r="J40" s="109">
        <f t="shared" si="15"/>
        <v>1640.6270800000002</v>
      </c>
      <c r="K40" s="211">
        <f t="shared" si="15"/>
        <v>34453.168680000002</v>
      </c>
      <c r="L40" s="109">
        <f t="shared" si="15"/>
        <v>19372.524560640006</v>
      </c>
    </row>
    <row r="41" spans="1:12">
      <c r="D41" s="10"/>
      <c r="H41" s="10"/>
      <c r="K41" s="83">
        <f>+K40-J40-I40</f>
        <v>0</v>
      </c>
      <c r="L41" s="121"/>
    </row>
    <row r="43" spans="1:12">
      <c r="D43" s="400" t="s">
        <v>107</v>
      </c>
      <c r="E43" s="400"/>
      <c r="F43" s="400"/>
      <c r="G43" s="400"/>
      <c r="H43" s="400"/>
      <c r="I43" s="76"/>
      <c r="L43" s="120">
        <v>0.59040000000000004</v>
      </c>
    </row>
    <row r="44" spans="1:12">
      <c r="B44" s="5">
        <v>45432</v>
      </c>
      <c r="C44" s="5">
        <v>45432</v>
      </c>
      <c r="D44" s="37"/>
      <c r="E44" s="37"/>
      <c r="F44" s="37"/>
      <c r="G44" s="37"/>
      <c r="H44" s="37"/>
      <c r="I44" s="78" t="s">
        <v>93</v>
      </c>
      <c r="J44" s="78" t="s">
        <v>63</v>
      </c>
      <c r="K44" s="78" t="s">
        <v>63</v>
      </c>
      <c r="L44" s="78" t="s">
        <v>94</v>
      </c>
    </row>
    <row r="45" spans="1:12">
      <c r="B45" s="79" t="s">
        <v>95</v>
      </c>
      <c r="C45" s="79" t="s">
        <v>96</v>
      </c>
      <c r="D45" s="79" t="s">
        <v>97</v>
      </c>
      <c r="E45" s="79" t="s">
        <v>98</v>
      </c>
      <c r="F45" s="79" t="s">
        <v>99</v>
      </c>
      <c r="G45" s="79" t="s">
        <v>100</v>
      </c>
      <c r="H45" s="79" t="s">
        <v>101</v>
      </c>
      <c r="I45" s="79" t="s">
        <v>102</v>
      </c>
      <c r="J45" s="79" t="s">
        <v>103</v>
      </c>
      <c r="K45" s="79" t="s">
        <v>53</v>
      </c>
      <c r="L45" s="79" t="s">
        <v>104</v>
      </c>
    </row>
    <row r="46" spans="1:12">
      <c r="A46" s="3">
        <v>41</v>
      </c>
      <c r="B46" s="206">
        <v>29.57</v>
      </c>
      <c r="C46" s="206">
        <f>+B46*1.5</f>
        <v>44.355000000000004</v>
      </c>
      <c r="D46" s="212">
        <v>109.3</v>
      </c>
      <c r="E46" s="172">
        <f>+D46*B46</f>
        <v>3232.0009999999997</v>
      </c>
      <c r="F46" s="212">
        <v>31.7</v>
      </c>
      <c r="G46" s="172">
        <f>+F46*C46</f>
        <v>1406.0535</v>
      </c>
      <c r="H46" s="174">
        <f>+D46+F46</f>
        <v>141</v>
      </c>
      <c r="I46" s="213">
        <f>+E46+G46</f>
        <v>4638.0545000000002</v>
      </c>
      <c r="J46" s="174">
        <f>+I46*0.05</f>
        <v>231.90272500000003</v>
      </c>
      <c r="K46" s="174">
        <f>+I46+J46</f>
        <v>4869.9572250000001</v>
      </c>
      <c r="L46" s="174">
        <f>+I46*$L$43</f>
        <v>2738.3073768000004</v>
      </c>
    </row>
    <row r="48" spans="1:12" ht="13.5" thickBot="1">
      <c r="J48" s="3" t="s">
        <v>12</v>
      </c>
      <c r="K48" s="119">
        <f>+K40+K46</f>
        <v>39323.125905000001</v>
      </c>
      <c r="L48" s="13">
        <f>+L40+L46</f>
        <v>22110.831937440005</v>
      </c>
    </row>
    <row r="49" spans="4:17" ht="13.5" thickTop="1"/>
    <row r="50" spans="4:17">
      <c r="D50" s="403" t="s">
        <v>85</v>
      </c>
      <c r="E50" s="403"/>
      <c r="F50" s="403"/>
      <c r="G50" s="403"/>
      <c r="H50" s="403"/>
    </row>
    <row r="51" spans="4:17" ht="14.25">
      <c r="D51" s="346">
        <v>0.152348819484972</v>
      </c>
      <c r="E51" s="347">
        <v>0.27011036732790655</v>
      </c>
      <c r="F51" s="347">
        <v>9.9056871747690498E-3</v>
      </c>
      <c r="G51" s="348">
        <v>0.21367687214610187</v>
      </c>
      <c r="H51" s="349">
        <v>0.35395825386625035</v>
      </c>
    </row>
    <row r="52" spans="4:17" ht="15">
      <c r="D52" s="350" t="s">
        <v>81</v>
      </c>
      <c r="E52" s="38" t="s">
        <v>67</v>
      </c>
      <c r="F52" s="38" t="s">
        <v>82</v>
      </c>
      <c r="G52" s="243" t="s">
        <v>83</v>
      </c>
      <c r="H52" s="351" t="s">
        <v>84</v>
      </c>
    </row>
    <row r="53" spans="4:17">
      <c r="D53" s="361">
        <f>$L$48*D51</f>
        <v>3368.5591434996013</v>
      </c>
      <c r="E53" s="363">
        <f t="shared" ref="E53:H53" si="16">$L$48*E51</f>
        <v>5972.3649365475276</v>
      </c>
      <c r="F53" s="363">
        <f t="shared" si="16"/>
        <v>219.02298434617336</v>
      </c>
      <c r="G53" s="363">
        <f t="shared" si="16"/>
        <v>4724.573408940314</v>
      </c>
      <c r="H53" s="362">
        <f t="shared" si="16"/>
        <v>7826.3114641063858</v>
      </c>
      <c r="Q53" s="10"/>
    </row>
    <row r="58" spans="4:17">
      <c r="F58" s="10"/>
    </row>
  </sheetData>
  <mergeCells count="6">
    <mergeCell ref="D6:H6"/>
    <mergeCell ref="D31:H31"/>
    <mergeCell ref="D18:H18"/>
    <mergeCell ref="D43:H43"/>
    <mergeCell ref="D50:H50"/>
    <mergeCell ref="D25:H25"/>
  </mergeCells>
  <pageMargins left="0.7" right="0.7" top="0.75" bottom="0.75" header="0.3" footer="0.3"/>
  <pageSetup paperSize="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68D5-1E2C-49E7-8B90-472BCB1BD0F0}">
  <dimension ref="A1:N198"/>
  <sheetViews>
    <sheetView topLeftCell="A61" workbookViewId="0">
      <selection activeCell="D45" sqref="D45"/>
    </sheetView>
  </sheetViews>
  <sheetFormatPr defaultColWidth="6.875" defaultRowHeight="12.75" outlineLevelRow="2"/>
  <cols>
    <col min="1" max="1" width="13" style="1" customWidth="1"/>
    <col min="2" max="2" width="11.25" style="1" bestFit="1" customWidth="1"/>
    <col min="3" max="3" width="10.125" style="1" bestFit="1" customWidth="1"/>
    <col min="4" max="4" width="55.75" style="1" bestFit="1" customWidth="1"/>
    <col min="5" max="5" width="11.875" style="86" bestFit="1" customWidth="1"/>
    <col min="6" max="6" width="12.125" style="1" bestFit="1" customWidth="1"/>
    <col min="7" max="7" width="10.625" style="1" bestFit="1" customWidth="1"/>
    <col min="8" max="8" width="12.625" style="1" bestFit="1" customWidth="1"/>
    <col min="9" max="9" width="6.875" style="1"/>
    <col min="10" max="10" width="5" style="1" bestFit="1" customWidth="1"/>
    <col min="11" max="11" width="6.125" style="1" bestFit="1" customWidth="1"/>
    <col min="12" max="12" width="8.875" style="1" bestFit="1" customWidth="1"/>
    <col min="13" max="13" width="10.875" style="110" customWidth="1"/>
    <col min="14" max="14" width="13.625" style="29" customWidth="1"/>
    <col min="15" max="16384" width="6.875" style="1"/>
  </cols>
  <sheetData>
    <row r="1" spans="1:14" ht="12.75" customHeight="1">
      <c r="A1" s="114" t="s">
        <v>14</v>
      </c>
    </row>
    <row r="2" spans="1:14" ht="12.75" customHeight="1">
      <c r="A2" s="114" t="s">
        <v>108</v>
      </c>
    </row>
    <row r="3" spans="1:14" ht="12.75" customHeight="1">
      <c r="A3" s="114" t="s">
        <v>109</v>
      </c>
    </row>
    <row r="4" spans="1:14" ht="12.75" customHeight="1">
      <c r="A4" s="114"/>
    </row>
    <row r="5" spans="1:14" ht="12.75" customHeight="1"/>
    <row r="6" spans="1:14" ht="12.75" customHeight="1">
      <c r="A6" s="45" t="s">
        <v>2</v>
      </c>
      <c r="M6" s="123" t="s">
        <v>110</v>
      </c>
      <c r="N6" s="117"/>
    </row>
    <row r="7" spans="1:14" ht="12.75" customHeight="1">
      <c r="A7" s="46"/>
      <c r="B7" s="46"/>
      <c r="C7" s="46"/>
      <c r="D7" s="46"/>
      <c r="E7" s="47" t="s">
        <v>111</v>
      </c>
      <c r="F7" s="48" t="s">
        <v>112</v>
      </c>
      <c r="G7" s="48" t="s">
        <v>113</v>
      </c>
      <c r="H7" s="47" t="s">
        <v>114</v>
      </c>
      <c r="I7" s="46"/>
      <c r="J7" s="49" t="s">
        <v>115</v>
      </c>
      <c r="K7" s="49" t="s">
        <v>115</v>
      </c>
      <c r="L7" s="47" t="s">
        <v>116</v>
      </c>
      <c r="M7" s="124" t="s">
        <v>117</v>
      </c>
      <c r="N7" s="8" t="s">
        <v>118</v>
      </c>
    </row>
    <row r="8" spans="1:14" ht="12.75" customHeight="1">
      <c r="A8" s="46" t="s">
        <v>119</v>
      </c>
      <c r="B8" s="46" t="s">
        <v>120</v>
      </c>
      <c r="C8" s="46" t="s">
        <v>121</v>
      </c>
      <c r="D8" s="46" t="s">
        <v>122</v>
      </c>
      <c r="E8" s="47" t="s">
        <v>123</v>
      </c>
      <c r="F8" s="48" t="s">
        <v>123</v>
      </c>
      <c r="G8" s="48" t="s">
        <v>124</v>
      </c>
      <c r="H8" s="47" t="s">
        <v>125</v>
      </c>
      <c r="I8" s="46"/>
      <c r="J8" s="49" t="s">
        <v>126</v>
      </c>
      <c r="K8" s="49" t="s">
        <v>127</v>
      </c>
      <c r="L8" s="47" t="s">
        <v>115</v>
      </c>
      <c r="M8" s="125" t="s">
        <v>118</v>
      </c>
      <c r="N8" s="116" t="s">
        <v>53</v>
      </c>
    </row>
    <row r="9" spans="1:14" ht="12.75" customHeight="1" outlineLevel="2">
      <c r="A9" s="1" t="s">
        <v>128</v>
      </c>
      <c r="B9" s="87">
        <v>45167</v>
      </c>
      <c r="C9" s="1" t="s">
        <v>129</v>
      </c>
      <c r="D9" s="1" t="s">
        <v>130</v>
      </c>
      <c r="E9" s="88">
        <v>2370</v>
      </c>
      <c r="F9" s="89">
        <v>45138</v>
      </c>
      <c r="G9" s="89">
        <v>45139</v>
      </c>
      <c r="H9" s="86">
        <f>+L9*9</f>
        <v>28.44</v>
      </c>
      <c r="J9" s="90">
        <v>62.5</v>
      </c>
      <c r="K9" s="90">
        <f>+J9*12</f>
        <v>750</v>
      </c>
      <c r="L9" s="86">
        <f>+E9/K9</f>
        <v>3.16</v>
      </c>
      <c r="M9" s="110">
        <v>7</v>
      </c>
    </row>
    <row r="10" spans="1:14" ht="12.75" customHeight="1" outlineLevel="2">
      <c r="A10" s="1" t="s">
        <v>128</v>
      </c>
      <c r="B10" s="87">
        <v>45167</v>
      </c>
      <c r="C10" s="1" t="s">
        <v>129</v>
      </c>
      <c r="D10" s="1" t="s">
        <v>130</v>
      </c>
      <c r="E10" s="88">
        <v>57200</v>
      </c>
      <c r="F10" s="89">
        <v>45138</v>
      </c>
      <c r="G10" s="89">
        <v>45139</v>
      </c>
      <c r="H10" s="86">
        <f>+L10*9</f>
        <v>686.4</v>
      </c>
      <c r="J10" s="90">
        <v>62.5</v>
      </c>
      <c r="K10" s="90">
        <f>+J10*12</f>
        <v>750</v>
      </c>
      <c r="L10" s="86">
        <f>+E10/K10</f>
        <v>76.266666666666666</v>
      </c>
      <c r="M10" s="110">
        <v>7</v>
      </c>
    </row>
    <row r="11" spans="1:14" ht="12.75" customHeight="1" outlineLevel="2">
      <c r="A11" s="1" t="s">
        <v>128</v>
      </c>
      <c r="B11" s="87">
        <v>45167</v>
      </c>
      <c r="C11" s="1" t="s">
        <v>129</v>
      </c>
      <c r="D11" s="1" t="s">
        <v>130</v>
      </c>
      <c r="E11" s="88">
        <v>2800</v>
      </c>
      <c r="F11" s="89">
        <v>45138</v>
      </c>
      <c r="G11" s="89">
        <v>45139</v>
      </c>
      <c r="H11" s="86">
        <f>+L11*9</f>
        <v>33.6</v>
      </c>
      <c r="J11" s="90">
        <v>62.5</v>
      </c>
      <c r="K11" s="90">
        <f>+J11*12</f>
        <v>750</v>
      </c>
      <c r="L11" s="86">
        <f>+E11/K11</f>
        <v>3.7333333333333334</v>
      </c>
      <c r="M11" s="110">
        <v>7</v>
      </c>
    </row>
    <row r="12" spans="1:14" ht="12.75" customHeight="1" outlineLevel="2">
      <c r="A12" s="1" t="s">
        <v>131</v>
      </c>
      <c r="B12" s="87">
        <v>45167</v>
      </c>
      <c r="C12" s="1" t="s">
        <v>129</v>
      </c>
      <c r="D12" s="1" t="s">
        <v>130</v>
      </c>
      <c r="E12" s="88">
        <v>16500</v>
      </c>
      <c r="F12" s="89">
        <v>45138</v>
      </c>
      <c r="G12" s="89">
        <v>45139</v>
      </c>
      <c r="H12" s="86">
        <f>+L12*9</f>
        <v>247.5</v>
      </c>
      <c r="J12" s="90">
        <v>50</v>
      </c>
      <c r="K12" s="90">
        <f>+J12*12</f>
        <v>600</v>
      </c>
      <c r="L12" s="86">
        <f>+E12/K12</f>
        <v>27.5</v>
      </c>
      <c r="M12" s="110">
        <v>7</v>
      </c>
    </row>
    <row r="13" spans="1:14" ht="12.75" customHeight="1" outlineLevel="1">
      <c r="B13" s="87"/>
      <c r="D13" s="45" t="s">
        <v>132</v>
      </c>
      <c r="E13" s="50">
        <f>SUBTOTAL(9,E9:E12)</f>
        <v>78870</v>
      </c>
      <c r="F13" s="51"/>
      <c r="G13" s="51"/>
      <c r="H13" s="52">
        <f>SUBTOTAL(9,H9:H12)</f>
        <v>995.94</v>
      </c>
      <c r="I13" s="45"/>
      <c r="J13" s="53"/>
      <c r="K13" s="53"/>
      <c r="L13" s="52">
        <f>SUBTOTAL(9,L9:L12)</f>
        <v>110.66</v>
      </c>
      <c r="M13" s="110">
        <v>7</v>
      </c>
      <c r="N13" s="29">
        <f>+L13*M13</f>
        <v>774.62</v>
      </c>
    </row>
    <row r="14" spans="1:14" ht="12.75" customHeight="1" outlineLevel="2">
      <c r="A14" s="1" t="s">
        <v>128</v>
      </c>
      <c r="B14" s="87">
        <v>45167</v>
      </c>
      <c r="C14" s="1" t="s">
        <v>129</v>
      </c>
      <c r="D14" s="1" t="s">
        <v>133</v>
      </c>
      <c r="E14" s="88">
        <v>4550</v>
      </c>
      <c r="F14" s="89">
        <v>45138</v>
      </c>
      <c r="G14" s="89">
        <v>45139</v>
      </c>
      <c r="H14" s="86">
        <f>+L14*9</f>
        <v>54.599999999999994</v>
      </c>
      <c r="J14" s="90">
        <v>62.5</v>
      </c>
      <c r="K14" s="90">
        <f>+J14*12</f>
        <v>750</v>
      </c>
      <c r="L14" s="86">
        <f>+E14/K14</f>
        <v>6.0666666666666664</v>
      </c>
    </row>
    <row r="15" spans="1:14" ht="12.75" customHeight="1" outlineLevel="2">
      <c r="A15" s="1" t="s">
        <v>128</v>
      </c>
      <c r="B15" s="87">
        <v>45167</v>
      </c>
      <c r="C15" s="1" t="s">
        <v>129</v>
      </c>
      <c r="D15" s="1" t="s">
        <v>133</v>
      </c>
      <c r="E15" s="88">
        <v>84750</v>
      </c>
      <c r="F15" s="89">
        <v>45138</v>
      </c>
      <c r="G15" s="89">
        <v>45139</v>
      </c>
      <c r="H15" s="86">
        <f>+L15*9</f>
        <v>1017</v>
      </c>
      <c r="J15" s="90">
        <v>62.5</v>
      </c>
      <c r="K15" s="90">
        <f>+J15*12</f>
        <v>750</v>
      </c>
      <c r="L15" s="86">
        <f>+E15/K15</f>
        <v>113</v>
      </c>
    </row>
    <row r="16" spans="1:14" ht="12.75" customHeight="1" outlineLevel="2">
      <c r="A16" s="1" t="s">
        <v>128</v>
      </c>
      <c r="B16" s="87">
        <v>45167</v>
      </c>
      <c r="C16" s="1" t="s">
        <v>129</v>
      </c>
      <c r="D16" s="1" t="s">
        <v>133</v>
      </c>
      <c r="E16" s="88">
        <v>12000</v>
      </c>
      <c r="F16" s="89">
        <v>45138</v>
      </c>
      <c r="G16" s="89">
        <v>45139</v>
      </c>
      <c r="H16" s="86">
        <f>+L16*9</f>
        <v>144</v>
      </c>
      <c r="J16" s="90">
        <v>62.5</v>
      </c>
      <c r="K16" s="90">
        <f>+J16*12</f>
        <v>750</v>
      </c>
      <c r="L16" s="86">
        <f>+E16/K16</f>
        <v>16</v>
      </c>
    </row>
    <row r="17" spans="1:14" ht="12.75" customHeight="1" outlineLevel="2">
      <c r="A17" s="1" t="s">
        <v>131</v>
      </c>
      <c r="B17" s="87">
        <v>45167</v>
      </c>
      <c r="C17" s="1" t="s">
        <v>129</v>
      </c>
      <c r="D17" s="1" t="s">
        <v>133</v>
      </c>
      <c r="E17" s="88">
        <v>5500</v>
      </c>
      <c r="F17" s="89">
        <v>45138</v>
      </c>
      <c r="G17" s="89">
        <v>45139</v>
      </c>
      <c r="H17" s="86">
        <f>+L17*9</f>
        <v>82.5</v>
      </c>
      <c r="J17" s="90">
        <v>50</v>
      </c>
      <c r="K17" s="90">
        <f>+J17*12</f>
        <v>600</v>
      </c>
      <c r="L17" s="86">
        <f>+E17/K17</f>
        <v>9.1666666666666661</v>
      </c>
    </row>
    <row r="18" spans="1:14" ht="12.75" customHeight="1" outlineLevel="1">
      <c r="B18" s="87"/>
      <c r="D18" s="45" t="s">
        <v>134</v>
      </c>
      <c r="E18" s="50">
        <f>SUBTOTAL(9,E14:E17)</f>
        <v>106800</v>
      </c>
      <c r="F18" s="51"/>
      <c r="G18" s="51"/>
      <c r="H18" s="52">
        <f>SUBTOTAL(9,H14:H17)</f>
        <v>1298.0999999999999</v>
      </c>
      <c r="I18" s="45"/>
      <c r="J18" s="53"/>
      <c r="K18" s="53"/>
      <c r="L18" s="52">
        <f>SUBTOTAL(9,L14:L17)</f>
        <v>144.23333333333332</v>
      </c>
      <c r="M18" s="110">
        <v>7</v>
      </c>
      <c r="N18" s="29">
        <f>+L18*M18</f>
        <v>1009.6333333333332</v>
      </c>
    </row>
    <row r="19" spans="1:14" ht="12.75" customHeight="1" outlineLevel="2">
      <c r="A19" s="1" t="s">
        <v>128</v>
      </c>
      <c r="B19" s="87">
        <v>45167</v>
      </c>
      <c r="C19" s="1" t="s">
        <v>129</v>
      </c>
      <c r="D19" s="1" t="s">
        <v>135</v>
      </c>
      <c r="E19" s="88">
        <v>3200</v>
      </c>
      <c r="F19" s="89">
        <v>45138</v>
      </c>
      <c r="G19" s="89">
        <v>45139</v>
      </c>
      <c r="H19" s="86">
        <f t="shared" ref="H19:H24" si="0">+L19*9</f>
        <v>38.4</v>
      </c>
      <c r="J19" s="90">
        <v>62.5</v>
      </c>
      <c r="K19" s="90">
        <f t="shared" ref="K19:K24" si="1">+J19*12</f>
        <v>750</v>
      </c>
      <c r="L19" s="86">
        <f t="shared" ref="L19:L24" si="2">+E19/K19</f>
        <v>4.2666666666666666</v>
      </c>
    </row>
    <row r="20" spans="1:14" ht="12.75" customHeight="1" outlineLevel="2">
      <c r="A20" s="1" t="s">
        <v>128</v>
      </c>
      <c r="B20" s="87">
        <v>45167</v>
      </c>
      <c r="C20" s="1" t="s">
        <v>129</v>
      </c>
      <c r="D20" s="1" t="s">
        <v>135</v>
      </c>
      <c r="E20" s="88">
        <v>9000</v>
      </c>
      <c r="F20" s="89">
        <v>45138</v>
      </c>
      <c r="G20" s="89">
        <v>45139</v>
      </c>
      <c r="H20" s="86">
        <f t="shared" si="0"/>
        <v>108</v>
      </c>
      <c r="J20" s="90">
        <v>62.5</v>
      </c>
      <c r="K20" s="90">
        <f t="shared" si="1"/>
        <v>750</v>
      </c>
      <c r="L20" s="86">
        <f t="shared" si="2"/>
        <v>12</v>
      </c>
    </row>
    <row r="21" spans="1:14" ht="12.75" customHeight="1" outlineLevel="2">
      <c r="A21" s="1" t="s">
        <v>128</v>
      </c>
      <c r="B21" s="87">
        <v>45167</v>
      </c>
      <c r="C21" s="1" t="s">
        <v>129</v>
      </c>
      <c r="D21" s="1" t="s">
        <v>135</v>
      </c>
      <c r="E21" s="88">
        <v>2750</v>
      </c>
      <c r="F21" s="89">
        <v>45138</v>
      </c>
      <c r="G21" s="89">
        <v>45139</v>
      </c>
      <c r="H21" s="86">
        <f t="shared" si="0"/>
        <v>33</v>
      </c>
      <c r="J21" s="90">
        <v>62.5</v>
      </c>
      <c r="K21" s="90">
        <f t="shared" si="1"/>
        <v>750</v>
      </c>
      <c r="L21" s="86">
        <f t="shared" si="2"/>
        <v>3.6666666666666665</v>
      </c>
    </row>
    <row r="22" spans="1:14" ht="12.75" customHeight="1" outlineLevel="2">
      <c r="A22" s="1" t="s">
        <v>128</v>
      </c>
      <c r="B22" s="87">
        <v>45167</v>
      </c>
      <c r="C22" s="1" t="s">
        <v>129</v>
      </c>
      <c r="D22" s="1" t="s">
        <v>135</v>
      </c>
      <c r="E22" s="88">
        <v>49800</v>
      </c>
      <c r="F22" s="89">
        <v>45138</v>
      </c>
      <c r="G22" s="89">
        <v>45139</v>
      </c>
      <c r="H22" s="86">
        <f t="shared" si="0"/>
        <v>597.6</v>
      </c>
      <c r="J22" s="90">
        <v>62.5</v>
      </c>
      <c r="K22" s="90">
        <f t="shared" si="1"/>
        <v>750</v>
      </c>
      <c r="L22" s="86">
        <f t="shared" si="2"/>
        <v>66.400000000000006</v>
      </c>
    </row>
    <row r="23" spans="1:14" ht="12.75" customHeight="1" outlineLevel="2">
      <c r="A23" s="1" t="s">
        <v>128</v>
      </c>
      <c r="B23" s="87">
        <v>45167</v>
      </c>
      <c r="C23" s="1" t="s">
        <v>129</v>
      </c>
      <c r="D23" s="1" t="s">
        <v>135</v>
      </c>
      <c r="E23" s="88">
        <v>94250</v>
      </c>
      <c r="F23" s="89">
        <v>45138</v>
      </c>
      <c r="G23" s="89">
        <v>45139</v>
      </c>
      <c r="H23" s="86">
        <f t="shared" si="0"/>
        <v>1131</v>
      </c>
      <c r="J23" s="90">
        <v>62.5</v>
      </c>
      <c r="K23" s="90">
        <f t="shared" si="1"/>
        <v>750</v>
      </c>
      <c r="L23" s="86">
        <f t="shared" si="2"/>
        <v>125.66666666666667</v>
      </c>
    </row>
    <row r="24" spans="1:14" ht="12.75" customHeight="1" outlineLevel="2">
      <c r="A24" s="1" t="s">
        <v>131</v>
      </c>
      <c r="B24" s="87">
        <v>45167</v>
      </c>
      <c r="C24" s="1" t="s">
        <v>129</v>
      </c>
      <c r="D24" s="1" t="s">
        <v>135</v>
      </c>
      <c r="E24" s="88">
        <v>22000</v>
      </c>
      <c r="F24" s="89">
        <v>45138</v>
      </c>
      <c r="G24" s="89">
        <v>45139</v>
      </c>
      <c r="H24" s="86">
        <f t="shared" si="0"/>
        <v>330</v>
      </c>
      <c r="J24" s="90">
        <v>50</v>
      </c>
      <c r="K24" s="90">
        <f t="shared" si="1"/>
        <v>600</v>
      </c>
      <c r="L24" s="86">
        <f t="shared" si="2"/>
        <v>36.666666666666664</v>
      </c>
    </row>
    <row r="25" spans="1:14" ht="12.75" customHeight="1" outlineLevel="1">
      <c r="B25" s="87"/>
      <c r="D25" s="45" t="s">
        <v>136</v>
      </c>
      <c r="E25" s="50">
        <f>SUBTOTAL(9,E19:E24)</f>
        <v>181000</v>
      </c>
      <c r="F25" s="51"/>
      <c r="G25" s="51"/>
      <c r="H25" s="52">
        <f>SUBTOTAL(9,H19:H24)</f>
        <v>2238</v>
      </c>
      <c r="I25" s="45"/>
      <c r="J25" s="53"/>
      <c r="K25" s="53"/>
      <c r="L25" s="52">
        <f>SUBTOTAL(9,L19:L24)</f>
        <v>248.66666666666666</v>
      </c>
      <c r="M25" s="110">
        <v>7</v>
      </c>
      <c r="N25" s="29">
        <f>+L25*M25</f>
        <v>1740.6666666666665</v>
      </c>
    </row>
    <row r="26" spans="1:14" ht="12.75" customHeight="1" outlineLevel="2">
      <c r="A26" s="1" t="s">
        <v>128</v>
      </c>
      <c r="B26" s="87">
        <v>45167</v>
      </c>
      <c r="C26" s="1" t="s">
        <v>129</v>
      </c>
      <c r="D26" s="1" t="s">
        <v>137</v>
      </c>
      <c r="E26" s="88">
        <v>9300</v>
      </c>
      <c r="F26" s="89">
        <v>45138</v>
      </c>
      <c r="G26" s="89">
        <v>45139</v>
      </c>
      <c r="H26" s="86">
        <f>+L26*9</f>
        <v>111.60000000000001</v>
      </c>
      <c r="J26" s="90">
        <v>62.5</v>
      </c>
      <c r="K26" s="90">
        <f>+J26*12</f>
        <v>750</v>
      </c>
      <c r="L26" s="86">
        <f>+E26/K26</f>
        <v>12.4</v>
      </c>
    </row>
    <row r="27" spans="1:14" ht="12.75" customHeight="1" outlineLevel="2">
      <c r="A27" s="1" t="s">
        <v>128</v>
      </c>
      <c r="B27" s="87">
        <v>45167</v>
      </c>
      <c r="C27" s="1" t="s">
        <v>129</v>
      </c>
      <c r="D27" s="1" t="s">
        <v>137</v>
      </c>
      <c r="E27" s="88">
        <v>170800</v>
      </c>
      <c r="F27" s="89">
        <v>45138</v>
      </c>
      <c r="G27" s="89">
        <v>45139</v>
      </c>
      <c r="H27" s="86">
        <f>+L27*9</f>
        <v>2049.6</v>
      </c>
      <c r="J27" s="90">
        <v>62.5</v>
      </c>
      <c r="K27" s="90">
        <f>+J27*12</f>
        <v>750</v>
      </c>
      <c r="L27" s="86">
        <f>+E27/K27</f>
        <v>227.73333333333332</v>
      </c>
    </row>
    <row r="28" spans="1:14" ht="12.75" customHeight="1" outlineLevel="2">
      <c r="A28" s="1" t="s">
        <v>131</v>
      </c>
      <c r="B28" s="87">
        <v>45167</v>
      </c>
      <c r="C28" s="1" t="s">
        <v>129</v>
      </c>
      <c r="D28" s="1" t="s">
        <v>137</v>
      </c>
      <c r="E28" s="88">
        <v>29900</v>
      </c>
      <c r="F28" s="89">
        <v>45138</v>
      </c>
      <c r="G28" s="89">
        <v>45139</v>
      </c>
      <c r="H28" s="86">
        <f>+L28*9</f>
        <v>448.5</v>
      </c>
      <c r="J28" s="90">
        <v>50</v>
      </c>
      <c r="K28" s="90">
        <f>+J28*12</f>
        <v>600</v>
      </c>
      <c r="L28" s="86">
        <f>+E28/K28</f>
        <v>49.833333333333336</v>
      </c>
    </row>
    <row r="29" spans="1:14" ht="12.75" customHeight="1" outlineLevel="1">
      <c r="B29" s="87"/>
      <c r="D29" s="45" t="s">
        <v>138</v>
      </c>
      <c r="E29" s="50">
        <f>SUBTOTAL(9,E26:E28)</f>
        <v>210000</v>
      </c>
      <c r="F29" s="51"/>
      <c r="G29" s="51"/>
      <c r="H29" s="52">
        <f>SUBTOTAL(9,H26:H28)</f>
        <v>2609.6999999999998</v>
      </c>
      <c r="I29" s="45"/>
      <c r="J29" s="53"/>
      <c r="K29" s="53"/>
      <c r="L29" s="52">
        <f>SUBTOTAL(9,L26:L28)</f>
        <v>289.96666666666664</v>
      </c>
      <c r="M29" s="110">
        <v>7</v>
      </c>
      <c r="N29" s="29">
        <f>+L29*M29</f>
        <v>2029.7666666666664</v>
      </c>
    </row>
    <row r="30" spans="1:14" ht="12.75" customHeight="1" outlineLevel="2">
      <c r="A30" s="1" t="s">
        <v>128</v>
      </c>
      <c r="B30" s="87">
        <v>45167</v>
      </c>
      <c r="C30" s="1" t="s">
        <v>129</v>
      </c>
      <c r="D30" s="1" t="s">
        <v>139</v>
      </c>
      <c r="E30" s="88">
        <v>3200</v>
      </c>
      <c r="F30" s="89">
        <v>45138</v>
      </c>
      <c r="G30" s="89">
        <v>45139</v>
      </c>
      <c r="H30" s="86">
        <f>+L30*9</f>
        <v>38.4</v>
      </c>
      <c r="J30" s="90">
        <v>62.5</v>
      </c>
      <c r="K30" s="90">
        <f>+J30*12</f>
        <v>750</v>
      </c>
      <c r="L30" s="86">
        <f>+E30/K30</f>
        <v>4.2666666666666666</v>
      </c>
    </row>
    <row r="31" spans="1:14" ht="12.75" customHeight="1" outlineLevel="2">
      <c r="A31" s="1" t="s">
        <v>128</v>
      </c>
      <c r="B31" s="87">
        <v>45167</v>
      </c>
      <c r="C31" s="1" t="s">
        <v>129</v>
      </c>
      <c r="D31" s="1" t="s">
        <v>139</v>
      </c>
      <c r="E31" s="88">
        <v>930</v>
      </c>
      <c r="F31" s="89">
        <v>45138</v>
      </c>
      <c r="G31" s="89">
        <v>45139</v>
      </c>
      <c r="H31" s="86">
        <f>+L31*9</f>
        <v>11.16</v>
      </c>
      <c r="J31" s="90">
        <v>62.5</v>
      </c>
      <c r="K31" s="90">
        <f>+J31*12</f>
        <v>750</v>
      </c>
      <c r="L31" s="86">
        <f>+E31/K31</f>
        <v>1.24</v>
      </c>
    </row>
    <row r="32" spans="1:14" ht="12.75" customHeight="1" outlineLevel="2">
      <c r="A32" s="1" t="s">
        <v>128</v>
      </c>
      <c r="B32" s="87">
        <v>45167</v>
      </c>
      <c r="C32" s="1" t="s">
        <v>129</v>
      </c>
      <c r="D32" s="1" t="s">
        <v>139</v>
      </c>
      <c r="E32" s="88">
        <v>19270</v>
      </c>
      <c r="F32" s="89">
        <v>45138</v>
      </c>
      <c r="G32" s="89">
        <v>45139</v>
      </c>
      <c r="H32" s="86">
        <f>+L32*9</f>
        <v>231.23999999999998</v>
      </c>
      <c r="J32" s="90">
        <v>62.5</v>
      </c>
      <c r="K32" s="90">
        <f>+J32*12</f>
        <v>750</v>
      </c>
      <c r="L32" s="86">
        <f>+E32/K32</f>
        <v>25.693333333333332</v>
      </c>
    </row>
    <row r="33" spans="1:14" ht="12.75" customHeight="1" outlineLevel="2">
      <c r="A33" s="1" t="s">
        <v>128</v>
      </c>
      <c r="B33" s="87">
        <v>45167</v>
      </c>
      <c r="C33" s="1" t="s">
        <v>129</v>
      </c>
      <c r="D33" s="1" t="s">
        <v>139</v>
      </c>
      <c r="E33" s="88">
        <v>24600</v>
      </c>
      <c r="F33" s="89">
        <v>45138</v>
      </c>
      <c r="G33" s="89">
        <v>45139</v>
      </c>
      <c r="H33" s="86">
        <f>+L33*9</f>
        <v>295.2</v>
      </c>
      <c r="J33" s="90">
        <v>62.5</v>
      </c>
      <c r="K33" s="90">
        <f>+J33*12</f>
        <v>750</v>
      </c>
      <c r="L33" s="86">
        <f>+E33/K33</f>
        <v>32.799999999999997</v>
      </c>
    </row>
    <row r="34" spans="1:14" ht="12.75" customHeight="1" outlineLevel="2">
      <c r="A34" s="1" t="s">
        <v>131</v>
      </c>
      <c r="B34" s="87">
        <v>45167</v>
      </c>
      <c r="C34" s="1" t="s">
        <v>129</v>
      </c>
      <c r="D34" s="1" t="s">
        <v>139</v>
      </c>
      <c r="E34" s="88">
        <v>12000</v>
      </c>
      <c r="F34" s="89">
        <v>45138</v>
      </c>
      <c r="G34" s="89">
        <v>45139</v>
      </c>
      <c r="H34" s="86">
        <f>+L34*9</f>
        <v>180</v>
      </c>
      <c r="J34" s="90">
        <v>50</v>
      </c>
      <c r="K34" s="90">
        <f>+J34*12</f>
        <v>600</v>
      </c>
      <c r="L34" s="86">
        <f>+E34/K34</f>
        <v>20</v>
      </c>
    </row>
    <row r="35" spans="1:14" ht="12.75" customHeight="1" outlineLevel="1">
      <c r="B35" s="87"/>
      <c r="D35" s="45" t="s">
        <v>140</v>
      </c>
      <c r="E35" s="50">
        <f>SUBTOTAL(9,E30:E34)</f>
        <v>60000</v>
      </c>
      <c r="F35" s="51"/>
      <c r="G35" s="51"/>
      <c r="H35" s="52">
        <f>SUBTOTAL(9,H30:H34)</f>
        <v>756</v>
      </c>
      <c r="I35" s="45"/>
      <c r="J35" s="53"/>
      <c r="K35" s="53"/>
      <c r="L35" s="52">
        <f>SUBTOTAL(9,L30:L34)</f>
        <v>84</v>
      </c>
      <c r="M35" s="110">
        <v>7</v>
      </c>
      <c r="N35" s="29">
        <f>+L35*M35</f>
        <v>588</v>
      </c>
    </row>
    <row r="36" spans="1:14" ht="12.75" customHeight="1" outlineLevel="2">
      <c r="A36" s="1" t="s">
        <v>128</v>
      </c>
      <c r="B36" s="87">
        <v>45167</v>
      </c>
      <c r="C36" s="1" t="s">
        <v>129</v>
      </c>
      <c r="D36" s="1" t="s">
        <v>141</v>
      </c>
      <c r="E36" s="88">
        <v>4000</v>
      </c>
      <c r="F36" s="89">
        <v>45138</v>
      </c>
      <c r="G36" s="89">
        <v>45139</v>
      </c>
      <c r="H36" s="86">
        <f>+L36*9</f>
        <v>48</v>
      </c>
      <c r="J36" s="90">
        <v>62.5</v>
      </c>
      <c r="K36" s="90">
        <f>+J36*12</f>
        <v>750</v>
      </c>
      <c r="L36" s="86">
        <f>+E36/K36</f>
        <v>5.333333333333333</v>
      </c>
    </row>
    <row r="37" spans="1:14" ht="12.75" customHeight="1" outlineLevel="2">
      <c r="A37" s="1" t="s">
        <v>128</v>
      </c>
      <c r="B37" s="87">
        <v>45167</v>
      </c>
      <c r="C37" s="1" t="s">
        <v>129</v>
      </c>
      <c r="D37" s="1" t="s">
        <v>141</v>
      </c>
      <c r="E37" s="88">
        <v>32000</v>
      </c>
      <c r="F37" s="89">
        <v>45138</v>
      </c>
      <c r="G37" s="89">
        <v>45139</v>
      </c>
      <c r="H37" s="86">
        <f>+L37*9</f>
        <v>384</v>
      </c>
      <c r="J37" s="90">
        <v>62.5</v>
      </c>
      <c r="K37" s="90">
        <f>+J37*12</f>
        <v>750</v>
      </c>
      <c r="L37" s="86">
        <f>+E37/K37</f>
        <v>42.666666666666664</v>
      </c>
    </row>
    <row r="38" spans="1:14" ht="12.75" customHeight="1" outlineLevel="2">
      <c r="A38" s="1" t="s">
        <v>131</v>
      </c>
      <c r="B38" s="87">
        <v>45167</v>
      </c>
      <c r="C38" s="1" t="s">
        <v>129</v>
      </c>
      <c r="D38" s="1" t="s">
        <v>141</v>
      </c>
      <c r="E38" s="88">
        <v>6000</v>
      </c>
      <c r="F38" s="89">
        <v>45138</v>
      </c>
      <c r="G38" s="89">
        <v>45139</v>
      </c>
      <c r="H38" s="86">
        <f>+L38*9</f>
        <v>90</v>
      </c>
      <c r="J38" s="90">
        <v>50</v>
      </c>
      <c r="K38" s="90">
        <f>+J38*12</f>
        <v>600</v>
      </c>
      <c r="L38" s="86">
        <f>+E38/K38</f>
        <v>10</v>
      </c>
    </row>
    <row r="39" spans="1:14" ht="12.75" customHeight="1" outlineLevel="1">
      <c r="B39" s="87"/>
      <c r="D39" s="45" t="s">
        <v>142</v>
      </c>
      <c r="E39" s="50">
        <f>SUBTOTAL(9,E36:E38)</f>
        <v>42000</v>
      </c>
      <c r="F39" s="51"/>
      <c r="G39" s="51"/>
      <c r="H39" s="52">
        <f>SUBTOTAL(9,H36:H38)</f>
        <v>522</v>
      </c>
      <c r="I39" s="45"/>
      <c r="J39" s="53"/>
      <c r="K39" s="53"/>
      <c r="L39" s="52">
        <f>SUBTOTAL(9,L36:L38)</f>
        <v>58</v>
      </c>
      <c r="M39" s="110">
        <v>7</v>
      </c>
      <c r="N39" s="29">
        <f>+L39*M39</f>
        <v>406</v>
      </c>
    </row>
    <row r="40" spans="1:14" ht="12.75" customHeight="1" outlineLevel="2">
      <c r="A40" s="1" t="s">
        <v>128</v>
      </c>
      <c r="B40" s="87">
        <v>45167</v>
      </c>
      <c r="C40" s="1" t="s">
        <v>129</v>
      </c>
      <c r="D40" s="1" t="s">
        <v>143</v>
      </c>
      <c r="E40" s="88">
        <v>2830</v>
      </c>
      <c r="F40" s="89">
        <v>45138</v>
      </c>
      <c r="G40" s="89">
        <v>45139</v>
      </c>
      <c r="H40" s="86">
        <f>+L40*9</f>
        <v>33.96</v>
      </c>
      <c r="J40" s="90">
        <v>62.5</v>
      </c>
      <c r="K40" s="90">
        <f>+J40*12</f>
        <v>750</v>
      </c>
      <c r="L40" s="86">
        <f>+E40/K40</f>
        <v>3.7733333333333334</v>
      </c>
    </row>
    <row r="41" spans="1:14" ht="12.75" customHeight="1" outlineLevel="2">
      <c r="A41" s="1" t="s">
        <v>128</v>
      </c>
      <c r="B41" s="87">
        <v>45167</v>
      </c>
      <c r="C41" s="1" t="s">
        <v>129</v>
      </c>
      <c r="D41" s="1" t="s">
        <v>143</v>
      </c>
      <c r="E41" s="88">
        <v>1300</v>
      </c>
      <c r="F41" s="89">
        <v>45138</v>
      </c>
      <c r="G41" s="89">
        <v>45139</v>
      </c>
      <c r="H41" s="86">
        <f>+L41*9</f>
        <v>15.600000000000001</v>
      </c>
      <c r="J41" s="90">
        <v>62.5</v>
      </c>
      <c r="K41" s="90">
        <f>+J41*12</f>
        <v>750</v>
      </c>
      <c r="L41" s="86">
        <f>+E41/K41</f>
        <v>1.7333333333333334</v>
      </c>
    </row>
    <row r="42" spans="1:14" ht="12.75" customHeight="1" outlineLevel="2">
      <c r="A42" s="1" t="s">
        <v>128</v>
      </c>
      <c r="B42" s="87">
        <v>45167</v>
      </c>
      <c r="C42" s="1" t="s">
        <v>129</v>
      </c>
      <c r="D42" s="1" t="s">
        <v>143</v>
      </c>
      <c r="E42" s="88">
        <v>3200</v>
      </c>
      <c r="F42" s="89">
        <v>45138</v>
      </c>
      <c r="G42" s="89">
        <v>45139</v>
      </c>
      <c r="H42" s="86">
        <f>+L42*9</f>
        <v>38.4</v>
      </c>
      <c r="J42" s="90">
        <v>62.5</v>
      </c>
      <c r="K42" s="90">
        <f>+J42*12</f>
        <v>750</v>
      </c>
      <c r="L42" s="86">
        <f>+E42/K42</f>
        <v>4.2666666666666666</v>
      </c>
    </row>
    <row r="43" spans="1:14" ht="12.75" customHeight="1" outlineLevel="2">
      <c r="A43" s="1" t="s">
        <v>128</v>
      </c>
      <c r="B43" s="87">
        <v>45167</v>
      </c>
      <c r="C43" s="1" t="s">
        <v>129</v>
      </c>
      <c r="D43" s="1" t="s">
        <v>143</v>
      </c>
      <c r="E43" s="88">
        <v>55040</v>
      </c>
      <c r="F43" s="89">
        <v>45138</v>
      </c>
      <c r="G43" s="89">
        <v>45139</v>
      </c>
      <c r="H43" s="86">
        <f>+L43*9</f>
        <v>660.48</v>
      </c>
      <c r="J43" s="90">
        <v>62.5</v>
      </c>
      <c r="K43" s="90">
        <f>+J43*12</f>
        <v>750</v>
      </c>
      <c r="L43" s="86">
        <f>+E43/K43</f>
        <v>73.38666666666667</v>
      </c>
    </row>
    <row r="44" spans="1:14" ht="12.75" customHeight="1" outlineLevel="2">
      <c r="A44" s="1" t="s">
        <v>131</v>
      </c>
      <c r="B44" s="87">
        <v>45167</v>
      </c>
      <c r="C44" s="1" t="s">
        <v>129</v>
      </c>
      <c r="D44" s="1" t="s">
        <v>143</v>
      </c>
      <c r="E44" s="88">
        <v>16500</v>
      </c>
      <c r="F44" s="89">
        <v>45138</v>
      </c>
      <c r="G44" s="89">
        <v>45139</v>
      </c>
      <c r="H44" s="86">
        <f>+L44*9</f>
        <v>247.5</v>
      </c>
      <c r="J44" s="90">
        <v>50</v>
      </c>
      <c r="K44" s="90">
        <f>+J44*12</f>
        <v>600</v>
      </c>
      <c r="L44" s="86">
        <f>+E44/K44</f>
        <v>27.5</v>
      </c>
    </row>
    <row r="45" spans="1:14" ht="12.75" customHeight="1" outlineLevel="1">
      <c r="B45" s="87"/>
      <c r="D45" s="45" t="s">
        <v>144</v>
      </c>
      <c r="E45" s="50">
        <f>SUBTOTAL(9,E40:E44)</f>
        <v>78870</v>
      </c>
      <c r="F45" s="51"/>
      <c r="G45" s="51"/>
      <c r="H45" s="52">
        <f>SUBTOTAL(9,H40:H44)</f>
        <v>995.94</v>
      </c>
      <c r="I45" s="45"/>
      <c r="J45" s="53"/>
      <c r="K45" s="53"/>
      <c r="L45" s="52">
        <f>SUBTOTAL(9,L40:L44)</f>
        <v>110.66</v>
      </c>
      <c r="M45" s="110">
        <v>7</v>
      </c>
      <c r="N45" s="29">
        <f>+L45*M45</f>
        <v>774.62</v>
      </c>
    </row>
    <row r="46" spans="1:14" ht="12.75" customHeight="1" outlineLevel="2">
      <c r="A46" s="1" t="s">
        <v>128</v>
      </c>
      <c r="B46" s="87">
        <v>45167</v>
      </c>
      <c r="C46" s="1" t="s">
        <v>129</v>
      </c>
      <c r="D46" s="1" t="s">
        <v>145</v>
      </c>
      <c r="E46" s="88">
        <v>5600</v>
      </c>
      <c r="F46" s="89">
        <v>45138</v>
      </c>
      <c r="G46" s="89">
        <v>45139</v>
      </c>
      <c r="H46" s="86">
        <f>+L46*9</f>
        <v>67.2</v>
      </c>
      <c r="J46" s="90">
        <v>62.5</v>
      </c>
      <c r="K46" s="90">
        <f>+J46*12</f>
        <v>750</v>
      </c>
      <c r="L46" s="86">
        <f>+E46/K46</f>
        <v>7.4666666666666668</v>
      </c>
    </row>
    <row r="47" spans="1:14" ht="12.75" customHeight="1" outlineLevel="2">
      <c r="A47" s="1" t="s">
        <v>128</v>
      </c>
      <c r="B47" s="87">
        <v>45167</v>
      </c>
      <c r="C47" s="1" t="s">
        <v>129</v>
      </c>
      <c r="D47" s="1" t="s">
        <v>145</v>
      </c>
      <c r="E47" s="88">
        <v>8000</v>
      </c>
      <c r="F47" s="89">
        <v>45138</v>
      </c>
      <c r="G47" s="89">
        <v>45139</v>
      </c>
      <c r="H47" s="86">
        <f>+L47*9</f>
        <v>96</v>
      </c>
      <c r="J47" s="90">
        <v>62.5</v>
      </c>
      <c r="K47" s="90">
        <f>+J47*12</f>
        <v>750</v>
      </c>
      <c r="L47" s="86">
        <f>+E47/K47</f>
        <v>10.666666666666666</v>
      </c>
    </row>
    <row r="48" spans="1:14" ht="12.75" customHeight="1" outlineLevel="2">
      <c r="A48" s="1" t="s">
        <v>128</v>
      </c>
      <c r="B48" s="87">
        <v>45167</v>
      </c>
      <c r="C48" s="1" t="s">
        <v>129</v>
      </c>
      <c r="D48" s="1" t="s">
        <v>145</v>
      </c>
      <c r="E48" s="88">
        <v>-7500</v>
      </c>
      <c r="F48" s="89">
        <v>45138</v>
      </c>
      <c r="G48" s="89">
        <v>45139</v>
      </c>
      <c r="H48" s="86">
        <f>+L48*9</f>
        <v>-90</v>
      </c>
      <c r="J48" s="90">
        <v>62.5</v>
      </c>
      <c r="K48" s="90">
        <f>+J48*12</f>
        <v>750</v>
      </c>
      <c r="L48" s="86">
        <f>+E48/K48</f>
        <v>-10</v>
      </c>
    </row>
    <row r="49" spans="1:14" ht="12.75" customHeight="1" outlineLevel="1">
      <c r="B49" s="87"/>
      <c r="D49" s="45" t="s">
        <v>146</v>
      </c>
      <c r="E49" s="50">
        <f>SUBTOTAL(9,E46:E48)</f>
        <v>6100</v>
      </c>
      <c r="F49" s="51"/>
      <c r="G49" s="51"/>
      <c r="H49" s="52">
        <f>SUBTOTAL(9,H46:H48)</f>
        <v>73.199999999999989</v>
      </c>
      <c r="I49" s="45"/>
      <c r="J49" s="53"/>
      <c r="K49" s="53"/>
      <c r="L49" s="52">
        <f>SUBTOTAL(9,L46:L48)</f>
        <v>8.1333333333333329</v>
      </c>
      <c r="M49" s="110">
        <v>7</v>
      </c>
      <c r="N49" s="29">
        <f>+L49*M49</f>
        <v>56.93333333333333</v>
      </c>
    </row>
    <row r="50" spans="1:14" ht="12.75" customHeight="1" outlineLevel="2">
      <c r="A50" s="1" t="s">
        <v>128</v>
      </c>
      <c r="B50" s="87">
        <v>45167</v>
      </c>
      <c r="C50" s="1" t="s">
        <v>129</v>
      </c>
      <c r="D50" s="1" t="s">
        <v>147</v>
      </c>
      <c r="E50" s="88">
        <v>6600</v>
      </c>
      <c r="F50" s="89">
        <v>45138</v>
      </c>
      <c r="G50" s="89">
        <v>45139</v>
      </c>
      <c r="H50" s="86">
        <f>+L50*9</f>
        <v>79.2</v>
      </c>
      <c r="J50" s="90">
        <v>62.5</v>
      </c>
      <c r="K50" s="90">
        <f>+J50*12</f>
        <v>750</v>
      </c>
      <c r="L50" s="86">
        <f>+E50/K50</f>
        <v>8.8000000000000007</v>
      </c>
    </row>
    <row r="51" spans="1:14" ht="12.75" customHeight="1" outlineLevel="2">
      <c r="A51" s="1" t="s">
        <v>128</v>
      </c>
      <c r="B51" s="87">
        <v>45167</v>
      </c>
      <c r="C51" s="1" t="s">
        <v>129</v>
      </c>
      <c r="D51" s="1" t="s">
        <v>147</v>
      </c>
      <c r="E51" s="88">
        <v>85200</v>
      </c>
      <c r="F51" s="89">
        <v>45138</v>
      </c>
      <c r="G51" s="89">
        <v>45139</v>
      </c>
      <c r="H51" s="86">
        <f>+L51*9</f>
        <v>1022.4</v>
      </c>
      <c r="J51" s="90">
        <v>62.5</v>
      </c>
      <c r="K51" s="90">
        <f>+J51*12</f>
        <v>750</v>
      </c>
      <c r="L51" s="86">
        <f>+E51/K51</f>
        <v>113.6</v>
      </c>
    </row>
    <row r="52" spans="1:14" ht="12.75" customHeight="1" outlineLevel="2">
      <c r="A52" s="1" t="s">
        <v>128</v>
      </c>
      <c r="B52" s="87">
        <v>45167</v>
      </c>
      <c r="C52" s="1" t="s">
        <v>129</v>
      </c>
      <c r="D52" s="1" t="s">
        <v>147</v>
      </c>
      <c r="E52" s="88">
        <v>15000</v>
      </c>
      <c r="F52" s="89">
        <v>45138</v>
      </c>
      <c r="G52" s="89">
        <v>45139</v>
      </c>
      <c r="H52" s="86">
        <f>+L52*9</f>
        <v>180</v>
      </c>
      <c r="J52" s="90">
        <v>62.5</v>
      </c>
      <c r="K52" s="90">
        <f>+J52*12</f>
        <v>750</v>
      </c>
      <c r="L52" s="86">
        <f>+E52/K52</f>
        <v>20</v>
      </c>
    </row>
    <row r="53" spans="1:14" ht="12.75" customHeight="1" outlineLevel="2">
      <c r="A53" s="1" t="s">
        <v>131</v>
      </c>
      <c r="B53" s="87">
        <v>45167</v>
      </c>
      <c r="C53" s="1" t="s">
        <v>129</v>
      </c>
      <c r="D53" s="1" t="s">
        <v>147</v>
      </c>
      <c r="E53" s="88">
        <v>5460</v>
      </c>
      <c r="F53" s="89">
        <v>45138</v>
      </c>
      <c r="G53" s="89">
        <v>45139</v>
      </c>
      <c r="H53" s="86">
        <f>+L53*9</f>
        <v>81.899999999999991</v>
      </c>
      <c r="J53" s="90">
        <v>50</v>
      </c>
      <c r="K53" s="90">
        <f>+J53*12</f>
        <v>600</v>
      </c>
      <c r="L53" s="86">
        <f>+E53/K53</f>
        <v>9.1</v>
      </c>
    </row>
    <row r="54" spans="1:14" ht="12.75" customHeight="1" outlineLevel="1">
      <c r="B54" s="87"/>
      <c r="D54" s="45" t="s">
        <v>148</v>
      </c>
      <c r="E54" s="50">
        <f>SUBTOTAL(9,E50:E53)</f>
        <v>112260</v>
      </c>
      <c r="F54" s="51"/>
      <c r="G54" s="51"/>
      <c r="H54" s="52">
        <f>SUBTOTAL(9,H50:H53)</f>
        <v>1363.5</v>
      </c>
      <c r="I54" s="45"/>
      <c r="J54" s="53"/>
      <c r="K54" s="53"/>
      <c r="L54" s="52">
        <f>SUBTOTAL(9,L50:L53)</f>
        <v>151.49999999999997</v>
      </c>
      <c r="M54" s="110">
        <v>7</v>
      </c>
      <c r="N54" s="29">
        <f>+L54*M54</f>
        <v>1060.4999999999998</v>
      </c>
    </row>
    <row r="55" spans="1:14" ht="12.75" customHeight="1" outlineLevel="2">
      <c r="A55" s="1" t="s">
        <v>128</v>
      </c>
      <c r="B55" s="87">
        <v>45168</v>
      </c>
      <c r="C55" s="1" t="s">
        <v>149</v>
      </c>
      <c r="D55" s="1" t="s">
        <v>150</v>
      </c>
      <c r="E55" s="88">
        <v>2350</v>
      </c>
      <c r="F55" s="89">
        <v>45169</v>
      </c>
      <c r="G55" s="89">
        <v>45170</v>
      </c>
      <c r="H55" s="86">
        <f t="shared" ref="H55:H65" si="3">+L55*8</f>
        <v>25.066666666666666</v>
      </c>
      <c r="J55" s="90">
        <v>62.5</v>
      </c>
      <c r="K55" s="90">
        <f t="shared" ref="K55:K65" si="4">+J55*12</f>
        <v>750</v>
      </c>
      <c r="L55" s="86">
        <f t="shared" ref="L55:L65" si="5">+E55/K55</f>
        <v>3.1333333333333333</v>
      </c>
    </row>
    <row r="56" spans="1:14" ht="12.75" customHeight="1" outlineLevel="2">
      <c r="A56" s="1" t="s">
        <v>128</v>
      </c>
      <c r="B56" s="87">
        <v>45168</v>
      </c>
      <c r="C56" s="1" t="s">
        <v>149</v>
      </c>
      <c r="D56" s="1" t="s">
        <v>150</v>
      </c>
      <c r="E56" s="88">
        <v>1800</v>
      </c>
      <c r="F56" s="89">
        <v>45169</v>
      </c>
      <c r="G56" s="89">
        <v>45170</v>
      </c>
      <c r="H56" s="86">
        <f t="shared" si="3"/>
        <v>19.2</v>
      </c>
      <c r="J56" s="90">
        <v>62.5</v>
      </c>
      <c r="K56" s="90">
        <f t="shared" si="4"/>
        <v>750</v>
      </c>
      <c r="L56" s="86">
        <f t="shared" si="5"/>
        <v>2.4</v>
      </c>
    </row>
    <row r="57" spans="1:14" ht="12.75" customHeight="1" outlineLevel="2">
      <c r="A57" s="1" t="s">
        <v>128</v>
      </c>
      <c r="B57" s="87">
        <v>45168</v>
      </c>
      <c r="C57" s="1" t="s">
        <v>149</v>
      </c>
      <c r="D57" s="1" t="s">
        <v>150</v>
      </c>
      <c r="E57" s="88">
        <v>19200</v>
      </c>
      <c r="F57" s="89">
        <v>45169</v>
      </c>
      <c r="G57" s="89">
        <v>45170</v>
      </c>
      <c r="H57" s="86">
        <f t="shared" si="3"/>
        <v>204.8</v>
      </c>
      <c r="J57" s="90">
        <v>62.5</v>
      </c>
      <c r="K57" s="90">
        <f t="shared" si="4"/>
        <v>750</v>
      </c>
      <c r="L57" s="86">
        <f t="shared" si="5"/>
        <v>25.6</v>
      </c>
    </row>
    <row r="58" spans="1:14" ht="12.75" customHeight="1" outlineLevel="2">
      <c r="A58" s="1" t="s">
        <v>128</v>
      </c>
      <c r="B58" s="87">
        <v>45168</v>
      </c>
      <c r="C58" s="1" t="s">
        <v>149</v>
      </c>
      <c r="D58" s="1" t="s">
        <v>150</v>
      </c>
      <c r="E58" s="88">
        <v>9900</v>
      </c>
      <c r="F58" s="89">
        <v>45169</v>
      </c>
      <c r="G58" s="89">
        <v>45170</v>
      </c>
      <c r="H58" s="86">
        <f t="shared" si="3"/>
        <v>105.6</v>
      </c>
      <c r="J58" s="90">
        <v>62.5</v>
      </c>
      <c r="K58" s="90">
        <f t="shared" si="4"/>
        <v>750</v>
      </c>
      <c r="L58" s="86">
        <f t="shared" si="5"/>
        <v>13.2</v>
      </c>
    </row>
    <row r="59" spans="1:14" ht="12.75" customHeight="1" outlineLevel="2">
      <c r="A59" s="1" t="s">
        <v>128</v>
      </c>
      <c r="B59" s="87">
        <v>45168</v>
      </c>
      <c r="C59" s="1" t="s">
        <v>149</v>
      </c>
      <c r="D59" s="1" t="s">
        <v>150</v>
      </c>
      <c r="E59" s="88">
        <v>16500</v>
      </c>
      <c r="F59" s="89">
        <v>45169</v>
      </c>
      <c r="G59" s="89">
        <v>45170</v>
      </c>
      <c r="H59" s="86">
        <f t="shared" si="3"/>
        <v>176</v>
      </c>
      <c r="J59" s="90">
        <v>62.5</v>
      </c>
      <c r="K59" s="90">
        <f t="shared" si="4"/>
        <v>750</v>
      </c>
      <c r="L59" s="86">
        <f t="shared" si="5"/>
        <v>22</v>
      </c>
    </row>
    <row r="60" spans="1:14" ht="12.75" customHeight="1" outlineLevel="2">
      <c r="A60" s="1" t="s">
        <v>128</v>
      </c>
      <c r="B60" s="87">
        <v>45168</v>
      </c>
      <c r="C60" s="1" t="s">
        <v>149</v>
      </c>
      <c r="D60" s="1" t="s">
        <v>150</v>
      </c>
      <c r="E60" s="88">
        <v>200000</v>
      </c>
      <c r="F60" s="89">
        <v>45169</v>
      </c>
      <c r="G60" s="89">
        <v>45170</v>
      </c>
      <c r="H60" s="86">
        <f t="shared" si="3"/>
        <v>2133.3333333333335</v>
      </c>
      <c r="J60" s="90">
        <v>62.5</v>
      </c>
      <c r="K60" s="90">
        <f t="shared" si="4"/>
        <v>750</v>
      </c>
      <c r="L60" s="86">
        <f t="shared" si="5"/>
        <v>266.66666666666669</v>
      </c>
    </row>
    <row r="61" spans="1:14" ht="12.75" customHeight="1" outlineLevel="2">
      <c r="A61" s="1" t="s">
        <v>128</v>
      </c>
      <c r="B61" s="87">
        <v>45168</v>
      </c>
      <c r="C61" s="1" t="s">
        <v>149</v>
      </c>
      <c r="D61" s="1" t="s">
        <v>150</v>
      </c>
      <c r="E61" s="88">
        <v>2100</v>
      </c>
      <c r="F61" s="89">
        <v>45169</v>
      </c>
      <c r="G61" s="89">
        <v>45170</v>
      </c>
      <c r="H61" s="86">
        <f t="shared" si="3"/>
        <v>22.4</v>
      </c>
      <c r="J61" s="90">
        <v>62.5</v>
      </c>
      <c r="K61" s="90">
        <f t="shared" si="4"/>
        <v>750</v>
      </c>
      <c r="L61" s="86">
        <f t="shared" si="5"/>
        <v>2.8</v>
      </c>
    </row>
    <row r="62" spans="1:14" ht="12.75" customHeight="1" outlineLevel="2">
      <c r="A62" s="1" t="s">
        <v>128</v>
      </c>
      <c r="B62" s="87">
        <v>45168</v>
      </c>
      <c r="C62" s="1" t="s">
        <v>149</v>
      </c>
      <c r="D62" s="1" t="s">
        <v>150</v>
      </c>
      <c r="E62" s="88">
        <v>102900</v>
      </c>
      <c r="F62" s="89">
        <v>45169</v>
      </c>
      <c r="G62" s="89">
        <v>45170</v>
      </c>
      <c r="H62" s="86">
        <f t="shared" si="3"/>
        <v>1097.5999999999999</v>
      </c>
      <c r="J62" s="90">
        <v>62.5</v>
      </c>
      <c r="K62" s="90">
        <f t="shared" si="4"/>
        <v>750</v>
      </c>
      <c r="L62" s="86">
        <f t="shared" si="5"/>
        <v>137.19999999999999</v>
      </c>
    </row>
    <row r="63" spans="1:14" ht="12.75" customHeight="1" outlineLevel="2">
      <c r="A63" s="1" t="s">
        <v>128</v>
      </c>
      <c r="B63" s="87">
        <v>45168</v>
      </c>
      <c r="C63" s="1" t="s">
        <v>149</v>
      </c>
      <c r="D63" s="1" t="s">
        <v>150</v>
      </c>
      <c r="E63" s="88">
        <v>8000</v>
      </c>
      <c r="F63" s="89">
        <v>45169</v>
      </c>
      <c r="G63" s="89">
        <v>45170</v>
      </c>
      <c r="H63" s="86">
        <f t="shared" si="3"/>
        <v>85.333333333333329</v>
      </c>
      <c r="J63" s="90">
        <v>62.5</v>
      </c>
      <c r="K63" s="90">
        <f t="shared" si="4"/>
        <v>750</v>
      </c>
      <c r="L63" s="86">
        <f t="shared" si="5"/>
        <v>10.666666666666666</v>
      </c>
    </row>
    <row r="64" spans="1:14" ht="12.75" customHeight="1" outlineLevel="2">
      <c r="A64" s="1" t="s">
        <v>128</v>
      </c>
      <c r="B64" s="87">
        <v>45168</v>
      </c>
      <c r="C64" s="1" t="s">
        <v>149</v>
      </c>
      <c r="D64" s="1" t="s">
        <v>150</v>
      </c>
      <c r="E64" s="88">
        <v>2000</v>
      </c>
      <c r="F64" s="89">
        <v>45169</v>
      </c>
      <c r="G64" s="89">
        <v>45170</v>
      </c>
      <c r="H64" s="86">
        <f t="shared" si="3"/>
        <v>21.333333333333332</v>
      </c>
      <c r="J64" s="90">
        <v>62.5</v>
      </c>
      <c r="K64" s="90">
        <f t="shared" si="4"/>
        <v>750</v>
      </c>
      <c r="L64" s="86">
        <f t="shared" si="5"/>
        <v>2.6666666666666665</v>
      </c>
    </row>
    <row r="65" spans="1:14" ht="12.75" customHeight="1" outlineLevel="2">
      <c r="A65" s="1" t="s">
        <v>131</v>
      </c>
      <c r="B65" s="87">
        <v>45168</v>
      </c>
      <c r="C65" s="1" t="s">
        <v>149</v>
      </c>
      <c r="D65" s="1" t="s">
        <v>150</v>
      </c>
      <c r="E65" s="88">
        <v>76500</v>
      </c>
      <c r="F65" s="89">
        <v>45169</v>
      </c>
      <c r="G65" s="89">
        <v>45170</v>
      </c>
      <c r="H65" s="86">
        <f t="shared" si="3"/>
        <v>1020</v>
      </c>
      <c r="J65" s="90">
        <v>50</v>
      </c>
      <c r="K65" s="90">
        <f t="shared" si="4"/>
        <v>600</v>
      </c>
      <c r="L65" s="86">
        <f t="shared" si="5"/>
        <v>127.5</v>
      </c>
    </row>
    <row r="66" spans="1:14" ht="12.75" customHeight="1" outlineLevel="1">
      <c r="B66" s="87"/>
      <c r="D66" s="45" t="s">
        <v>151</v>
      </c>
      <c r="E66" s="50">
        <f>SUBTOTAL(9,E55:E65)</f>
        <v>441250</v>
      </c>
      <c r="F66" s="51"/>
      <c r="G66" s="51"/>
      <c r="H66" s="52">
        <f>SUBTOTAL(9,H55:H65)</f>
        <v>4910.666666666667</v>
      </c>
      <c r="I66" s="45"/>
      <c r="J66" s="53"/>
      <c r="K66" s="53"/>
      <c r="L66" s="52">
        <f>SUBTOTAL(9,L55:L65)</f>
        <v>613.83333333333337</v>
      </c>
      <c r="M66" s="110">
        <v>8</v>
      </c>
      <c r="N66" s="29">
        <f>+L66*M66</f>
        <v>4910.666666666667</v>
      </c>
    </row>
    <row r="67" spans="1:14" ht="12.75" customHeight="1" outlineLevel="2">
      <c r="A67" s="1" t="s">
        <v>128</v>
      </c>
      <c r="B67" s="87">
        <v>45276</v>
      </c>
      <c r="C67" s="1" t="s">
        <v>152</v>
      </c>
      <c r="D67" s="1" t="s">
        <v>153</v>
      </c>
      <c r="E67" s="88">
        <v>4000</v>
      </c>
      <c r="F67" s="89">
        <v>45229</v>
      </c>
      <c r="G67" s="89">
        <v>45231</v>
      </c>
      <c r="H67" s="86">
        <f t="shared" ref="H67:H75" si="6">+L67*6</f>
        <v>32</v>
      </c>
      <c r="J67" s="90">
        <v>62.5</v>
      </c>
      <c r="K67" s="90">
        <f t="shared" ref="K67:K75" si="7">+J67*12</f>
        <v>750</v>
      </c>
      <c r="L67" s="86">
        <f t="shared" ref="L67:L75" si="8">+E67/K67</f>
        <v>5.333333333333333</v>
      </c>
    </row>
    <row r="68" spans="1:14" ht="12.75" customHeight="1" outlineLevel="2">
      <c r="A68" s="1" t="s">
        <v>128</v>
      </c>
      <c r="B68" s="87">
        <v>45276</v>
      </c>
      <c r="C68" s="1" t="s">
        <v>152</v>
      </c>
      <c r="D68" s="1" t="s">
        <v>153</v>
      </c>
      <c r="E68" s="88">
        <v>1800</v>
      </c>
      <c r="F68" s="89">
        <v>45229</v>
      </c>
      <c r="G68" s="89">
        <v>45231</v>
      </c>
      <c r="H68" s="86">
        <f t="shared" si="6"/>
        <v>14.399999999999999</v>
      </c>
      <c r="J68" s="90">
        <v>62.5</v>
      </c>
      <c r="K68" s="90">
        <f t="shared" si="7"/>
        <v>750</v>
      </c>
      <c r="L68" s="86">
        <f t="shared" si="8"/>
        <v>2.4</v>
      </c>
    </row>
    <row r="69" spans="1:14" ht="12.75" customHeight="1" outlineLevel="2">
      <c r="A69" s="1" t="s">
        <v>128</v>
      </c>
      <c r="B69" s="87">
        <v>45276</v>
      </c>
      <c r="C69" s="1" t="s">
        <v>152</v>
      </c>
      <c r="D69" s="1" t="s">
        <v>153</v>
      </c>
      <c r="E69" s="88">
        <v>19200</v>
      </c>
      <c r="F69" s="89">
        <v>45229</v>
      </c>
      <c r="G69" s="89">
        <v>45231</v>
      </c>
      <c r="H69" s="86">
        <f t="shared" si="6"/>
        <v>153.60000000000002</v>
      </c>
      <c r="J69" s="90">
        <v>62.5</v>
      </c>
      <c r="K69" s="90">
        <f t="shared" si="7"/>
        <v>750</v>
      </c>
      <c r="L69" s="86">
        <f t="shared" si="8"/>
        <v>25.6</v>
      </c>
    </row>
    <row r="70" spans="1:14" ht="12.75" customHeight="1" outlineLevel="2">
      <c r="A70" s="1" t="s">
        <v>128</v>
      </c>
      <c r="B70" s="87">
        <v>45276</v>
      </c>
      <c r="C70" s="1" t="s">
        <v>152</v>
      </c>
      <c r="D70" s="1" t="s">
        <v>153</v>
      </c>
      <c r="E70" s="88">
        <v>103200</v>
      </c>
      <c r="F70" s="89">
        <v>45229</v>
      </c>
      <c r="G70" s="89">
        <v>45231</v>
      </c>
      <c r="H70" s="86">
        <f t="shared" si="6"/>
        <v>825.59999999999991</v>
      </c>
      <c r="J70" s="90">
        <v>62.5</v>
      </c>
      <c r="K70" s="90">
        <f t="shared" si="7"/>
        <v>750</v>
      </c>
      <c r="L70" s="86">
        <f t="shared" si="8"/>
        <v>137.6</v>
      </c>
    </row>
    <row r="71" spans="1:14" ht="12.75" customHeight="1" outlineLevel="2">
      <c r="A71" s="1" t="s">
        <v>128</v>
      </c>
      <c r="B71" s="87">
        <v>45276</v>
      </c>
      <c r="C71" s="1" t="s">
        <v>152</v>
      </c>
      <c r="D71" s="1" t="s">
        <v>153</v>
      </c>
      <c r="E71" s="88">
        <v>207700</v>
      </c>
      <c r="F71" s="89">
        <v>45229</v>
      </c>
      <c r="G71" s="89">
        <v>45231</v>
      </c>
      <c r="H71" s="86">
        <f t="shared" si="6"/>
        <v>1661.6</v>
      </c>
      <c r="J71" s="90">
        <v>62.5</v>
      </c>
      <c r="K71" s="90">
        <f t="shared" si="7"/>
        <v>750</v>
      </c>
      <c r="L71" s="86">
        <f t="shared" si="8"/>
        <v>276.93333333333334</v>
      </c>
    </row>
    <row r="72" spans="1:14" ht="12.75" customHeight="1" outlineLevel="2">
      <c r="A72" s="1" t="s">
        <v>128</v>
      </c>
      <c r="B72" s="87">
        <v>45276</v>
      </c>
      <c r="C72" s="1" t="s">
        <v>152</v>
      </c>
      <c r="D72" s="1" t="s">
        <v>153</v>
      </c>
      <c r="E72" s="88">
        <v>7200</v>
      </c>
      <c r="F72" s="89">
        <v>45229</v>
      </c>
      <c r="G72" s="89">
        <v>45231</v>
      </c>
      <c r="H72" s="86">
        <f t="shared" si="6"/>
        <v>57.599999999999994</v>
      </c>
      <c r="J72" s="90">
        <v>62.5</v>
      </c>
      <c r="K72" s="90">
        <f t="shared" si="7"/>
        <v>750</v>
      </c>
      <c r="L72" s="86">
        <f t="shared" si="8"/>
        <v>9.6</v>
      </c>
    </row>
    <row r="73" spans="1:14" ht="12.75" customHeight="1" outlineLevel="2">
      <c r="A73" s="1" t="s">
        <v>128</v>
      </c>
      <c r="B73" s="87">
        <v>45276</v>
      </c>
      <c r="C73" s="1" t="s">
        <v>152</v>
      </c>
      <c r="D73" s="1" t="s">
        <v>153</v>
      </c>
      <c r="E73" s="88">
        <v>6000</v>
      </c>
      <c r="F73" s="89">
        <v>45229</v>
      </c>
      <c r="G73" s="89">
        <v>45231</v>
      </c>
      <c r="H73" s="86">
        <f t="shared" si="6"/>
        <v>48</v>
      </c>
      <c r="J73" s="90">
        <v>62.5</v>
      </c>
      <c r="K73" s="90">
        <f t="shared" si="7"/>
        <v>750</v>
      </c>
      <c r="L73" s="86">
        <f t="shared" si="8"/>
        <v>8</v>
      </c>
    </row>
    <row r="74" spans="1:14" ht="12.75" customHeight="1" outlineLevel="2">
      <c r="A74" s="1" t="s">
        <v>128</v>
      </c>
      <c r="B74" s="87">
        <v>45276</v>
      </c>
      <c r="C74" s="1" t="s">
        <v>152</v>
      </c>
      <c r="D74" s="1" t="s">
        <v>153</v>
      </c>
      <c r="E74" s="88">
        <v>3400</v>
      </c>
      <c r="F74" s="89">
        <v>45229</v>
      </c>
      <c r="G74" s="89">
        <v>45231</v>
      </c>
      <c r="H74" s="86">
        <f t="shared" si="6"/>
        <v>27.2</v>
      </c>
      <c r="J74" s="90">
        <v>62.5</v>
      </c>
      <c r="K74" s="90">
        <f t="shared" si="7"/>
        <v>750</v>
      </c>
      <c r="L74" s="86">
        <f t="shared" si="8"/>
        <v>4.5333333333333332</v>
      </c>
    </row>
    <row r="75" spans="1:14" ht="12.75" customHeight="1" outlineLevel="2">
      <c r="A75" s="1" t="s">
        <v>131</v>
      </c>
      <c r="B75" s="87">
        <v>45276</v>
      </c>
      <c r="C75" s="1" t="s">
        <v>152</v>
      </c>
      <c r="D75" s="1" t="s">
        <v>153</v>
      </c>
      <c r="E75" s="88">
        <v>32500</v>
      </c>
      <c r="F75" s="89">
        <v>45229</v>
      </c>
      <c r="G75" s="89">
        <v>45231</v>
      </c>
      <c r="H75" s="86">
        <f t="shared" si="6"/>
        <v>325</v>
      </c>
      <c r="J75" s="90">
        <v>50</v>
      </c>
      <c r="K75" s="90">
        <f t="shared" si="7"/>
        <v>600</v>
      </c>
      <c r="L75" s="86">
        <f t="shared" si="8"/>
        <v>54.166666666666664</v>
      </c>
    </row>
    <row r="76" spans="1:14" ht="12.75" customHeight="1" outlineLevel="1">
      <c r="B76" s="87"/>
      <c r="D76" s="45" t="s">
        <v>154</v>
      </c>
      <c r="E76" s="50">
        <f>SUBTOTAL(9,E67:E75)</f>
        <v>385000</v>
      </c>
      <c r="F76" s="51"/>
      <c r="G76" s="51"/>
      <c r="H76" s="52">
        <f>SUBTOTAL(9,H67:H75)</f>
        <v>3144.9999999999995</v>
      </c>
      <c r="I76" s="45"/>
      <c r="J76" s="53"/>
      <c r="K76" s="53"/>
      <c r="L76" s="52">
        <f>SUBTOTAL(9,L67:L75)</f>
        <v>524.16666666666674</v>
      </c>
      <c r="M76" s="110">
        <v>10</v>
      </c>
      <c r="N76" s="29">
        <f>+L76*M76</f>
        <v>5241.6666666666679</v>
      </c>
    </row>
    <row r="77" spans="1:14" ht="12.75" customHeight="1" outlineLevel="2">
      <c r="A77" s="1" t="s">
        <v>128</v>
      </c>
      <c r="B77" s="87">
        <v>45291</v>
      </c>
      <c r="C77" s="1" t="s">
        <v>155</v>
      </c>
      <c r="D77" s="1" t="s">
        <v>156</v>
      </c>
      <c r="E77" s="88">
        <v>5600</v>
      </c>
      <c r="F77" s="89">
        <v>45232</v>
      </c>
      <c r="G77" s="89">
        <v>45261</v>
      </c>
      <c r="H77" s="86">
        <f>+L77*5</f>
        <v>37.333333333333336</v>
      </c>
      <c r="J77" s="90">
        <v>62.5</v>
      </c>
      <c r="K77" s="90">
        <f>+J77*12</f>
        <v>750</v>
      </c>
      <c r="L77" s="86">
        <f>+E77/K77</f>
        <v>7.4666666666666668</v>
      </c>
    </row>
    <row r="78" spans="1:14" ht="12.75" customHeight="1" outlineLevel="2">
      <c r="A78" s="1" t="s">
        <v>128</v>
      </c>
      <c r="B78" s="87">
        <v>45291</v>
      </c>
      <c r="C78" s="1" t="s">
        <v>155</v>
      </c>
      <c r="D78" s="1" t="s">
        <v>156</v>
      </c>
      <c r="E78" s="88">
        <v>6400</v>
      </c>
      <c r="F78" s="89">
        <v>45232</v>
      </c>
      <c r="G78" s="89">
        <v>45261</v>
      </c>
      <c r="H78" s="86">
        <f>+L78*5</f>
        <v>42.666666666666664</v>
      </c>
      <c r="J78" s="90">
        <v>62.5</v>
      </c>
      <c r="K78" s="90">
        <f>+J78*12</f>
        <v>750</v>
      </c>
      <c r="L78" s="86">
        <f>+E78/K78</f>
        <v>8.5333333333333332</v>
      </c>
    </row>
    <row r="79" spans="1:14" ht="12.75" customHeight="1" outlineLevel="2">
      <c r="A79" s="1" t="s">
        <v>128</v>
      </c>
      <c r="B79" s="87">
        <v>45291</v>
      </c>
      <c r="C79" s="1" t="s">
        <v>155</v>
      </c>
      <c r="D79" s="1" t="s">
        <v>156</v>
      </c>
      <c r="E79" s="88">
        <v>177750</v>
      </c>
      <c r="F79" s="89">
        <v>45232</v>
      </c>
      <c r="G79" s="89">
        <v>45261</v>
      </c>
      <c r="H79" s="86">
        <f>+L79*5</f>
        <v>1185</v>
      </c>
      <c r="J79" s="90">
        <v>62.5</v>
      </c>
      <c r="K79" s="90">
        <f>+J79*12</f>
        <v>750</v>
      </c>
      <c r="L79" s="86">
        <f>+E79/K79</f>
        <v>237</v>
      </c>
    </row>
    <row r="80" spans="1:14" ht="12.75" customHeight="1" outlineLevel="2">
      <c r="A80" s="1" t="s">
        <v>131</v>
      </c>
      <c r="B80" s="87">
        <v>45291</v>
      </c>
      <c r="C80" s="1" t="s">
        <v>155</v>
      </c>
      <c r="D80" s="1" t="s">
        <v>156</v>
      </c>
      <c r="E80" s="88">
        <v>19500</v>
      </c>
      <c r="F80" s="89">
        <v>45232</v>
      </c>
      <c r="G80" s="89">
        <v>45261</v>
      </c>
      <c r="H80" s="86">
        <f>+L80*5</f>
        <v>162.5</v>
      </c>
      <c r="J80" s="90">
        <v>50</v>
      </c>
      <c r="K80" s="90">
        <f>+J80*12</f>
        <v>600</v>
      </c>
      <c r="L80" s="86">
        <f>+E80/K80</f>
        <v>32.5</v>
      </c>
    </row>
    <row r="81" spans="1:14" ht="12.75" customHeight="1" outlineLevel="1">
      <c r="B81" s="87"/>
      <c r="D81" s="45" t="s">
        <v>157</v>
      </c>
      <c r="E81" s="50">
        <f>SUBTOTAL(9,E77:E80)</f>
        <v>209250</v>
      </c>
      <c r="F81" s="51"/>
      <c r="G81" s="51"/>
      <c r="H81" s="52">
        <f>SUBTOTAL(9,H77:H80)</f>
        <v>1427.5</v>
      </c>
      <c r="I81" s="45"/>
      <c r="J81" s="53"/>
      <c r="K81" s="53"/>
      <c r="L81" s="52">
        <f>SUBTOTAL(9,L77:L80)</f>
        <v>285.5</v>
      </c>
      <c r="M81" s="110">
        <v>11</v>
      </c>
      <c r="N81" s="29">
        <f>+L81*M81</f>
        <v>3140.5</v>
      </c>
    </row>
    <row r="82" spans="1:14" ht="12.75" customHeight="1" outlineLevel="2">
      <c r="A82" s="1" t="s">
        <v>128</v>
      </c>
      <c r="B82" s="87">
        <v>45291</v>
      </c>
      <c r="C82" s="1" t="s">
        <v>155</v>
      </c>
      <c r="D82" s="1" t="s">
        <v>158</v>
      </c>
      <c r="E82" s="88">
        <v>3500</v>
      </c>
      <c r="F82" s="89">
        <v>45232</v>
      </c>
      <c r="G82" s="89">
        <v>45261</v>
      </c>
      <c r="H82" s="86">
        <f>+L82*5</f>
        <v>23.333333333333336</v>
      </c>
      <c r="J82" s="90">
        <v>62.5</v>
      </c>
      <c r="K82" s="90">
        <f>+J82*12</f>
        <v>750</v>
      </c>
      <c r="L82" s="86">
        <f>+E82/K82</f>
        <v>4.666666666666667</v>
      </c>
    </row>
    <row r="83" spans="1:14" ht="12.75" customHeight="1" outlineLevel="2">
      <c r="A83" s="1" t="s">
        <v>128</v>
      </c>
      <c r="B83" s="87">
        <v>45291</v>
      </c>
      <c r="C83" s="1" t="s">
        <v>155</v>
      </c>
      <c r="D83" s="1" t="s">
        <v>158</v>
      </c>
      <c r="E83" s="88">
        <v>17500</v>
      </c>
      <c r="F83" s="89">
        <v>45232</v>
      </c>
      <c r="G83" s="89">
        <v>45261</v>
      </c>
      <c r="H83" s="86">
        <f>+L83*5</f>
        <v>116.66666666666666</v>
      </c>
      <c r="J83" s="90">
        <v>62.5</v>
      </c>
      <c r="K83" s="90">
        <f>+J83*12</f>
        <v>750</v>
      </c>
      <c r="L83" s="86">
        <f>+E83/K83</f>
        <v>23.333333333333332</v>
      </c>
    </row>
    <row r="84" spans="1:14" ht="12.75" customHeight="1" outlineLevel="2">
      <c r="A84" s="1" t="s">
        <v>131</v>
      </c>
      <c r="B84" s="87">
        <v>45291</v>
      </c>
      <c r="C84" s="1" t="s">
        <v>155</v>
      </c>
      <c r="D84" s="1" t="s">
        <v>158</v>
      </c>
      <c r="E84" s="88">
        <v>5000</v>
      </c>
      <c r="F84" s="89">
        <v>45232</v>
      </c>
      <c r="G84" s="89">
        <v>45261</v>
      </c>
      <c r="H84" s="86">
        <f>+L84*5</f>
        <v>41.666666666666671</v>
      </c>
      <c r="J84" s="90">
        <v>50</v>
      </c>
      <c r="K84" s="90">
        <f>+J84*12</f>
        <v>600</v>
      </c>
      <c r="L84" s="86">
        <f>+E84/K84</f>
        <v>8.3333333333333339</v>
      </c>
    </row>
    <row r="85" spans="1:14" ht="12.75" customHeight="1" outlineLevel="1">
      <c r="B85" s="87"/>
      <c r="D85" s="45" t="s">
        <v>159</v>
      </c>
      <c r="E85" s="50">
        <f>SUBTOTAL(9,E82:E84)</f>
        <v>26000</v>
      </c>
      <c r="F85" s="51"/>
      <c r="G85" s="51"/>
      <c r="H85" s="52">
        <f>SUBTOTAL(9,H82:H84)</f>
        <v>181.66666666666669</v>
      </c>
      <c r="I85" s="45"/>
      <c r="J85" s="53"/>
      <c r="K85" s="53"/>
      <c r="L85" s="52">
        <f>SUBTOTAL(9,L82:L84)</f>
        <v>36.333333333333336</v>
      </c>
      <c r="M85" s="110">
        <v>11</v>
      </c>
      <c r="N85" s="29">
        <f>+L85*M85</f>
        <v>399.66666666666669</v>
      </c>
    </row>
    <row r="86" spans="1:14" ht="12.75" customHeight="1" outlineLevel="2">
      <c r="A86" s="1" t="s">
        <v>128</v>
      </c>
      <c r="B86" s="87">
        <v>45412</v>
      </c>
      <c r="C86" s="1" t="s">
        <v>160</v>
      </c>
      <c r="D86" s="1" t="s">
        <v>161</v>
      </c>
      <c r="E86" s="88">
        <v>6860</v>
      </c>
      <c r="F86" s="89">
        <v>45296</v>
      </c>
      <c r="G86" s="89">
        <v>45323</v>
      </c>
      <c r="H86" s="86">
        <f>+L86*3</f>
        <v>27.439999999999998</v>
      </c>
      <c r="J86" s="90">
        <v>62.5</v>
      </c>
      <c r="K86" s="90">
        <f>+J86*12</f>
        <v>750</v>
      </c>
      <c r="L86" s="86">
        <f>+E86/K86</f>
        <v>9.1466666666666665</v>
      </c>
    </row>
    <row r="87" spans="1:14" ht="12.75" customHeight="1" outlineLevel="2">
      <c r="A87" s="1" t="s">
        <v>128</v>
      </c>
      <c r="B87" s="87">
        <v>45412</v>
      </c>
      <c r="C87" s="1" t="s">
        <v>160</v>
      </c>
      <c r="D87" s="1" t="s">
        <v>161</v>
      </c>
      <c r="E87" s="88">
        <v>86640</v>
      </c>
      <c r="F87" s="89">
        <v>45296</v>
      </c>
      <c r="G87" s="89">
        <v>45323</v>
      </c>
      <c r="H87" s="86">
        <f>+L87*3</f>
        <v>346.56</v>
      </c>
      <c r="J87" s="90">
        <v>62.5</v>
      </c>
      <c r="K87" s="90">
        <f>+J87*12</f>
        <v>750</v>
      </c>
      <c r="L87" s="86">
        <f>+E87/K87</f>
        <v>115.52</v>
      </c>
    </row>
    <row r="88" spans="1:14" ht="12.75" customHeight="1" outlineLevel="2">
      <c r="A88" s="1" t="s">
        <v>131</v>
      </c>
      <c r="B88" s="87">
        <v>45412</v>
      </c>
      <c r="C88" s="1" t="s">
        <v>160</v>
      </c>
      <c r="D88" s="1" t="s">
        <v>161</v>
      </c>
      <c r="E88" s="88">
        <v>19500</v>
      </c>
      <c r="F88" s="89">
        <v>45296</v>
      </c>
      <c r="G88" s="89">
        <v>45323</v>
      </c>
      <c r="H88" s="86">
        <f>+L88*3</f>
        <v>97.5</v>
      </c>
      <c r="J88" s="90">
        <v>50</v>
      </c>
      <c r="K88" s="90">
        <f>+J88*12</f>
        <v>600</v>
      </c>
      <c r="L88" s="86">
        <f>+E88/K88</f>
        <v>32.5</v>
      </c>
    </row>
    <row r="89" spans="1:14" ht="12.75" customHeight="1" outlineLevel="1">
      <c r="B89" s="87"/>
      <c r="D89" s="45" t="s">
        <v>162</v>
      </c>
      <c r="E89" s="50">
        <f>SUBTOTAL(9,E86:E88)</f>
        <v>113000</v>
      </c>
      <c r="F89" s="51"/>
      <c r="G89" s="51"/>
      <c r="H89" s="52">
        <f>SUBTOTAL(9,H86:H88)</f>
        <v>471.5</v>
      </c>
      <c r="I89" s="45"/>
      <c r="J89" s="53"/>
      <c r="K89" s="53"/>
      <c r="L89" s="52">
        <f>SUBTOTAL(9,L86:L88)</f>
        <v>157.16666666666666</v>
      </c>
      <c r="M89" s="110">
        <v>12</v>
      </c>
      <c r="N89" s="29">
        <f>+L89*M89</f>
        <v>1886</v>
      </c>
    </row>
    <row r="90" spans="1:14" ht="12.75" customHeight="1" outlineLevel="2">
      <c r="A90" s="1" t="s">
        <v>128</v>
      </c>
      <c r="B90" s="87">
        <v>45412</v>
      </c>
      <c r="C90" s="1" t="s">
        <v>160</v>
      </c>
      <c r="D90" s="1" t="s">
        <v>163</v>
      </c>
      <c r="E90" s="88">
        <v>2800</v>
      </c>
      <c r="F90" s="89">
        <v>45352</v>
      </c>
      <c r="G90" s="89">
        <v>45383</v>
      </c>
      <c r="H90" s="86">
        <f>+L90*1</f>
        <v>3.7333333333333334</v>
      </c>
      <c r="J90" s="90">
        <v>62.5</v>
      </c>
      <c r="K90" s="90">
        <f>+J90*12</f>
        <v>750</v>
      </c>
      <c r="L90" s="86">
        <f>+E90/K90</f>
        <v>3.7333333333333334</v>
      </c>
    </row>
    <row r="91" spans="1:14" ht="12.75" customHeight="1" outlineLevel="2">
      <c r="A91" s="1" t="s">
        <v>128</v>
      </c>
      <c r="B91" s="87">
        <v>45412</v>
      </c>
      <c r="C91" s="1" t="s">
        <v>160</v>
      </c>
      <c r="D91" s="1" t="s">
        <v>163</v>
      </c>
      <c r="E91" s="88">
        <v>3200</v>
      </c>
      <c r="F91" s="89">
        <v>45352</v>
      </c>
      <c r="G91" s="89">
        <v>45383</v>
      </c>
      <c r="H91" s="86">
        <f>+L91*1</f>
        <v>4.2666666666666666</v>
      </c>
      <c r="J91" s="90">
        <v>62.5</v>
      </c>
      <c r="K91" s="90">
        <f>+J91*12</f>
        <v>750</v>
      </c>
      <c r="L91" s="86">
        <f>+E91/K91</f>
        <v>4.2666666666666666</v>
      </c>
    </row>
    <row r="92" spans="1:14" ht="12.75" customHeight="1" outlineLevel="2">
      <c r="A92" s="1" t="s">
        <v>128</v>
      </c>
      <c r="B92" s="87">
        <v>45412</v>
      </c>
      <c r="C92" s="1" t="s">
        <v>160</v>
      </c>
      <c r="D92" s="1" t="s">
        <v>163</v>
      </c>
      <c r="E92" s="88">
        <v>3000</v>
      </c>
      <c r="F92" s="89">
        <v>45352</v>
      </c>
      <c r="G92" s="89">
        <v>45383</v>
      </c>
      <c r="H92" s="86">
        <f>+L92*1</f>
        <v>4</v>
      </c>
      <c r="J92" s="90">
        <v>62.5</v>
      </c>
      <c r="K92" s="90">
        <f>+J92*12</f>
        <v>750</v>
      </c>
      <c r="L92" s="86">
        <f>+E92/K92</f>
        <v>4</v>
      </c>
    </row>
    <row r="93" spans="1:14" ht="12.75" customHeight="1" outlineLevel="2">
      <c r="A93" s="1" t="s">
        <v>128</v>
      </c>
      <c r="B93" s="87">
        <v>45412</v>
      </c>
      <c r="C93" s="1" t="s">
        <v>160</v>
      </c>
      <c r="D93" s="1" t="s">
        <v>163</v>
      </c>
      <c r="E93" s="88">
        <v>56500</v>
      </c>
      <c r="F93" s="89">
        <v>45352</v>
      </c>
      <c r="G93" s="89">
        <v>45383</v>
      </c>
      <c r="H93" s="86">
        <f>+L93*1</f>
        <v>75.333333333333329</v>
      </c>
      <c r="J93" s="90">
        <v>62.5</v>
      </c>
      <c r="K93" s="90">
        <f>+J93*12</f>
        <v>750</v>
      </c>
      <c r="L93" s="86">
        <f>+E93/K93</f>
        <v>75.333333333333329</v>
      </c>
    </row>
    <row r="94" spans="1:14" ht="12.75" customHeight="1" outlineLevel="2">
      <c r="A94" s="1" t="s">
        <v>131</v>
      </c>
      <c r="B94" s="87">
        <v>45412</v>
      </c>
      <c r="C94" s="1" t="s">
        <v>160</v>
      </c>
      <c r="D94" s="1" t="s">
        <v>163</v>
      </c>
      <c r="E94" s="88">
        <v>19500</v>
      </c>
      <c r="F94" s="89">
        <v>45352</v>
      </c>
      <c r="G94" s="89">
        <v>45383</v>
      </c>
      <c r="H94" s="86">
        <f>+L94*1</f>
        <v>32.5</v>
      </c>
      <c r="J94" s="90">
        <v>50</v>
      </c>
      <c r="K94" s="90">
        <f>+J94*12</f>
        <v>600</v>
      </c>
      <c r="L94" s="86">
        <f>+E94/K94</f>
        <v>32.5</v>
      </c>
    </row>
    <row r="95" spans="1:14" ht="12.75" customHeight="1" outlineLevel="1">
      <c r="B95" s="87"/>
      <c r="D95" s="45" t="s">
        <v>164</v>
      </c>
      <c r="E95" s="50">
        <f>SUBTOTAL(9,E90:E94)</f>
        <v>85000</v>
      </c>
      <c r="F95" s="51"/>
      <c r="G95" s="51"/>
      <c r="H95" s="52">
        <f>SUBTOTAL(9,H90:H94)</f>
        <v>119.83333333333333</v>
      </c>
      <c r="I95" s="45"/>
      <c r="J95" s="53"/>
      <c r="K95" s="53"/>
      <c r="L95" s="52">
        <f>SUBTOTAL(9,L90:L94)</f>
        <v>119.83333333333333</v>
      </c>
      <c r="M95" s="110">
        <v>12</v>
      </c>
      <c r="N95" s="29">
        <f>+L95*M95</f>
        <v>1438</v>
      </c>
    </row>
    <row r="96" spans="1:14" ht="12.75" customHeight="1" outlineLevel="2">
      <c r="A96" s="1" t="s">
        <v>128</v>
      </c>
      <c r="B96" s="87">
        <v>45412</v>
      </c>
      <c r="C96" s="1" t="s">
        <v>160</v>
      </c>
      <c r="D96" s="1" t="s">
        <v>165</v>
      </c>
      <c r="E96" s="88">
        <v>1500</v>
      </c>
      <c r="F96" s="89">
        <v>45401</v>
      </c>
      <c r="G96" s="89">
        <v>45413</v>
      </c>
      <c r="H96" s="86">
        <f>+L96*0</f>
        <v>0</v>
      </c>
      <c r="J96" s="90">
        <v>62.5</v>
      </c>
      <c r="K96" s="90">
        <f>+J96*12</f>
        <v>750</v>
      </c>
      <c r="L96" s="86">
        <f>+E96/K96</f>
        <v>2</v>
      </c>
    </row>
    <row r="97" spans="1:14" ht="12.75" customHeight="1" outlineLevel="2">
      <c r="A97" s="1" t="s">
        <v>128</v>
      </c>
      <c r="B97" s="87">
        <v>45412</v>
      </c>
      <c r="C97" s="1" t="s">
        <v>160</v>
      </c>
      <c r="D97" s="1" t="s">
        <v>165</v>
      </c>
      <c r="E97" s="88">
        <v>22750</v>
      </c>
      <c r="F97" s="89">
        <v>45401</v>
      </c>
      <c r="G97" s="89">
        <v>45413</v>
      </c>
      <c r="H97" s="86">
        <f>+L97*0</f>
        <v>0</v>
      </c>
      <c r="J97" s="90">
        <v>62.5</v>
      </c>
      <c r="K97" s="90">
        <f>+J97*12</f>
        <v>750</v>
      </c>
      <c r="L97" s="86">
        <f>+E97/K97</f>
        <v>30.333333333333332</v>
      </c>
    </row>
    <row r="98" spans="1:14" ht="12.75" customHeight="1" outlineLevel="1">
      <c r="B98" s="87"/>
      <c r="D98" s="45" t="s">
        <v>166</v>
      </c>
      <c r="E98" s="50">
        <f>SUBTOTAL(9,E96:E97)</f>
        <v>24250</v>
      </c>
      <c r="F98" s="51"/>
      <c r="G98" s="51"/>
      <c r="H98" s="52">
        <f>SUBTOTAL(9,H96:H97)</f>
        <v>0</v>
      </c>
      <c r="I98" s="45"/>
      <c r="J98" s="53"/>
      <c r="K98" s="53"/>
      <c r="L98" s="52">
        <f>SUBTOTAL(9,L96:L97)</f>
        <v>32.333333333333329</v>
      </c>
      <c r="M98" s="110">
        <v>12</v>
      </c>
      <c r="N98" s="29">
        <f>+L98*M98</f>
        <v>387.99999999999994</v>
      </c>
    </row>
    <row r="99" spans="1:14" ht="12.75" customHeight="1" outlineLevel="2">
      <c r="A99" s="1" t="s">
        <v>128</v>
      </c>
      <c r="B99" s="87">
        <v>45412</v>
      </c>
      <c r="C99" s="1" t="s">
        <v>160</v>
      </c>
      <c r="D99" s="1" t="s">
        <v>167</v>
      </c>
      <c r="E99" s="88">
        <v>600</v>
      </c>
      <c r="F99" s="89">
        <v>45405</v>
      </c>
      <c r="G99" s="89">
        <v>45413</v>
      </c>
      <c r="H99" s="86">
        <f t="shared" ref="H99:H104" si="9">+L99*0</f>
        <v>0</v>
      </c>
      <c r="J99" s="90">
        <v>62.5</v>
      </c>
      <c r="K99" s="90">
        <f t="shared" ref="K99:K104" si="10">+J99*12</f>
        <v>750</v>
      </c>
      <c r="L99" s="86">
        <f t="shared" ref="L99:L104" si="11">+E99/K99</f>
        <v>0.8</v>
      </c>
    </row>
    <row r="100" spans="1:14" ht="12.75" customHeight="1" outlineLevel="2">
      <c r="A100" s="1" t="s">
        <v>128</v>
      </c>
      <c r="B100" s="87">
        <v>45412</v>
      </c>
      <c r="C100" s="1" t="s">
        <v>160</v>
      </c>
      <c r="D100" s="1" t="s">
        <v>167</v>
      </c>
      <c r="E100" s="88">
        <v>900</v>
      </c>
      <c r="F100" s="89">
        <v>45405</v>
      </c>
      <c r="G100" s="89">
        <v>45413</v>
      </c>
      <c r="H100" s="86">
        <f t="shared" si="9"/>
        <v>0</v>
      </c>
      <c r="J100" s="90">
        <v>62.5</v>
      </c>
      <c r="K100" s="90">
        <f t="shared" si="10"/>
        <v>750</v>
      </c>
      <c r="L100" s="86">
        <f t="shared" si="11"/>
        <v>1.2</v>
      </c>
    </row>
    <row r="101" spans="1:14" ht="12.75" customHeight="1" outlineLevel="2">
      <c r="A101" s="1" t="s">
        <v>128</v>
      </c>
      <c r="B101" s="87">
        <v>45412</v>
      </c>
      <c r="C101" s="1" t="s">
        <v>160</v>
      </c>
      <c r="D101" s="1" t="s">
        <v>167</v>
      </c>
      <c r="E101" s="88">
        <v>3600</v>
      </c>
      <c r="F101" s="89">
        <v>45405</v>
      </c>
      <c r="G101" s="89">
        <v>45413</v>
      </c>
      <c r="H101" s="86">
        <f t="shared" si="9"/>
        <v>0</v>
      </c>
      <c r="J101" s="90">
        <v>62.5</v>
      </c>
      <c r="K101" s="90">
        <f t="shared" si="10"/>
        <v>750</v>
      </c>
      <c r="L101" s="86">
        <f t="shared" si="11"/>
        <v>4.8</v>
      </c>
    </row>
    <row r="102" spans="1:14" ht="12.75" customHeight="1" outlineLevel="2">
      <c r="A102" s="1" t="s">
        <v>128</v>
      </c>
      <c r="B102" s="87">
        <v>45412</v>
      </c>
      <c r="C102" s="1" t="s">
        <v>160</v>
      </c>
      <c r="D102" s="1" t="s">
        <v>167</v>
      </c>
      <c r="E102" s="88">
        <v>3900</v>
      </c>
      <c r="F102" s="89">
        <v>45405</v>
      </c>
      <c r="G102" s="89">
        <v>45413</v>
      </c>
      <c r="H102" s="86">
        <f t="shared" si="9"/>
        <v>0</v>
      </c>
      <c r="J102" s="90">
        <v>62.5</v>
      </c>
      <c r="K102" s="90">
        <f t="shared" si="10"/>
        <v>750</v>
      </c>
      <c r="L102" s="86">
        <f t="shared" si="11"/>
        <v>5.2</v>
      </c>
    </row>
    <row r="103" spans="1:14" ht="12.75" customHeight="1" outlineLevel="2">
      <c r="A103" s="1" t="s">
        <v>128</v>
      </c>
      <c r="B103" s="87">
        <v>45412</v>
      </c>
      <c r="C103" s="1" t="s">
        <v>160</v>
      </c>
      <c r="D103" s="1" t="s">
        <v>167</v>
      </c>
      <c r="E103" s="88">
        <v>15000</v>
      </c>
      <c r="F103" s="89">
        <v>45405</v>
      </c>
      <c r="G103" s="89">
        <v>45413</v>
      </c>
      <c r="H103" s="86">
        <f t="shared" si="9"/>
        <v>0</v>
      </c>
      <c r="J103" s="90">
        <v>62.5</v>
      </c>
      <c r="K103" s="90">
        <f t="shared" si="10"/>
        <v>750</v>
      </c>
      <c r="L103" s="86">
        <f t="shared" si="11"/>
        <v>20</v>
      </c>
    </row>
    <row r="104" spans="1:14" ht="12.75" customHeight="1" outlineLevel="2">
      <c r="A104" s="1" t="s">
        <v>131</v>
      </c>
      <c r="B104" s="87">
        <v>45412</v>
      </c>
      <c r="C104" s="1" t="s">
        <v>160</v>
      </c>
      <c r="D104" s="1" t="s">
        <v>167</v>
      </c>
      <c r="E104" s="88">
        <v>6000</v>
      </c>
      <c r="F104" s="89">
        <v>45405</v>
      </c>
      <c r="G104" s="89">
        <v>45413</v>
      </c>
      <c r="H104" s="86">
        <f t="shared" si="9"/>
        <v>0</v>
      </c>
      <c r="J104" s="90">
        <v>50</v>
      </c>
      <c r="K104" s="90">
        <f t="shared" si="10"/>
        <v>600</v>
      </c>
      <c r="L104" s="86">
        <f t="shared" si="11"/>
        <v>10</v>
      </c>
    </row>
    <row r="105" spans="1:14" ht="12.75" customHeight="1" outlineLevel="1">
      <c r="B105" s="87"/>
      <c r="D105" s="45" t="s">
        <v>168</v>
      </c>
      <c r="E105" s="50">
        <f>SUBTOTAL(9,E99:E104)</f>
        <v>30000</v>
      </c>
      <c r="F105" s="51"/>
      <c r="G105" s="51"/>
      <c r="H105" s="52">
        <f>SUBTOTAL(9,H99:H104)</f>
        <v>0</v>
      </c>
      <c r="I105" s="45"/>
      <c r="J105" s="53"/>
      <c r="K105" s="53"/>
      <c r="L105" s="52">
        <f>SUBTOTAL(9,L99:L104)</f>
        <v>42</v>
      </c>
      <c r="M105" s="110">
        <v>12</v>
      </c>
      <c r="N105" s="29">
        <f>+L105*M105</f>
        <v>504</v>
      </c>
    </row>
    <row r="106" spans="1:14" ht="12.75" customHeight="1" outlineLevel="2">
      <c r="A106" s="1" t="s">
        <v>128</v>
      </c>
      <c r="B106" s="87">
        <v>45412</v>
      </c>
      <c r="C106" s="1" t="s">
        <v>160</v>
      </c>
      <c r="D106" s="1" t="s">
        <v>169</v>
      </c>
      <c r="E106" s="88">
        <v>5600</v>
      </c>
      <c r="F106" s="89">
        <v>45412</v>
      </c>
      <c r="G106" s="89">
        <v>45413</v>
      </c>
      <c r="H106" s="86">
        <f t="shared" ref="H106:H113" si="12">+L106*0</f>
        <v>0</v>
      </c>
      <c r="J106" s="90">
        <v>62.5</v>
      </c>
      <c r="K106" s="90">
        <f t="shared" ref="K106:K113" si="13">+J106*12</f>
        <v>750</v>
      </c>
      <c r="L106" s="86">
        <f t="shared" ref="L106:L113" si="14">+E106/K106</f>
        <v>7.4666666666666668</v>
      </c>
    </row>
    <row r="107" spans="1:14" ht="12.75" customHeight="1" outlineLevel="2">
      <c r="A107" s="1" t="s">
        <v>128</v>
      </c>
      <c r="B107" s="87">
        <v>45412</v>
      </c>
      <c r="C107" s="1" t="s">
        <v>160</v>
      </c>
      <c r="D107" s="1" t="s">
        <v>169</v>
      </c>
      <c r="E107" s="88">
        <v>3530</v>
      </c>
      <c r="F107" s="89">
        <v>45412</v>
      </c>
      <c r="G107" s="89">
        <v>45413</v>
      </c>
      <c r="H107" s="86">
        <f t="shared" si="12"/>
        <v>0</v>
      </c>
      <c r="J107" s="90">
        <v>62.5</v>
      </c>
      <c r="K107" s="90">
        <f t="shared" si="13"/>
        <v>750</v>
      </c>
      <c r="L107" s="86">
        <f t="shared" si="14"/>
        <v>4.706666666666667</v>
      </c>
    </row>
    <row r="108" spans="1:14" ht="12.75" customHeight="1" outlineLevel="2">
      <c r="A108" s="1" t="s">
        <v>128</v>
      </c>
      <c r="B108" s="87">
        <v>45412</v>
      </c>
      <c r="C108" s="1" t="s">
        <v>160</v>
      </c>
      <c r="D108" s="1" t="s">
        <v>169</v>
      </c>
      <c r="E108" s="88">
        <v>5400</v>
      </c>
      <c r="F108" s="89">
        <v>45412</v>
      </c>
      <c r="G108" s="89">
        <v>45413</v>
      </c>
      <c r="H108" s="86">
        <f t="shared" si="12"/>
        <v>0</v>
      </c>
      <c r="J108" s="90">
        <v>62.5</v>
      </c>
      <c r="K108" s="90">
        <f t="shared" si="13"/>
        <v>750</v>
      </c>
      <c r="L108" s="86">
        <f t="shared" si="14"/>
        <v>7.2</v>
      </c>
    </row>
    <row r="109" spans="1:14" ht="12.75" customHeight="1" outlineLevel="2">
      <c r="A109" s="1" t="s">
        <v>128</v>
      </c>
      <c r="B109" s="87">
        <v>45412</v>
      </c>
      <c r="C109" s="1" t="s">
        <v>160</v>
      </c>
      <c r="D109" s="1" t="s">
        <v>169</v>
      </c>
      <c r="E109" s="88">
        <v>2900</v>
      </c>
      <c r="F109" s="89">
        <v>45412</v>
      </c>
      <c r="G109" s="89">
        <v>45413</v>
      </c>
      <c r="H109" s="86">
        <f t="shared" si="12"/>
        <v>0</v>
      </c>
      <c r="J109" s="90">
        <v>62.5</v>
      </c>
      <c r="K109" s="90">
        <f t="shared" si="13"/>
        <v>750</v>
      </c>
      <c r="L109" s="86">
        <f t="shared" si="14"/>
        <v>3.8666666666666667</v>
      </c>
    </row>
    <row r="110" spans="1:14" ht="12.75" customHeight="1" outlineLevel="2">
      <c r="A110" s="1" t="s">
        <v>128</v>
      </c>
      <c r="B110" s="87">
        <v>45412</v>
      </c>
      <c r="C110" s="1" t="s">
        <v>160</v>
      </c>
      <c r="D110" s="1" t="s">
        <v>169</v>
      </c>
      <c r="E110" s="88">
        <v>375000</v>
      </c>
      <c r="F110" s="89">
        <v>45412</v>
      </c>
      <c r="G110" s="89">
        <v>45413</v>
      </c>
      <c r="H110" s="86">
        <f t="shared" si="12"/>
        <v>0</v>
      </c>
      <c r="J110" s="90">
        <v>62.5</v>
      </c>
      <c r="K110" s="90">
        <f t="shared" si="13"/>
        <v>750</v>
      </c>
      <c r="L110" s="86">
        <f t="shared" si="14"/>
        <v>500</v>
      </c>
    </row>
    <row r="111" spans="1:14" ht="12.75" customHeight="1" outlineLevel="2">
      <c r="A111" s="1" t="s">
        <v>128</v>
      </c>
      <c r="B111" s="87">
        <v>45412</v>
      </c>
      <c r="C111" s="1" t="s">
        <v>160</v>
      </c>
      <c r="D111" s="1" t="s">
        <v>169</v>
      </c>
      <c r="E111" s="88">
        <v>350</v>
      </c>
      <c r="F111" s="89">
        <v>45412</v>
      </c>
      <c r="G111" s="89">
        <v>45413</v>
      </c>
      <c r="H111" s="86">
        <f t="shared" si="12"/>
        <v>0</v>
      </c>
      <c r="J111" s="90">
        <v>62.5</v>
      </c>
      <c r="K111" s="90">
        <f t="shared" si="13"/>
        <v>750</v>
      </c>
      <c r="L111" s="86">
        <f t="shared" si="14"/>
        <v>0.46666666666666667</v>
      </c>
    </row>
    <row r="112" spans="1:14" ht="12.75" customHeight="1" outlineLevel="2">
      <c r="A112" s="1" t="s">
        <v>128</v>
      </c>
      <c r="B112" s="87">
        <v>45412</v>
      </c>
      <c r="C112" s="1" t="s">
        <v>160</v>
      </c>
      <c r="D112" s="1" t="s">
        <v>169</v>
      </c>
      <c r="E112" s="88">
        <v>11040</v>
      </c>
      <c r="F112" s="89">
        <v>45412</v>
      </c>
      <c r="G112" s="89">
        <v>45413</v>
      </c>
      <c r="H112" s="86">
        <f t="shared" si="12"/>
        <v>0</v>
      </c>
      <c r="J112" s="90">
        <v>62.5</v>
      </c>
      <c r="K112" s="90">
        <f t="shared" si="13"/>
        <v>750</v>
      </c>
      <c r="L112" s="86">
        <f t="shared" si="14"/>
        <v>14.72</v>
      </c>
    </row>
    <row r="113" spans="1:14" ht="12.75" customHeight="1" outlineLevel="2">
      <c r="A113" s="1" t="s">
        <v>131</v>
      </c>
      <c r="B113" s="87">
        <v>45412</v>
      </c>
      <c r="C113" s="1" t="s">
        <v>160</v>
      </c>
      <c r="D113" s="1" t="s">
        <v>169</v>
      </c>
      <c r="E113" s="88">
        <v>84000</v>
      </c>
      <c r="F113" s="89">
        <v>45412</v>
      </c>
      <c r="G113" s="89">
        <v>45413</v>
      </c>
      <c r="H113" s="86">
        <f t="shared" si="12"/>
        <v>0</v>
      </c>
      <c r="J113" s="90">
        <v>50</v>
      </c>
      <c r="K113" s="90">
        <f t="shared" si="13"/>
        <v>600</v>
      </c>
      <c r="L113" s="86">
        <f t="shared" si="14"/>
        <v>140</v>
      </c>
    </row>
    <row r="114" spans="1:14" ht="12.75" customHeight="1" outlineLevel="1">
      <c r="B114" s="87"/>
      <c r="D114" s="45" t="s">
        <v>170</v>
      </c>
      <c r="E114" s="50">
        <f>SUBTOTAL(9,E106:E113)</f>
        <v>487820</v>
      </c>
      <c r="F114" s="51"/>
      <c r="G114" s="51"/>
      <c r="H114" s="52">
        <f>SUBTOTAL(9,H106:H113)</f>
        <v>0</v>
      </c>
      <c r="I114" s="45"/>
      <c r="J114" s="53"/>
      <c r="K114" s="53"/>
      <c r="L114" s="52">
        <f>SUBTOTAL(9,L106:L113)</f>
        <v>678.42666666666673</v>
      </c>
      <c r="M114" s="110">
        <v>12</v>
      </c>
      <c r="N114" s="29">
        <f>+L114*M114</f>
        <v>8141.1200000000008</v>
      </c>
    </row>
    <row r="115" spans="1:14" ht="12.75" customHeight="1" outlineLevel="2">
      <c r="A115" s="1" t="s">
        <v>128</v>
      </c>
      <c r="B115" s="87">
        <v>45412</v>
      </c>
      <c r="C115" s="1" t="s">
        <v>160</v>
      </c>
      <c r="D115" s="1" t="s">
        <v>171</v>
      </c>
      <c r="E115" s="88">
        <v>2850</v>
      </c>
      <c r="F115" s="89">
        <v>45412</v>
      </c>
      <c r="G115" s="89">
        <v>45413</v>
      </c>
      <c r="H115" s="86">
        <f>+L115*0</f>
        <v>0</v>
      </c>
      <c r="J115" s="90">
        <v>62.5</v>
      </c>
      <c r="K115" s="90">
        <f>+J115*12</f>
        <v>750</v>
      </c>
      <c r="L115" s="86">
        <f>+E115/K115</f>
        <v>3.8</v>
      </c>
    </row>
    <row r="116" spans="1:14" ht="12.75" customHeight="1" outlineLevel="2">
      <c r="A116" s="1" t="s">
        <v>128</v>
      </c>
      <c r="B116" s="87">
        <v>45412</v>
      </c>
      <c r="C116" s="1" t="s">
        <v>160</v>
      </c>
      <c r="D116" s="1" t="s">
        <v>171</v>
      </c>
      <c r="E116" s="88">
        <v>37800</v>
      </c>
      <c r="F116" s="89">
        <v>45412</v>
      </c>
      <c r="G116" s="89">
        <v>45413</v>
      </c>
      <c r="H116" s="86">
        <f>+L116*0</f>
        <v>0</v>
      </c>
      <c r="J116" s="90">
        <v>62.5</v>
      </c>
      <c r="K116" s="90">
        <f>+J116*12</f>
        <v>750</v>
      </c>
      <c r="L116" s="86">
        <f>+E116/K116</f>
        <v>50.4</v>
      </c>
    </row>
    <row r="117" spans="1:14" ht="12.75" customHeight="1" outlineLevel="2">
      <c r="A117" s="1" t="s">
        <v>128</v>
      </c>
      <c r="B117" s="87">
        <v>45412</v>
      </c>
      <c r="C117" s="1" t="s">
        <v>160</v>
      </c>
      <c r="D117" s="1" t="s">
        <v>171</v>
      </c>
      <c r="E117" s="88">
        <v>1930</v>
      </c>
      <c r="F117" s="89">
        <v>45412</v>
      </c>
      <c r="G117" s="89">
        <v>45413</v>
      </c>
      <c r="H117" s="86">
        <f>+L117*0</f>
        <v>0</v>
      </c>
      <c r="J117" s="90">
        <v>62.5</v>
      </c>
      <c r="K117" s="90">
        <f>+J117*12</f>
        <v>750</v>
      </c>
      <c r="L117" s="86">
        <f>+E117/K117</f>
        <v>2.5733333333333333</v>
      </c>
    </row>
    <row r="118" spans="1:14" ht="12.75" customHeight="1" outlineLevel="2">
      <c r="A118" s="1" t="s">
        <v>128</v>
      </c>
      <c r="B118" s="87">
        <v>45412</v>
      </c>
      <c r="C118" s="1" t="s">
        <v>160</v>
      </c>
      <c r="D118" s="1" t="s">
        <v>171</v>
      </c>
      <c r="E118" s="88">
        <v>313400</v>
      </c>
      <c r="F118" s="89">
        <v>45412</v>
      </c>
      <c r="G118" s="89">
        <v>45413</v>
      </c>
      <c r="H118" s="86">
        <f>+L118*0</f>
        <v>0</v>
      </c>
      <c r="J118" s="90">
        <v>62.5</v>
      </c>
      <c r="K118" s="90">
        <f>+J118*12</f>
        <v>750</v>
      </c>
      <c r="L118" s="86">
        <f>+E118/K118</f>
        <v>417.86666666666667</v>
      </c>
    </row>
    <row r="119" spans="1:14" ht="12.75" customHeight="1" outlineLevel="2">
      <c r="A119" s="1" t="s">
        <v>131</v>
      </c>
      <c r="B119" s="87">
        <v>45412</v>
      </c>
      <c r="C119" s="1" t="s">
        <v>160</v>
      </c>
      <c r="D119" s="1" t="s">
        <v>171</v>
      </c>
      <c r="E119" s="88">
        <v>142800</v>
      </c>
      <c r="F119" s="89">
        <v>45412</v>
      </c>
      <c r="G119" s="89">
        <v>45413</v>
      </c>
      <c r="H119" s="86">
        <f>+L119*0</f>
        <v>0</v>
      </c>
      <c r="J119" s="90">
        <v>50</v>
      </c>
      <c r="K119" s="90">
        <f>+J119*12</f>
        <v>600</v>
      </c>
      <c r="L119" s="86">
        <f>+E119/K119</f>
        <v>238</v>
      </c>
    </row>
    <row r="120" spans="1:14" ht="12.75" customHeight="1" outlineLevel="1">
      <c r="B120" s="87"/>
      <c r="D120" s="45" t="s">
        <v>172</v>
      </c>
      <c r="E120" s="50">
        <f>SUBTOTAL(9,E115:E119)</f>
        <v>498780</v>
      </c>
      <c r="F120" s="51"/>
      <c r="G120" s="51"/>
      <c r="H120" s="52">
        <f>SUBTOTAL(9,H115:H119)</f>
        <v>0</v>
      </c>
      <c r="I120" s="45"/>
      <c r="J120" s="53"/>
      <c r="K120" s="53"/>
      <c r="L120" s="52">
        <f>SUBTOTAL(9,L115:L119)</f>
        <v>712.64</v>
      </c>
      <c r="M120" s="110">
        <v>12</v>
      </c>
      <c r="N120" s="29">
        <f>+L120*M120</f>
        <v>8551.68</v>
      </c>
    </row>
    <row r="121" spans="1:14" ht="12.75" customHeight="1" thickBot="1">
      <c r="B121" s="87"/>
      <c r="D121" s="45" t="s">
        <v>173</v>
      </c>
      <c r="E121" s="50">
        <f>SUBTOTAL(9,E9:E119)</f>
        <v>3176250</v>
      </c>
      <c r="F121" s="51"/>
      <c r="G121" s="51"/>
      <c r="H121" s="52">
        <f>SUBTOTAL(9,H9:H119)</f>
        <v>21108.546666666665</v>
      </c>
      <c r="I121" s="45"/>
      <c r="J121" s="53"/>
      <c r="K121" s="53"/>
      <c r="L121" s="52">
        <f>SUBTOTAL(9,L9:L119)</f>
        <v>4408.0533333333333</v>
      </c>
      <c r="N121" s="115">
        <f>SUM(N8:N120)</f>
        <v>43042.04</v>
      </c>
    </row>
    <row r="122" spans="1:14" ht="12.75" customHeight="1" thickTop="1">
      <c r="D122" s="91"/>
      <c r="E122" s="88"/>
      <c r="F122" s="91"/>
    </row>
    <row r="123" spans="1:14" ht="12.75" customHeight="1">
      <c r="C123" s="91"/>
      <c r="D123" s="91"/>
      <c r="E123" s="88"/>
    </row>
    <row r="124" spans="1:14" ht="12.75" customHeight="1">
      <c r="A124" s="45"/>
    </row>
    <row r="125" spans="1:14" ht="12.75" customHeight="1">
      <c r="A125" s="45"/>
    </row>
    <row r="126" spans="1:14" ht="12.75" customHeight="1">
      <c r="A126" s="45"/>
      <c r="N126" s="1"/>
    </row>
    <row r="127" spans="1:14" ht="12.75" customHeight="1">
      <c r="A127" s="45" t="s">
        <v>13</v>
      </c>
      <c r="M127" s="123" t="s">
        <v>110</v>
      </c>
      <c r="N127" s="117"/>
    </row>
    <row r="128" spans="1:14" ht="12.75" customHeight="1">
      <c r="A128" s="46"/>
      <c r="B128" s="46"/>
      <c r="C128" s="46"/>
      <c r="D128" s="46"/>
      <c r="E128" s="47" t="s">
        <v>111</v>
      </c>
      <c r="F128" s="48" t="s">
        <v>112</v>
      </c>
      <c r="G128" s="48" t="s">
        <v>113</v>
      </c>
      <c r="H128" s="47" t="s">
        <v>114</v>
      </c>
      <c r="I128" s="46"/>
      <c r="J128" s="49" t="s">
        <v>115</v>
      </c>
      <c r="K128" s="49" t="s">
        <v>115</v>
      </c>
      <c r="L128" s="47" t="s">
        <v>116</v>
      </c>
      <c r="M128" s="124" t="s">
        <v>117</v>
      </c>
      <c r="N128" s="8" t="s">
        <v>118</v>
      </c>
    </row>
    <row r="129" spans="1:14" ht="12.75" customHeight="1">
      <c r="A129" s="46" t="s">
        <v>119</v>
      </c>
      <c r="B129" s="46" t="s">
        <v>120</v>
      </c>
      <c r="C129" s="46" t="s">
        <v>121</v>
      </c>
      <c r="D129" s="46" t="s">
        <v>122</v>
      </c>
      <c r="E129" s="47" t="s">
        <v>123</v>
      </c>
      <c r="F129" s="48" t="s">
        <v>123</v>
      </c>
      <c r="G129" s="48" t="s">
        <v>124</v>
      </c>
      <c r="H129" s="47" t="s">
        <v>125</v>
      </c>
      <c r="I129" s="46"/>
      <c r="J129" s="49" t="s">
        <v>126</v>
      </c>
      <c r="K129" s="49" t="s">
        <v>127</v>
      </c>
      <c r="L129" s="47" t="s">
        <v>115</v>
      </c>
      <c r="M129" s="125" t="s">
        <v>118</v>
      </c>
      <c r="N129" s="116" t="s">
        <v>53</v>
      </c>
    </row>
    <row r="130" spans="1:14" ht="12.75" customHeight="1" outlineLevel="2">
      <c r="A130" s="1" t="s">
        <v>174</v>
      </c>
      <c r="B130" s="87">
        <v>45167</v>
      </c>
      <c r="C130" s="1" t="s">
        <v>129</v>
      </c>
      <c r="D130" s="1" t="s">
        <v>133</v>
      </c>
      <c r="E130" s="88">
        <v>16500</v>
      </c>
      <c r="F130" s="89">
        <v>45138</v>
      </c>
      <c r="G130" s="89">
        <v>45139</v>
      </c>
      <c r="H130" s="86">
        <f>+L130*9</f>
        <v>237.98076923076923</v>
      </c>
      <c r="J130" s="90">
        <v>52</v>
      </c>
      <c r="K130" s="90">
        <f>+J130*12</f>
        <v>624</v>
      </c>
      <c r="L130" s="86">
        <f>+E130/K130</f>
        <v>26.442307692307693</v>
      </c>
    </row>
    <row r="131" spans="1:14" ht="12.75" customHeight="1" outlineLevel="2">
      <c r="A131" s="1" t="s">
        <v>174</v>
      </c>
      <c r="B131" s="87">
        <v>45167</v>
      </c>
      <c r="C131" s="1" t="s">
        <v>129</v>
      </c>
      <c r="D131" s="1" t="s">
        <v>133</v>
      </c>
      <c r="E131" s="88">
        <v>73500</v>
      </c>
      <c r="F131" s="89">
        <v>45138</v>
      </c>
      <c r="G131" s="89">
        <v>45139</v>
      </c>
      <c r="H131" s="86">
        <f>+L131*9</f>
        <v>1060.0961538461538</v>
      </c>
      <c r="J131" s="90">
        <v>52</v>
      </c>
      <c r="K131" s="90">
        <f>+J131*12</f>
        <v>624</v>
      </c>
      <c r="L131" s="86">
        <f>+E131/K131</f>
        <v>117.78846153846153</v>
      </c>
    </row>
    <row r="132" spans="1:14" ht="12.75" customHeight="1" outlineLevel="2">
      <c r="A132" s="1" t="s">
        <v>174</v>
      </c>
      <c r="B132" s="87">
        <v>45167</v>
      </c>
      <c r="C132" s="1" t="s">
        <v>129</v>
      </c>
      <c r="D132" s="1" t="s">
        <v>133</v>
      </c>
      <c r="E132" s="88">
        <v>10500</v>
      </c>
      <c r="F132" s="89">
        <v>45138</v>
      </c>
      <c r="G132" s="89">
        <v>45139</v>
      </c>
      <c r="H132" s="86">
        <f>+L132*9</f>
        <v>151.44230769230768</v>
      </c>
      <c r="J132" s="90">
        <v>52</v>
      </c>
      <c r="K132" s="90">
        <f>+J132*12</f>
        <v>624</v>
      </c>
      <c r="L132" s="86">
        <f>+E132/K132</f>
        <v>16.826923076923077</v>
      </c>
    </row>
    <row r="133" spans="1:14" ht="12.75" customHeight="1" outlineLevel="1">
      <c r="B133" s="87"/>
      <c r="D133" s="45" t="s">
        <v>134</v>
      </c>
      <c r="E133" s="50">
        <f>SUBTOTAL(9,E130:E132)</f>
        <v>100500</v>
      </c>
      <c r="F133" s="51"/>
      <c r="G133" s="51"/>
      <c r="H133" s="52">
        <f>SUBTOTAL(9,H130:H132)</f>
        <v>1449.5192307692307</v>
      </c>
      <c r="I133" s="45"/>
      <c r="J133" s="53"/>
      <c r="K133" s="53"/>
      <c r="L133" s="52">
        <f>SUBTOTAL(9,L130:L132)</f>
        <v>161.05769230769229</v>
      </c>
      <c r="M133" s="110">
        <v>7</v>
      </c>
      <c r="N133" s="29">
        <f>+L133*M133</f>
        <v>1127.403846153846</v>
      </c>
    </row>
    <row r="134" spans="1:14" ht="12.75" customHeight="1" outlineLevel="2">
      <c r="A134" s="1" t="s">
        <v>175</v>
      </c>
      <c r="B134" s="87">
        <v>45167</v>
      </c>
      <c r="C134" s="1" t="s">
        <v>129</v>
      </c>
      <c r="D134" s="1" t="s">
        <v>135</v>
      </c>
      <c r="E134" s="88">
        <v>446000</v>
      </c>
      <c r="F134" s="89">
        <v>45138</v>
      </c>
      <c r="G134" s="89">
        <v>45139</v>
      </c>
      <c r="H134" s="86">
        <f t="shared" ref="H134:H139" si="15">+L134*9</f>
        <v>9557.1428571428569</v>
      </c>
      <c r="J134" s="90">
        <v>35</v>
      </c>
      <c r="K134" s="90">
        <f t="shared" ref="K134:K139" si="16">+J134*12</f>
        <v>420</v>
      </c>
      <c r="L134" s="86">
        <f t="shared" ref="L134:L139" si="17">+E134/K134</f>
        <v>1061.9047619047619</v>
      </c>
    </row>
    <row r="135" spans="1:14" ht="12.75" customHeight="1" outlineLevel="2">
      <c r="A135" s="1" t="s">
        <v>174</v>
      </c>
      <c r="B135" s="87">
        <v>45167</v>
      </c>
      <c r="C135" s="1" t="s">
        <v>129</v>
      </c>
      <c r="D135" s="1" t="s">
        <v>135</v>
      </c>
      <c r="E135" s="88">
        <v>49800</v>
      </c>
      <c r="F135" s="89">
        <v>45138</v>
      </c>
      <c r="G135" s="89">
        <v>45139</v>
      </c>
      <c r="H135" s="86">
        <f t="shared" si="15"/>
        <v>718.26923076923072</v>
      </c>
      <c r="J135" s="90">
        <v>52</v>
      </c>
      <c r="K135" s="90">
        <f t="shared" si="16"/>
        <v>624</v>
      </c>
      <c r="L135" s="86">
        <f t="shared" si="17"/>
        <v>79.807692307692307</v>
      </c>
    </row>
    <row r="136" spans="1:14" ht="12.75" customHeight="1" outlineLevel="2">
      <c r="A136" s="1" t="s">
        <v>174</v>
      </c>
      <c r="B136" s="87">
        <v>45167</v>
      </c>
      <c r="C136" s="1" t="s">
        <v>129</v>
      </c>
      <c r="D136" s="1" t="s">
        <v>135</v>
      </c>
      <c r="E136" s="88">
        <v>1200</v>
      </c>
      <c r="F136" s="89">
        <v>45138</v>
      </c>
      <c r="G136" s="89">
        <v>45139</v>
      </c>
      <c r="H136" s="86">
        <f t="shared" si="15"/>
        <v>17.307692307692307</v>
      </c>
      <c r="J136" s="90">
        <v>52</v>
      </c>
      <c r="K136" s="90">
        <f t="shared" si="16"/>
        <v>624</v>
      </c>
      <c r="L136" s="86">
        <f t="shared" si="17"/>
        <v>1.9230769230769231</v>
      </c>
    </row>
    <row r="137" spans="1:14" ht="12.75" customHeight="1" outlineLevel="2">
      <c r="A137" s="1" t="s">
        <v>174</v>
      </c>
      <c r="B137" s="87">
        <v>45167</v>
      </c>
      <c r="C137" s="1" t="s">
        <v>129</v>
      </c>
      <c r="D137" s="1" t="s">
        <v>135</v>
      </c>
      <c r="E137" s="88">
        <v>176250</v>
      </c>
      <c r="F137" s="89">
        <v>45138</v>
      </c>
      <c r="G137" s="89">
        <v>45139</v>
      </c>
      <c r="H137" s="86">
        <f t="shared" si="15"/>
        <v>2542.0673076923076</v>
      </c>
      <c r="J137" s="90">
        <v>52</v>
      </c>
      <c r="K137" s="90">
        <f t="shared" si="16"/>
        <v>624</v>
      </c>
      <c r="L137" s="86">
        <f t="shared" si="17"/>
        <v>282.45192307692309</v>
      </c>
    </row>
    <row r="138" spans="1:14" ht="12.75" customHeight="1" outlineLevel="2">
      <c r="A138" s="1" t="s">
        <v>174</v>
      </c>
      <c r="B138" s="87">
        <v>45167</v>
      </c>
      <c r="C138" s="1" t="s">
        <v>129</v>
      </c>
      <c r="D138" s="1" t="s">
        <v>135</v>
      </c>
      <c r="E138" s="88">
        <v>92750</v>
      </c>
      <c r="F138" s="89">
        <v>45138</v>
      </c>
      <c r="G138" s="89">
        <v>45139</v>
      </c>
      <c r="H138" s="86">
        <f t="shared" si="15"/>
        <v>1337.7403846153848</v>
      </c>
      <c r="J138" s="90">
        <v>52</v>
      </c>
      <c r="K138" s="90">
        <f t="shared" si="16"/>
        <v>624</v>
      </c>
      <c r="L138" s="86">
        <f t="shared" si="17"/>
        <v>148.63782051282053</v>
      </c>
    </row>
    <row r="139" spans="1:14" ht="12.75" customHeight="1" outlineLevel="2">
      <c r="A139" s="1" t="s">
        <v>176</v>
      </c>
      <c r="B139" s="87">
        <v>45167</v>
      </c>
      <c r="C139" s="1" t="s">
        <v>129</v>
      </c>
      <c r="D139" s="1" t="s">
        <v>135</v>
      </c>
      <c r="E139" s="88">
        <v>126000</v>
      </c>
      <c r="F139" s="89">
        <v>45138</v>
      </c>
      <c r="G139" s="89">
        <v>45139</v>
      </c>
      <c r="H139" s="86">
        <f t="shared" si="15"/>
        <v>2362.5</v>
      </c>
      <c r="J139" s="90">
        <v>40</v>
      </c>
      <c r="K139" s="90">
        <f t="shared" si="16"/>
        <v>480</v>
      </c>
      <c r="L139" s="86">
        <f t="shared" si="17"/>
        <v>262.5</v>
      </c>
    </row>
    <row r="140" spans="1:14" ht="12.75" customHeight="1" outlineLevel="1">
      <c r="B140" s="87"/>
      <c r="D140" s="45" t="s">
        <v>136</v>
      </c>
      <c r="E140" s="50">
        <f>SUBTOTAL(9,E134:E139)</f>
        <v>892000</v>
      </c>
      <c r="F140" s="51"/>
      <c r="G140" s="51"/>
      <c r="H140" s="52">
        <f>SUBTOTAL(9,H134:H139)</f>
        <v>16535.027472527472</v>
      </c>
      <c r="I140" s="45"/>
      <c r="J140" s="53"/>
      <c r="K140" s="53"/>
      <c r="L140" s="52">
        <f>SUBTOTAL(9,L134:L139)</f>
        <v>1837.2252747252749</v>
      </c>
      <c r="M140" s="110">
        <v>7</v>
      </c>
      <c r="N140" s="29">
        <f>+L140*M140</f>
        <v>12860.576923076924</v>
      </c>
    </row>
    <row r="141" spans="1:14" ht="12.75" customHeight="1" outlineLevel="2">
      <c r="A141" s="1" t="s">
        <v>174</v>
      </c>
      <c r="B141" s="87">
        <v>45167</v>
      </c>
      <c r="C141" s="1" t="s">
        <v>129</v>
      </c>
      <c r="D141" s="1" t="s">
        <v>137</v>
      </c>
      <c r="E141" s="88">
        <v>39080</v>
      </c>
      <c r="F141" s="89">
        <v>45138</v>
      </c>
      <c r="G141" s="89">
        <v>45139</v>
      </c>
      <c r="H141" s="86">
        <f>+L141*9</f>
        <v>563.65384615384619</v>
      </c>
      <c r="J141" s="90">
        <v>52</v>
      </c>
      <c r="K141" s="90">
        <f>+J141*12</f>
        <v>624</v>
      </c>
      <c r="L141" s="86">
        <f>+E141/K141</f>
        <v>62.628205128205131</v>
      </c>
    </row>
    <row r="142" spans="1:14" ht="12.75" customHeight="1" outlineLevel="2">
      <c r="A142" s="1" t="s">
        <v>174</v>
      </c>
      <c r="B142" s="87">
        <v>45167</v>
      </c>
      <c r="C142" s="1" t="s">
        <v>129</v>
      </c>
      <c r="D142" s="1" t="s">
        <v>137</v>
      </c>
      <c r="E142" s="88">
        <v>170800</v>
      </c>
      <c r="F142" s="89">
        <v>45138</v>
      </c>
      <c r="G142" s="89">
        <v>45139</v>
      </c>
      <c r="H142" s="86">
        <f>+L142*9</f>
        <v>2463.4615384615386</v>
      </c>
      <c r="J142" s="90">
        <v>52</v>
      </c>
      <c r="K142" s="90">
        <f>+J142*12</f>
        <v>624</v>
      </c>
      <c r="L142" s="86">
        <f>+E142/K142</f>
        <v>273.71794871794873</v>
      </c>
    </row>
    <row r="143" spans="1:14" ht="12.75" customHeight="1" outlineLevel="2">
      <c r="A143" s="1" t="s">
        <v>176</v>
      </c>
      <c r="B143" s="87">
        <v>45167</v>
      </c>
      <c r="C143" s="1" t="s">
        <v>129</v>
      </c>
      <c r="D143" s="1" t="s">
        <v>137</v>
      </c>
      <c r="E143" s="88">
        <v>160125</v>
      </c>
      <c r="F143" s="89">
        <v>45138</v>
      </c>
      <c r="G143" s="89">
        <v>45139</v>
      </c>
      <c r="H143" s="86">
        <f>+L143*9</f>
        <v>3002.34375</v>
      </c>
      <c r="J143" s="90">
        <v>40</v>
      </c>
      <c r="K143" s="90">
        <f>+J143*12</f>
        <v>480</v>
      </c>
      <c r="L143" s="86">
        <f>+E143/K143</f>
        <v>333.59375</v>
      </c>
    </row>
    <row r="144" spans="1:14" ht="12.75" customHeight="1" outlineLevel="1">
      <c r="B144" s="87"/>
      <c r="D144" s="45" t="s">
        <v>138</v>
      </c>
      <c r="E144" s="50">
        <f>SUBTOTAL(9,E141:E143)</f>
        <v>370005</v>
      </c>
      <c r="F144" s="51"/>
      <c r="G144" s="51"/>
      <c r="H144" s="52">
        <f>SUBTOTAL(9,H141:H143)</f>
        <v>6029.4591346153848</v>
      </c>
      <c r="I144" s="45"/>
      <c r="J144" s="53"/>
      <c r="K144" s="53"/>
      <c r="L144" s="52">
        <f>SUBTOTAL(9,L141:L143)</f>
        <v>669.93990384615381</v>
      </c>
      <c r="M144" s="110">
        <v>7</v>
      </c>
      <c r="N144" s="29">
        <f>+L144*M144</f>
        <v>4689.5793269230762</v>
      </c>
    </row>
    <row r="145" spans="1:14" ht="12.75" customHeight="1" outlineLevel="2">
      <c r="A145" s="1" t="s">
        <v>174</v>
      </c>
      <c r="B145" s="87">
        <v>45167</v>
      </c>
      <c r="C145" s="1" t="s">
        <v>129</v>
      </c>
      <c r="D145" s="1" t="s">
        <v>139</v>
      </c>
      <c r="E145" s="88">
        <v>20750</v>
      </c>
      <c r="F145" s="89">
        <v>45138</v>
      </c>
      <c r="G145" s="89">
        <v>45139</v>
      </c>
      <c r="H145" s="86">
        <f>+L145*9</f>
        <v>299.27884615384619</v>
      </c>
      <c r="J145" s="90">
        <v>52</v>
      </c>
      <c r="K145" s="90">
        <f>+J145*12</f>
        <v>624</v>
      </c>
      <c r="L145" s="86">
        <f>+E145/K145</f>
        <v>33.253205128205131</v>
      </c>
    </row>
    <row r="146" spans="1:14" ht="12.75" customHeight="1" outlineLevel="2">
      <c r="A146" s="1" t="s">
        <v>174</v>
      </c>
      <c r="B146" s="87">
        <v>45167</v>
      </c>
      <c r="C146" s="1" t="s">
        <v>129</v>
      </c>
      <c r="D146" s="1" t="s">
        <v>139</v>
      </c>
      <c r="E146" s="88">
        <v>46250</v>
      </c>
      <c r="F146" s="89">
        <v>45138</v>
      </c>
      <c r="G146" s="89">
        <v>45139</v>
      </c>
      <c r="H146" s="86">
        <f>+L146*9</f>
        <v>667.06730769230762</v>
      </c>
      <c r="J146" s="90">
        <v>52</v>
      </c>
      <c r="K146" s="90">
        <f>+J146*12</f>
        <v>624</v>
      </c>
      <c r="L146" s="86">
        <f>+E146/K146</f>
        <v>74.118589743589737</v>
      </c>
    </row>
    <row r="147" spans="1:14" ht="12.75" customHeight="1" outlineLevel="2">
      <c r="A147" s="1" t="s">
        <v>176</v>
      </c>
      <c r="B147" s="87">
        <v>45167</v>
      </c>
      <c r="C147" s="1" t="s">
        <v>129</v>
      </c>
      <c r="D147" s="1" t="s">
        <v>139</v>
      </c>
      <c r="E147" s="88">
        <v>33000</v>
      </c>
      <c r="F147" s="89">
        <v>45138</v>
      </c>
      <c r="G147" s="89">
        <v>45139</v>
      </c>
      <c r="H147" s="86">
        <f>+L147*9</f>
        <v>618.75</v>
      </c>
      <c r="J147" s="90">
        <v>40</v>
      </c>
      <c r="K147" s="90">
        <f>+J147*12</f>
        <v>480</v>
      </c>
      <c r="L147" s="86">
        <f>+E147/K147</f>
        <v>68.75</v>
      </c>
    </row>
    <row r="148" spans="1:14" ht="12.75" customHeight="1" outlineLevel="1">
      <c r="B148" s="87"/>
      <c r="D148" s="45" t="s">
        <v>140</v>
      </c>
      <c r="E148" s="50">
        <f>SUBTOTAL(9,E145:E147)</f>
        <v>100000</v>
      </c>
      <c r="F148" s="51"/>
      <c r="G148" s="51"/>
      <c r="H148" s="52">
        <f>SUBTOTAL(9,H145:H147)</f>
        <v>1585.0961538461538</v>
      </c>
      <c r="I148" s="45"/>
      <c r="J148" s="53"/>
      <c r="K148" s="53"/>
      <c r="L148" s="52">
        <f>SUBTOTAL(9,L145:L147)</f>
        <v>176.12179487179486</v>
      </c>
      <c r="M148" s="110">
        <v>7</v>
      </c>
      <c r="N148" s="29">
        <f>+L148*M148</f>
        <v>1232.852564102564</v>
      </c>
    </row>
    <row r="149" spans="1:14" ht="12.75" customHeight="1" outlineLevel="2">
      <c r="A149" s="1" t="s">
        <v>174</v>
      </c>
      <c r="B149" s="87">
        <v>45276</v>
      </c>
      <c r="C149" s="1" t="s">
        <v>152</v>
      </c>
      <c r="D149" s="1" t="s">
        <v>153</v>
      </c>
      <c r="E149" s="88">
        <v>83100</v>
      </c>
      <c r="F149" s="89">
        <v>45224</v>
      </c>
      <c r="G149" s="89">
        <v>45231</v>
      </c>
      <c r="H149" s="86">
        <f>+L149*6</f>
        <v>799.03846153846166</v>
      </c>
      <c r="J149" s="90">
        <v>52</v>
      </c>
      <c r="K149" s="90">
        <f>+J149*12</f>
        <v>624</v>
      </c>
      <c r="L149" s="86">
        <f>+E149/K149</f>
        <v>133.17307692307693</v>
      </c>
    </row>
    <row r="150" spans="1:14" ht="12.75" customHeight="1" outlineLevel="2">
      <c r="A150" s="1" t="s">
        <v>174</v>
      </c>
      <c r="B150" s="87">
        <v>45276</v>
      </c>
      <c r="C150" s="1" t="s">
        <v>152</v>
      </c>
      <c r="D150" s="1" t="s">
        <v>153</v>
      </c>
      <c r="E150" s="88">
        <v>174250</v>
      </c>
      <c r="F150" s="89">
        <v>45224</v>
      </c>
      <c r="G150" s="89">
        <v>45231</v>
      </c>
      <c r="H150" s="86">
        <f>+L150*6</f>
        <v>1675.4807692307691</v>
      </c>
      <c r="J150" s="90">
        <v>52</v>
      </c>
      <c r="K150" s="90">
        <f>+J150*12</f>
        <v>624</v>
      </c>
      <c r="L150" s="86">
        <f>+E150/K150</f>
        <v>279.24679487179486</v>
      </c>
    </row>
    <row r="151" spans="1:14" ht="12.75" customHeight="1" outlineLevel="2">
      <c r="A151" s="1" t="s">
        <v>174</v>
      </c>
      <c r="B151" s="87">
        <v>45276</v>
      </c>
      <c r="C151" s="1" t="s">
        <v>152</v>
      </c>
      <c r="D151" s="1" t="s">
        <v>153</v>
      </c>
      <c r="E151" s="88">
        <v>234650</v>
      </c>
      <c r="F151" s="89">
        <v>45224</v>
      </c>
      <c r="G151" s="89">
        <v>45231</v>
      </c>
      <c r="H151" s="86">
        <f>+L151*6</f>
        <v>2256.25</v>
      </c>
      <c r="J151" s="90">
        <v>52</v>
      </c>
      <c r="K151" s="90">
        <f>+J151*12</f>
        <v>624</v>
      </c>
      <c r="L151" s="86">
        <f>+E151/K151</f>
        <v>376.04166666666669</v>
      </c>
    </row>
    <row r="152" spans="1:14" ht="12.75" customHeight="1" outlineLevel="2">
      <c r="A152" s="1" t="s">
        <v>176</v>
      </c>
      <c r="B152" s="87">
        <v>45276</v>
      </c>
      <c r="C152" s="1" t="s">
        <v>152</v>
      </c>
      <c r="D152" s="1" t="s">
        <v>153</v>
      </c>
      <c r="E152" s="88">
        <v>255000</v>
      </c>
      <c r="F152" s="89">
        <v>45224</v>
      </c>
      <c r="G152" s="89">
        <v>45231</v>
      </c>
      <c r="H152" s="86">
        <f>+L152*6</f>
        <v>3187.5</v>
      </c>
      <c r="J152" s="90">
        <v>40</v>
      </c>
      <c r="K152" s="90">
        <f>+J152*12</f>
        <v>480</v>
      </c>
      <c r="L152" s="86">
        <f>+E152/K152</f>
        <v>531.25</v>
      </c>
    </row>
    <row r="153" spans="1:14" ht="12.75" customHeight="1" outlineLevel="1">
      <c r="B153" s="87"/>
      <c r="D153" s="45" t="s">
        <v>154</v>
      </c>
      <c r="E153" s="50">
        <f>SUBTOTAL(9,E149:E152)</f>
        <v>747000</v>
      </c>
      <c r="F153" s="51"/>
      <c r="G153" s="51"/>
      <c r="H153" s="52">
        <f>SUBTOTAL(9,H149:H152)</f>
        <v>7918.2692307692305</v>
      </c>
      <c r="I153" s="45"/>
      <c r="J153" s="53"/>
      <c r="K153" s="53"/>
      <c r="L153" s="52">
        <f>SUBTOTAL(9,L149:L152)</f>
        <v>1319.7115384615386</v>
      </c>
      <c r="M153" s="110">
        <v>10</v>
      </c>
      <c r="N153" s="29">
        <f>+L153*M153</f>
        <v>13197.115384615387</v>
      </c>
    </row>
    <row r="154" spans="1:14" ht="12.75" customHeight="1" outlineLevel="2">
      <c r="A154" s="1" t="s">
        <v>174</v>
      </c>
      <c r="B154" s="87">
        <v>45276</v>
      </c>
      <c r="C154" s="1" t="s">
        <v>152</v>
      </c>
      <c r="D154" s="1" t="s">
        <v>177</v>
      </c>
      <c r="E154" s="88">
        <v>10600</v>
      </c>
      <c r="F154" s="89">
        <v>45224</v>
      </c>
      <c r="G154" s="89">
        <v>45231</v>
      </c>
      <c r="H154" s="86">
        <f>+L154*6</f>
        <v>101.92307692307691</v>
      </c>
      <c r="J154" s="90">
        <v>52</v>
      </c>
      <c r="K154" s="90">
        <f>+J154*12</f>
        <v>624</v>
      </c>
      <c r="L154" s="86">
        <f>+E154/K154</f>
        <v>16.987179487179485</v>
      </c>
    </row>
    <row r="155" spans="1:14" ht="12.75" customHeight="1" outlineLevel="2">
      <c r="A155" s="1" t="s">
        <v>174</v>
      </c>
      <c r="B155" s="87">
        <v>45276</v>
      </c>
      <c r="C155" s="1" t="s">
        <v>152</v>
      </c>
      <c r="D155" s="1" t="s">
        <v>177</v>
      </c>
      <c r="E155" s="88">
        <v>32200</v>
      </c>
      <c r="F155" s="89">
        <v>45224</v>
      </c>
      <c r="G155" s="89">
        <v>45231</v>
      </c>
      <c r="H155" s="86">
        <f>+L155*6</f>
        <v>309.61538461538464</v>
      </c>
      <c r="J155" s="90">
        <v>52</v>
      </c>
      <c r="K155" s="90">
        <f>+J155*12</f>
        <v>624</v>
      </c>
      <c r="L155" s="86">
        <f>+E155/K155</f>
        <v>51.602564102564102</v>
      </c>
    </row>
    <row r="156" spans="1:14" ht="12.75" customHeight="1" outlineLevel="2">
      <c r="A156" s="1" t="s">
        <v>176</v>
      </c>
      <c r="B156" s="87">
        <v>45276</v>
      </c>
      <c r="C156" s="1" t="s">
        <v>152</v>
      </c>
      <c r="D156" s="1" t="s">
        <v>177</v>
      </c>
      <c r="E156" s="88">
        <v>6000</v>
      </c>
      <c r="F156" s="89">
        <v>45224</v>
      </c>
      <c r="G156" s="89">
        <v>45231</v>
      </c>
      <c r="H156" s="86">
        <f>+L156*6</f>
        <v>75</v>
      </c>
      <c r="J156" s="90">
        <v>40</v>
      </c>
      <c r="K156" s="90">
        <f>+J156*12</f>
        <v>480</v>
      </c>
      <c r="L156" s="86">
        <f>+E156/K156</f>
        <v>12.5</v>
      </c>
    </row>
    <row r="157" spans="1:14" ht="12.75" customHeight="1" outlineLevel="1">
      <c r="B157" s="87"/>
      <c r="D157" s="45" t="s">
        <v>178</v>
      </c>
      <c r="E157" s="50">
        <f>SUBTOTAL(9,E154:E156)</f>
        <v>48800</v>
      </c>
      <c r="F157" s="51"/>
      <c r="G157" s="51"/>
      <c r="H157" s="52">
        <f>SUBTOTAL(9,H154:H156)</f>
        <v>486.53846153846155</v>
      </c>
      <c r="I157" s="45"/>
      <c r="J157" s="53"/>
      <c r="K157" s="53"/>
      <c r="L157" s="52">
        <f>SUBTOTAL(9,L154:L156)</f>
        <v>81.089743589743591</v>
      </c>
      <c r="M157" s="110">
        <v>10</v>
      </c>
      <c r="N157" s="29">
        <f>+L157*M157</f>
        <v>810.89743589743591</v>
      </c>
    </row>
    <row r="158" spans="1:14" ht="12.75" customHeight="1" outlineLevel="2">
      <c r="A158" s="1" t="s">
        <v>174</v>
      </c>
      <c r="B158" s="87">
        <v>45291</v>
      </c>
      <c r="C158" s="1" t="s">
        <v>155</v>
      </c>
      <c r="D158" s="1" t="s">
        <v>156</v>
      </c>
      <c r="E158" s="88">
        <v>47824</v>
      </c>
      <c r="F158" s="89">
        <v>45232</v>
      </c>
      <c r="G158" s="89">
        <v>45261</v>
      </c>
      <c r="H158" s="86">
        <f>+L158*5</f>
        <v>383.20512820512818</v>
      </c>
      <c r="J158" s="90">
        <v>52</v>
      </c>
      <c r="K158" s="90">
        <f>+J158*12</f>
        <v>624</v>
      </c>
      <c r="L158" s="86">
        <f>+E158/K158</f>
        <v>76.641025641025635</v>
      </c>
    </row>
    <row r="159" spans="1:14" ht="12.75" customHeight="1" outlineLevel="2">
      <c r="A159" s="1" t="s">
        <v>174</v>
      </c>
      <c r="B159" s="87">
        <v>45291</v>
      </c>
      <c r="C159" s="1" t="s">
        <v>155</v>
      </c>
      <c r="D159" s="1" t="s">
        <v>156</v>
      </c>
      <c r="E159" s="88">
        <v>142755</v>
      </c>
      <c r="F159" s="89">
        <v>45232</v>
      </c>
      <c r="G159" s="89">
        <v>45261</v>
      </c>
      <c r="H159" s="86">
        <f>+L159*5</f>
        <v>1143.8701923076924</v>
      </c>
      <c r="J159" s="90">
        <v>52</v>
      </c>
      <c r="K159" s="90">
        <f>+J159*12</f>
        <v>624</v>
      </c>
      <c r="L159" s="86">
        <f>+E159/K159</f>
        <v>228.77403846153845</v>
      </c>
    </row>
    <row r="160" spans="1:14" ht="12.75" customHeight="1" outlineLevel="2">
      <c r="A160" s="1" t="s">
        <v>176</v>
      </c>
      <c r="B160" s="87">
        <v>45291</v>
      </c>
      <c r="C160" s="1" t="s">
        <v>155</v>
      </c>
      <c r="D160" s="1" t="s">
        <v>156</v>
      </c>
      <c r="E160" s="88">
        <v>47170</v>
      </c>
      <c r="F160" s="89">
        <v>45232</v>
      </c>
      <c r="G160" s="89">
        <v>45261</v>
      </c>
      <c r="H160" s="86">
        <f>+L160*5</f>
        <v>491.35416666666663</v>
      </c>
      <c r="J160" s="90">
        <v>40</v>
      </c>
      <c r="K160" s="90">
        <f>+J160*12</f>
        <v>480</v>
      </c>
      <c r="L160" s="86">
        <f>+E160/K160</f>
        <v>98.270833333333329</v>
      </c>
    </row>
    <row r="161" spans="1:14" ht="12.75" customHeight="1" outlineLevel="1">
      <c r="B161" s="87"/>
      <c r="D161" s="45" t="s">
        <v>157</v>
      </c>
      <c r="E161" s="50">
        <f>SUBTOTAL(9,E158:E160)</f>
        <v>237749</v>
      </c>
      <c r="F161" s="51"/>
      <c r="G161" s="51"/>
      <c r="H161" s="52">
        <f>SUBTOTAL(9,H158:H160)</f>
        <v>2018.4294871794873</v>
      </c>
      <c r="I161" s="45"/>
      <c r="J161" s="53"/>
      <c r="K161" s="53"/>
      <c r="L161" s="52">
        <f>SUBTOTAL(9,L158:L160)</f>
        <v>403.6858974358974</v>
      </c>
      <c r="M161" s="110">
        <v>11</v>
      </c>
      <c r="N161" s="29">
        <f>+L161*M161</f>
        <v>4440.5448717948711</v>
      </c>
    </row>
    <row r="162" spans="1:14" ht="12.75" customHeight="1" outlineLevel="2">
      <c r="A162" s="1" t="s">
        <v>174</v>
      </c>
      <c r="B162" s="87">
        <v>45412</v>
      </c>
      <c r="C162" s="1" t="s">
        <v>160</v>
      </c>
      <c r="D162" s="1" t="s">
        <v>161</v>
      </c>
      <c r="E162" s="88">
        <v>29736</v>
      </c>
      <c r="F162" s="89">
        <v>45296</v>
      </c>
      <c r="G162" s="89">
        <v>45323</v>
      </c>
      <c r="H162" s="86">
        <f>+L162*3</f>
        <v>142.96153846153845</v>
      </c>
      <c r="J162" s="90">
        <v>52</v>
      </c>
      <c r="K162" s="90">
        <f>+J162*12</f>
        <v>624</v>
      </c>
      <c r="L162" s="86">
        <f>+E162/K162</f>
        <v>47.653846153846153</v>
      </c>
    </row>
    <row r="163" spans="1:14" ht="12.75" customHeight="1" outlineLevel="2">
      <c r="A163" s="1" t="s">
        <v>174</v>
      </c>
      <c r="B163" s="87">
        <v>45412</v>
      </c>
      <c r="C163" s="1" t="s">
        <v>160</v>
      </c>
      <c r="D163" s="1" t="s">
        <v>161</v>
      </c>
      <c r="E163" s="88">
        <v>81600</v>
      </c>
      <c r="F163" s="89">
        <v>45296</v>
      </c>
      <c r="G163" s="89">
        <v>45323</v>
      </c>
      <c r="H163" s="86">
        <f>+L163*3</f>
        <v>392.30769230769232</v>
      </c>
      <c r="J163" s="90">
        <v>52</v>
      </c>
      <c r="K163" s="90">
        <f>+J163*12</f>
        <v>624</v>
      </c>
      <c r="L163" s="86">
        <f>+E163/K163</f>
        <v>130.76923076923077</v>
      </c>
    </row>
    <row r="164" spans="1:14" ht="12.75" customHeight="1" outlineLevel="2">
      <c r="A164" s="1" t="s">
        <v>176</v>
      </c>
      <c r="B164" s="87">
        <v>45412</v>
      </c>
      <c r="C164" s="1" t="s">
        <v>160</v>
      </c>
      <c r="D164" s="1" t="s">
        <v>161</v>
      </c>
      <c r="E164" s="88">
        <v>122640</v>
      </c>
      <c r="F164" s="89">
        <v>45296</v>
      </c>
      <c r="G164" s="89">
        <v>45323</v>
      </c>
      <c r="H164" s="86">
        <f>+L164*3</f>
        <v>766.5</v>
      </c>
      <c r="J164" s="90">
        <v>40</v>
      </c>
      <c r="K164" s="90">
        <f>+J164*12</f>
        <v>480</v>
      </c>
      <c r="L164" s="86">
        <f>+E164/K164</f>
        <v>255.5</v>
      </c>
    </row>
    <row r="165" spans="1:14" ht="12.75" customHeight="1" outlineLevel="1">
      <c r="B165" s="87"/>
      <c r="D165" s="45" t="s">
        <v>162</v>
      </c>
      <c r="E165" s="50">
        <f>SUBTOTAL(9,E162:E164)</f>
        <v>233976</v>
      </c>
      <c r="F165" s="51"/>
      <c r="G165" s="51"/>
      <c r="H165" s="52">
        <f>SUBTOTAL(9,H162:H164)</f>
        <v>1301.7692307692307</v>
      </c>
      <c r="I165" s="45"/>
      <c r="J165" s="53"/>
      <c r="K165" s="53"/>
      <c r="L165" s="52">
        <f>SUBTOTAL(9,L162:L164)</f>
        <v>433.92307692307691</v>
      </c>
      <c r="M165" s="110">
        <v>12</v>
      </c>
      <c r="N165" s="29">
        <f>+L165*M165</f>
        <v>5207.0769230769229</v>
      </c>
    </row>
    <row r="166" spans="1:14" ht="12.75" customHeight="1" outlineLevel="2">
      <c r="A166" s="1" t="s">
        <v>174</v>
      </c>
      <c r="B166" s="87">
        <v>45412</v>
      </c>
      <c r="C166" s="1" t="s">
        <v>160</v>
      </c>
      <c r="D166" s="1" t="s">
        <v>163</v>
      </c>
      <c r="E166" s="88">
        <v>20000</v>
      </c>
      <c r="F166" s="89">
        <v>45352</v>
      </c>
      <c r="G166" s="89">
        <v>45383</v>
      </c>
      <c r="H166" s="86">
        <f>+L166*1</f>
        <v>32.051282051282051</v>
      </c>
      <c r="J166" s="90">
        <v>52</v>
      </c>
      <c r="K166" s="90">
        <f>+J166*12</f>
        <v>624</v>
      </c>
      <c r="L166" s="86">
        <f>+E166/K166</f>
        <v>32.051282051282051</v>
      </c>
    </row>
    <row r="167" spans="1:14" ht="12.75" customHeight="1" outlineLevel="2">
      <c r="A167" s="1" t="s">
        <v>174</v>
      </c>
      <c r="B167" s="87">
        <v>45412</v>
      </c>
      <c r="C167" s="1" t="s">
        <v>160</v>
      </c>
      <c r="D167" s="1" t="s">
        <v>163</v>
      </c>
      <c r="E167" s="88">
        <v>52800</v>
      </c>
      <c r="F167" s="89">
        <v>45352</v>
      </c>
      <c r="G167" s="89">
        <v>45383</v>
      </c>
      <c r="H167" s="86">
        <f>+L167*1</f>
        <v>84.615384615384613</v>
      </c>
      <c r="J167" s="90">
        <v>52</v>
      </c>
      <c r="K167" s="90">
        <f>+J167*12</f>
        <v>624</v>
      </c>
      <c r="L167" s="86">
        <f>+E167/K167</f>
        <v>84.615384615384613</v>
      </c>
    </row>
    <row r="168" spans="1:14" ht="12.75" customHeight="1" outlineLevel="2">
      <c r="A168" s="1" t="s">
        <v>176</v>
      </c>
      <c r="B168" s="87">
        <v>45412</v>
      </c>
      <c r="C168" s="1" t="s">
        <v>160</v>
      </c>
      <c r="D168" s="1" t="s">
        <v>163</v>
      </c>
      <c r="E168" s="88">
        <v>11900</v>
      </c>
      <c r="F168" s="89">
        <v>45352</v>
      </c>
      <c r="G168" s="89">
        <v>45383</v>
      </c>
      <c r="H168" s="86">
        <f>+L168*1</f>
        <v>24.791666666666668</v>
      </c>
      <c r="J168" s="90">
        <v>40</v>
      </c>
      <c r="K168" s="90">
        <f>+J168*12</f>
        <v>480</v>
      </c>
      <c r="L168" s="86">
        <f>+E168/K168</f>
        <v>24.791666666666668</v>
      </c>
    </row>
    <row r="169" spans="1:14" ht="12.75" customHeight="1" outlineLevel="1">
      <c r="B169" s="87"/>
      <c r="D169" s="45" t="s">
        <v>164</v>
      </c>
      <c r="E169" s="50">
        <f>SUBTOTAL(9,E166:E168)</f>
        <v>84700</v>
      </c>
      <c r="F169" s="51"/>
      <c r="G169" s="51"/>
      <c r="H169" s="52">
        <f>SUBTOTAL(9,H166:H168)</f>
        <v>141.45833333333331</v>
      </c>
      <c r="I169" s="45"/>
      <c r="J169" s="53"/>
      <c r="K169" s="53"/>
      <c r="L169" s="52">
        <f>SUBTOTAL(9,L166:L168)</f>
        <v>141.45833333333331</v>
      </c>
      <c r="M169" s="110">
        <v>12</v>
      </c>
      <c r="N169" s="29">
        <f>+L169*M169</f>
        <v>1697.4999999999998</v>
      </c>
    </row>
    <row r="170" spans="1:14" ht="12.75" customHeight="1" outlineLevel="2">
      <c r="A170" s="1" t="s">
        <v>174</v>
      </c>
      <c r="B170" s="87">
        <v>45412</v>
      </c>
      <c r="C170" s="1" t="s">
        <v>160</v>
      </c>
      <c r="D170" s="1" t="s">
        <v>179</v>
      </c>
      <c r="E170" s="88">
        <v>12000</v>
      </c>
      <c r="F170" s="89">
        <v>45370</v>
      </c>
      <c r="G170" s="89">
        <v>45383</v>
      </c>
      <c r="H170" s="86">
        <f>+L170*1</f>
        <v>19.23076923076923</v>
      </c>
      <c r="J170" s="90">
        <v>52</v>
      </c>
      <c r="K170" s="90">
        <f>+J170*12</f>
        <v>624</v>
      </c>
      <c r="L170" s="86">
        <f>+E170/K170</f>
        <v>19.23076923076923</v>
      </c>
    </row>
    <row r="171" spans="1:14" ht="12.75" customHeight="1" outlineLevel="2">
      <c r="A171" s="1" t="s">
        <v>174</v>
      </c>
      <c r="B171" s="87">
        <v>45412</v>
      </c>
      <c r="C171" s="1" t="s">
        <v>160</v>
      </c>
      <c r="D171" s="1" t="s">
        <v>179</v>
      </c>
      <c r="E171" s="88">
        <v>10000</v>
      </c>
      <c r="F171" s="89">
        <v>45370</v>
      </c>
      <c r="G171" s="89">
        <v>45383</v>
      </c>
      <c r="H171" s="86">
        <f>+L171*1</f>
        <v>16.025641025641026</v>
      </c>
      <c r="J171" s="90">
        <v>52</v>
      </c>
      <c r="K171" s="90">
        <f>+J171*12</f>
        <v>624</v>
      </c>
      <c r="L171" s="86">
        <f>+E171/K171</f>
        <v>16.025641025641026</v>
      </c>
    </row>
    <row r="172" spans="1:14" ht="12.75" customHeight="1" outlineLevel="2">
      <c r="A172" s="1" t="s">
        <v>176</v>
      </c>
      <c r="B172" s="87">
        <v>45412</v>
      </c>
      <c r="C172" s="1" t="s">
        <v>160</v>
      </c>
      <c r="D172" s="1" t="s">
        <v>179</v>
      </c>
      <c r="E172" s="88">
        <v>1280</v>
      </c>
      <c r="F172" s="89">
        <v>45370</v>
      </c>
      <c r="G172" s="89">
        <v>45383</v>
      </c>
      <c r="H172" s="86">
        <f>+L172*1</f>
        <v>2.6666666666666665</v>
      </c>
      <c r="J172" s="90">
        <v>40</v>
      </c>
      <c r="K172" s="90">
        <f>+J172*12</f>
        <v>480</v>
      </c>
      <c r="L172" s="86">
        <f>+E172/K172</f>
        <v>2.6666666666666665</v>
      </c>
    </row>
    <row r="173" spans="1:14" ht="12.75" customHeight="1" outlineLevel="1">
      <c r="B173" s="87"/>
      <c r="D173" s="45" t="s">
        <v>180</v>
      </c>
      <c r="E173" s="88">
        <f>SUBTOTAL(9,E170:E172)</f>
        <v>23280</v>
      </c>
      <c r="F173" s="89"/>
      <c r="G173" s="89"/>
      <c r="H173" s="92">
        <f>SUBTOTAL(9,H170:H172)</f>
        <v>37.92307692307692</v>
      </c>
      <c r="I173" s="75"/>
      <c r="J173" s="93"/>
      <c r="K173" s="93"/>
      <c r="L173" s="92">
        <f>SUBTOTAL(9,L170:L172)</f>
        <v>37.92307692307692</v>
      </c>
      <c r="M173" s="110">
        <v>12</v>
      </c>
      <c r="N173" s="29">
        <f>+L173*M173</f>
        <v>455.07692307692304</v>
      </c>
    </row>
    <row r="174" spans="1:14" ht="12.75" customHeight="1" outlineLevel="2">
      <c r="A174" s="1" t="s">
        <v>174</v>
      </c>
      <c r="B174" s="87">
        <v>45412</v>
      </c>
      <c r="C174" s="1" t="s">
        <v>160</v>
      </c>
      <c r="D174" s="1" t="s">
        <v>167</v>
      </c>
      <c r="E174" s="88">
        <v>18000</v>
      </c>
      <c r="F174" s="89">
        <v>45405</v>
      </c>
      <c r="G174" s="89">
        <v>45413</v>
      </c>
      <c r="H174" s="86">
        <f>+L174*0</f>
        <v>0</v>
      </c>
      <c r="J174" s="90">
        <v>52</v>
      </c>
      <c r="K174" s="90">
        <f>+J174*12</f>
        <v>624</v>
      </c>
      <c r="L174" s="86">
        <f>+E174/K174</f>
        <v>28.846153846153847</v>
      </c>
    </row>
    <row r="175" spans="1:14" ht="12.75" customHeight="1" outlineLevel="2">
      <c r="A175" s="1" t="s">
        <v>174</v>
      </c>
      <c r="B175" s="87">
        <v>45412</v>
      </c>
      <c r="C175" s="1" t="s">
        <v>160</v>
      </c>
      <c r="D175" s="1" t="s">
        <v>167</v>
      </c>
      <c r="E175" s="88">
        <v>22500</v>
      </c>
      <c r="F175" s="89">
        <v>45405</v>
      </c>
      <c r="G175" s="89">
        <v>45413</v>
      </c>
      <c r="H175" s="86">
        <f>+L175*0</f>
        <v>0</v>
      </c>
      <c r="J175" s="90">
        <v>52</v>
      </c>
      <c r="K175" s="90">
        <f>+J175*12</f>
        <v>624</v>
      </c>
      <c r="L175" s="86">
        <f>+E175/K175</f>
        <v>36.057692307692307</v>
      </c>
    </row>
    <row r="176" spans="1:14" ht="12.75" customHeight="1" outlineLevel="2">
      <c r="A176" s="1" t="s">
        <v>176</v>
      </c>
      <c r="B176" s="87">
        <v>45412</v>
      </c>
      <c r="C176" s="1" t="s">
        <v>160</v>
      </c>
      <c r="D176" s="1" t="s">
        <v>167</v>
      </c>
      <c r="E176" s="88">
        <v>3500</v>
      </c>
      <c r="F176" s="89">
        <v>45405</v>
      </c>
      <c r="G176" s="89">
        <v>45413</v>
      </c>
      <c r="H176" s="86">
        <f>+L176*0</f>
        <v>0</v>
      </c>
      <c r="J176" s="90">
        <v>40</v>
      </c>
      <c r="K176" s="90">
        <f>+J176*12</f>
        <v>480</v>
      </c>
      <c r="L176" s="86">
        <f>+E176/K176</f>
        <v>7.291666666666667</v>
      </c>
    </row>
    <row r="177" spans="1:14" ht="12.75" customHeight="1" outlineLevel="1">
      <c r="B177" s="87"/>
      <c r="D177" s="45" t="s">
        <v>168</v>
      </c>
      <c r="E177" s="50">
        <f>SUBTOTAL(9,E174:E176)</f>
        <v>44000</v>
      </c>
      <c r="F177" s="51"/>
      <c r="G177" s="51"/>
      <c r="H177" s="52">
        <f>SUBTOTAL(9,H174:H176)</f>
        <v>0</v>
      </c>
      <c r="I177" s="45"/>
      <c r="J177" s="53"/>
      <c r="K177" s="53"/>
      <c r="L177" s="52">
        <f>SUBTOTAL(9,L174:L176)</f>
        <v>72.195512820512832</v>
      </c>
      <c r="M177" s="110">
        <v>12</v>
      </c>
      <c r="N177" s="29">
        <f>+L177*M177</f>
        <v>866.34615384615404</v>
      </c>
    </row>
    <row r="178" spans="1:14" ht="12.75" customHeight="1" outlineLevel="2">
      <c r="A178" s="1" t="s">
        <v>174</v>
      </c>
      <c r="B178" s="87">
        <v>45412</v>
      </c>
      <c r="C178" s="1" t="s">
        <v>160</v>
      </c>
      <c r="D178" s="1" t="s">
        <v>169</v>
      </c>
      <c r="E178" s="88">
        <v>119340</v>
      </c>
      <c r="F178" s="89">
        <v>45412</v>
      </c>
      <c r="G178" s="89">
        <v>45413</v>
      </c>
      <c r="H178" s="86">
        <f>+L178*0</f>
        <v>0</v>
      </c>
      <c r="J178" s="90">
        <v>52</v>
      </c>
      <c r="K178" s="90">
        <f>+J178*12</f>
        <v>624</v>
      </c>
      <c r="L178" s="86">
        <f>+E178/K178</f>
        <v>191.25</v>
      </c>
    </row>
    <row r="179" spans="1:14" ht="12.75" customHeight="1" outlineLevel="2">
      <c r="A179" s="1" t="s">
        <v>174</v>
      </c>
      <c r="B179" s="87">
        <v>45412</v>
      </c>
      <c r="C179" s="1" t="s">
        <v>160</v>
      </c>
      <c r="D179" s="1" t="s">
        <v>169</v>
      </c>
      <c r="E179" s="88">
        <v>529125</v>
      </c>
      <c r="F179" s="89">
        <v>45412</v>
      </c>
      <c r="G179" s="89">
        <v>45413</v>
      </c>
      <c r="H179" s="86">
        <f>+L179*0</f>
        <v>0</v>
      </c>
      <c r="J179" s="90">
        <v>52</v>
      </c>
      <c r="K179" s="90">
        <f>+J179*12</f>
        <v>624</v>
      </c>
      <c r="L179" s="86">
        <f>+E179/K179</f>
        <v>847.95673076923072</v>
      </c>
    </row>
    <row r="180" spans="1:14" ht="12.75" customHeight="1" outlineLevel="2">
      <c r="A180" s="1" t="s">
        <v>176</v>
      </c>
      <c r="B180" s="87">
        <v>45412</v>
      </c>
      <c r="C180" s="1" t="s">
        <v>160</v>
      </c>
      <c r="D180" s="1" t="s">
        <v>169</v>
      </c>
      <c r="E180" s="88">
        <v>363600</v>
      </c>
      <c r="F180" s="89">
        <v>45412</v>
      </c>
      <c r="G180" s="89">
        <v>45413</v>
      </c>
      <c r="H180" s="86">
        <f>+L180*0</f>
        <v>0</v>
      </c>
      <c r="J180" s="90">
        <v>40</v>
      </c>
      <c r="K180" s="90">
        <f>+J180*12</f>
        <v>480</v>
      </c>
      <c r="L180" s="86">
        <f>+E180/K180</f>
        <v>757.5</v>
      </c>
    </row>
    <row r="181" spans="1:14" ht="12.75" customHeight="1" outlineLevel="1">
      <c r="B181" s="87"/>
      <c r="D181" s="45" t="s">
        <v>170</v>
      </c>
      <c r="E181" s="50">
        <f>SUBTOTAL(9,E178:E180)</f>
        <v>1012065</v>
      </c>
      <c r="F181" s="51"/>
      <c r="G181" s="51"/>
      <c r="H181" s="52">
        <f>SUBTOTAL(9,H178:H180)</f>
        <v>0</v>
      </c>
      <c r="I181" s="45"/>
      <c r="J181" s="53"/>
      <c r="K181" s="53"/>
      <c r="L181" s="52">
        <f>SUBTOTAL(9,L178:L180)</f>
        <v>1796.7067307692307</v>
      </c>
      <c r="M181" s="110">
        <v>12</v>
      </c>
      <c r="N181" s="29">
        <f>+L181*M181</f>
        <v>21560.48076923077</v>
      </c>
    </row>
    <row r="182" spans="1:14" ht="12.75" customHeight="1" outlineLevel="2">
      <c r="A182" s="1" t="s">
        <v>174</v>
      </c>
      <c r="B182" s="87">
        <v>45412</v>
      </c>
      <c r="C182" s="1" t="s">
        <v>160</v>
      </c>
      <c r="D182" s="1" t="s">
        <v>171</v>
      </c>
      <c r="E182" s="88">
        <v>229500</v>
      </c>
      <c r="F182" s="89">
        <v>45412</v>
      </c>
      <c r="G182" s="89">
        <v>45413</v>
      </c>
      <c r="H182" s="86">
        <f t="shared" ref="H182:H187" si="18">+L182*0</f>
        <v>0</v>
      </c>
      <c r="J182" s="90">
        <v>52</v>
      </c>
      <c r="K182" s="90">
        <f t="shared" ref="K182:K187" si="19">+J182*12</f>
        <v>624</v>
      </c>
      <c r="L182" s="86">
        <f t="shared" ref="L182:L187" si="20">+E182/K182</f>
        <v>367.78846153846155</v>
      </c>
    </row>
    <row r="183" spans="1:14" ht="12.75" customHeight="1" outlineLevel="2">
      <c r="A183" s="1" t="s">
        <v>174</v>
      </c>
      <c r="B183" s="87">
        <v>45412</v>
      </c>
      <c r="C183" s="1" t="s">
        <v>160</v>
      </c>
      <c r="D183" s="1" t="s">
        <v>171</v>
      </c>
      <c r="E183" s="88">
        <v>403750</v>
      </c>
      <c r="F183" s="89">
        <v>45412</v>
      </c>
      <c r="G183" s="89">
        <v>45413</v>
      </c>
      <c r="H183" s="86">
        <f t="shared" si="18"/>
        <v>0</v>
      </c>
      <c r="J183" s="90">
        <v>52</v>
      </c>
      <c r="K183" s="90">
        <f t="shared" si="19"/>
        <v>624</v>
      </c>
      <c r="L183" s="86">
        <f t="shared" si="20"/>
        <v>647.03525641025647</v>
      </c>
    </row>
    <row r="184" spans="1:14" ht="12.75" customHeight="1" outlineLevel="2">
      <c r="A184" s="1" t="s">
        <v>174</v>
      </c>
      <c r="B184" s="87">
        <v>45412</v>
      </c>
      <c r="C184" s="1" t="s">
        <v>160</v>
      </c>
      <c r="D184" s="1" t="s">
        <v>171</v>
      </c>
      <c r="E184" s="88">
        <v>280200</v>
      </c>
      <c r="F184" s="89">
        <v>45412</v>
      </c>
      <c r="G184" s="89">
        <v>45413</v>
      </c>
      <c r="H184" s="86">
        <f t="shared" si="18"/>
        <v>0</v>
      </c>
      <c r="J184" s="90">
        <v>52</v>
      </c>
      <c r="K184" s="90">
        <f t="shared" si="19"/>
        <v>624</v>
      </c>
      <c r="L184" s="86">
        <f t="shared" si="20"/>
        <v>449.03846153846155</v>
      </c>
    </row>
    <row r="185" spans="1:14" ht="12.75" customHeight="1" outlineLevel="2">
      <c r="A185" s="1" t="s">
        <v>174</v>
      </c>
      <c r="B185" s="87">
        <v>45412</v>
      </c>
      <c r="C185" s="1" t="s">
        <v>160</v>
      </c>
      <c r="D185" s="1" t="s">
        <v>171</v>
      </c>
      <c r="E185" s="88">
        <v>22500</v>
      </c>
      <c r="F185" s="89">
        <v>45412</v>
      </c>
      <c r="G185" s="89">
        <v>45413</v>
      </c>
      <c r="H185" s="86">
        <f t="shared" si="18"/>
        <v>0</v>
      </c>
      <c r="J185" s="90">
        <v>52</v>
      </c>
      <c r="K185" s="90">
        <f t="shared" si="19"/>
        <v>624</v>
      </c>
      <c r="L185" s="86">
        <f t="shared" si="20"/>
        <v>36.057692307692307</v>
      </c>
    </row>
    <row r="186" spans="1:14" ht="12.75" customHeight="1" outlineLevel="2">
      <c r="A186" s="1" t="s">
        <v>174</v>
      </c>
      <c r="B186" s="87">
        <v>45412</v>
      </c>
      <c r="C186" s="1" t="s">
        <v>160</v>
      </c>
      <c r="D186" s="1" t="s">
        <v>171</v>
      </c>
      <c r="E186" s="88">
        <v>13000</v>
      </c>
      <c r="F186" s="89">
        <v>45412</v>
      </c>
      <c r="G186" s="89">
        <v>45413</v>
      </c>
      <c r="H186" s="86">
        <f t="shared" si="18"/>
        <v>0</v>
      </c>
      <c r="J186" s="90">
        <v>52</v>
      </c>
      <c r="K186" s="90">
        <f t="shared" si="19"/>
        <v>624</v>
      </c>
      <c r="L186" s="86">
        <f t="shared" si="20"/>
        <v>20.833333333333332</v>
      </c>
    </row>
    <row r="187" spans="1:14" ht="12.75" customHeight="1" outlineLevel="2">
      <c r="A187" s="1" t="s">
        <v>176</v>
      </c>
      <c r="B187" s="87">
        <v>45412</v>
      </c>
      <c r="C187" s="1" t="s">
        <v>160</v>
      </c>
      <c r="D187" s="1" t="s">
        <v>171</v>
      </c>
      <c r="E187" s="88">
        <v>564000</v>
      </c>
      <c r="F187" s="89">
        <v>45412</v>
      </c>
      <c r="G187" s="89">
        <v>45413</v>
      </c>
      <c r="H187" s="86">
        <f t="shared" si="18"/>
        <v>0</v>
      </c>
      <c r="J187" s="90">
        <v>40</v>
      </c>
      <c r="K187" s="90">
        <f t="shared" si="19"/>
        <v>480</v>
      </c>
      <c r="L187" s="86">
        <f t="shared" si="20"/>
        <v>1175</v>
      </c>
    </row>
    <row r="188" spans="1:14" ht="12.75" customHeight="1" outlineLevel="1">
      <c r="B188" s="87"/>
      <c r="D188" s="45" t="s">
        <v>172</v>
      </c>
      <c r="E188" s="50">
        <f>SUBTOTAL(9,E182:E187)</f>
        <v>1512950</v>
      </c>
      <c r="F188" s="51"/>
      <c r="G188" s="51"/>
      <c r="H188" s="52">
        <f>SUBTOTAL(9,H182:H187)</f>
        <v>0</v>
      </c>
      <c r="I188" s="45"/>
      <c r="J188" s="53"/>
      <c r="K188" s="53"/>
      <c r="L188" s="52">
        <f>SUBTOTAL(9,L182:L187)</f>
        <v>2695.7532051282051</v>
      </c>
      <c r="M188" s="110">
        <v>12</v>
      </c>
      <c r="N188" s="29">
        <f>+L188*M188</f>
        <v>32349.038461538461</v>
      </c>
    </row>
    <row r="189" spans="1:14" ht="12.75" customHeight="1" thickBot="1">
      <c r="B189" s="87"/>
      <c r="D189" s="45" t="s">
        <v>173</v>
      </c>
      <c r="E189" s="50">
        <f>SUBTOTAL(9,E130:E187)</f>
        <v>5407025</v>
      </c>
      <c r="F189" s="51"/>
      <c r="G189" s="51"/>
      <c r="H189" s="52">
        <f>SUBTOTAL(9,H130:H187)</f>
        <v>37503.489812271051</v>
      </c>
      <c r="I189" s="45"/>
      <c r="J189" s="53"/>
      <c r="K189" s="53"/>
      <c r="L189" s="52">
        <f>SUBTOTAL(9,L130:L187)</f>
        <v>9826.7917811355328</v>
      </c>
      <c r="N189" s="115">
        <f>SUM(N130:N188)</f>
        <v>100494.48958333334</v>
      </c>
    </row>
    <row r="190" spans="1:14" ht="12.75" customHeight="1" thickTop="1">
      <c r="D190" s="91"/>
      <c r="E190" s="88"/>
      <c r="F190" s="89"/>
      <c r="G190" s="89"/>
      <c r="H190" s="86"/>
      <c r="J190" s="90"/>
      <c r="K190" s="90"/>
      <c r="L190" s="86"/>
    </row>
    <row r="191" spans="1:14" ht="12.75" customHeight="1">
      <c r="F191" s="89"/>
      <c r="G191" s="89"/>
      <c r="H191" s="86"/>
      <c r="J191" s="90"/>
      <c r="K191" s="90"/>
      <c r="L191" s="86"/>
    </row>
    <row r="192" spans="1:14" ht="12.75" customHeight="1">
      <c r="F192" s="89"/>
      <c r="G192" s="89"/>
      <c r="H192" s="86"/>
      <c r="J192" s="90"/>
      <c r="K192" s="90"/>
      <c r="L192" s="86"/>
    </row>
    <row r="193" spans="3:12" ht="12.75" customHeight="1">
      <c r="D193" s="91"/>
      <c r="E193" s="88"/>
      <c r="F193" s="89"/>
      <c r="G193" s="89"/>
      <c r="H193" s="86"/>
      <c r="J193" s="90"/>
      <c r="K193" s="90"/>
      <c r="L193" s="86"/>
    </row>
    <row r="194" spans="3:12" ht="12.75" customHeight="1">
      <c r="F194" s="89"/>
      <c r="G194" s="89"/>
      <c r="H194" s="86"/>
      <c r="J194" s="90"/>
      <c r="K194" s="90"/>
      <c r="L194" s="86"/>
    </row>
    <row r="195" spans="3:12" ht="12.75" customHeight="1">
      <c r="F195" s="89"/>
      <c r="G195" s="89"/>
      <c r="H195" s="86"/>
      <c r="J195" s="90"/>
      <c r="K195" s="90"/>
      <c r="L195" s="86"/>
    </row>
    <row r="196" spans="3:12" ht="12.75" customHeight="1">
      <c r="D196" s="91"/>
      <c r="E196" s="88"/>
      <c r="F196" s="91"/>
    </row>
    <row r="197" spans="3:12" ht="12.75" customHeight="1">
      <c r="C197" s="91"/>
      <c r="D197" s="91"/>
      <c r="E197" s="88"/>
    </row>
    <row r="198" spans="3:12" ht="12.75" customHeight="1">
      <c r="D198" s="91"/>
      <c r="E198" s="88"/>
      <c r="F198" s="91"/>
    </row>
  </sheetData>
  <pageMargins left="0.7" right="0.7" top="0.75" bottom="0.75" header="0.3" footer="0.3"/>
  <pageSetup paperSize="256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7308-0867-46A4-BDC1-5C4DE17584BF}">
  <dimension ref="A1:N170"/>
  <sheetViews>
    <sheetView topLeftCell="A22" zoomScale="80" zoomScaleNormal="80" workbookViewId="0">
      <selection activeCell="B63" sqref="B63"/>
    </sheetView>
  </sheetViews>
  <sheetFormatPr defaultColWidth="6.875" defaultRowHeight="12.75" outlineLevelRow="2"/>
  <cols>
    <col min="1" max="1" width="13" style="1" customWidth="1"/>
    <col min="2" max="2" width="14.375" style="1" bestFit="1" customWidth="1"/>
    <col min="3" max="3" width="10.125" style="1" bestFit="1" customWidth="1"/>
    <col min="4" max="4" width="54.375" style="1" customWidth="1"/>
    <col min="5" max="5" width="14.375" style="86" customWidth="1"/>
    <col min="6" max="6" width="14.125" style="1" customWidth="1"/>
    <col min="7" max="7" width="14.375" style="1" customWidth="1"/>
    <col min="8" max="8" width="15" style="1" customWidth="1"/>
    <col min="9" max="9" width="7.625" style="1" customWidth="1"/>
    <col min="10" max="10" width="7.375" style="1" customWidth="1"/>
    <col min="11" max="11" width="9.75" style="1" customWidth="1"/>
    <col min="12" max="12" width="13.75" style="110" customWidth="1"/>
    <col min="13" max="13" width="14.75" style="29" customWidth="1"/>
    <col min="14" max="16384" width="6.875" style="1"/>
  </cols>
  <sheetData>
    <row r="1" spans="1:13" ht="12.75" customHeight="1">
      <c r="A1" s="114" t="s">
        <v>14</v>
      </c>
    </row>
    <row r="2" spans="1:13" ht="12.75" customHeight="1">
      <c r="A2" s="114" t="s">
        <v>108</v>
      </c>
    </row>
    <row r="3" spans="1:13" ht="12.75" customHeight="1">
      <c r="A3" s="114" t="s">
        <v>109</v>
      </c>
    </row>
    <row r="4" spans="1:13" ht="12.75" customHeight="1">
      <c r="A4" s="114"/>
    </row>
    <row r="5" spans="1:13" ht="12.75" customHeight="1"/>
    <row r="6" spans="1:13" ht="12.75" customHeight="1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12.75" customHeight="1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24" customHeight="1">
      <c r="A8" s="45" t="s">
        <v>13</v>
      </c>
      <c r="L8" s="389" t="s">
        <v>110</v>
      </c>
      <c r="M8" s="117"/>
    </row>
    <row r="9" spans="1:13" ht="36.75" customHeight="1" outlineLevel="2">
      <c r="A9" s="46" t="s">
        <v>119</v>
      </c>
      <c r="B9" s="46" t="s">
        <v>120</v>
      </c>
      <c r="C9" s="46" t="s">
        <v>121</v>
      </c>
      <c r="D9" s="219" t="s">
        <v>122</v>
      </c>
      <c r="E9" s="215" t="s">
        <v>181</v>
      </c>
      <c r="F9" s="216" t="s">
        <v>182</v>
      </c>
      <c r="G9" s="216" t="s">
        <v>183</v>
      </c>
      <c r="H9" s="215" t="s">
        <v>184</v>
      </c>
      <c r="I9" s="214" t="s">
        <v>185</v>
      </c>
      <c r="J9" s="214" t="s">
        <v>186</v>
      </c>
      <c r="K9" s="215" t="s">
        <v>187</v>
      </c>
      <c r="L9" s="217" t="s">
        <v>188</v>
      </c>
      <c r="M9" s="218" t="s">
        <v>189</v>
      </c>
    </row>
    <row r="10" spans="1:13" ht="12.75" customHeight="1" thickBot="1">
      <c r="A10" s="226" t="s">
        <v>175</v>
      </c>
      <c r="B10" s="227">
        <v>45167</v>
      </c>
      <c r="C10" s="226" t="s">
        <v>129</v>
      </c>
      <c r="D10" s="226" t="s">
        <v>135</v>
      </c>
      <c r="E10" s="228">
        <v>446000</v>
      </c>
      <c r="F10" s="229">
        <v>45138</v>
      </c>
      <c r="G10" s="229">
        <v>45139</v>
      </c>
      <c r="H10" s="230">
        <f t="shared" ref="H10:H21" si="0">+K10*9</f>
        <v>9557.1428571428569</v>
      </c>
      <c r="I10" s="231">
        <v>35</v>
      </c>
      <c r="J10" s="231">
        <f t="shared" ref="J10:J55" si="1">+I10*12</f>
        <v>420</v>
      </c>
      <c r="K10" s="230">
        <f t="shared" ref="K10:K55" si="2">+E10/J10</f>
        <v>1061.9047619047619</v>
      </c>
      <c r="L10" s="232">
        <v>7</v>
      </c>
      <c r="M10" s="225">
        <f t="shared" ref="M10:M55" si="3">+K10*L10</f>
        <v>7433.3333333333339</v>
      </c>
    </row>
    <row r="11" spans="1:13" ht="12.75" customHeight="1">
      <c r="A11" s="1" t="s">
        <v>174</v>
      </c>
      <c r="B11" s="87">
        <v>45167</v>
      </c>
      <c r="C11" s="1" t="s">
        <v>129</v>
      </c>
      <c r="D11" s="1" t="s">
        <v>133</v>
      </c>
      <c r="E11" s="88">
        <v>16500</v>
      </c>
      <c r="F11" s="89">
        <v>45138</v>
      </c>
      <c r="G11" s="89">
        <v>45139</v>
      </c>
      <c r="H11" s="86">
        <f t="shared" si="0"/>
        <v>237.98076923076923</v>
      </c>
      <c r="I11" s="90">
        <v>52</v>
      </c>
      <c r="J11" s="90">
        <f t="shared" si="1"/>
        <v>624</v>
      </c>
      <c r="K11" s="86">
        <f t="shared" si="2"/>
        <v>26.442307692307693</v>
      </c>
      <c r="L11" s="110">
        <v>7</v>
      </c>
      <c r="M11" s="29">
        <f t="shared" si="3"/>
        <v>185.09615384615387</v>
      </c>
    </row>
    <row r="12" spans="1:13" ht="12.75" customHeight="1">
      <c r="A12" s="1" t="s">
        <v>174</v>
      </c>
      <c r="B12" s="87">
        <v>45167</v>
      </c>
      <c r="C12" s="1" t="s">
        <v>129</v>
      </c>
      <c r="D12" s="1" t="s">
        <v>133</v>
      </c>
      <c r="E12" s="88">
        <v>73500</v>
      </c>
      <c r="F12" s="89">
        <v>45138</v>
      </c>
      <c r="G12" s="89">
        <v>45139</v>
      </c>
      <c r="H12" s="86">
        <f t="shared" si="0"/>
        <v>1060.0961538461538</v>
      </c>
      <c r="I12" s="90">
        <v>52</v>
      </c>
      <c r="J12" s="90">
        <f t="shared" si="1"/>
        <v>624</v>
      </c>
      <c r="K12" s="86">
        <f t="shared" si="2"/>
        <v>117.78846153846153</v>
      </c>
      <c r="L12" s="110">
        <v>7</v>
      </c>
      <c r="M12" s="29">
        <f t="shared" si="3"/>
        <v>824.51923076923072</v>
      </c>
    </row>
    <row r="13" spans="1:13" ht="12.75" customHeight="1">
      <c r="A13" s="1" t="s">
        <v>174</v>
      </c>
      <c r="B13" s="87">
        <v>45167</v>
      </c>
      <c r="C13" s="1" t="s">
        <v>129</v>
      </c>
      <c r="D13" s="1" t="s">
        <v>133</v>
      </c>
      <c r="E13" s="88">
        <v>10500</v>
      </c>
      <c r="F13" s="89">
        <v>45138</v>
      </c>
      <c r="G13" s="89">
        <v>45139</v>
      </c>
      <c r="H13" s="86">
        <f t="shared" si="0"/>
        <v>151.44230769230768</v>
      </c>
      <c r="I13" s="90">
        <v>52</v>
      </c>
      <c r="J13" s="90">
        <f t="shared" si="1"/>
        <v>624</v>
      </c>
      <c r="K13" s="86">
        <f t="shared" si="2"/>
        <v>16.826923076923077</v>
      </c>
      <c r="L13" s="110">
        <v>7</v>
      </c>
      <c r="M13" s="29">
        <f t="shared" si="3"/>
        <v>117.78846153846153</v>
      </c>
    </row>
    <row r="14" spans="1:13" ht="12.75" customHeight="1">
      <c r="A14" s="1" t="s">
        <v>174</v>
      </c>
      <c r="B14" s="87">
        <v>45167</v>
      </c>
      <c r="C14" s="1" t="s">
        <v>129</v>
      </c>
      <c r="D14" s="1" t="s">
        <v>135</v>
      </c>
      <c r="E14" s="88">
        <v>49800</v>
      </c>
      <c r="F14" s="89">
        <v>45138</v>
      </c>
      <c r="G14" s="89">
        <v>45139</v>
      </c>
      <c r="H14" s="86">
        <f t="shared" si="0"/>
        <v>718.26923076923072</v>
      </c>
      <c r="I14" s="90">
        <v>52</v>
      </c>
      <c r="J14" s="90">
        <f t="shared" si="1"/>
        <v>624</v>
      </c>
      <c r="K14" s="86">
        <f t="shared" si="2"/>
        <v>79.807692307692307</v>
      </c>
      <c r="L14" s="110">
        <v>7</v>
      </c>
      <c r="M14" s="29">
        <f t="shared" si="3"/>
        <v>558.65384615384619</v>
      </c>
    </row>
    <row r="15" spans="1:13" ht="12.75" customHeight="1">
      <c r="A15" s="1" t="s">
        <v>174</v>
      </c>
      <c r="B15" s="87">
        <v>45167</v>
      </c>
      <c r="C15" s="1" t="s">
        <v>129</v>
      </c>
      <c r="D15" s="1" t="s">
        <v>135</v>
      </c>
      <c r="E15" s="88">
        <v>1200</v>
      </c>
      <c r="F15" s="89">
        <v>45138</v>
      </c>
      <c r="G15" s="89">
        <v>45139</v>
      </c>
      <c r="H15" s="86">
        <f t="shared" si="0"/>
        <v>17.307692307692307</v>
      </c>
      <c r="I15" s="90">
        <v>52</v>
      </c>
      <c r="J15" s="90">
        <f t="shared" si="1"/>
        <v>624</v>
      </c>
      <c r="K15" s="86">
        <f t="shared" si="2"/>
        <v>1.9230769230769231</v>
      </c>
      <c r="L15" s="110">
        <v>7</v>
      </c>
      <c r="M15" s="29">
        <f t="shared" si="3"/>
        <v>13.461538461538462</v>
      </c>
    </row>
    <row r="16" spans="1:13" ht="12.75" customHeight="1">
      <c r="A16" s="1" t="s">
        <v>174</v>
      </c>
      <c r="B16" s="87">
        <v>45167</v>
      </c>
      <c r="C16" s="1" t="s">
        <v>129</v>
      </c>
      <c r="D16" s="1" t="s">
        <v>135</v>
      </c>
      <c r="E16" s="88">
        <v>176250</v>
      </c>
      <c r="F16" s="89">
        <v>45138</v>
      </c>
      <c r="G16" s="89">
        <v>45139</v>
      </c>
      <c r="H16" s="86">
        <f t="shared" si="0"/>
        <v>2542.0673076923076</v>
      </c>
      <c r="I16" s="90">
        <v>52</v>
      </c>
      <c r="J16" s="90">
        <f t="shared" si="1"/>
        <v>624</v>
      </c>
      <c r="K16" s="86">
        <f t="shared" si="2"/>
        <v>282.45192307692309</v>
      </c>
      <c r="L16" s="110">
        <v>7</v>
      </c>
      <c r="M16" s="29">
        <f t="shared" si="3"/>
        <v>1977.1634615384617</v>
      </c>
    </row>
    <row r="17" spans="1:13" ht="12.75" customHeight="1">
      <c r="A17" s="1" t="s">
        <v>174</v>
      </c>
      <c r="B17" s="87">
        <v>45167</v>
      </c>
      <c r="C17" s="1" t="s">
        <v>129</v>
      </c>
      <c r="D17" s="1" t="s">
        <v>135</v>
      </c>
      <c r="E17" s="88">
        <v>92750</v>
      </c>
      <c r="F17" s="89">
        <v>45138</v>
      </c>
      <c r="G17" s="89">
        <v>45139</v>
      </c>
      <c r="H17" s="86">
        <f t="shared" si="0"/>
        <v>1337.7403846153848</v>
      </c>
      <c r="I17" s="90">
        <v>52</v>
      </c>
      <c r="J17" s="90">
        <f t="shared" si="1"/>
        <v>624</v>
      </c>
      <c r="K17" s="86">
        <f t="shared" si="2"/>
        <v>148.63782051282053</v>
      </c>
      <c r="L17" s="110">
        <v>7</v>
      </c>
      <c r="M17" s="29">
        <f t="shared" si="3"/>
        <v>1040.4647435897436</v>
      </c>
    </row>
    <row r="18" spans="1:13" ht="12.75" customHeight="1">
      <c r="A18" s="1" t="s">
        <v>174</v>
      </c>
      <c r="B18" s="87">
        <v>45167</v>
      </c>
      <c r="C18" s="1" t="s">
        <v>129</v>
      </c>
      <c r="D18" s="1" t="s">
        <v>137</v>
      </c>
      <c r="E18" s="88">
        <v>39080</v>
      </c>
      <c r="F18" s="89">
        <v>45138</v>
      </c>
      <c r="G18" s="89">
        <v>45139</v>
      </c>
      <c r="H18" s="86">
        <f t="shared" si="0"/>
        <v>563.65384615384619</v>
      </c>
      <c r="I18" s="90">
        <v>52</v>
      </c>
      <c r="J18" s="90">
        <f t="shared" si="1"/>
        <v>624</v>
      </c>
      <c r="K18" s="86">
        <f t="shared" si="2"/>
        <v>62.628205128205131</v>
      </c>
      <c r="L18" s="110">
        <v>7</v>
      </c>
      <c r="M18" s="29">
        <f t="shared" si="3"/>
        <v>438.39743589743591</v>
      </c>
    </row>
    <row r="19" spans="1:13" ht="12.75" customHeight="1">
      <c r="A19" s="1" t="s">
        <v>174</v>
      </c>
      <c r="B19" s="87">
        <v>45167</v>
      </c>
      <c r="C19" s="1" t="s">
        <v>129</v>
      </c>
      <c r="D19" s="1" t="s">
        <v>137</v>
      </c>
      <c r="E19" s="88">
        <v>170800</v>
      </c>
      <c r="F19" s="89">
        <v>45138</v>
      </c>
      <c r="G19" s="89">
        <v>45139</v>
      </c>
      <c r="H19" s="86">
        <f t="shared" si="0"/>
        <v>2463.4615384615386</v>
      </c>
      <c r="I19" s="90">
        <v>52</v>
      </c>
      <c r="J19" s="90">
        <f t="shared" si="1"/>
        <v>624</v>
      </c>
      <c r="K19" s="86">
        <f t="shared" si="2"/>
        <v>273.71794871794873</v>
      </c>
      <c r="L19" s="110">
        <v>7</v>
      </c>
      <c r="M19" s="29">
        <f t="shared" si="3"/>
        <v>1916.0256410256411</v>
      </c>
    </row>
    <row r="20" spans="1:13" ht="12.75" customHeight="1">
      <c r="A20" s="1" t="s">
        <v>174</v>
      </c>
      <c r="B20" s="87">
        <v>45167</v>
      </c>
      <c r="C20" s="1" t="s">
        <v>129</v>
      </c>
      <c r="D20" s="1" t="s">
        <v>139</v>
      </c>
      <c r="E20" s="88">
        <v>20750</v>
      </c>
      <c r="F20" s="89">
        <v>45138</v>
      </c>
      <c r="G20" s="89">
        <v>45139</v>
      </c>
      <c r="H20" s="86">
        <f t="shared" si="0"/>
        <v>299.27884615384619</v>
      </c>
      <c r="I20" s="90">
        <v>52</v>
      </c>
      <c r="J20" s="90">
        <f t="shared" si="1"/>
        <v>624</v>
      </c>
      <c r="K20" s="86">
        <f t="shared" si="2"/>
        <v>33.253205128205131</v>
      </c>
      <c r="L20" s="110">
        <v>7</v>
      </c>
      <c r="M20" s="29">
        <f t="shared" si="3"/>
        <v>232.77243589743591</v>
      </c>
    </row>
    <row r="21" spans="1:13" ht="12.75" customHeight="1">
      <c r="A21" s="1" t="s">
        <v>174</v>
      </c>
      <c r="B21" s="87">
        <v>45167</v>
      </c>
      <c r="C21" s="1" t="s">
        <v>129</v>
      </c>
      <c r="D21" s="1" t="s">
        <v>139</v>
      </c>
      <c r="E21" s="88">
        <v>46250</v>
      </c>
      <c r="F21" s="89">
        <v>45138</v>
      </c>
      <c r="G21" s="89">
        <v>45139</v>
      </c>
      <c r="H21" s="86">
        <f t="shared" si="0"/>
        <v>667.06730769230762</v>
      </c>
      <c r="I21" s="90">
        <v>52</v>
      </c>
      <c r="J21" s="90">
        <f t="shared" si="1"/>
        <v>624</v>
      </c>
      <c r="K21" s="86">
        <f t="shared" si="2"/>
        <v>74.118589743589737</v>
      </c>
      <c r="L21" s="110">
        <v>7</v>
      </c>
      <c r="M21" s="29">
        <f t="shared" si="3"/>
        <v>518.83012820512818</v>
      </c>
    </row>
    <row r="22" spans="1:13" ht="12.75" customHeight="1">
      <c r="A22" s="1" t="s">
        <v>174</v>
      </c>
      <c r="B22" s="87">
        <v>45276</v>
      </c>
      <c r="C22" s="1" t="s">
        <v>152</v>
      </c>
      <c r="D22" s="1" t="s">
        <v>153</v>
      </c>
      <c r="E22" s="88">
        <v>83100</v>
      </c>
      <c r="F22" s="89">
        <v>45224</v>
      </c>
      <c r="G22" s="89">
        <v>45231</v>
      </c>
      <c r="H22" s="86">
        <f>+K22*6</f>
        <v>799.03846153846166</v>
      </c>
      <c r="I22" s="90">
        <v>52</v>
      </c>
      <c r="J22" s="90">
        <f t="shared" si="1"/>
        <v>624</v>
      </c>
      <c r="K22" s="86">
        <f t="shared" si="2"/>
        <v>133.17307692307693</v>
      </c>
      <c r="L22" s="110">
        <v>10</v>
      </c>
      <c r="M22" s="29">
        <f t="shared" si="3"/>
        <v>1331.7307692307693</v>
      </c>
    </row>
    <row r="23" spans="1:13" ht="12.75" customHeight="1">
      <c r="A23" s="1" t="s">
        <v>174</v>
      </c>
      <c r="B23" s="87">
        <v>45276</v>
      </c>
      <c r="C23" s="1" t="s">
        <v>152</v>
      </c>
      <c r="D23" s="1" t="s">
        <v>153</v>
      </c>
      <c r="E23" s="88">
        <v>174250</v>
      </c>
      <c r="F23" s="89">
        <v>45224</v>
      </c>
      <c r="G23" s="89">
        <v>45231</v>
      </c>
      <c r="H23" s="86">
        <f>+K23*6</f>
        <v>1675.4807692307691</v>
      </c>
      <c r="I23" s="90">
        <v>52</v>
      </c>
      <c r="J23" s="90">
        <f t="shared" si="1"/>
        <v>624</v>
      </c>
      <c r="K23" s="86">
        <f t="shared" si="2"/>
        <v>279.24679487179486</v>
      </c>
      <c r="L23" s="110">
        <v>10</v>
      </c>
      <c r="M23" s="29">
        <f t="shared" si="3"/>
        <v>2792.4679487179487</v>
      </c>
    </row>
    <row r="24" spans="1:13" ht="12.75" customHeight="1">
      <c r="A24" s="1" t="s">
        <v>174</v>
      </c>
      <c r="B24" s="87">
        <v>45276</v>
      </c>
      <c r="C24" s="1" t="s">
        <v>152</v>
      </c>
      <c r="D24" s="1" t="s">
        <v>153</v>
      </c>
      <c r="E24" s="88">
        <v>234650</v>
      </c>
      <c r="F24" s="89">
        <v>45224</v>
      </c>
      <c r="G24" s="89">
        <v>45231</v>
      </c>
      <c r="H24" s="86">
        <f>+K24*6</f>
        <v>2256.25</v>
      </c>
      <c r="I24" s="90">
        <v>52</v>
      </c>
      <c r="J24" s="90">
        <f t="shared" si="1"/>
        <v>624</v>
      </c>
      <c r="K24" s="86">
        <f t="shared" si="2"/>
        <v>376.04166666666669</v>
      </c>
      <c r="L24" s="110">
        <v>10</v>
      </c>
      <c r="M24" s="29">
        <f t="shared" si="3"/>
        <v>3760.416666666667</v>
      </c>
    </row>
    <row r="25" spans="1:13" ht="12.75" customHeight="1">
      <c r="A25" s="1" t="s">
        <v>174</v>
      </c>
      <c r="B25" s="87">
        <v>45276</v>
      </c>
      <c r="C25" s="1" t="s">
        <v>152</v>
      </c>
      <c r="D25" s="1" t="s">
        <v>177</v>
      </c>
      <c r="E25" s="88">
        <v>10600</v>
      </c>
      <c r="F25" s="89">
        <v>45224</v>
      </c>
      <c r="G25" s="89">
        <v>45231</v>
      </c>
      <c r="H25" s="86">
        <f>+K25*6</f>
        <v>101.92307692307691</v>
      </c>
      <c r="I25" s="90">
        <v>52</v>
      </c>
      <c r="J25" s="90">
        <f t="shared" si="1"/>
        <v>624</v>
      </c>
      <c r="K25" s="86">
        <f t="shared" si="2"/>
        <v>16.987179487179485</v>
      </c>
      <c r="L25" s="110">
        <v>10</v>
      </c>
      <c r="M25" s="29">
        <f t="shared" si="3"/>
        <v>169.87179487179486</v>
      </c>
    </row>
    <row r="26" spans="1:13" ht="12.75" customHeight="1">
      <c r="A26" s="1" t="s">
        <v>174</v>
      </c>
      <c r="B26" s="87">
        <v>45276</v>
      </c>
      <c r="C26" s="1" t="s">
        <v>152</v>
      </c>
      <c r="D26" s="1" t="s">
        <v>177</v>
      </c>
      <c r="E26" s="88">
        <v>32200</v>
      </c>
      <c r="F26" s="89">
        <v>45224</v>
      </c>
      <c r="G26" s="89">
        <v>45231</v>
      </c>
      <c r="H26" s="86">
        <f>+K26*6</f>
        <v>309.61538461538464</v>
      </c>
      <c r="I26" s="90">
        <v>52</v>
      </c>
      <c r="J26" s="90">
        <f t="shared" si="1"/>
        <v>624</v>
      </c>
      <c r="K26" s="86">
        <f t="shared" si="2"/>
        <v>51.602564102564102</v>
      </c>
      <c r="L26" s="110">
        <v>10</v>
      </c>
      <c r="M26" s="29">
        <f t="shared" si="3"/>
        <v>516.02564102564099</v>
      </c>
    </row>
    <row r="27" spans="1:13" ht="12.75" customHeight="1">
      <c r="A27" s="1" t="s">
        <v>174</v>
      </c>
      <c r="B27" s="87">
        <v>45291</v>
      </c>
      <c r="C27" s="1" t="s">
        <v>155</v>
      </c>
      <c r="D27" s="1" t="s">
        <v>156</v>
      </c>
      <c r="E27" s="88">
        <v>47824</v>
      </c>
      <c r="F27" s="89">
        <v>45232</v>
      </c>
      <c r="G27" s="89">
        <v>45261</v>
      </c>
      <c r="H27" s="86">
        <f>+K27*5</f>
        <v>383.20512820512818</v>
      </c>
      <c r="I27" s="90">
        <v>52</v>
      </c>
      <c r="J27" s="90">
        <f t="shared" si="1"/>
        <v>624</v>
      </c>
      <c r="K27" s="86">
        <f t="shared" si="2"/>
        <v>76.641025641025635</v>
      </c>
      <c r="L27" s="110">
        <v>11</v>
      </c>
      <c r="M27" s="29">
        <f t="shared" si="3"/>
        <v>843.05128205128199</v>
      </c>
    </row>
    <row r="28" spans="1:13" ht="12.75" customHeight="1">
      <c r="A28" s="1" t="s">
        <v>174</v>
      </c>
      <c r="B28" s="87">
        <v>45291</v>
      </c>
      <c r="C28" s="1" t="s">
        <v>155</v>
      </c>
      <c r="D28" s="1" t="s">
        <v>156</v>
      </c>
      <c r="E28" s="88">
        <v>142755</v>
      </c>
      <c r="F28" s="89">
        <v>45232</v>
      </c>
      <c r="G28" s="89">
        <v>45261</v>
      </c>
      <c r="H28" s="86">
        <f>+K28*5</f>
        <v>1143.8701923076924</v>
      </c>
      <c r="I28" s="90">
        <v>52</v>
      </c>
      <c r="J28" s="90">
        <f t="shared" si="1"/>
        <v>624</v>
      </c>
      <c r="K28" s="86">
        <f t="shared" si="2"/>
        <v>228.77403846153845</v>
      </c>
      <c r="L28" s="110">
        <v>11</v>
      </c>
      <c r="M28" s="29">
        <f t="shared" si="3"/>
        <v>2516.5144230769229</v>
      </c>
    </row>
    <row r="29" spans="1:13" ht="12.75" customHeight="1">
      <c r="A29" s="1" t="s">
        <v>174</v>
      </c>
      <c r="B29" s="87">
        <v>45412</v>
      </c>
      <c r="C29" s="1" t="s">
        <v>160</v>
      </c>
      <c r="D29" s="1" t="s">
        <v>161</v>
      </c>
      <c r="E29" s="88">
        <v>29736</v>
      </c>
      <c r="F29" s="89">
        <v>45296</v>
      </c>
      <c r="G29" s="89">
        <v>45323</v>
      </c>
      <c r="H29" s="86">
        <f>+K29*3</f>
        <v>142.96153846153845</v>
      </c>
      <c r="I29" s="90">
        <v>52</v>
      </c>
      <c r="J29" s="90">
        <f t="shared" si="1"/>
        <v>624</v>
      </c>
      <c r="K29" s="86">
        <f t="shared" si="2"/>
        <v>47.653846153846153</v>
      </c>
      <c r="L29" s="110">
        <v>12</v>
      </c>
      <c r="M29" s="29">
        <f t="shared" si="3"/>
        <v>571.84615384615381</v>
      </c>
    </row>
    <row r="30" spans="1:13" ht="12.75" customHeight="1">
      <c r="A30" s="1" t="s">
        <v>174</v>
      </c>
      <c r="B30" s="87">
        <v>45412</v>
      </c>
      <c r="C30" s="1" t="s">
        <v>160</v>
      </c>
      <c r="D30" s="1" t="s">
        <v>161</v>
      </c>
      <c r="E30" s="88">
        <v>81600</v>
      </c>
      <c r="F30" s="89">
        <v>45296</v>
      </c>
      <c r="G30" s="89">
        <v>45323</v>
      </c>
      <c r="H30" s="86">
        <f>+K30*3</f>
        <v>392.30769230769232</v>
      </c>
      <c r="I30" s="90">
        <v>52</v>
      </c>
      <c r="J30" s="90">
        <f t="shared" si="1"/>
        <v>624</v>
      </c>
      <c r="K30" s="86">
        <f t="shared" si="2"/>
        <v>130.76923076923077</v>
      </c>
      <c r="L30" s="110">
        <v>12</v>
      </c>
      <c r="M30" s="29">
        <f t="shared" si="3"/>
        <v>1569.2307692307693</v>
      </c>
    </row>
    <row r="31" spans="1:13" ht="12.75" customHeight="1">
      <c r="A31" s="1" t="s">
        <v>174</v>
      </c>
      <c r="B31" s="87">
        <v>45412</v>
      </c>
      <c r="C31" s="1" t="s">
        <v>160</v>
      </c>
      <c r="D31" s="1" t="s">
        <v>163</v>
      </c>
      <c r="E31" s="88">
        <v>20000</v>
      </c>
      <c r="F31" s="89">
        <v>45352</v>
      </c>
      <c r="G31" s="89">
        <v>45383</v>
      </c>
      <c r="H31" s="86">
        <f>+K31*1</f>
        <v>32.051282051282051</v>
      </c>
      <c r="I31" s="90">
        <v>52</v>
      </c>
      <c r="J31" s="90">
        <f t="shared" si="1"/>
        <v>624</v>
      </c>
      <c r="K31" s="86">
        <f t="shared" si="2"/>
        <v>32.051282051282051</v>
      </c>
      <c r="L31" s="110">
        <v>12</v>
      </c>
      <c r="M31" s="29">
        <f t="shared" si="3"/>
        <v>384.61538461538464</v>
      </c>
    </row>
    <row r="32" spans="1:13" ht="12.75" customHeight="1">
      <c r="A32" s="1" t="s">
        <v>174</v>
      </c>
      <c r="B32" s="87">
        <v>45412</v>
      </c>
      <c r="C32" s="1" t="s">
        <v>160</v>
      </c>
      <c r="D32" s="1" t="s">
        <v>163</v>
      </c>
      <c r="E32" s="88">
        <v>52800</v>
      </c>
      <c r="F32" s="89">
        <v>45352</v>
      </c>
      <c r="G32" s="89">
        <v>45383</v>
      </c>
      <c r="H32" s="86">
        <f>+K32*1</f>
        <v>84.615384615384613</v>
      </c>
      <c r="I32" s="90">
        <v>52</v>
      </c>
      <c r="J32" s="90">
        <f t="shared" si="1"/>
        <v>624</v>
      </c>
      <c r="K32" s="86">
        <f t="shared" si="2"/>
        <v>84.615384615384613</v>
      </c>
      <c r="L32" s="110">
        <v>12</v>
      </c>
      <c r="M32" s="29">
        <f t="shared" si="3"/>
        <v>1015.3846153846154</v>
      </c>
    </row>
    <row r="33" spans="1:13" ht="12.75" customHeight="1">
      <c r="A33" s="1" t="s">
        <v>174</v>
      </c>
      <c r="B33" s="87">
        <v>45412</v>
      </c>
      <c r="C33" s="1" t="s">
        <v>160</v>
      </c>
      <c r="D33" s="1" t="s">
        <v>179</v>
      </c>
      <c r="E33" s="88">
        <v>12000</v>
      </c>
      <c r="F33" s="89">
        <v>45370</v>
      </c>
      <c r="G33" s="89">
        <v>45383</v>
      </c>
      <c r="H33" s="86">
        <f>+K33*1</f>
        <v>19.23076923076923</v>
      </c>
      <c r="I33" s="90">
        <v>52</v>
      </c>
      <c r="J33" s="90">
        <f t="shared" si="1"/>
        <v>624</v>
      </c>
      <c r="K33" s="86">
        <f t="shared" si="2"/>
        <v>19.23076923076923</v>
      </c>
      <c r="L33" s="110">
        <v>12</v>
      </c>
      <c r="M33" s="29">
        <f t="shared" si="3"/>
        <v>230.76923076923077</v>
      </c>
    </row>
    <row r="34" spans="1:13" ht="12.75" customHeight="1">
      <c r="A34" s="1" t="s">
        <v>174</v>
      </c>
      <c r="B34" s="87">
        <v>45412</v>
      </c>
      <c r="C34" s="1" t="s">
        <v>160</v>
      </c>
      <c r="D34" s="1" t="s">
        <v>179</v>
      </c>
      <c r="E34" s="88">
        <v>10000</v>
      </c>
      <c r="F34" s="89">
        <v>45370</v>
      </c>
      <c r="G34" s="89">
        <v>45383</v>
      </c>
      <c r="H34" s="86">
        <f>+K34*1</f>
        <v>16.025641025641026</v>
      </c>
      <c r="I34" s="90">
        <v>52</v>
      </c>
      <c r="J34" s="90">
        <f t="shared" si="1"/>
        <v>624</v>
      </c>
      <c r="K34" s="86">
        <f t="shared" si="2"/>
        <v>16.025641025641026</v>
      </c>
      <c r="L34" s="110">
        <v>12</v>
      </c>
      <c r="M34" s="29">
        <f t="shared" si="3"/>
        <v>192.30769230769232</v>
      </c>
    </row>
    <row r="35" spans="1:13" ht="12.75" customHeight="1">
      <c r="A35" s="1" t="s">
        <v>174</v>
      </c>
      <c r="B35" s="87">
        <v>45412</v>
      </c>
      <c r="C35" s="1" t="s">
        <v>160</v>
      </c>
      <c r="D35" s="1" t="s">
        <v>167</v>
      </c>
      <c r="E35" s="88">
        <v>18000</v>
      </c>
      <c r="F35" s="89">
        <v>45405</v>
      </c>
      <c r="G35" s="89">
        <v>45413</v>
      </c>
      <c r="H35" s="86">
        <f t="shared" ref="H35:H43" si="4">+K35*0</f>
        <v>0</v>
      </c>
      <c r="I35" s="90">
        <v>52</v>
      </c>
      <c r="J35" s="90">
        <f t="shared" si="1"/>
        <v>624</v>
      </c>
      <c r="K35" s="86">
        <f t="shared" si="2"/>
        <v>28.846153846153847</v>
      </c>
      <c r="L35" s="110">
        <v>12</v>
      </c>
      <c r="M35" s="29">
        <f t="shared" si="3"/>
        <v>346.15384615384619</v>
      </c>
    </row>
    <row r="36" spans="1:13" ht="12.75" customHeight="1">
      <c r="A36" s="1" t="s">
        <v>174</v>
      </c>
      <c r="B36" s="87">
        <v>45412</v>
      </c>
      <c r="C36" s="1" t="s">
        <v>160</v>
      </c>
      <c r="D36" s="1" t="s">
        <v>167</v>
      </c>
      <c r="E36" s="88">
        <v>22500</v>
      </c>
      <c r="F36" s="89">
        <v>45405</v>
      </c>
      <c r="G36" s="89">
        <v>45413</v>
      </c>
      <c r="H36" s="86">
        <f t="shared" si="4"/>
        <v>0</v>
      </c>
      <c r="I36" s="90">
        <v>52</v>
      </c>
      <c r="J36" s="90">
        <f t="shared" si="1"/>
        <v>624</v>
      </c>
      <c r="K36" s="86">
        <f t="shared" si="2"/>
        <v>36.057692307692307</v>
      </c>
      <c r="L36" s="110">
        <v>12</v>
      </c>
      <c r="M36" s="29">
        <f t="shared" si="3"/>
        <v>432.69230769230768</v>
      </c>
    </row>
    <row r="37" spans="1:13" ht="12.75" customHeight="1">
      <c r="A37" s="1" t="s">
        <v>174</v>
      </c>
      <c r="B37" s="87">
        <v>45412</v>
      </c>
      <c r="C37" s="1" t="s">
        <v>160</v>
      </c>
      <c r="D37" s="1" t="s">
        <v>169</v>
      </c>
      <c r="E37" s="88">
        <v>119340</v>
      </c>
      <c r="F37" s="89">
        <v>45412</v>
      </c>
      <c r="G37" s="89">
        <v>45413</v>
      </c>
      <c r="H37" s="86">
        <f t="shared" si="4"/>
        <v>0</v>
      </c>
      <c r="I37" s="90">
        <v>52</v>
      </c>
      <c r="J37" s="90">
        <f t="shared" si="1"/>
        <v>624</v>
      </c>
      <c r="K37" s="86">
        <f t="shared" si="2"/>
        <v>191.25</v>
      </c>
      <c r="L37" s="110">
        <v>12</v>
      </c>
      <c r="M37" s="29">
        <f t="shared" si="3"/>
        <v>2295</v>
      </c>
    </row>
    <row r="38" spans="1:13" ht="12.75" customHeight="1">
      <c r="A38" s="1" t="s">
        <v>174</v>
      </c>
      <c r="B38" s="87">
        <v>45412</v>
      </c>
      <c r="C38" s="1" t="s">
        <v>160</v>
      </c>
      <c r="D38" s="1" t="s">
        <v>169</v>
      </c>
      <c r="E38" s="88">
        <v>529125</v>
      </c>
      <c r="F38" s="89">
        <v>45412</v>
      </c>
      <c r="G38" s="89">
        <v>45413</v>
      </c>
      <c r="H38" s="86">
        <f t="shared" si="4"/>
        <v>0</v>
      </c>
      <c r="I38" s="90">
        <v>52</v>
      </c>
      <c r="J38" s="90">
        <f t="shared" si="1"/>
        <v>624</v>
      </c>
      <c r="K38" s="86">
        <f t="shared" si="2"/>
        <v>847.95673076923072</v>
      </c>
      <c r="L38" s="110">
        <v>12</v>
      </c>
      <c r="M38" s="29">
        <f t="shared" si="3"/>
        <v>10175.48076923077</v>
      </c>
    </row>
    <row r="39" spans="1:13" ht="12.75" customHeight="1">
      <c r="A39" s="1" t="s">
        <v>174</v>
      </c>
      <c r="B39" s="87">
        <v>45412</v>
      </c>
      <c r="C39" s="1" t="s">
        <v>160</v>
      </c>
      <c r="D39" s="1" t="s">
        <v>171</v>
      </c>
      <c r="E39" s="88">
        <v>229500</v>
      </c>
      <c r="F39" s="89">
        <v>45412</v>
      </c>
      <c r="G39" s="89">
        <v>45413</v>
      </c>
      <c r="H39" s="86">
        <f t="shared" si="4"/>
        <v>0</v>
      </c>
      <c r="I39" s="90">
        <v>52</v>
      </c>
      <c r="J39" s="90">
        <f t="shared" si="1"/>
        <v>624</v>
      </c>
      <c r="K39" s="86">
        <f t="shared" si="2"/>
        <v>367.78846153846155</v>
      </c>
      <c r="L39" s="110">
        <v>12</v>
      </c>
      <c r="M39" s="29">
        <f t="shared" si="3"/>
        <v>4413.461538461539</v>
      </c>
    </row>
    <row r="40" spans="1:13" ht="12.75" customHeight="1">
      <c r="A40" s="1" t="s">
        <v>174</v>
      </c>
      <c r="B40" s="87">
        <v>45412</v>
      </c>
      <c r="C40" s="1" t="s">
        <v>160</v>
      </c>
      <c r="D40" s="1" t="s">
        <v>171</v>
      </c>
      <c r="E40" s="88">
        <v>403750</v>
      </c>
      <c r="F40" s="89">
        <v>45412</v>
      </c>
      <c r="G40" s="89">
        <v>45413</v>
      </c>
      <c r="H40" s="86">
        <f t="shared" si="4"/>
        <v>0</v>
      </c>
      <c r="I40" s="90">
        <v>52</v>
      </c>
      <c r="J40" s="90">
        <f t="shared" si="1"/>
        <v>624</v>
      </c>
      <c r="K40" s="86">
        <f t="shared" si="2"/>
        <v>647.03525641025647</v>
      </c>
      <c r="L40" s="110">
        <v>12</v>
      </c>
      <c r="M40" s="29">
        <f t="shared" si="3"/>
        <v>7764.423076923078</v>
      </c>
    </row>
    <row r="41" spans="1:13" ht="12.75" customHeight="1">
      <c r="A41" s="1" t="s">
        <v>174</v>
      </c>
      <c r="B41" s="87">
        <v>45412</v>
      </c>
      <c r="C41" s="1" t="s">
        <v>160</v>
      </c>
      <c r="D41" s="1" t="s">
        <v>171</v>
      </c>
      <c r="E41" s="88">
        <v>280200</v>
      </c>
      <c r="F41" s="89">
        <v>45412</v>
      </c>
      <c r="G41" s="89">
        <v>45413</v>
      </c>
      <c r="H41" s="86">
        <f t="shared" si="4"/>
        <v>0</v>
      </c>
      <c r="I41" s="90">
        <v>52</v>
      </c>
      <c r="J41" s="90">
        <f t="shared" si="1"/>
        <v>624</v>
      </c>
      <c r="K41" s="86">
        <f t="shared" si="2"/>
        <v>449.03846153846155</v>
      </c>
      <c r="L41" s="110">
        <v>12</v>
      </c>
      <c r="M41" s="29">
        <f t="shared" si="3"/>
        <v>5388.461538461539</v>
      </c>
    </row>
    <row r="42" spans="1:13" ht="12.75" customHeight="1">
      <c r="A42" s="1" t="s">
        <v>174</v>
      </c>
      <c r="B42" s="87">
        <v>45412</v>
      </c>
      <c r="C42" s="1" t="s">
        <v>160</v>
      </c>
      <c r="D42" s="1" t="s">
        <v>171</v>
      </c>
      <c r="E42" s="88">
        <v>22500</v>
      </c>
      <c r="F42" s="89">
        <v>45412</v>
      </c>
      <c r="G42" s="89">
        <v>45413</v>
      </c>
      <c r="H42" s="86">
        <f t="shared" si="4"/>
        <v>0</v>
      </c>
      <c r="I42" s="90">
        <v>52</v>
      </c>
      <c r="J42" s="90">
        <f t="shared" si="1"/>
        <v>624</v>
      </c>
      <c r="K42" s="86">
        <f t="shared" si="2"/>
        <v>36.057692307692307</v>
      </c>
      <c r="L42" s="110">
        <v>12</v>
      </c>
      <c r="M42" s="29">
        <f t="shared" si="3"/>
        <v>432.69230769230768</v>
      </c>
    </row>
    <row r="43" spans="1:13" ht="12.75" customHeight="1" thickBot="1">
      <c r="A43" s="226" t="s">
        <v>174</v>
      </c>
      <c r="B43" s="227">
        <v>45412</v>
      </c>
      <c r="C43" s="226" t="s">
        <v>160</v>
      </c>
      <c r="D43" s="226" t="s">
        <v>171</v>
      </c>
      <c r="E43" s="228">
        <v>13000</v>
      </c>
      <c r="F43" s="229">
        <v>45412</v>
      </c>
      <c r="G43" s="229">
        <v>45413</v>
      </c>
      <c r="H43" s="230">
        <f t="shared" si="4"/>
        <v>0</v>
      </c>
      <c r="I43" s="231">
        <v>52</v>
      </c>
      <c r="J43" s="231">
        <f t="shared" si="1"/>
        <v>624</v>
      </c>
      <c r="K43" s="230">
        <f t="shared" si="2"/>
        <v>20.833333333333332</v>
      </c>
      <c r="L43" s="232">
        <v>12</v>
      </c>
      <c r="M43" s="225">
        <f t="shared" si="3"/>
        <v>250</v>
      </c>
    </row>
    <row r="44" spans="1:13" ht="12.75" customHeight="1">
      <c r="A44" s="1" t="s">
        <v>176</v>
      </c>
      <c r="B44" s="87">
        <v>45167</v>
      </c>
      <c r="C44" s="1" t="s">
        <v>129</v>
      </c>
      <c r="D44" s="1" t="s">
        <v>135</v>
      </c>
      <c r="E44" s="88">
        <v>126000</v>
      </c>
      <c r="F44" s="89">
        <v>45138</v>
      </c>
      <c r="G44" s="89">
        <v>45139</v>
      </c>
      <c r="H44" s="86">
        <f>+K44*9</f>
        <v>2362.5</v>
      </c>
      <c r="I44" s="90">
        <v>40</v>
      </c>
      <c r="J44" s="90">
        <f t="shared" si="1"/>
        <v>480</v>
      </c>
      <c r="K44" s="86">
        <f t="shared" si="2"/>
        <v>262.5</v>
      </c>
      <c r="L44" s="110">
        <v>7</v>
      </c>
      <c r="M44" s="29">
        <f t="shared" si="3"/>
        <v>1837.5</v>
      </c>
    </row>
    <row r="45" spans="1:13" ht="12.75" customHeight="1">
      <c r="A45" s="1" t="s">
        <v>176</v>
      </c>
      <c r="B45" s="87">
        <v>45167</v>
      </c>
      <c r="C45" s="1" t="s">
        <v>129</v>
      </c>
      <c r="D45" s="1" t="s">
        <v>137</v>
      </c>
      <c r="E45" s="88">
        <v>160125</v>
      </c>
      <c r="F45" s="89">
        <v>45138</v>
      </c>
      <c r="G45" s="89">
        <v>45139</v>
      </c>
      <c r="H45" s="86">
        <f>+K45*9</f>
        <v>3002.34375</v>
      </c>
      <c r="I45" s="90">
        <v>40</v>
      </c>
      <c r="J45" s="90">
        <f t="shared" si="1"/>
        <v>480</v>
      </c>
      <c r="K45" s="86">
        <f t="shared" si="2"/>
        <v>333.59375</v>
      </c>
      <c r="L45" s="110">
        <v>7</v>
      </c>
      <c r="M45" s="29">
        <f t="shared" si="3"/>
        <v>2335.15625</v>
      </c>
    </row>
    <row r="46" spans="1:13" ht="12.75" customHeight="1" outlineLevel="2">
      <c r="A46" s="1" t="s">
        <v>176</v>
      </c>
      <c r="B46" s="87">
        <v>45167</v>
      </c>
      <c r="C46" s="1" t="s">
        <v>129</v>
      </c>
      <c r="D46" s="1" t="s">
        <v>139</v>
      </c>
      <c r="E46" s="88">
        <v>33000</v>
      </c>
      <c r="F46" s="89">
        <v>45138</v>
      </c>
      <c r="G46" s="89">
        <v>45139</v>
      </c>
      <c r="H46" s="86">
        <f>+K46*9</f>
        <v>618.75</v>
      </c>
      <c r="I46" s="90">
        <v>40</v>
      </c>
      <c r="J46" s="90">
        <f t="shared" si="1"/>
        <v>480</v>
      </c>
      <c r="K46" s="86">
        <f t="shared" si="2"/>
        <v>68.75</v>
      </c>
      <c r="L46" s="110">
        <v>7</v>
      </c>
      <c r="M46" s="29">
        <f t="shared" si="3"/>
        <v>481.25</v>
      </c>
    </row>
    <row r="47" spans="1:13" ht="12.75" customHeight="1" outlineLevel="2">
      <c r="A47" s="1" t="s">
        <v>176</v>
      </c>
      <c r="B47" s="87">
        <v>45276</v>
      </c>
      <c r="C47" s="1" t="s">
        <v>152</v>
      </c>
      <c r="D47" s="1" t="s">
        <v>153</v>
      </c>
      <c r="E47" s="88">
        <v>255000</v>
      </c>
      <c r="F47" s="89">
        <v>45224</v>
      </c>
      <c r="G47" s="89">
        <v>45231</v>
      </c>
      <c r="H47" s="86">
        <f>+K47*6</f>
        <v>3187.5</v>
      </c>
      <c r="I47" s="90">
        <v>40</v>
      </c>
      <c r="J47" s="90">
        <f t="shared" si="1"/>
        <v>480</v>
      </c>
      <c r="K47" s="86">
        <f t="shared" si="2"/>
        <v>531.25</v>
      </c>
      <c r="L47" s="110">
        <v>10</v>
      </c>
      <c r="M47" s="29">
        <f t="shared" si="3"/>
        <v>5312.5</v>
      </c>
    </row>
    <row r="48" spans="1:13" ht="12.75" customHeight="1" outlineLevel="2">
      <c r="A48" s="1" t="s">
        <v>176</v>
      </c>
      <c r="B48" s="87">
        <v>45276</v>
      </c>
      <c r="C48" s="1" t="s">
        <v>152</v>
      </c>
      <c r="D48" s="1" t="s">
        <v>177</v>
      </c>
      <c r="E48" s="88">
        <v>6000</v>
      </c>
      <c r="F48" s="89">
        <v>45224</v>
      </c>
      <c r="G48" s="89">
        <v>45231</v>
      </c>
      <c r="H48" s="86">
        <f>+K48*6</f>
        <v>75</v>
      </c>
      <c r="I48" s="90">
        <v>40</v>
      </c>
      <c r="J48" s="90">
        <f t="shared" si="1"/>
        <v>480</v>
      </c>
      <c r="K48" s="86">
        <f t="shared" si="2"/>
        <v>12.5</v>
      </c>
      <c r="L48" s="110">
        <v>10</v>
      </c>
      <c r="M48" s="29">
        <f t="shared" si="3"/>
        <v>125</v>
      </c>
    </row>
    <row r="49" spans="1:13" ht="12.75" customHeight="1" outlineLevel="2">
      <c r="A49" s="1" t="s">
        <v>176</v>
      </c>
      <c r="B49" s="87">
        <v>45291</v>
      </c>
      <c r="C49" s="1" t="s">
        <v>155</v>
      </c>
      <c r="D49" s="1" t="s">
        <v>156</v>
      </c>
      <c r="E49" s="88">
        <v>47170</v>
      </c>
      <c r="F49" s="89">
        <v>45232</v>
      </c>
      <c r="G49" s="89">
        <v>45261</v>
      </c>
      <c r="H49" s="86">
        <f>+K49*5</f>
        <v>491.35416666666663</v>
      </c>
      <c r="I49" s="90">
        <v>40</v>
      </c>
      <c r="J49" s="90">
        <f t="shared" si="1"/>
        <v>480</v>
      </c>
      <c r="K49" s="86">
        <f t="shared" si="2"/>
        <v>98.270833333333329</v>
      </c>
      <c r="L49" s="110">
        <v>11</v>
      </c>
      <c r="M49" s="29">
        <f t="shared" si="3"/>
        <v>1080.9791666666665</v>
      </c>
    </row>
    <row r="50" spans="1:13" ht="12.75" customHeight="1" outlineLevel="2">
      <c r="A50" s="1" t="s">
        <v>176</v>
      </c>
      <c r="B50" s="87">
        <v>45412</v>
      </c>
      <c r="C50" s="1" t="s">
        <v>160</v>
      </c>
      <c r="D50" s="1" t="s">
        <v>161</v>
      </c>
      <c r="E50" s="88">
        <v>122640</v>
      </c>
      <c r="F50" s="89">
        <v>45296</v>
      </c>
      <c r="G50" s="89">
        <v>45323</v>
      </c>
      <c r="H50" s="86">
        <f>+K50*3</f>
        <v>766.5</v>
      </c>
      <c r="I50" s="90">
        <v>40</v>
      </c>
      <c r="J50" s="90">
        <f t="shared" si="1"/>
        <v>480</v>
      </c>
      <c r="K50" s="86">
        <f t="shared" si="2"/>
        <v>255.5</v>
      </c>
      <c r="L50" s="110">
        <v>12</v>
      </c>
      <c r="M50" s="29">
        <f t="shared" si="3"/>
        <v>3066</v>
      </c>
    </row>
    <row r="51" spans="1:13" ht="12.75" customHeight="1" outlineLevel="2">
      <c r="A51" s="1" t="s">
        <v>176</v>
      </c>
      <c r="B51" s="87">
        <v>45412</v>
      </c>
      <c r="C51" s="1" t="s">
        <v>160</v>
      </c>
      <c r="D51" s="1" t="s">
        <v>163</v>
      </c>
      <c r="E51" s="88">
        <v>11900</v>
      </c>
      <c r="F51" s="89">
        <v>45352</v>
      </c>
      <c r="G51" s="89">
        <v>45383</v>
      </c>
      <c r="H51" s="86">
        <f>+K51*1</f>
        <v>24.791666666666668</v>
      </c>
      <c r="I51" s="90">
        <v>40</v>
      </c>
      <c r="J51" s="90">
        <f t="shared" si="1"/>
        <v>480</v>
      </c>
      <c r="K51" s="86">
        <f t="shared" si="2"/>
        <v>24.791666666666668</v>
      </c>
      <c r="L51" s="110">
        <v>12</v>
      </c>
      <c r="M51" s="29">
        <f t="shared" si="3"/>
        <v>297.5</v>
      </c>
    </row>
    <row r="52" spans="1:13" ht="12.75" customHeight="1" outlineLevel="2">
      <c r="A52" s="1" t="s">
        <v>176</v>
      </c>
      <c r="B52" s="87">
        <v>45412</v>
      </c>
      <c r="C52" s="1" t="s">
        <v>160</v>
      </c>
      <c r="D52" s="1" t="s">
        <v>179</v>
      </c>
      <c r="E52" s="88">
        <v>1280</v>
      </c>
      <c r="F52" s="89">
        <v>45370</v>
      </c>
      <c r="G52" s="89">
        <v>45383</v>
      </c>
      <c r="H52" s="86">
        <f>+K52*1</f>
        <v>2.6666666666666665</v>
      </c>
      <c r="I52" s="90">
        <v>40</v>
      </c>
      <c r="J52" s="90">
        <f t="shared" si="1"/>
        <v>480</v>
      </c>
      <c r="K52" s="86">
        <f t="shared" si="2"/>
        <v>2.6666666666666665</v>
      </c>
      <c r="L52" s="110">
        <v>12</v>
      </c>
      <c r="M52" s="29">
        <f t="shared" si="3"/>
        <v>32</v>
      </c>
    </row>
    <row r="53" spans="1:13" ht="12.75" customHeight="1" outlineLevel="2">
      <c r="A53" s="1" t="s">
        <v>176</v>
      </c>
      <c r="B53" s="87">
        <v>45412</v>
      </c>
      <c r="C53" s="1" t="s">
        <v>160</v>
      </c>
      <c r="D53" s="1" t="s">
        <v>167</v>
      </c>
      <c r="E53" s="88">
        <v>3500</v>
      </c>
      <c r="F53" s="89">
        <v>45405</v>
      </c>
      <c r="G53" s="89">
        <v>45413</v>
      </c>
      <c r="H53" s="86">
        <f>+K53*0</f>
        <v>0</v>
      </c>
      <c r="I53" s="90">
        <v>40</v>
      </c>
      <c r="J53" s="90">
        <f t="shared" si="1"/>
        <v>480</v>
      </c>
      <c r="K53" s="86">
        <f t="shared" si="2"/>
        <v>7.291666666666667</v>
      </c>
      <c r="L53" s="110">
        <v>12</v>
      </c>
      <c r="M53" s="29">
        <f t="shared" si="3"/>
        <v>87.5</v>
      </c>
    </row>
    <row r="54" spans="1:13" ht="12.75" customHeight="1" outlineLevel="1">
      <c r="A54" s="1" t="s">
        <v>176</v>
      </c>
      <c r="B54" s="87">
        <v>45412</v>
      </c>
      <c r="C54" s="1" t="s">
        <v>160</v>
      </c>
      <c r="D54" s="1" t="s">
        <v>169</v>
      </c>
      <c r="E54" s="88">
        <v>363600</v>
      </c>
      <c r="F54" s="89">
        <v>45412</v>
      </c>
      <c r="G54" s="89">
        <v>45413</v>
      </c>
      <c r="H54" s="86">
        <f>+K54*0</f>
        <v>0</v>
      </c>
      <c r="I54" s="90">
        <v>40</v>
      </c>
      <c r="J54" s="90">
        <f t="shared" si="1"/>
        <v>480</v>
      </c>
      <c r="K54" s="86">
        <f t="shared" si="2"/>
        <v>757.5</v>
      </c>
      <c r="L54" s="110">
        <v>12</v>
      </c>
      <c r="M54" s="29">
        <f t="shared" si="3"/>
        <v>9090</v>
      </c>
    </row>
    <row r="55" spans="1:13" ht="12.75" customHeight="1" outlineLevel="2">
      <c r="A55" s="1" t="s">
        <v>176</v>
      </c>
      <c r="B55" s="87">
        <v>45412</v>
      </c>
      <c r="C55" s="1" t="s">
        <v>160</v>
      </c>
      <c r="D55" s="1" t="s">
        <v>171</v>
      </c>
      <c r="E55" s="88">
        <v>564000</v>
      </c>
      <c r="F55" s="89">
        <v>45412</v>
      </c>
      <c r="G55" s="89">
        <v>45413</v>
      </c>
      <c r="H55" s="86">
        <f>+K55*0</f>
        <v>0</v>
      </c>
      <c r="I55" s="90">
        <v>40</v>
      </c>
      <c r="J55" s="90">
        <f t="shared" si="1"/>
        <v>480</v>
      </c>
      <c r="K55" s="86">
        <f t="shared" si="2"/>
        <v>1175</v>
      </c>
      <c r="L55" s="110">
        <v>12</v>
      </c>
      <c r="M55" s="29">
        <f t="shared" si="3"/>
        <v>14100</v>
      </c>
    </row>
    <row r="56" spans="1:13" ht="12.75" customHeight="1" outlineLevel="2" thickBot="1">
      <c r="B56" s="87"/>
      <c r="D56" s="45" t="s">
        <v>173</v>
      </c>
      <c r="E56" s="50">
        <f>SUBTOTAL(9,E10:E55)</f>
        <v>5407025</v>
      </c>
      <c r="F56" s="51"/>
      <c r="G56" s="51"/>
      <c r="H56" s="52">
        <f>SUBTOTAL(9,H10:H55)</f>
        <v>37503.489812271051</v>
      </c>
      <c r="I56" s="53"/>
      <c r="J56" s="53"/>
      <c r="K56" s="52">
        <f>SUBTOTAL(9,K10:K55)</f>
        <v>9826.7917811355328</v>
      </c>
      <c r="M56" s="115">
        <f>SUM(M10:M55)</f>
        <v>100494.48958333333</v>
      </c>
    </row>
    <row r="57" spans="1:13" ht="12.75" customHeight="1" outlineLevel="1" thickTop="1">
      <c r="B57" s="87"/>
      <c r="E57" s="88"/>
      <c r="F57" s="89"/>
      <c r="G57" s="89"/>
      <c r="H57" s="86"/>
      <c r="I57" s="90"/>
      <c r="J57" s="90"/>
      <c r="K57" s="86"/>
      <c r="L57" s="220"/>
      <c r="M57" s="10"/>
    </row>
    <row r="58" spans="1:13" ht="12.75" customHeight="1" outlineLevel="2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2.75" customHeight="1" outlineLevel="2">
      <c r="C59"/>
      <c r="D59"/>
      <c r="E59"/>
      <c r="F59"/>
      <c r="G59"/>
      <c r="H59"/>
      <c r="I59"/>
      <c r="J59"/>
      <c r="K59"/>
      <c r="L59"/>
      <c r="M59"/>
    </row>
    <row r="60" spans="1:13" ht="12.75" customHeight="1" outlineLevel="2" thickBot="1">
      <c r="C60"/>
      <c r="D60"/>
      <c r="E60"/>
      <c r="F60"/>
      <c r="G60"/>
      <c r="H60"/>
      <c r="I60"/>
      <c r="J60"/>
      <c r="K60"/>
      <c r="L60"/>
      <c r="M60"/>
    </row>
    <row r="61" spans="1:13" ht="12.75" customHeight="1" outlineLevel="1" thickBot="1">
      <c r="A61" s="407" t="s">
        <v>190</v>
      </c>
      <c r="B61" s="407"/>
      <c r="C61"/>
      <c r="D61"/>
      <c r="E61"/>
      <c r="F61"/>
      <c r="G61"/>
      <c r="H61"/>
      <c r="I61"/>
      <c r="J61"/>
      <c r="K61"/>
      <c r="L61"/>
      <c r="M61"/>
    </row>
    <row r="62" spans="1:13" ht="12.75" customHeight="1" outlineLevel="2" thickBot="1">
      <c r="A62" s="235" t="s">
        <v>119</v>
      </c>
      <c r="B62" s="235" t="s">
        <v>191</v>
      </c>
      <c r="C62"/>
      <c r="D62"/>
      <c r="E62"/>
      <c r="F62"/>
      <c r="G62"/>
      <c r="H62"/>
      <c r="I62"/>
      <c r="J62"/>
      <c r="K62"/>
      <c r="L62"/>
      <c r="M62"/>
    </row>
    <row r="63" spans="1:13" ht="12.75" customHeight="1" outlineLevel="2" thickBot="1">
      <c r="A63" s="233" t="s">
        <v>175</v>
      </c>
      <c r="B63" s="352">
        <f>M10</f>
        <v>7433.3333333333339</v>
      </c>
      <c r="C63"/>
      <c r="D63"/>
      <c r="E63"/>
      <c r="F63"/>
      <c r="G63"/>
      <c r="H63"/>
      <c r="I63"/>
      <c r="J63"/>
      <c r="K63"/>
      <c r="L63"/>
      <c r="M63"/>
    </row>
    <row r="64" spans="1:13" ht="12.75" customHeight="1" outlineLevel="2" thickBot="1">
      <c r="A64" s="234" t="s">
        <v>174</v>
      </c>
      <c r="B64" s="353">
        <f>SUM(M11:M43)</f>
        <v>55215.770833333336</v>
      </c>
      <c r="C64"/>
      <c r="D64"/>
      <c r="E64"/>
      <c r="F64"/>
      <c r="G64"/>
      <c r="H64"/>
      <c r="I64"/>
      <c r="J64"/>
      <c r="K64"/>
      <c r="L64"/>
      <c r="M64"/>
    </row>
    <row r="65" spans="1:13" ht="12.75" customHeight="1" outlineLevel="2" thickBot="1">
      <c r="A65" s="233" t="s">
        <v>176</v>
      </c>
      <c r="B65" s="352">
        <f>SUM(M44:M55)</f>
        <v>37845.385416666664</v>
      </c>
      <c r="C65"/>
      <c r="D65"/>
      <c r="E65"/>
      <c r="F65"/>
      <c r="G65"/>
      <c r="H65"/>
      <c r="I65"/>
      <c r="J65"/>
      <c r="K65"/>
      <c r="L65"/>
      <c r="M65"/>
    </row>
    <row r="66" spans="1:13" ht="12.75" customHeight="1" outlineLevel="2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2.75" customHeight="1" outlineLevel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2.75" customHeight="1" outlineLevel="2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2.75" customHeight="1" outlineLevel="2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2.75" customHeight="1" outlineLevel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2.75" customHeight="1" outlineLevel="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2.75" customHeight="1" outlineLevel="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2.75" customHeight="1" outlineLevel="2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2.75" customHeight="1" outlineLevel="2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2.75" customHeight="1" outlineLevel="2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2.75" customHeight="1" outlineLevel="2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2.75" customHeight="1" outlineLevel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2.75" customHeight="1" outlineLevel="2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2.75" customHeight="1" outlineLevel="2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2.75" customHeight="1" outlineLevel="2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2.75" customHeight="1" outlineLevel="2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2.75" customHeight="1" outlineLevel="2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2.75" customHeight="1" outlineLevel="2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2.75" customHeight="1" outlineLevel="2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2.75" customHeight="1" outlineLevel="2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2.75" customHeight="1" outlineLevel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2.75" customHeight="1" outlineLevel="2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2.75" customHeight="1" outlineLevel="2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2.75" customHeight="1" outlineLevel="2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2.75" customHeight="1" outlineLevel="2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2.75" customHeight="1" outlineLevel="2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2.75" customHeight="1" outlineLevel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2.75" customHeigh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2.75" customHeight="1">
      <c r="D94" s="91"/>
      <c r="E94" s="88"/>
      <c r="F94" s="91"/>
    </row>
    <row r="95" spans="1:13" ht="12.75" customHeight="1">
      <c r="C95" s="91"/>
      <c r="D95" s="91"/>
      <c r="E95" s="88"/>
    </row>
    <row r="96" spans="1:13" ht="12.75" customHeight="1">
      <c r="A96" s="45"/>
    </row>
    <row r="97" spans="1:13" ht="12.75" customHeight="1">
      <c r="A97" s="45"/>
    </row>
    <row r="98" spans="1:13" ht="12.75" customHeight="1">
      <c r="A98" s="45"/>
      <c r="M98" s="1"/>
    </row>
    <row r="99" spans="1:13" ht="12.75" customHeight="1">
      <c r="A99" s="45"/>
      <c r="L99" s="123"/>
      <c r="M99" s="117"/>
    </row>
    <row r="100" spans="1:13" ht="12.75" customHeight="1"/>
    <row r="101" spans="1:13" ht="12.75" customHeight="1"/>
    <row r="102" spans="1:13" ht="12.75" customHeight="1" outlineLevel="2"/>
    <row r="103" spans="1:13" ht="12.75" customHeight="1" outlineLevel="2"/>
    <row r="104" spans="1:13" ht="12.75" customHeight="1" outlineLevel="2"/>
    <row r="105" spans="1:13" ht="12.75" customHeight="1" outlineLevel="1"/>
    <row r="106" spans="1:13" ht="12.75" customHeight="1" outlineLevel="2"/>
    <row r="107" spans="1:13" ht="12.75" customHeight="1" outlineLevel="2"/>
    <row r="108" spans="1:13" ht="12.75" customHeight="1" outlineLevel="2"/>
    <row r="109" spans="1:13" ht="12.75" customHeight="1" outlineLevel="2"/>
    <row r="110" spans="1:13" ht="12.75" customHeight="1" outlineLevel="2"/>
    <row r="111" spans="1:13" ht="12.75" customHeight="1" outlineLevel="2"/>
    <row r="112" spans="1:13" ht="12.75" customHeight="1" outlineLevel="1"/>
    <row r="113" ht="12.75" customHeight="1" outlineLevel="2"/>
    <row r="114" ht="12.75" customHeight="1" outlineLevel="2"/>
    <row r="115" ht="12.75" customHeight="1" outlineLevel="2"/>
    <row r="116" ht="12.75" customHeight="1" outlineLevel="1"/>
    <row r="117" ht="12.75" customHeight="1" outlineLevel="2"/>
    <row r="118" ht="12.75" customHeight="1" outlineLevel="2"/>
    <row r="119" ht="12.75" customHeight="1" outlineLevel="2"/>
    <row r="120" ht="12.75" customHeight="1" outlineLevel="1"/>
    <row r="121" ht="12.75" customHeight="1" outlineLevel="2"/>
    <row r="122" ht="12.75" customHeight="1" outlineLevel="2"/>
    <row r="123" ht="12.75" customHeight="1" outlineLevel="2"/>
    <row r="124" ht="12.75" customHeight="1" outlineLevel="2"/>
    <row r="125" ht="12.75" customHeight="1" outlineLevel="1"/>
    <row r="126" ht="12.75" customHeight="1" outlineLevel="2"/>
    <row r="127" ht="12.75" customHeight="1" outlineLevel="2"/>
    <row r="128" ht="12.75" customHeight="1" outlineLevel="2"/>
    <row r="129" ht="12.75" customHeight="1" outlineLevel="1"/>
    <row r="130" ht="12.75" customHeight="1" outlineLevel="2"/>
    <row r="131" ht="12.75" customHeight="1" outlineLevel="2"/>
    <row r="132" ht="12.75" customHeight="1" outlineLevel="2"/>
    <row r="133" ht="12.75" customHeight="1" outlineLevel="1"/>
    <row r="134" ht="12.75" customHeight="1" outlineLevel="2"/>
    <row r="135" ht="12.75" customHeight="1" outlineLevel="2"/>
    <row r="136" ht="12.75" customHeight="1" outlineLevel="2"/>
    <row r="137" ht="12.75" customHeight="1" outlineLevel="1"/>
    <row r="138" ht="12.75" customHeight="1" outlineLevel="2"/>
    <row r="139" ht="12.75" customHeight="1" outlineLevel="2"/>
    <row r="140" ht="12.75" customHeight="1" outlineLevel="2"/>
    <row r="141" ht="12.75" customHeight="1" outlineLevel="1"/>
    <row r="142" ht="12.75" customHeight="1" outlineLevel="2"/>
    <row r="143" ht="12.75" customHeight="1" outlineLevel="2"/>
    <row r="144" ht="12.75" customHeight="1" outlineLevel="2"/>
    <row r="145" ht="12.75" customHeight="1" outlineLevel="1"/>
    <row r="146" ht="12.75" customHeight="1" outlineLevel="2"/>
    <row r="147" ht="12.75" customHeight="1" outlineLevel="2"/>
    <row r="148" ht="12.75" customHeight="1" outlineLevel="2"/>
    <row r="149" ht="12.75" customHeight="1" outlineLevel="1"/>
    <row r="150" ht="12.75" customHeight="1" outlineLevel="2"/>
    <row r="151" ht="12.75" customHeight="1" outlineLevel="2"/>
    <row r="152" ht="12.75" customHeight="1" outlineLevel="2"/>
    <row r="153" ht="12.75" customHeight="1" outlineLevel="1"/>
    <row r="154" ht="12.75" customHeight="1" outlineLevel="2"/>
    <row r="155" ht="12.75" customHeight="1" outlineLevel="2"/>
    <row r="156" ht="12.75" customHeight="1" outlineLevel="2"/>
    <row r="157" ht="12.75" customHeight="1" outlineLevel="2"/>
    <row r="158" ht="12.75" customHeight="1" outlineLevel="2"/>
    <row r="159" ht="12.75" customHeight="1" outlineLevel="2"/>
    <row r="160" ht="12.75" customHeight="1" outlineLevel="1"/>
    <row r="161" spans="1:14" ht="12.75" customHeight="1"/>
    <row r="162" spans="1:14" ht="12.75" customHeight="1">
      <c r="D162" s="91"/>
      <c r="E162" s="88"/>
      <c r="F162" s="89"/>
      <c r="G162" s="89"/>
      <c r="H162" s="86"/>
      <c r="I162" s="90"/>
      <c r="J162" s="90"/>
      <c r="K162" s="86"/>
    </row>
    <row r="163" spans="1:14" ht="12.75" customHeight="1">
      <c r="F163" s="89"/>
      <c r="G163" s="89"/>
      <c r="H163" s="86"/>
      <c r="I163" s="90"/>
      <c r="J163" s="90"/>
      <c r="K163" s="86"/>
    </row>
    <row r="164" spans="1:14" ht="12.75" customHeight="1">
      <c r="F164" s="89"/>
      <c r="G164" s="89"/>
      <c r="H164" s="86"/>
      <c r="I164" s="90"/>
      <c r="J164" s="90"/>
      <c r="K164" s="86"/>
    </row>
    <row r="165" spans="1:14" s="110" customFormat="1" ht="12.75" customHeight="1">
      <c r="A165" s="1"/>
      <c r="B165" s="1"/>
      <c r="C165" s="1"/>
      <c r="D165" s="91"/>
      <c r="E165" s="88"/>
      <c r="F165" s="89"/>
      <c r="G165" s="89"/>
      <c r="H165" s="86"/>
      <c r="I165" s="90"/>
      <c r="J165" s="90"/>
      <c r="K165" s="86"/>
      <c r="M165" s="29"/>
      <c r="N165" s="1"/>
    </row>
    <row r="166" spans="1:14" s="110" customFormat="1" ht="12.75" customHeight="1">
      <c r="A166" s="1"/>
      <c r="B166" s="1"/>
      <c r="C166" s="1"/>
      <c r="D166" s="1"/>
      <c r="E166" s="86"/>
      <c r="F166" s="89"/>
      <c r="G166" s="89"/>
      <c r="H166" s="86"/>
      <c r="I166" s="90"/>
      <c r="J166" s="90"/>
      <c r="K166" s="86"/>
      <c r="M166" s="29"/>
      <c r="N166" s="1"/>
    </row>
    <row r="167" spans="1:14" s="110" customFormat="1" ht="12.75" customHeight="1">
      <c r="A167" s="1"/>
      <c r="B167" s="1"/>
      <c r="C167" s="1"/>
      <c r="D167" s="1"/>
      <c r="E167" s="86"/>
      <c r="F167" s="89"/>
      <c r="G167" s="89"/>
      <c r="H167" s="86"/>
      <c r="I167" s="90"/>
      <c r="J167" s="90"/>
      <c r="K167" s="86"/>
      <c r="M167" s="29"/>
      <c r="N167" s="1"/>
    </row>
    <row r="168" spans="1:14" s="110" customFormat="1" ht="12.75" customHeight="1">
      <c r="A168" s="1"/>
      <c r="B168" s="1"/>
      <c r="C168" s="1"/>
      <c r="D168" s="91"/>
      <c r="E168" s="88"/>
      <c r="F168" s="91"/>
      <c r="G168" s="1"/>
      <c r="H168" s="1"/>
      <c r="I168" s="1"/>
      <c r="J168" s="1"/>
      <c r="K168" s="1"/>
      <c r="M168" s="29"/>
      <c r="N168" s="1"/>
    </row>
    <row r="169" spans="1:14" s="110" customFormat="1" ht="12.75" customHeight="1">
      <c r="A169" s="1"/>
      <c r="B169" s="1"/>
      <c r="C169" s="91"/>
      <c r="D169" s="91"/>
      <c r="E169" s="88"/>
      <c r="F169" s="1"/>
      <c r="G169" s="1"/>
      <c r="H169" s="1"/>
      <c r="I169" s="1"/>
      <c r="J169" s="1"/>
      <c r="K169" s="1"/>
      <c r="M169" s="29"/>
      <c r="N169" s="1"/>
    </row>
    <row r="170" spans="1:14" s="110" customFormat="1" ht="12.75" customHeight="1">
      <c r="A170" s="1"/>
      <c r="B170" s="1"/>
      <c r="C170" s="1"/>
      <c r="D170" s="91"/>
      <c r="E170" s="88"/>
      <c r="F170" s="91"/>
      <c r="G170" s="1"/>
      <c r="H170" s="1"/>
      <c r="I170" s="1"/>
      <c r="J170" s="1"/>
      <c r="K170" s="1"/>
      <c r="M170" s="29"/>
      <c r="N170" s="1"/>
    </row>
  </sheetData>
  <mergeCells count="1">
    <mergeCell ref="A61:B61"/>
  </mergeCells>
  <pageMargins left="0.7" right="0.7" top="0.75" bottom="0.75" header="0.3" footer="0.3"/>
  <pageSetup paperSize="3" orientation="landscape" horizontalDpi="1200" verticalDpi="1200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81B8-8467-4C18-B5E3-42176167D636}">
  <dimension ref="A1:M163"/>
  <sheetViews>
    <sheetView topLeftCell="B16" workbookViewId="0">
      <selection activeCell="L6" sqref="L6"/>
    </sheetView>
  </sheetViews>
  <sheetFormatPr defaultColWidth="6.875" defaultRowHeight="12.75"/>
  <cols>
    <col min="1" max="1" width="13" style="1" customWidth="1"/>
    <col min="2" max="2" width="11.625" style="1" bestFit="1" customWidth="1"/>
    <col min="3" max="3" width="10.125" style="1" bestFit="1" customWidth="1"/>
    <col min="4" max="4" width="50" style="1" customWidth="1"/>
    <col min="5" max="5" width="19.625" style="86" customWidth="1"/>
    <col min="6" max="6" width="12.625" style="1" customWidth="1"/>
    <col min="7" max="7" width="14" style="1" customWidth="1"/>
    <col min="8" max="8" width="15.375" style="1" customWidth="1"/>
    <col min="9" max="9" width="8.875" style="1" customWidth="1"/>
    <col min="10" max="10" width="9.875" style="1" customWidth="1"/>
    <col min="11" max="11" width="9.375" style="1" customWidth="1"/>
    <col min="12" max="12" width="13.75" style="110" customWidth="1"/>
    <col min="13" max="13" width="12.875" style="29" customWidth="1"/>
    <col min="14" max="16384" width="6.875" style="1"/>
  </cols>
  <sheetData>
    <row r="1" spans="1:13" ht="12.75" customHeight="1">
      <c r="A1" s="114" t="s">
        <v>14</v>
      </c>
    </row>
    <row r="2" spans="1:13" ht="12.75" customHeight="1">
      <c r="A2" s="114" t="s">
        <v>108</v>
      </c>
    </row>
    <row r="3" spans="1:13" ht="12.75" customHeight="1">
      <c r="A3" s="114" t="s">
        <v>109</v>
      </c>
    </row>
    <row r="4" spans="1:13" ht="12.75" customHeight="1">
      <c r="A4" s="114"/>
    </row>
    <row r="5" spans="1:13" ht="12.75" customHeight="1"/>
    <row r="6" spans="1:13" ht="25.5">
      <c r="A6" s="45" t="s">
        <v>2</v>
      </c>
      <c r="L6" s="389" t="s">
        <v>110</v>
      </c>
      <c r="M6" s="117"/>
    </row>
    <row r="7" spans="1:13" ht="33" customHeight="1">
      <c r="A7" s="46" t="s">
        <v>119</v>
      </c>
      <c r="B7" s="46" t="s">
        <v>120</v>
      </c>
      <c r="C7" s="46" t="s">
        <v>121</v>
      </c>
      <c r="D7" s="46" t="s">
        <v>122</v>
      </c>
      <c r="E7" s="215" t="s">
        <v>181</v>
      </c>
      <c r="F7" s="216" t="s">
        <v>182</v>
      </c>
      <c r="G7" s="216" t="s">
        <v>183</v>
      </c>
      <c r="H7" s="215" t="s">
        <v>184</v>
      </c>
      <c r="I7" s="214" t="s">
        <v>185</v>
      </c>
      <c r="J7" s="214" t="s">
        <v>186</v>
      </c>
      <c r="K7" s="215" t="s">
        <v>187</v>
      </c>
      <c r="L7" s="217" t="s">
        <v>188</v>
      </c>
      <c r="M7" s="218" t="s">
        <v>189</v>
      </c>
    </row>
    <row r="8" spans="1:13" ht="12.75" customHeight="1">
      <c r="A8" s="1" t="s">
        <v>128</v>
      </c>
      <c r="B8" s="87">
        <v>45167</v>
      </c>
      <c r="C8" s="1" t="s">
        <v>129</v>
      </c>
      <c r="D8" s="1" t="s">
        <v>130</v>
      </c>
      <c r="E8" s="88">
        <v>2370</v>
      </c>
      <c r="F8" s="89">
        <v>45138</v>
      </c>
      <c r="G8" s="89">
        <v>45139</v>
      </c>
      <c r="H8" s="86">
        <f t="shared" ref="H8:H36" si="0">+K8*9</f>
        <v>28.44</v>
      </c>
      <c r="I8" s="90">
        <v>62.5</v>
      </c>
      <c r="J8" s="90">
        <f t="shared" ref="J8:J39" si="1">+I8*12</f>
        <v>750</v>
      </c>
      <c r="K8" s="86">
        <f t="shared" ref="K8:K39" si="2">+E8/J8</f>
        <v>3.16</v>
      </c>
      <c r="L8" s="110">
        <v>7</v>
      </c>
      <c r="M8" s="29">
        <f t="shared" ref="M8:M39" si="3">+K8*L8</f>
        <v>22.12</v>
      </c>
    </row>
    <row r="9" spans="1:13" ht="12.75" customHeight="1">
      <c r="A9" s="1" t="s">
        <v>128</v>
      </c>
      <c r="B9" s="87">
        <v>45167</v>
      </c>
      <c r="C9" s="1" t="s">
        <v>129</v>
      </c>
      <c r="D9" s="1" t="s">
        <v>130</v>
      </c>
      <c r="E9" s="88">
        <v>57200</v>
      </c>
      <c r="F9" s="89">
        <v>45138</v>
      </c>
      <c r="G9" s="89">
        <v>45139</v>
      </c>
      <c r="H9" s="86">
        <f t="shared" si="0"/>
        <v>686.4</v>
      </c>
      <c r="I9" s="90">
        <v>62.5</v>
      </c>
      <c r="J9" s="90">
        <f t="shared" si="1"/>
        <v>750</v>
      </c>
      <c r="K9" s="86">
        <f t="shared" si="2"/>
        <v>76.266666666666666</v>
      </c>
      <c r="L9" s="110">
        <v>7</v>
      </c>
      <c r="M9" s="29">
        <f t="shared" si="3"/>
        <v>533.86666666666667</v>
      </c>
    </row>
    <row r="10" spans="1:13" ht="12.75" customHeight="1">
      <c r="A10" s="1" t="s">
        <v>128</v>
      </c>
      <c r="B10" s="87">
        <v>45167</v>
      </c>
      <c r="C10" s="1" t="s">
        <v>129</v>
      </c>
      <c r="D10" s="1" t="s">
        <v>130</v>
      </c>
      <c r="E10" s="88">
        <v>2800</v>
      </c>
      <c r="F10" s="89">
        <v>45138</v>
      </c>
      <c r="G10" s="89">
        <v>45139</v>
      </c>
      <c r="H10" s="86">
        <f t="shared" si="0"/>
        <v>33.6</v>
      </c>
      <c r="I10" s="90">
        <v>62.5</v>
      </c>
      <c r="J10" s="90">
        <f t="shared" si="1"/>
        <v>750</v>
      </c>
      <c r="K10" s="86">
        <f t="shared" si="2"/>
        <v>3.7333333333333334</v>
      </c>
      <c r="L10" s="110">
        <v>7</v>
      </c>
      <c r="M10" s="29">
        <f t="shared" si="3"/>
        <v>26.133333333333333</v>
      </c>
    </row>
    <row r="11" spans="1:13" ht="12.75" customHeight="1">
      <c r="A11" s="1" t="s">
        <v>128</v>
      </c>
      <c r="B11" s="87">
        <v>45167</v>
      </c>
      <c r="C11" s="1" t="s">
        <v>129</v>
      </c>
      <c r="D11" s="1" t="s">
        <v>133</v>
      </c>
      <c r="E11" s="88">
        <v>4550</v>
      </c>
      <c r="F11" s="89">
        <v>45138</v>
      </c>
      <c r="G11" s="89">
        <v>45139</v>
      </c>
      <c r="H11" s="86">
        <f t="shared" si="0"/>
        <v>54.599999999999994</v>
      </c>
      <c r="I11" s="90">
        <v>62.5</v>
      </c>
      <c r="J11" s="90">
        <f t="shared" si="1"/>
        <v>750</v>
      </c>
      <c r="K11" s="86">
        <f t="shared" si="2"/>
        <v>6.0666666666666664</v>
      </c>
      <c r="L11" s="110">
        <v>7</v>
      </c>
      <c r="M11" s="29">
        <f t="shared" si="3"/>
        <v>42.466666666666669</v>
      </c>
    </row>
    <row r="12" spans="1:13" ht="12.75" customHeight="1">
      <c r="A12" s="1" t="s">
        <v>128</v>
      </c>
      <c r="B12" s="87">
        <v>45167</v>
      </c>
      <c r="C12" s="1" t="s">
        <v>129</v>
      </c>
      <c r="D12" s="1" t="s">
        <v>133</v>
      </c>
      <c r="E12" s="88">
        <v>84750</v>
      </c>
      <c r="F12" s="89">
        <v>45138</v>
      </c>
      <c r="G12" s="89">
        <v>45139</v>
      </c>
      <c r="H12" s="86">
        <f t="shared" si="0"/>
        <v>1017</v>
      </c>
      <c r="I12" s="90">
        <v>62.5</v>
      </c>
      <c r="J12" s="90">
        <f t="shared" si="1"/>
        <v>750</v>
      </c>
      <c r="K12" s="86">
        <f t="shared" si="2"/>
        <v>113</v>
      </c>
      <c r="L12" s="110">
        <v>7</v>
      </c>
      <c r="M12" s="29">
        <f t="shared" si="3"/>
        <v>791</v>
      </c>
    </row>
    <row r="13" spans="1:13" ht="12.75" customHeight="1">
      <c r="A13" s="1" t="s">
        <v>128</v>
      </c>
      <c r="B13" s="87">
        <v>45167</v>
      </c>
      <c r="C13" s="1" t="s">
        <v>129</v>
      </c>
      <c r="D13" s="1" t="s">
        <v>133</v>
      </c>
      <c r="E13" s="88">
        <v>12000</v>
      </c>
      <c r="F13" s="89">
        <v>45138</v>
      </c>
      <c r="G13" s="89">
        <v>45139</v>
      </c>
      <c r="H13" s="86">
        <f t="shared" si="0"/>
        <v>144</v>
      </c>
      <c r="I13" s="90">
        <v>62.5</v>
      </c>
      <c r="J13" s="90">
        <f t="shared" si="1"/>
        <v>750</v>
      </c>
      <c r="K13" s="86">
        <f t="shared" si="2"/>
        <v>16</v>
      </c>
      <c r="L13" s="110">
        <v>7</v>
      </c>
      <c r="M13" s="29">
        <f t="shared" si="3"/>
        <v>112</v>
      </c>
    </row>
    <row r="14" spans="1:13" ht="12.75" customHeight="1">
      <c r="A14" s="1" t="s">
        <v>128</v>
      </c>
      <c r="B14" s="87">
        <v>45167</v>
      </c>
      <c r="C14" s="1" t="s">
        <v>129</v>
      </c>
      <c r="D14" s="1" t="s">
        <v>135</v>
      </c>
      <c r="E14" s="88">
        <v>3200</v>
      </c>
      <c r="F14" s="89">
        <v>45138</v>
      </c>
      <c r="G14" s="89">
        <v>45139</v>
      </c>
      <c r="H14" s="86">
        <f t="shared" si="0"/>
        <v>38.4</v>
      </c>
      <c r="I14" s="90">
        <v>62.5</v>
      </c>
      <c r="J14" s="90">
        <f t="shared" si="1"/>
        <v>750</v>
      </c>
      <c r="K14" s="86">
        <f t="shared" si="2"/>
        <v>4.2666666666666666</v>
      </c>
      <c r="L14" s="110">
        <v>7</v>
      </c>
      <c r="M14" s="29">
        <f t="shared" si="3"/>
        <v>29.866666666666667</v>
      </c>
    </row>
    <row r="15" spans="1:13" ht="12.75" customHeight="1">
      <c r="A15" s="1" t="s">
        <v>128</v>
      </c>
      <c r="B15" s="87">
        <v>45167</v>
      </c>
      <c r="C15" s="1" t="s">
        <v>129</v>
      </c>
      <c r="D15" s="1" t="s">
        <v>135</v>
      </c>
      <c r="E15" s="88">
        <v>9000</v>
      </c>
      <c r="F15" s="89">
        <v>45138</v>
      </c>
      <c r="G15" s="89">
        <v>45139</v>
      </c>
      <c r="H15" s="86">
        <f t="shared" si="0"/>
        <v>108</v>
      </c>
      <c r="I15" s="90">
        <v>62.5</v>
      </c>
      <c r="J15" s="90">
        <f t="shared" si="1"/>
        <v>750</v>
      </c>
      <c r="K15" s="86">
        <f t="shared" si="2"/>
        <v>12</v>
      </c>
      <c r="L15" s="110">
        <v>7</v>
      </c>
      <c r="M15" s="29">
        <f t="shared" si="3"/>
        <v>84</v>
      </c>
    </row>
    <row r="16" spans="1:13" ht="12.75" customHeight="1">
      <c r="A16" s="1" t="s">
        <v>128</v>
      </c>
      <c r="B16" s="87">
        <v>45167</v>
      </c>
      <c r="C16" s="1" t="s">
        <v>129</v>
      </c>
      <c r="D16" s="1" t="s">
        <v>135</v>
      </c>
      <c r="E16" s="88">
        <v>2750</v>
      </c>
      <c r="F16" s="89">
        <v>45138</v>
      </c>
      <c r="G16" s="89">
        <v>45139</v>
      </c>
      <c r="H16" s="86">
        <f t="shared" si="0"/>
        <v>33</v>
      </c>
      <c r="I16" s="90">
        <v>62.5</v>
      </c>
      <c r="J16" s="90">
        <f t="shared" si="1"/>
        <v>750</v>
      </c>
      <c r="K16" s="86">
        <f t="shared" si="2"/>
        <v>3.6666666666666665</v>
      </c>
      <c r="L16" s="110">
        <v>7</v>
      </c>
      <c r="M16" s="29">
        <f t="shared" si="3"/>
        <v>25.666666666666664</v>
      </c>
    </row>
    <row r="17" spans="1:13" ht="12.75" customHeight="1">
      <c r="A17" s="1" t="s">
        <v>128</v>
      </c>
      <c r="B17" s="87">
        <v>45167</v>
      </c>
      <c r="C17" s="1" t="s">
        <v>129</v>
      </c>
      <c r="D17" s="1" t="s">
        <v>135</v>
      </c>
      <c r="E17" s="88">
        <v>49800</v>
      </c>
      <c r="F17" s="89">
        <v>45138</v>
      </c>
      <c r="G17" s="89">
        <v>45139</v>
      </c>
      <c r="H17" s="86">
        <f t="shared" si="0"/>
        <v>597.6</v>
      </c>
      <c r="I17" s="90">
        <v>62.5</v>
      </c>
      <c r="J17" s="90">
        <f t="shared" si="1"/>
        <v>750</v>
      </c>
      <c r="K17" s="86">
        <f t="shared" si="2"/>
        <v>66.400000000000006</v>
      </c>
      <c r="L17" s="110">
        <v>7</v>
      </c>
      <c r="M17" s="29">
        <f t="shared" si="3"/>
        <v>464.80000000000007</v>
      </c>
    </row>
    <row r="18" spans="1:13" ht="12.75" customHeight="1">
      <c r="A18" s="1" t="s">
        <v>128</v>
      </c>
      <c r="B18" s="87">
        <v>45167</v>
      </c>
      <c r="C18" s="1" t="s">
        <v>129</v>
      </c>
      <c r="D18" s="1" t="s">
        <v>135</v>
      </c>
      <c r="E18" s="88">
        <v>94250</v>
      </c>
      <c r="F18" s="89">
        <v>45138</v>
      </c>
      <c r="G18" s="89">
        <v>45139</v>
      </c>
      <c r="H18" s="86">
        <f t="shared" si="0"/>
        <v>1131</v>
      </c>
      <c r="I18" s="90">
        <v>62.5</v>
      </c>
      <c r="J18" s="90">
        <f t="shared" si="1"/>
        <v>750</v>
      </c>
      <c r="K18" s="86">
        <f t="shared" si="2"/>
        <v>125.66666666666667</v>
      </c>
      <c r="L18" s="110">
        <v>7</v>
      </c>
      <c r="M18" s="29">
        <f t="shared" si="3"/>
        <v>879.66666666666674</v>
      </c>
    </row>
    <row r="19" spans="1:13" ht="12.75" customHeight="1">
      <c r="A19" s="1" t="s">
        <v>128</v>
      </c>
      <c r="B19" s="87">
        <v>45167</v>
      </c>
      <c r="C19" s="1" t="s">
        <v>129</v>
      </c>
      <c r="D19" s="1" t="s">
        <v>137</v>
      </c>
      <c r="E19" s="88">
        <v>9300</v>
      </c>
      <c r="F19" s="89">
        <v>45138</v>
      </c>
      <c r="G19" s="89">
        <v>45139</v>
      </c>
      <c r="H19" s="86">
        <f t="shared" si="0"/>
        <v>111.60000000000001</v>
      </c>
      <c r="I19" s="90">
        <v>62.5</v>
      </c>
      <c r="J19" s="90">
        <f t="shared" si="1"/>
        <v>750</v>
      </c>
      <c r="K19" s="86">
        <f t="shared" si="2"/>
        <v>12.4</v>
      </c>
      <c r="L19" s="110">
        <v>7</v>
      </c>
      <c r="M19" s="29">
        <f t="shared" si="3"/>
        <v>86.8</v>
      </c>
    </row>
    <row r="20" spans="1:13" ht="12.75" customHeight="1">
      <c r="A20" s="1" t="s">
        <v>128</v>
      </c>
      <c r="B20" s="87">
        <v>45167</v>
      </c>
      <c r="C20" s="1" t="s">
        <v>129</v>
      </c>
      <c r="D20" s="1" t="s">
        <v>137</v>
      </c>
      <c r="E20" s="88">
        <v>170800</v>
      </c>
      <c r="F20" s="89">
        <v>45138</v>
      </c>
      <c r="G20" s="89">
        <v>45139</v>
      </c>
      <c r="H20" s="86">
        <f t="shared" si="0"/>
        <v>2049.6</v>
      </c>
      <c r="I20" s="90">
        <v>62.5</v>
      </c>
      <c r="J20" s="90">
        <f t="shared" si="1"/>
        <v>750</v>
      </c>
      <c r="K20" s="86">
        <f t="shared" si="2"/>
        <v>227.73333333333332</v>
      </c>
      <c r="L20" s="110">
        <v>7</v>
      </c>
      <c r="M20" s="29">
        <f t="shared" si="3"/>
        <v>1594.1333333333332</v>
      </c>
    </row>
    <row r="21" spans="1:13" ht="12.75" customHeight="1">
      <c r="A21" s="1" t="s">
        <v>128</v>
      </c>
      <c r="B21" s="87">
        <v>45167</v>
      </c>
      <c r="C21" s="1" t="s">
        <v>129</v>
      </c>
      <c r="D21" s="1" t="s">
        <v>139</v>
      </c>
      <c r="E21" s="88">
        <v>3200</v>
      </c>
      <c r="F21" s="89">
        <v>45138</v>
      </c>
      <c r="G21" s="89">
        <v>45139</v>
      </c>
      <c r="H21" s="86">
        <f t="shared" si="0"/>
        <v>38.4</v>
      </c>
      <c r="I21" s="90">
        <v>62.5</v>
      </c>
      <c r="J21" s="90">
        <f t="shared" si="1"/>
        <v>750</v>
      </c>
      <c r="K21" s="86">
        <f t="shared" si="2"/>
        <v>4.2666666666666666</v>
      </c>
      <c r="L21" s="110">
        <v>7</v>
      </c>
      <c r="M21" s="29">
        <f t="shared" si="3"/>
        <v>29.866666666666667</v>
      </c>
    </row>
    <row r="22" spans="1:13" ht="12.75" customHeight="1">
      <c r="A22" s="1" t="s">
        <v>128</v>
      </c>
      <c r="B22" s="87">
        <v>45167</v>
      </c>
      <c r="C22" s="1" t="s">
        <v>129</v>
      </c>
      <c r="D22" s="1" t="s">
        <v>139</v>
      </c>
      <c r="E22" s="88">
        <v>930</v>
      </c>
      <c r="F22" s="89">
        <v>45138</v>
      </c>
      <c r="G22" s="89">
        <v>45139</v>
      </c>
      <c r="H22" s="86">
        <f t="shared" si="0"/>
        <v>11.16</v>
      </c>
      <c r="I22" s="90">
        <v>62.5</v>
      </c>
      <c r="J22" s="90">
        <f t="shared" si="1"/>
        <v>750</v>
      </c>
      <c r="K22" s="86">
        <f t="shared" si="2"/>
        <v>1.24</v>
      </c>
      <c r="L22" s="110">
        <v>7</v>
      </c>
      <c r="M22" s="29">
        <f t="shared" si="3"/>
        <v>8.68</v>
      </c>
    </row>
    <row r="23" spans="1:13" ht="12.75" customHeight="1">
      <c r="A23" s="1" t="s">
        <v>128</v>
      </c>
      <c r="B23" s="87">
        <v>45167</v>
      </c>
      <c r="C23" s="1" t="s">
        <v>129</v>
      </c>
      <c r="D23" s="1" t="s">
        <v>139</v>
      </c>
      <c r="E23" s="88">
        <v>19270</v>
      </c>
      <c r="F23" s="89">
        <v>45138</v>
      </c>
      <c r="G23" s="89">
        <v>45139</v>
      </c>
      <c r="H23" s="86">
        <f t="shared" si="0"/>
        <v>231.23999999999998</v>
      </c>
      <c r="I23" s="90">
        <v>62.5</v>
      </c>
      <c r="J23" s="90">
        <f t="shared" si="1"/>
        <v>750</v>
      </c>
      <c r="K23" s="86">
        <f t="shared" si="2"/>
        <v>25.693333333333332</v>
      </c>
      <c r="L23" s="110">
        <v>7</v>
      </c>
      <c r="M23" s="29">
        <f t="shared" si="3"/>
        <v>179.85333333333332</v>
      </c>
    </row>
    <row r="24" spans="1:13" ht="12.75" customHeight="1">
      <c r="A24" s="1" t="s">
        <v>128</v>
      </c>
      <c r="B24" s="87">
        <v>45167</v>
      </c>
      <c r="C24" s="1" t="s">
        <v>129</v>
      </c>
      <c r="D24" s="1" t="s">
        <v>139</v>
      </c>
      <c r="E24" s="88">
        <v>24600</v>
      </c>
      <c r="F24" s="89">
        <v>45138</v>
      </c>
      <c r="G24" s="89">
        <v>45139</v>
      </c>
      <c r="H24" s="86">
        <f t="shared" si="0"/>
        <v>295.2</v>
      </c>
      <c r="I24" s="90">
        <v>62.5</v>
      </c>
      <c r="J24" s="90">
        <f t="shared" si="1"/>
        <v>750</v>
      </c>
      <c r="K24" s="86">
        <f t="shared" si="2"/>
        <v>32.799999999999997</v>
      </c>
      <c r="L24" s="110">
        <v>7</v>
      </c>
      <c r="M24" s="29">
        <f t="shared" si="3"/>
        <v>229.59999999999997</v>
      </c>
    </row>
    <row r="25" spans="1:13" ht="12.75" customHeight="1">
      <c r="A25" s="1" t="s">
        <v>128</v>
      </c>
      <c r="B25" s="87">
        <v>45167</v>
      </c>
      <c r="C25" s="1" t="s">
        <v>129</v>
      </c>
      <c r="D25" s="1" t="s">
        <v>141</v>
      </c>
      <c r="E25" s="88">
        <v>4000</v>
      </c>
      <c r="F25" s="89">
        <v>45138</v>
      </c>
      <c r="G25" s="89">
        <v>45139</v>
      </c>
      <c r="H25" s="86">
        <f t="shared" si="0"/>
        <v>48</v>
      </c>
      <c r="I25" s="90">
        <v>62.5</v>
      </c>
      <c r="J25" s="90">
        <f t="shared" si="1"/>
        <v>750</v>
      </c>
      <c r="K25" s="86">
        <f t="shared" si="2"/>
        <v>5.333333333333333</v>
      </c>
      <c r="L25" s="110">
        <v>7</v>
      </c>
      <c r="M25" s="29">
        <f t="shared" si="3"/>
        <v>37.333333333333329</v>
      </c>
    </row>
    <row r="26" spans="1:13" ht="12.75" customHeight="1">
      <c r="A26" s="1" t="s">
        <v>128</v>
      </c>
      <c r="B26" s="87">
        <v>45167</v>
      </c>
      <c r="C26" s="1" t="s">
        <v>129</v>
      </c>
      <c r="D26" s="1" t="s">
        <v>141</v>
      </c>
      <c r="E26" s="88">
        <v>32000</v>
      </c>
      <c r="F26" s="89">
        <v>45138</v>
      </c>
      <c r="G26" s="89">
        <v>45139</v>
      </c>
      <c r="H26" s="86">
        <f t="shared" si="0"/>
        <v>384</v>
      </c>
      <c r="I26" s="90">
        <v>62.5</v>
      </c>
      <c r="J26" s="90">
        <f t="shared" si="1"/>
        <v>750</v>
      </c>
      <c r="K26" s="86">
        <f t="shared" si="2"/>
        <v>42.666666666666664</v>
      </c>
      <c r="L26" s="110">
        <v>7</v>
      </c>
      <c r="M26" s="29">
        <f t="shared" si="3"/>
        <v>298.66666666666663</v>
      </c>
    </row>
    <row r="27" spans="1:13" ht="12.75" customHeight="1">
      <c r="A27" s="1" t="s">
        <v>128</v>
      </c>
      <c r="B27" s="87">
        <v>45167</v>
      </c>
      <c r="C27" s="1" t="s">
        <v>129</v>
      </c>
      <c r="D27" s="1" t="s">
        <v>143</v>
      </c>
      <c r="E27" s="88">
        <v>2830</v>
      </c>
      <c r="F27" s="89">
        <v>45138</v>
      </c>
      <c r="G27" s="89">
        <v>45139</v>
      </c>
      <c r="H27" s="86">
        <f t="shared" si="0"/>
        <v>33.96</v>
      </c>
      <c r="I27" s="90">
        <v>62.5</v>
      </c>
      <c r="J27" s="90">
        <f t="shared" si="1"/>
        <v>750</v>
      </c>
      <c r="K27" s="86">
        <f t="shared" si="2"/>
        <v>3.7733333333333334</v>
      </c>
      <c r="L27" s="110">
        <v>7</v>
      </c>
      <c r="M27" s="29">
        <f t="shared" si="3"/>
        <v>26.413333333333334</v>
      </c>
    </row>
    <row r="28" spans="1:13" ht="12.75" customHeight="1">
      <c r="A28" s="1" t="s">
        <v>128</v>
      </c>
      <c r="B28" s="87">
        <v>45167</v>
      </c>
      <c r="C28" s="1" t="s">
        <v>129</v>
      </c>
      <c r="D28" s="1" t="s">
        <v>143</v>
      </c>
      <c r="E28" s="88">
        <v>1300</v>
      </c>
      <c r="F28" s="89">
        <v>45138</v>
      </c>
      <c r="G28" s="89">
        <v>45139</v>
      </c>
      <c r="H28" s="86">
        <f t="shared" si="0"/>
        <v>15.600000000000001</v>
      </c>
      <c r="I28" s="90">
        <v>62.5</v>
      </c>
      <c r="J28" s="90">
        <f t="shared" si="1"/>
        <v>750</v>
      </c>
      <c r="K28" s="86">
        <f t="shared" si="2"/>
        <v>1.7333333333333334</v>
      </c>
      <c r="L28" s="110">
        <v>7</v>
      </c>
      <c r="M28" s="29">
        <f t="shared" si="3"/>
        <v>12.133333333333333</v>
      </c>
    </row>
    <row r="29" spans="1:13" ht="12.75" customHeight="1">
      <c r="A29" s="1" t="s">
        <v>128</v>
      </c>
      <c r="B29" s="87">
        <v>45167</v>
      </c>
      <c r="C29" s="1" t="s">
        <v>129</v>
      </c>
      <c r="D29" s="1" t="s">
        <v>143</v>
      </c>
      <c r="E29" s="88">
        <v>3200</v>
      </c>
      <c r="F29" s="89">
        <v>45138</v>
      </c>
      <c r="G29" s="89">
        <v>45139</v>
      </c>
      <c r="H29" s="86">
        <f t="shared" si="0"/>
        <v>38.4</v>
      </c>
      <c r="I29" s="90">
        <v>62.5</v>
      </c>
      <c r="J29" s="90">
        <f t="shared" si="1"/>
        <v>750</v>
      </c>
      <c r="K29" s="86">
        <f t="shared" si="2"/>
        <v>4.2666666666666666</v>
      </c>
      <c r="L29" s="110">
        <v>7</v>
      </c>
      <c r="M29" s="29">
        <f t="shared" si="3"/>
        <v>29.866666666666667</v>
      </c>
    </row>
    <row r="30" spans="1:13" ht="12.75" customHeight="1">
      <c r="A30" s="1" t="s">
        <v>128</v>
      </c>
      <c r="B30" s="87">
        <v>45167</v>
      </c>
      <c r="C30" s="1" t="s">
        <v>129</v>
      </c>
      <c r="D30" s="1" t="s">
        <v>143</v>
      </c>
      <c r="E30" s="88">
        <v>55040</v>
      </c>
      <c r="F30" s="89">
        <v>45138</v>
      </c>
      <c r="G30" s="89">
        <v>45139</v>
      </c>
      <c r="H30" s="86">
        <f t="shared" si="0"/>
        <v>660.48</v>
      </c>
      <c r="I30" s="90">
        <v>62.5</v>
      </c>
      <c r="J30" s="90">
        <f t="shared" si="1"/>
        <v>750</v>
      </c>
      <c r="K30" s="86">
        <f t="shared" si="2"/>
        <v>73.38666666666667</v>
      </c>
      <c r="L30" s="110">
        <v>7</v>
      </c>
      <c r="M30" s="29">
        <f t="shared" si="3"/>
        <v>513.70666666666671</v>
      </c>
    </row>
    <row r="31" spans="1:13" ht="12.75" customHeight="1">
      <c r="A31" s="1" t="s">
        <v>128</v>
      </c>
      <c r="B31" s="87">
        <v>45167</v>
      </c>
      <c r="C31" s="1" t="s">
        <v>129</v>
      </c>
      <c r="D31" s="1" t="s">
        <v>145</v>
      </c>
      <c r="E31" s="88">
        <v>5600</v>
      </c>
      <c r="F31" s="89">
        <v>45138</v>
      </c>
      <c r="G31" s="89">
        <v>45139</v>
      </c>
      <c r="H31" s="86">
        <f t="shared" si="0"/>
        <v>67.2</v>
      </c>
      <c r="I31" s="90">
        <v>62.5</v>
      </c>
      <c r="J31" s="90">
        <f t="shared" si="1"/>
        <v>750</v>
      </c>
      <c r="K31" s="86">
        <f t="shared" si="2"/>
        <v>7.4666666666666668</v>
      </c>
      <c r="L31" s="110">
        <v>7</v>
      </c>
      <c r="M31" s="29">
        <f t="shared" si="3"/>
        <v>52.266666666666666</v>
      </c>
    </row>
    <row r="32" spans="1:13" ht="12.75" customHeight="1">
      <c r="A32" s="1" t="s">
        <v>128</v>
      </c>
      <c r="B32" s="87">
        <v>45167</v>
      </c>
      <c r="C32" s="1" t="s">
        <v>129</v>
      </c>
      <c r="D32" s="1" t="s">
        <v>145</v>
      </c>
      <c r="E32" s="88">
        <v>8000</v>
      </c>
      <c r="F32" s="89">
        <v>45138</v>
      </c>
      <c r="G32" s="89">
        <v>45139</v>
      </c>
      <c r="H32" s="86">
        <f t="shared" si="0"/>
        <v>96</v>
      </c>
      <c r="I32" s="90">
        <v>62.5</v>
      </c>
      <c r="J32" s="90">
        <f t="shared" si="1"/>
        <v>750</v>
      </c>
      <c r="K32" s="86">
        <f t="shared" si="2"/>
        <v>10.666666666666666</v>
      </c>
      <c r="L32" s="110">
        <v>7</v>
      </c>
      <c r="M32" s="29">
        <f t="shared" si="3"/>
        <v>74.666666666666657</v>
      </c>
    </row>
    <row r="33" spans="1:13" ht="12.75" customHeight="1">
      <c r="A33" s="1" t="s">
        <v>128</v>
      </c>
      <c r="B33" s="87">
        <v>45167</v>
      </c>
      <c r="C33" s="1" t="s">
        <v>129</v>
      </c>
      <c r="D33" s="1" t="s">
        <v>145</v>
      </c>
      <c r="E33" s="88">
        <v>-7500</v>
      </c>
      <c r="F33" s="89">
        <v>45138</v>
      </c>
      <c r="G33" s="89">
        <v>45139</v>
      </c>
      <c r="H33" s="86">
        <f t="shared" si="0"/>
        <v>-90</v>
      </c>
      <c r="I33" s="90">
        <v>62.5</v>
      </c>
      <c r="J33" s="90">
        <f t="shared" si="1"/>
        <v>750</v>
      </c>
      <c r="K33" s="86">
        <f t="shared" si="2"/>
        <v>-10</v>
      </c>
      <c r="L33" s="110">
        <v>7</v>
      </c>
      <c r="M33" s="29">
        <f t="shared" si="3"/>
        <v>-70</v>
      </c>
    </row>
    <row r="34" spans="1:13" ht="12.75" customHeight="1">
      <c r="A34" s="1" t="s">
        <v>128</v>
      </c>
      <c r="B34" s="87">
        <v>45167</v>
      </c>
      <c r="C34" s="1" t="s">
        <v>129</v>
      </c>
      <c r="D34" s="1" t="s">
        <v>147</v>
      </c>
      <c r="E34" s="88">
        <v>6600</v>
      </c>
      <c r="F34" s="89">
        <v>45138</v>
      </c>
      <c r="G34" s="89">
        <v>45139</v>
      </c>
      <c r="H34" s="86">
        <f t="shared" si="0"/>
        <v>79.2</v>
      </c>
      <c r="I34" s="90">
        <v>62.5</v>
      </c>
      <c r="J34" s="90">
        <f t="shared" si="1"/>
        <v>750</v>
      </c>
      <c r="K34" s="86">
        <f t="shared" si="2"/>
        <v>8.8000000000000007</v>
      </c>
      <c r="L34" s="110">
        <v>7</v>
      </c>
      <c r="M34" s="29">
        <f t="shared" si="3"/>
        <v>61.600000000000009</v>
      </c>
    </row>
    <row r="35" spans="1:13" ht="12.75" customHeight="1">
      <c r="A35" s="1" t="s">
        <v>128</v>
      </c>
      <c r="B35" s="87">
        <v>45167</v>
      </c>
      <c r="C35" s="1" t="s">
        <v>129</v>
      </c>
      <c r="D35" s="1" t="s">
        <v>147</v>
      </c>
      <c r="E35" s="88">
        <v>85200</v>
      </c>
      <c r="F35" s="89">
        <v>45138</v>
      </c>
      <c r="G35" s="89">
        <v>45139</v>
      </c>
      <c r="H35" s="86">
        <f t="shared" si="0"/>
        <v>1022.4</v>
      </c>
      <c r="I35" s="90">
        <v>62.5</v>
      </c>
      <c r="J35" s="90">
        <f t="shared" si="1"/>
        <v>750</v>
      </c>
      <c r="K35" s="86">
        <f t="shared" si="2"/>
        <v>113.6</v>
      </c>
      <c r="L35" s="110">
        <v>7</v>
      </c>
      <c r="M35" s="29">
        <f t="shared" si="3"/>
        <v>795.19999999999993</v>
      </c>
    </row>
    <row r="36" spans="1:13" ht="12.75" customHeight="1">
      <c r="A36" s="1" t="s">
        <v>128</v>
      </c>
      <c r="B36" s="87">
        <v>45167</v>
      </c>
      <c r="C36" s="1" t="s">
        <v>129</v>
      </c>
      <c r="D36" s="1" t="s">
        <v>147</v>
      </c>
      <c r="E36" s="88">
        <v>15000</v>
      </c>
      <c r="F36" s="89">
        <v>45138</v>
      </c>
      <c r="G36" s="89">
        <v>45139</v>
      </c>
      <c r="H36" s="86">
        <f t="shared" si="0"/>
        <v>180</v>
      </c>
      <c r="I36" s="90">
        <v>62.5</v>
      </c>
      <c r="J36" s="90">
        <f t="shared" si="1"/>
        <v>750</v>
      </c>
      <c r="K36" s="86">
        <f t="shared" si="2"/>
        <v>20</v>
      </c>
      <c r="L36" s="110">
        <v>7</v>
      </c>
      <c r="M36" s="29">
        <f t="shared" si="3"/>
        <v>140</v>
      </c>
    </row>
    <row r="37" spans="1:13" ht="12.75" customHeight="1">
      <c r="A37" s="1" t="s">
        <v>128</v>
      </c>
      <c r="B37" s="87">
        <v>45168</v>
      </c>
      <c r="C37" s="1" t="s">
        <v>149</v>
      </c>
      <c r="D37" s="1" t="s">
        <v>150</v>
      </c>
      <c r="E37" s="88">
        <v>2350</v>
      </c>
      <c r="F37" s="89">
        <v>45169</v>
      </c>
      <c r="G37" s="89">
        <v>45170</v>
      </c>
      <c r="H37" s="86">
        <f t="shared" ref="H37:H46" si="4">+K37*8</f>
        <v>25.066666666666666</v>
      </c>
      <c r="I37" s="90">
        <v>62.5</v>
      </c>
      <c r="J37" s="90">
        <f t="shared" si="1"/>
        <v>750</v>
      </c>
      <c r="K37" s="86">
        <f t="shared" si="2"/>
        <v>3.1333333333333333</v>
      </c>
      <c r="L37" s="110">
        <v>8</v>
      </c>
      <c r="M37" s="29">
        <f t="shared" si="3"/>
        <v>25.066666666666666</v>
      </c>
    </row>
    <row r="38" spans="1:13" ht="12.75" customHeight="1">
      <c r="A38" s="1" t="s">
        <v>128</v>
      </c>
      <c r="B38" s="87">
        <v>45168</v>
      </c>
      <c r="C38" s="1" t="s">
        <v>149</v>
      </c>
      <c r="D38" s="1" t="s">
        <v>150</v>
      </c>
      <c r="E38" s="88">
        <v>1800</v>
      </c>
      <c r="F38" s="89">
        <v>45169</v>
      </c>
      <c r="G38" s="89">
        <v>45170</v>
      </c>
      <c r="H38" s="86">
        <f t="shared" si="4"/>
        <v>19.2</v>
      </c>
      <c r="I38" s="90">
        <v>62.5</v>
      </c>
      <c r="J38" s="90">
        <f t="shared" si="1"/>
        <v>750</v>
      </c>
      <c r="K38" s="86">
        <f t="shared" si="2"/>
        <v>2.4</v>
      </c>
      <c r="L38" s="110">
        <v>8</v>
      </c>
      <c r="M38" s="29">
        <f t="shared" si="3"/>
        <v>19.2</v>
      </c>
    </row>
    <row r="39" spans="1:13" ht="12.75" customHeight="1">
      <c r="A39" s="1" t="s">
        <v>128</v>
      </c>
      <c r="B39" s="87">
        <v>45168</v>
      </c>
      <c r="C39" s="1" t="s">
        <v>149</v>
      </c>
      <c r="D39" s="1" t="s">
        <v>150</v>
      </c>
      <c r="E39" s="88">
        <v>19200</v>
      </c>
      <c r="F39" s="89">
        <v>45169</v>
      </c>
      <c r="G39" s="89">
        <v>45170</v>
      </c>
      <c r="H39" s="86">
        <f t="shared" si="4"/>
        <v>204.8</v>
      </c>
      <c r="I39" s="90">
        <v>62.5</v>
      </c>
      <c r="J39" s="90">
        <f t="shared" si="1"/>
        <v>750</v>
      </c>
      <c r="K39" s="86">
        <f t="shared" si="2"/>
        <v>25.6</v>
      </c>
      <c r="L39" s="110">
        <v>8</v>
      </c>
      <c r="M39" s="29">
        <f t="shared" si="3"/>
        <v>204.8</v>
      </c>
    </row>
    <row r="40" spans="1:13" ht="12.75" customHeight="1">
      <c r="A40" s="1" t="s">
        <v>128</v>
      </c>
      <c r="B40" s="87">
        <v>45168</v>
      </c>
      <c r="C40" s="1" t="s">
        <v>149</v>
      </c>
      <c r="D40" s="1" t="s">
        <v>150</v>
      </c>
      <c r="E40" s="88">
        <v>9900</v>
      </c>
      <c r="F40" s="89">
        <v>45169</v>
      </c>
      <c r="G40" s="89">
        <v>45170</v>
      </c>
      <c r="H40" s="86">
        <f t="shared" si="4"/>
        <v>105.6</v>
      </c>
      <c r="I40" s="90">
        <v>62.5</v>
      </c>
      <c r="J40" s="90">
        <f t="shared" ref="J40:J71" si="5">+I40*12</f>
        <v>750</v>
      </c>
      <c r="K40" s="86">
        <f t="shared" ref="K40:K71" si="6">+E40/J40</f>
        <v>13.2</v>
      </c>
      <c r="L40" s="110">
        <v>8</v>
      </c>
      <c r="M40" s="29">
        <f t="shared" ref="M40:M71" si="7">+K40*L40</f>
        <v>105.6</v>
      </c>
    </row>
    <row r="41" spans="1:13" ht="12.75" customHeight="1">
      <c r="A41" s="1" t="s">
        <v>128</v>
      </c>
      <c r="B41" s="87">
        <v>45168</v>
      </c>
      <c r="C41" s="1" t="s">
        <v>149</v>
      </c>
      <c r="D41" s="1" t="s">
        <v>150</v>
      </c>
      <c r="E41" s="88">
        <v>16500</v>
      </c>
      <c r="F41" s="89">
        <v>45169</v>
      </c>
      <c r="G41" s="89">
        <v>45170</v>
      </c>
      <c r="H41" s="86">
        <f t="shared" si="4"/>
        <v>176</v>
      </c>
      <c r="I41" s="90">
        <v>62.5</v>
      </c>
      <c r="J41" s="90">
        <f t="shared" si="5"/>
        <v>750</v>
      </c>
      <c r="K41" s="86">
        <f t="shared" si="6"/>
        <v>22</v>
      </c>
      <c r="L41" s="110">
        <v>8</v>
      </c>
      <c r="M41" s="29">
        <f t="shared" si="7"/>
        <v>176</v>
      </c>
    </row>
    <row r="42" spans="1:13" ht="12.75" customHeight="1">
      <c r="A42" s="1" t="s">
        <v>128</v>
      </c>
      <c r="B42" s="87">
        <v>45168</v>
      </c>
      <c r="C42" s="1" t="s">
        <v>149</v>
      </c>
      <c r="D42" s="1" t="s">
        <v>150</v>
      </c>
      <c r="E42" s="88">
        <v>200000</v>
      </c>
      <c r="F42" s="89">
        <v>45169</v>
      </c>
      <c r="G42" s="89">
        <v>45170</v>
      </c>
      <c r="H42" s="86">
        <f t="shared" si="4"/>
        <v>2133.3333333333335</v>
      </c>
      <c r="I42" s="90">
        <v>62.5</v>
      </c>
      <c r="J42" s="90">
        <f t="shared" si="5"/>
        <v>750</v>
      </c>
      <c r="K42" s="86">
        <f t="shared" si="6"/>
        <v>266.66666666666669</v>
      </c>
      <c r="L42" s="110">
        <v>8</v>
      </c>
      <c r="M42" s="29">
        <f t="shared" si="7"/>
        <v>2133.3333333333335</v>
      </c>
    </row>
    <row r="43" spans="1:13" ht="12.75" customHeight="1">
      <c r="A43" s="1" t="s">
        <v>128</v>
      </c>
      <c r="B43" s="87">
        <v>45168</v>
      </c>
      <c r="C43" s="1" t="s">
        <v>149</v>
      </c>
      <c r="D43" s="1" t="s">
        <v>150</v>
      </c>
      <c r="E43" s="88">
        <v>2100</v>
      </c>
      <c r="F43" s="89">
        <v>45169</v>
      </c>
      <c r="G43" s="89">
        <v>45170</v>
      </c>
      <c r="H43" s="86">
        <f t="shared" si="4"/>
        <v>22.4</v>
      </c>
      <c r="I43" s="90">
        <v>62.5</v>
      </c>
      <c r="J43" s="90">
        <f t="shared" si="5"/>
        <v>750</v>
      </c>
      <c r="K43" s="86">
        <f t="shared" si="6"/>
        <v>2.8</v>
      </c>
      <c r="L43" s="110">
        <v>8</v>
      </c>
      <c r="M43" s="29">
        <f t="shared" si="7"/>
        <v>22.4</v>
      </c>
    </row>
    <row r="44" spans="1:13" ht="12.75" customHeight="1">
      <c r="A44" s="1" t="s">
        <v>128</v>
      </c>
      <c r="B44" s="87">
        <v>45168</v>
      </c>
      <c r="C44" s="1" t="s">
        <v>149</v>
      </c>
      <c r="D44" s="1" t="s">
        <v>150</v>
      </c>
      <c r="E44" s="88">
        <v>102900</v>
      </c>
      <c r="F44" s="89">
        <v>45169</v>
      </c>
      <c r="G44" s="89">
        <v>45170</v>
      </c>
      <c r="H44" s="86">
        <f t="shared" si="4"/>
        <v>1097.5999999999999</v>
      </c>
      <c r="I44" s="90">
        <v>62.5</v>
      </c>
      <c r="J44" s="90">
        <f t="shared" si="5"/>
        <v>750</v>
      </c>
      <c r="K44" s="86">
        <f t="shared" si="6"/>
        <v>137.19999999999999</v>
      </c>
      <c r="L44" s="110">
        <v>8</v>
      </c>
      <c r="M44" s="29">
        <f t="shared" si="7"/>
        <v>1097.5999999999999</v>
      </c>
    </row>
    <row r="45" spans="1:13" ht="12.75" customHeight="1">
      <c r="A45" s="1" t="s">
        <v>128</v>
      </c>
      <c r="B45" s="87">
        <v>45168</v>
      </c>
      <c r="C45" s="1" t="s">
        <v>149</v>
      </c>
      <c r="D45" s="1" t="s">
        <v>150</v>
      </c>
      <c r="E45" s="88">
        <v>8000</v>
      </c>
      <c r="F45" s="89">
        <v>45169</v>
      </c>
      <c r="G45" s="89">
        <v>45170</v>
      </c>
      <c r="H45" s="86">
        <f t="shared" si="4"/>
        <v>85.333333333333329</v>
      </c>
      <c r="I45" s="90">
        <v>62.5</v>
      </c>
      <c r="J45" s="90">
        <f t="shared" si="5"/>
        <v>750</v>
      </c>
      <c r="K45" s="86">
        <f t="shared" si="6"/>
        <v>10.666666666666666</v>
      </c>
      <c r="L45" s="110">
        <v>8</v>
      </c>
      <c r="M45" s="29">
        <f t="shared" si="7"/>
        <v>85.333333333333329</v>
      </c>
    </row>
    <row r="46" spans="1:13" ht="12.75" customHeight="1">
      <c r="A46" s="1" t="s">
        <v>128</v>
      </c>
      <c r="B46" s="87">
        <v>45168</v>
      </c>
      <c r="C46" s="1" t="s">
        <v>149</v>
      </c>
      <c r="D46" s="1" t="s">
        <v>150</v>
      </c>
      <c r="E46" s="88">
        <v>2000</v>
      </c>
      <c r="F46" s="89">
        <v>45169</v>
      </c>
      <c r="G46" s="89">
        <v>45170</v>
      </c>
      <c r="H46" s="86">
        <f t="shared" si="4"/>
        <v>21.333333333333332</v>
      </c>
      <c r="I46" s="90">
        <v>62.5</v>
      </c>
      <c r="J46" s="90">
        <f t="shared" si="5"/>
        <v>750</v>
      </c>
      <c r="K46" s="86">
        <f t="shared" si="6"/>
        <v>2.6666666666666665</v>
      </c>
      <c r="L46" s="110">
        <v>8</v>
      </c>
      <c r="M46" s="29">
        <f t="shared" si="7"/>
        <v>21.333333333333332</v>
      </c>
    </row>
    <row r="47" spans="1:13" ht="12.75" customHeight="1">
      <c r="A47" s="1" t="s">
        <v>128</v>
      </c>
      <c r="B47" s="87">
        <v>45276</v>
      </c>
      <c r="C47" s="1" t="s">
        <v>152</v>
      </c>
      <c r="D47" s="1" t="s">
        <v>153</v>
      </c>
      <c r="E47" s="88">
        <v>4000</v>
      </c>
      <c r="F47" s="89">
        <v>45229</v>
      </c>
      <c r="G47" s="89">
        <v>45231</v>
      </c>
      <c r="H47" s="86">
        <f t="shared" ref="H47:H54" si="8">+K47*6</f>
        <v>32</v>
      </c>
      <c r="I47" s="90">
        <v>62.5</v>
      </c>
      <c r="J47" s="90">
        <f t="shared" si="5"/>
        <v>750</v>
      </c>
      <c r="K47" s="86">
        <f t="shared" si="6"/>
        <v>5.333333333333333</v>
      </c>
      <c r="L47" s="110">
        <v>10</v>
      </c>
      <c r="M47" s="29">
        <f t="shared" si="7"/>
        <v>53.333333333333329</v>
      </c>
    </row>
    <row r="48" spans="1:13" ht="12.75" customHeight="1">
      <c r="A48" s="1" t="s">
        <v>128</v>
      </c>
      <c r="B48" s="87">
        <v>45276</v>
      </c>
      <c r="C48" s="1" t="s">
        <v>152</v>
      </c>
      <c r="D48" s="1" t="s">
        <v>153</v>
      </c>
      <c r="E48" s="88">
        <v>1800</v>
      </c>
      <c r="F48" s="89">
        <v>45229</v>
      </c>
      <c r="G48" s="89">
        <v>45231</v>
      </c>
      <c r="H48" s="86">
        <f t="shared" si="8"/>
        <v>14.399999999999999</v>
      </c>
      <c r="I48" s="90">
        <v>62.5</v>
      </c>
      <c r="J48" s="90">
        <f t="shared" si="5"/>
        <v>750</v>
      </c>
      <c r="K48" s="86">
        <f t="shared" si="6"/>
        <v>2.4</v>
      </c>
      <c r="L48" s="110">
        <v>10</v>
      </c>
      <c r="M48" s="29">
        <f t="shared" si="7"/>
        <v>24</v>
      </c>
    </row>
    <row r="49" spans="1:13" ht="12.75" customHeight="1">
      <c r="A49" s="1" t="s">
        <v>128</v>
      </c>
      <c r="B49" s="87">
        <v>45276</v>
      </c>
      <c r="C49" s="1" t="s">
        <v>152</v>
      </c>
      <c r="D49" s="1" t="s">
        <v>153</v>
      </c>
      <c r="E49" s="88">
        <v>19200</v>
      </c>
      <c r="F49" s="89">
        <v>45229</v>
      </c>
      <c r="G49" s="89">
        <v>45231</v>
      </c>
      <c r="H49" s="86">
        <f t="shared" si="8"/>
        <v>153.60000000000002</v>
      </c>
      <c r="I49" s="90">
        <v>62.5</v>
      </c>
      <c r="J49" s="90">
        <f t="shared" si="5"/>
        <v>750</v>
      </c>
      <c r="K49" s="86">
        <f t="shared" si="6"/>
        <v>25.6</v>
      </c>
      <c r="L49" s="110">
        <v>10</v>
      </c>
      <c r="M49" s="29">
        <f t="shared" si="7"/>
        <v>256</v>
      </c>
    </row>
    <row r="50" spans="1:13" ht="12.75" customHeight="1">
      <c r="A50" s="1" t="s">
        <v>128</v>
      </c>
      <c r="B50" s="87">
        <v>45276</v>
      </c>
      <c r="C50" s="1" t="s">
        <v>152</v>
      </c>
      <c r="D50" s="1" t="s">
        <v>153</v>
      </c>
      <c r="E50" s="88">
        <v>103200</v>
      </c>
      <c r="F50" s="89">
        <v>45229</v>
      </c>
      <c r="G50" s="89">
        <v>45231</v>
      </c>
      <c r="H50" s="86">
        <f t="shared" si="8"/>
        <v>825.59999999999991</v>
      </c>
      <c r="I50" s="90">
        <v>62.5</v>
      </c>
      <c r="J50" s="90">
        <f t="shared" si="5"/>
        <v>750</v>
      </c>
      <c r="K50" s="86">
        <f t="shared" si="6"/>
        <v>137.6</v>
      </c>
      <c r="L50" s="110">
        <v>10</v>
      </c>
      <c r="M50" s="29">
        <f t="shared" si="7"/>
        <v>1376</v>
      </c>
    </row>
    <row r="51" spans="1:13" ht="12.75" customHeight="1">
      <c r="A51" s="1" t="s">
        <v>128</v>
      </c>
      <c r="B51" s="87">
        <v>45276</v>
      </c>
      <c r="C51" s="1" t="s">
        <v>152</v>
      </c>
      <c r="D51" s="1" t="s">
        <v>153</v>
      </c>
      <c r="E51" s="88">
        <v>207700</v>
      </c>
      <c r="F51" s="89">
        <v>45229</v>
      </c>
      <c r="G51" s="89">
        <v>45231</v>
      </c>
      <c r="H51" s="86">
        <f t="shared" si="8"/>
        <v>1661.6</v>
      </c>
      <c r="I51" s="90">
        <v>62.5</v>
      </c>
      <c r="J51" s="90">
        <f t="shared" si="5"/>
        <v>750</v>
      </c>
      <c r="K51" s="86">
        <f t="shared" si="6"/>
        <v>276.93333333333334</v>
      </c>
      <c r="L51" s="110">
        <v>10</v>
      </c>
      <c r="M51" s="29">
        <f t="shared" si="7"/>
        <v>2769.3333333333335</v>
      </c>
    </row>
    <row r="52" spans="1:13" ht="12.75" customHeight="1">
      <c r="A52" s="1" t="s">
        <v>128</v>
      </c>
      <c r="B52" s="87">
        <v>45276</v>
      </c>
      <c r="C52" s="1" t="s">
        <v>152</v>
      </c>
      <c r="D52" s="1" t="s">
        <v>153</v>
      </c>
      <c r="E52" s="88">
        <v>7200</v>
      </c>
      <c r="F52" s="89">
        <v>45229</v>
      </c>
      <c r="G52" s="89">
        <v>45231</v>
      </c>
      <c r="H52" s="86">
        <f t="shared" si="8"/>
        <v>57.599999999999994</v>
      </c>
      <c r="I52" s="90">
        <v>62.5</v>
      </c>
      <c r="J52" s="90">
        <f t="shared" si="5"/>
        <v>750</v>
      </c>
      <c r="K52" s="86">
        <f t="shared" si="6"/>
        <v>9.6</v>
      </c>
      <c r="L52" s="110">
        <v>10</v>
      </c>
      <c r="M52" s="29">
        <f t="shared" si="7"/>
        <v>96</v>
      </c>
    </row>
    <row r="53" spans="1:13" ht="12.75" customHeight="1">
      <c r="A53" s="1" t="s">
        <v>128</v>
      </c>
      <c r="B53" s="87">
        <v>45276</v>
      </c>
      <c r="C53" s="1" t="s">
        <v>152</v>
      </c>
      <c r="D53" s="1" t="s">
        <v>153</v>
      </c>
      <c r="E53" s="88">
        <v>6000</v>
      </c>
      <c r="F53" s="89">
        <v>45229</v>
      </c>
      <c r="G53" s="89">
        <v>45231</v>
      </c>
      <c r="H53" s="86">
        <f t="shared" si="8"/>
        <v>48</v>
      </c>
      <c r="I53" s="90">
        <v>62.5</v>
      </c>
      <c r="J53" s="90">
        <f t="shared" si="5"/>
        <v>750</v>
      </c>
      <c r="K53" s="86">
        <f t="shared" si="6"/>
        <v>8</v>
      </c>
      <c r="L53" s="110">
        <v>10</v>
      </c>
      <c r="M53" s="29">
        <f t="shared" si="7"/>
        <v>80</v>
      </c>
    </row>
    <row r="54" spans="1:13" ht="12.75" customHeight="1">
      <c r="A54" s="1" t="s">
        <v>128</v>
      </c>
      <c r="B54" s="87">
        <v>45276</v>
      </c>
      <c r="C54" s="1" t="s">
        <v>152</v>
      </c>
      <c r="D54" s="1" t="s">
        <v>153</v>
      </c>
      <c r="E54" s="88">
        <v>3400</v>
      </c>
      <c r="F54" s="89">
        <v>45229</v>
      </c>
      <c r="G54" s="89">
        <v>45231</v>
      </c>
      <c r="H54" s="86">
        <f t="shared" si="8"/>
        <v>27.2</v>
      </c>
      <c r="I54" s="90">
        <v>62.5</v>
      </c>
      <c r="J54" s="90">
        <f t="shared" si="5"/>
        <v>750</v>
      </c>
      <c r="K54" s="86">
        <f t="shared" si="6"/>
        <v>4.5333333333333332</v>
      </c>
      <c r="L54" s="110">
        <v>10</v>
      </c>
      <c r="M54" s="29">
        <f t="shared" si="7"/>
        <v>45.333333333333329</v>
      </c>
    </row>
    <row r="55" spans="1:13" ht="12.75" customHeight="1">
      <c r="A55" s="1" t="s">
        <v>128</v>
      </c>
      <c r="B55" s="87">
        <v>45291</v>
      </c>
      <c r="C55" s="1" t="s">
        <v>155</v>
      </c>
      <c r="D55" s="1" t="s">
        <v>156</v>
      </c>
      <c r="E55" s="88">
        <v>5600</v>
      </c>
      <c r="F55" s="89">
        <v>45232</v>
      </c>
      <c r="G55" s="89">
        <v>45261</v>
      </c>
      <c r="H55" s="86">
        <f>+K55*5</f>
        <v>37.333333333333336</v>
      </c>
      <c r="I55" s="90">
        <v>62.5</v>
      </c>
      <c r="J55" s="90">
        <f t="shared" si="5"/>
        <v>750</v>
      </c>
      <c r="K55" s="86">
        <f t="shared" si="6"/>
        <v>7.4666666666666668</v>
      </c>
      <c r="L55" s="110">
        <v>11</v>
      </c>
      <c r="M55" s="29">
        <f t="shared" si="7"/>
        <v>82.13333333333334</v>
      </c>
    </row>
    <row r="56" spans="1:13" ht="12.75" customHeight="1">
      <c r="A56" s="1" t="s">
        <v>128</v>
      </c>
      <c r="B56" s="87">
        <v>45291</v>
      </c>
      <c r="C56" s="1" t="s">
        <v>155</v>
      </c>
      <c r="D56" s="1" t="s">
        <v>156</v>
      </c>
      <c r="E56" s="88">
        <v>6400</v>
      </c>
      <c r="F56" s="89">
        <v>45232</v>
      </c>
      <c r="G56" s="89">
        <v>45261</v>
      </c>
      <c r="H56" s="86">
        <f>+K56*5</f>
        <v>42.666666666666664</v>
      </c>
      <c r="I56" s="90">
        <v>62.5</v>
      </c>
      <c r="J56" s="90">
        <f t="shared" si="5"/>
        <v>750</v>
      </c>
      <c r="K56" s="86">
        <f t="shared" si="6"/>
        <v>8.5333333333333332</v>
      </c>
      <c r="L56" s="110">
        <v>11</v>
      </c>
      <c r="M56" s="29">
        <f t="shared" si="7"/>
        <v>93.86666666666666</v>
      </c>
    </row>
    <row r="57" spans="1:13" ht="12.75" customHeight="1">
      <c r="A57" s="1" t="s">
        <v>128</v>
      </c>
      <c r="B57" s="87">
        <v>45291</v>
      </c>
      <c r="C57" s="1" t="s">
        <v>155</v>
      </c>
      <c r="D57" s="1" t="s">
        <v>156</v>
      </c>
      <c r="E57" s="88">
        <v>177750</v>
      </c>
      <c r="F57" s="89">
        <v>45232</v>
      </c>
      <c r="G57" s="89">
        <v>45261</v>
      </c>
      <c r="H57" s="86">
        <f>+K57*5</f>
        <v>1185</v>
      </c>
      <c r="I57" s="90">
        <v>62.5</v>
      </c>
      <c r="J57" s="90">
        <f t="shared" si="5"/>
        <v>750</v>
      </c>
      <c r="K57" s="86">
        <f t="shared" si="6"/>
        <v>237</v>
      </c>
      <c r="L57" s="110">
        <v>11</v>
      </c>
      <c r="M57" s="29">
        <f t="shared" si="7"/>
        <v>2607</v>
      </c>
    </row>
    <row r="58" spans="1:13" ht="12.75" customHeight="1">
      <c r="A58" s="1" t="s">
        <v>128</v>
      </c>
      <c r="B58" s="87">
        <v>45291</v>
      </c>
      <c r="C58" s="1" t="s">
        <v>155</v>
      </c>
      <c r="D58" s="1" t="s">
        <v>158</v>
      </c>
      <c r="E58" s="88">
        <v>3500</v>
      </c>
      <c r="F58" s="89">
        <v>45232</v>
      </c>
      <c r="G58" s="89">
        <v>45261</v>
      </c>
      <c r="H58" s="86">
        <f>+K58*5</f>
        <v>23.333333333333336</v>
      </c>
      <c r="I58" s="90">
        <v>62.5</v>
      </c>
      <c r="J58" s="90">
        <f t="shared" si="5"/>
        <v>750</v>
      </c>
      <c r="K58" s="86">
        <f t="shared" si="6"/>
        <v>4.666666666666667</v>
      </c>
      <c r="L58" s="110">
        <v>11</v>
      </c>
      <c r="M58" s="29">
        <f t="shared" si="7"/>
        <v>51.333333333333336</v>
      </c>
    </row>
    <row r="59" spans="1:13" ht="12.75" customHeight="1">
      <c r="A59" s="1" t="s">
        <v>128</v>
      </c>
      <c r="B59" s="87">
        <v>45291</v>
      </c>
      <c r="C59" s="1" t="s">
        <v>155</v>
      </c>
      <c r="D59" s="1" t="s">
        <v>158</v>
      </c>
      <c r="E59" s="88">
        <v>17500</v>
      </c>
      <c r="F59" s="89">
        <v>45232</v>
      </c>
      <c r="G59" s="89">
        <v>45261</v>
      </c>
      <c r="H59" s="86">
        <f>+K59*5</f>
        <v>116.66666666666666</v>
      </c>
      <c r="I59" s="90">
        <v>62.5</v>
      </c>
      <c r="J59" s="90">
        <f t="shared" si="5"/>
        <v>750</v>
      </c>
      <c r="K59" s="86">
        <f t="shared" si="6"/>
        <v>23.333333333333332</v>
      </c>
      <c r="L59" s="110">
        <v>11</v>
      </c>
      <c r="M59" s="29">
        <f t="shared" si="7"/>
        <v>256.66666666666663</v>
      </c>
    </row>
    <row r="60" spans="1:13" ht="12.75" customHeight="1">
      <c r="A60" s="1" t="s">
        <v>128</v>
      </c>
      <c r="B60" s="87">
        <v>45412</v>
      </c>
      <c r="C60" s="1" t="s">
        <v>160</v>
      </c>
      <c r="D60" s="1" t="s">
        <v>161</v>
      </c>
      <c r="E60" s="88">
        <v>6860</v>
      </c>
      <c r="F60" s="89">
        <v>45296</v>
      </c>
      <c r="G60" s="89">
        <v>45323</v>
      </c>
      <c r="H60" s="86">
        <f>+K60*3</f>
        <v>27.439999999999998</v>
      </c>
      <c r="I60" s="90">
        <v>62.5</v>
      </c>
      <c r="J60" s="90">
        <f t="shared" si="5"/>
        <v>750</v>
      </c>
      <c r="K60" s="86">
        <f t="shared" si="6"/>
        <v>9.1466666666666665</v>
      </c>
      <c r="L60" s="110">
        <v>12</v>
      </c>
      <c r="M60" s="29">
        <f t="shared" si="7"/>
        <v>109.75999999999999</v>
      </c>
    </row>
    <row r="61" spans="1:13" ht="12.75" customHeight="1">
      <c r="A61" s="1" t="s">
        <v>128</v>
      </c>
      <c r="B61" s="87">
        <v>45412</v>
      </c>
      <c r="C61" s="1" t="s">
        <v>160</v>
      </c>
      <c r="D61" s="1" t="s">
        <v>161</v>
      </c>
      <c r="E61" s="88">
        <v>86640</v>
      </c>
      <c r="F61" s="89">
        <v>45296</v>
      </c>
      <c r="G61" s="89">
        <v>45323</v>
      </c>
      <c r="H61" s="86">
        <f>+K61*3</f>
        <v>346.56</v>
      </c>
      <c r="I61" s="90">
        <v>62.5</v>
      </c>
      <c r="J61" s="90">
        <f t="shared" si="5"/>
        <v>750</v>
      </c>
      <c r="K61" s="86">
        <f t="shared" si="6"/>
        <v>115.52</v>
      </c>
      <c r="L61" s="110">
        <v>12</v>
      </c>
      <c r="M61" s="29">
        <f t="shared" si="7"/>
        <v>1386.24</v>
      </c>
    </row>
    <row r="62" spans="1:13" ht="12.75" customHeight="1">
      <c r="A62" s="1" t="s">
        <v>128</v>
      </c>
      <c r="B62" s="87">
        <v>45412</v>
      </c>
      <c r="C62" s="1" t="s">
        <v>160</v>
      </c>
      <c r="D62" s="1" t="s">
        <v>163</v>
      </c>
      <c r="E62" s="88">
        <v>2800</v>
      </c>
      <c r="F62" s="89">
        <v>45352</v>
      </c>
      <c r="G62" s="89">
        <v>45383</v>
      </c>
      <c r="H62" s="86">
        <f>+K62*1</f>
        <v>3.7333333333333334</v>
      </c>
      <c r="I62" s="90">
        <v>62.5</v>
      </c>
      <c r="J62" s="90">
        <f t="shared" si="5"/>
        <v>750</v>
      </c>
      <c r="K62" s="86">
        <f t="shared" si="6"/>
        <v>3.7333333333333334</v>
      </c>
      <c r="L62" s="110">
        <v>12</v>
      </c>
      <c r="M62" s="29">
        <f t="shared" si="7"/>
        <v>44.8</v>
      </c>
    </row>
    <row r="63" spans="1:13" ht="12.75" customHeight="1">
      <c r="A63" s="1" t="s">
        <v>128</v>
      </c>
      <c r="B63" s="87">
        <v>45412</v>
      </c>
      <c r="C63" s="1" t="s">
        <v>160</v>
      </c>
      <c r="D63" s="1" t="s">
        <v>163</v>
      </c>
      <c r="E63" s="88">
        <v>3200</v>
      </c>
      <c r="F63" s="89">
        <v>45352</v>
      </c>
      <c r="G63" s="89">
        <v>45383</v>
      </c>
      <c r="H63" s="86">
        <f>+K63*1</f>
        <v>4.2666666666666666</v>
      </c>
      <c r="I63" s="90">
        <v>62.5</v>
      </c>
      <c r="J63" s="90">
        <f t="shared" si="5"/>
        <v>750</v>
      </c>
      <c r="K63" s="86">
        <f t="shared" si="6"/>
        <v>4.2666666666666666</v>
      </c>
      <c r="L63" s="110">
        <v>12</v>
      </c>
      <c r="M63" s="29">
        <f t="shared" si="7"/>
        <v>51.2</v>
      </c>
    </row>
    <row r="64" spans="1:13" ht="12.75" customHeight="1">
      <c r="A64" s="1" t="s">
        <v>128</v>
      </c>
      <c r="B64" s="87">
        <v>45412</v>
      </c>
      <c r="C64" s="1" t="s">
        <v>160</v>
      </c>
      <c r="D64" s="1" t="s">
        <v>163</v>
      </c>
      <c r="E64" s="88">
        <v>3000</v>
      </c>
      <c r="F64" s="89">
        <v>45352</v>
      </c>
      <c r="G64" s="89">
        <v>45383</v>
      </c>
      <c r="H64" s="86">
        <f>+K64*1</f>
        <v>4</v>
      </c>
      <c r="I64" s="90">
        <v>62.5</v>
      </c>
      <c r="J64" s="90">
        <f t="shared" si="5"/>
        <v>750</v>
      </c>
      <c r="K64" s="86">
        <f t="shared" si="6"/>
        <v>4</v>
      </c>
      <c r="L64" s="110">
        <v>12</v>
      </c>
      <c r="M64" s="29">
        <f t="shared" si="7"/>
        <v>48</v>
      </c>
    </row>
    <row r="65" spans="1:13" ht="12.75" customHeight="1">
      <c r="A65" s="1" t="s">
        <v>128</v>
      </c>
      <c r="B65" s="87">
        <v>45412</v>
      </c>
      <c r="C65" s="1" t="s">
        <v>160</v>
      </c>
      <c r="D65" s="1" t="s">
        <v>163</v>
      </c>
      <c r="E65" s="88">
        <v>56500</v>
      </c>
      <c r="F65" s="89">
        <v>45352</v>
      </c>
      <c r="G65" s="89">
        <v>45383</v>
      </c>
      <c r="H65" s="86">
        <f>+K65*1</f>
        <v>75.333333333333329</v>
      </c>
      <c r="I65" s="90">
        <v>62.5</v>
      </c>
      <c r="J65" s="90">
        <f t="shared" si="5"/>
        <v>750</v>
      </c>
      <c r="K65" s="86">
        <f t="shared" si="6"/>
        <v>75.333333333333329</v>
      </c>
      <c r="L65" s="110">
        <v>12</v>
      </c>
      <c r="M65" s="29">
        <f t="shared" si="7"/>
        <v>904</v>
      </c>
    </row>
    <row r="66" spans="1:13" ht="12.75" customHeight="1">
      <c r="A66" s="1" t="s">
        <v>128</v>
      </c>
      <c r="B66" s="87">
        <v>45412</v>
      </c>
      <c r="C66" s="1" t="s">
        <v>160</v>
      </c>
      <c r="D66" s="1" t="s">
        <v>165</v>
      </c>
      <c r="E66" s="88">
        <v>1500</v>
      </c>
      <c r="F66" s="89">
        <v>45401</v>
      </c>
      <c r="G66" s="89">
        <v>45413</v>
      </c>
      <c r="H66" s="86">
        <f t="shared" ref="H66:H83" si="9">+K66*0</f>
        <v>0</v>
      </c>
      <c r="I66" s="90">
        <v>62.5</v>
      </c>
      <c r="J66" s="90">
        <f t="shared" si="5"/>
        <v>750</v>
      </c>
      <c r="K66" s="86">
        <f t="shared" si="6"/>
        <v>2</v>
      </c>
      <c r="L66" s="110">
        <v>12</v>
      </c>
      <c r="M66" s="29">
        <f t="shared" si="7"/>
        <v>24</v>
      </c>
    </row>
    <row r="67" spans="1:13" ht="12.75" customHeight="1">
      <c r="A67" s="1" t="s">
        <v>128</v>
      </c>
      <c r="B67" s="87">
        <v>45412</v>
      </c>
      <c r="C67" s="1" t="s">
        <v>160</v>
      </c>
      <c r="D67" s="1" t="s">
        <v>165</v>
      </c>
      <c r="E67" s="88">
        <v>22750</v>
      </c>
      <c r="F67" s="89">
        <v>45401</v>
      </c>
      <c r="G67" s="89">
        <v>45413</v>
      </c>
      <c r="H67" s="86">
        <f t="shared" si="9"/>
        <v>0</v>
      </c>
      <c r="I67" s="90">
        <v>62.5</v>
      </c>
      <c r="J67" s="90">
        <f t="shared" si="5"/>
        <v>750</v>
      </c>
      <c r="K67" s="86">
        <f t="shared" si="6"/>
        <v>30.333333333333332</v>
      </c>
      <c r="L67" s="110">
        <v>12</v>
      </c>
      <c r="M67" s="29">
        <f t="shared" si="7"/>
        <v>364</v>
      </c>
    </row>
    <row r="68" spans="1:13" ht="12.75" customHeight="1">
      <c r="A68" s="1" t="s">
        <v>128</v>
      </c>
      <c r="B68" s="87">
        <v>45412</v>
      </c>
      <c r="C68" s="1" t="s">
        <v>160</v>
      </c>
      <c r="D68" s="1" t="s">
        <v>167</v>
      </c>
      <c r="E68" s="88">
        <v>600</v>
      </c>
      <c r="F68" s="89">
        <v>45405</v>
      </c>
      <c r="G68" s="89">
        <v>45413</v>
      </c>
      <c r="H68" s="86">
        <f t="shared" si="9"/>
        <v>0</v>
      </c>
      <c r="I68" s="90">
        <v>62.5</v>
      </c>
      <c r="J68" s="90">
        <f t="shared" si="5"/>
        <v>750</v>
      </c>
      <c r="K68" s="86">
        <f t="shared" si="6"/>
        <v>0.8</v>
      </c>
      <c r="L68" s="110">
        <v>12</v>
      </c>
      <c r="M68" s="29">
        <f t="shared" si="7"/>
        <v>9.6000000000000014</v>
      </c>
    </row>
    <row r="69" spans="1:13" ht="12.75" customHeight="1">
      <c r="A69" s="1" t="s">
        <v>128</v>
      </c>
      <c r="B69" s="87">
        <v>45412</v>
      </c>
      <c r="C69" s="1" t="s">
        <v>160</v>
      </c>
      <c r="D69" s="1" t="s">
        <v>167</v>
      </c>
      <c r="E69" s="88">
        <v>900</v>
      </c>
      <c r="F69" s="89">
        <v>45405</v>
      </c>
      <c r="G69" s="89">
        <v>45413</v>
      </c>
      <c r="H69" s="86">
        <f t="shared" si="9"/>
        <v>0</v>
      </c>
      <c r="I69" s="90">
        <v>62.5</v>
      </c>
      <c r="J69" s="90">
        <f t="shared" si="5"/>
        <v>750</v>
      </c>
      <c r="K69" s="86">
        <f t="shared" si="6"/>
        <v>1.2</v>
      </c>
      <c r="L69" s="110">
        <v>12</v>
      </c>
      <c r="M69" s="29">
        <f t="shared" si="7"/>
        <v>14.399999999999999</v>
      </c>
    </row>
    <row r="70" spans="1:13" ht="12.75" customHeight="1">
      <c r="A70" s="1" t="s">
        <v>128</v>
      </c>
      <c r="B70" s="87">
        <v>45412</v>
      </c>
      <c r="C70" s="1" t="s">
        <v>160</v>
      </c>
      <c r="D70" s="1" t="s">
        <v>167</v>
      </c>
      <c r="E70" s="88">
        <v>3600</v>
      </c>
      <c r="F70" s="89">
        <v>45405</v>
      </c>
      <c r="G70" s="89">
        <v>45413</v>
      </c>
      <c r="H70" s="86">
        <f t="shared" si="9"/>
        <v>0</v>
      </c>
      <c r="I70" s="90">
        <v>62.5</v>
      </c>
      <c r="J70" s="90">
        <f t="shared" si="5"/>
        <v>750</v>
      </c>
      <c r="K70" s="86">
        <f t="shared" si="6"/>
        <v>4.8</v>
      </c>
      <c r="L70" s="110">
        <v>12</v>
      </c>
      <c r="M70" s="29">
        <f t="shared" si="7"/>
        <v>57.599999999999994</v>
      </c>
    </row>
    <row r="71" spans="1:13" ht="12.75" customHeight="1">
      <c r="A71" s="1" t="s">
        <v>128</v>
      </c>
      <c r="B71" s="87">
        <v>45412</v>
      </c>
      <c r="C71" s="1" t="s">
        <v>160</v>
      </c>
      <c r="D71" s="1" t="s">
        <v>167</v>
      </c>
      <c r="E71" s="88">
        <v>3900</v>
      </c>
      <c r="F71" s="89">
        <v>45405</v>
      </c>
      <c r="G71" s="89">
        <v>45413</v>
      </c>
      <c r="H71" s="86">
        <f t="shared" si="9"/>
        <v>0</v>
      </c>
      <c r="I71" s="90">
        <v>62.5</v>
      </c>
      <c r="J71" s="90">
        <f t="shared" si="5"/>
        <v>750</v>
      </c>
      <c r="K71" s="86">
        <f t="shared" si="6"/>
        <v>5.2</v>
      </c>
      <c r="L71" s="110">
        <v>12</v>
      </c>
      <c r="M71" s="29">
        <f t="shared" si="7"/>
        <v>62.400000000000006</v>
      </c>
    </row>
    <row r="72" spans="1:13" ht="12.75" customHeight="1">
      <c r="A72" s="1" t="s">
        <v>128</v>
      </c>
      <c r="B72" s="87">
        <v>45412</v>
      </c>
      <c r="C72" s="1" t="s">
        <v>160</v>
      </c>
      <c r="D72" s="1" t="s">
        <v>167</v>
      </c>
      <c r="E72" s="88">
        <v>15000</v>
      </c>
      <c r="F72" s="89">
        <v>45405</v>
      </c>
      <c r="G72" s="89">
        <v>45413</v>
      </c>
      <c r="H72" s="86">
        <f t="shared" si="9"/>
        <v>0</v>
      </c>
      <c r="I72" s="90">
        <v>62.5</v>
      </c>
      <c r="J72" s="90">
        <f t="shared" ref="J72:J100" si="10">+I72*12</f>
        <v>750</v>
      </c>
      <c r="K72" s="86">
        <f t="shared" ref="K72:K100" si="11">+E72/J72</f>
        <v>20</v>
      </c>
      <c r="L72" s="110">
        <v>12</v>
      </c>
      <c r="M72" s="29">
        <f t="shared" ref="M72:M100" si="12">+K72*L72</f>
        <v>240</v>
      </c>
    </row>
    <row r="73" spans="1:13" ht="12.75" customHeight="1">
      <c r="A73" s="1" t="s">
        <v>128</v>
      </c>
      <c r="B73" s="87">
        <v>45412</v>
      </c>
      <c r="C73" s="1" t="s">
        <v>160</v>
      </c>
      <c r="D73" s="1" t="s">
        <v>169</v>
      </c>
      <c r="E73" s="88">
        <v>5600</v>
      </c>
      <c r="F73" s="89">
        <v>45412</v>
      </c>
      <c r="G73" s="89">
        <v>45413</v>
      </c>
      <c r="H73" s="86">
        <f t="shared" si="9"/>
        <v>0</v>
      </c>
      <c r="I73" s="90">
        <v>62.5</v>
      </c>
      <c r="J73" s="90">
        <f t="shared" si="10"/>
        <v>750</v>
      </c>
      <c r="K73" s="86">
        <f t="shared" si="11"/>
        <v>7.4666666666666668</v>
      </c>
      <c r="L73" s="110">
        <v>12</v>
      </c>
      <c r="M73" s="29">
        <f t="shared" si="12"/>
        <v>89.6</v>
      </c>
    </row>
    <row r="74" spans="1:13" ht="12.75" customHeight="1">
      <c r="A74" s="1" t="s">
        <v>128</v>
      </c>
      <c r="B74" s="87">
        <v>45412</v>
      </c>
      <c r="C74" s="1" t="s">
        <v>160</v>
      </c>
      <c r="D74" s="1" t="s">
        <v>169</v>
      </c>
      <c r="E74" s="88">
        <v>3530</v>
      </c>
      <c r="F74" s="89">
        <v>45412</v>
      </c>
      <c r="G74" s="89">
        <v>45413</v>
      </c>
      <c r="H74" s="86">
        <f t="shared" si="9"/>
        <v>0</v>
      </c>
      <c r="I74" s="90">
        <v>62.5</v>
      </c>
      <c r="J74" s="90">
        <f t="shared" si="10"/>
        <v>750</v>
      </c>
      <c r="K74" s="86">
        <f t="shared" si="11"/>
        <v>4.706666666666667</v>
      </c>
      <c r="L74" s="110">
        <v>12</v>
      </c>
      <c r="M74" s="29">
        <f t="shared" si="12"/>
        <v>56.480000000000004</v>
      </c>
    </row>
    <row r="75" spans="1:13" ht="12.75" customHeight="1">
      <c r="A75" s="1" t="s">
        <v>128</v>
      </c>
      <c r="B75" s="87">
        <v>45412</v>
      </c>
      <c r="C75" s="1" t="s">
        <v>160</v>
      </c>
      <c r="D75" s="1" t="s">
        <v>169</v>
      </c>
      <c r="E75" s="88">
        <v>5400</v>
      </c>
      <c r="F75" s="89">
        <v>45412</v>
      </c>
      <c r="G75" s="89">
        <v>45413</v>
      </c>
      <c r="H75" s="86">
        <f t="shared" si="9"/>
        <v>0</v>
      </c>
      <c r="I75" s="90">
        <v>62.5</v>
      </c>
      <c r="J75" s="90">
        <f t="shared" si="10"/>
        <v>750</v>
      </c>
      <c r="K75" s="86">
        <f t="shared" si="11"/>
        <v>7.2</v>
      </c>
      <c r="L75" s="110">
        <v>12</v>
      </c>
      <c r="M75" s="29">
        <f t="shared" si="12"/>
        <v>86.4</v>
      </c>
    </row>
    <row r="76" spans="1:13" ht="12.75" customHeight="1">
      <c r="A76" s="1" t="s">
        <v>128</v>
      </c>
      <c r="B76" s="87">
        <v>45412</v>
      </c>
      <c r="C76" s="1" t="s">
        <v>160</v>
      </c>
      <c r="D76" s="1" t="s">
        <v>169</v>
      </c>
      <c r="E76" s="88">
        <v>2900</v>
      </c>
      <c r="F76" s="89">
        <v>45412</v>
      </c>
      <c r="G76" s="89">
        <v>45413</v>
      </c>
      <c r="H76" s="86">
        <f t="shared" si="9"/>
        <v>0</v>
      </c>
      <c r="I76" s="90">
        <v>62.5</v>
      </c>
      <c r="J76" s="90">
        <f t="shared" si="10"/>
        <v>750</v>
      </c>
      <c r="K76" s="86">
        <f t="shared" si="11"/>
        <v>3.8666666666666667</v>
      </c>
      <c r="L76" s="110">
        <v>12</v>
      </c>
      <c r="M76" s="29">
        <f t="shared" si="12"/>
        <v>46.4</v>
      </c>
    </row>
    <row r="77" spans="1:13" ht="12.75" customHeight="1">
      <c r="A77" s="1" t="s">
        <v>128</v>
      </c>
      <c r="B77" s="87">
        <v>45412</v>
      </c>
      <c r="C77" s="1" t="s">
        <v>160</v>
      </c>
      <c r="D77" s="1" t="s">
        <v>169</v>
      </c>
      <c r="E77" s="88">
        <v>375000</v>
      </c>
      <c r="F77" s="89">
        <v>45412</v>
      </c>
      <c r="G77" s="89">
        <v>45413</v>
      </c>
      <c r="H77" s="86">
        <f t="shared" si="9"/>
        <v>0</v>
      </c>
      <c r="I77" s="90">
        <v>62.5</v>
      </c>
      <c r="J77" s="90">
        <f t="shared" si="10"/>
        <v>750</v>
      </c>
      <c r="K77" s="86">
        <f t="shared" si="11"/>
        <v>500</v>
      </c>
      <c r="L77" s="110">
        <v>12</v>
      </c>
      <c r="M77" s="29">
        <f t="shared" si="12"/>
        <v>6000</v>
      </c>
    </row>
    <row r="78" spans="1:13" ht="12.75" customHeight="1">
      <c r="A78" s="1" t="s">
        <v>128</v>
      </c>
      <c r="B78" s="87">
        <v>45412</v>
      </c>
      <c r="C78" s="1" t="s">
        <v>160</v>
      </c>
      <c r="D78" s="1" t="s">
        <v>169</v>
      </c>
      <c r="E78" s="88">
        <v>350</v>
      </c>
      <c r="F78" s="89">
        <v>45412</v>
      </c>
      <c r="G78" s="89">
        <v>45413</v>
      </c>
      <c r="H78" s="86">
        <f t="shared" si="9"/>
        <v>0</v>
      </c>
      <c r="I78" s="90">
        <v>62.5</v>
      </c>
      <c r="J78" s="90">
        <f t="shared" si="10"/>
        <v>750</v>
      </c>
      <c r="K78" s="86">
        <f t="shared" si="11"/>
        <v>0.46666666666666667</v>
      </c>
      <c r="L78" s="110">
        <v>12</v>
      </c>
      <c r="M78" s="29">
        <f t="shared" si="12"/>
        <v>5.6</v>
      </c>
    </row>
    <row r="79" spans="1:13" ht="12.75" customHeight="1">
      <c r="A79" s="1" t="s">
        <v>128</v>
      </c>
      <c r="B79" s="87">
        <v>45412</v>
      </c>
      <c r="C79" s="1" t="s">
        <v>160</v>
      </c>
      <c r="D79" s="1" t="s">
        <v>169</v>
      </c>
      <c r="E79" s="88">
        <v>11040</v>
      </c>
      <c r="F79" s="89">
        <v>45412</v>
      </c>
      <c r="G79" s="89">
        <v>45413</v>
      </c>
      <c r="H79" s="86">
        <f t="shared" si="9"/>
        <v>0</v>
      </c>
      <c r="I79" s="90">
        <v>62.5</v>
      </c>
      <c r="J79" s="90">
        <f t="shared" si="10"/>
        <v>750</v>
      </c>
      <c r="K79" s="86">
        <f t="shared" si="11"/>
        <v>14.72</v>
      </c>
      <c r="L79" s="110">
        <v>12</v>
      </c>
      <c r="M79" s="29">
        <f t="shared" si="12"/>
        <v>176.64000000000001</v>
      </c>
    </row>
    <row r="80" spans="1:13" ht="12.75" customHeight="1">
      <c r="A80" s="1" t="s">
        <v>128</v>
      </c>
      <c r="B80" s="87">
        <v>45412</v>
      </c>
      <c r="C80" s="1" t="s">
        <v>160</v>
      </c>
      <c r="D80" s="1" t="s">
        <v>171</v>
      </c>
      <c r="E80" s="88">
        <v>2850</v>
      </c>
      <c r="F80" s="89">
        <v>45412</v>
      </c>
      <c r="G80" s="89">
        <v>45413</v>
      </c>
      <c r="H80" s="86">
        <f t="shared" si="9"/>
        <v>0</v>
      </c>
      <c r="I80" s="90">
        <v>62.5</v>
      </c>
      <c r="J80" s="90">
        <f t="shared" si="10"/>
        <v>750</v>
      </c>
      <c r="K80" s="86">
        <f t="shared" si="11"/>
        <v>3.8</v>
      </c>
      <c r="L80" s="110">
        <v>12</v>
      </c>
      <c r="M80" s="29">
        <f t="shared" si="12"/>
        <v>45.599999999999994</v>
      </c>
    </row>
    <row r="81" spans="1:13" ht="12.75" customHeight="1">
      <c r="A81" s="1" t="s">
        <v>128</v>
      </c>
      <c r="B81" s="87">
        <v>45412</v>
      </c>
      <c r="C81" s="1" t="s">
        <v>160</v>
      </c>
      <c r="D81" s="1" t="s">
        <v>171</v>
      </c>
      <c r="E81" s="88">
        <v>37800</v>
      </c>
      <c r="F81" s="89">
        <v>45412</v>
      </c>
      <c r="G81" s="89">
        <v>45413</v>
      </c>
      <c r="H81" s="86">
        <f t="shared" si="9"/>
        <v>0</v>
      </c>
      <c r="I81" s="90">
        <v>62.5</v>
      </c>
      <c r="J81" s="90">
        <f t="shared" si="10"/>
        <v>750</v>
      </c>
      <c r="K81" s="86">
        <f t="shared" si="11"/>
        <v>50.4</v>
      </c>
      <c r="L81" s="110">
        <v>12</v>
      </c>
      <c r="M81" s="29">
        <f t="shared" si="12"/>
        <v>604.79999999999995</v>
      </c>
    </row>
    <row r="82" spans="1:13" ht="12.75" customHeight="1">
      <c r="A82" s="1" t="s">
        <v>128</v>
      </c>
      <c r="B82" s="87">
        <v>45412</v>
      </c>
      <c r="C82" s="1" t="s">
        <v>160</v>
      </c>
      <c r="D82" s="1" t="s">
        <v>171</v>
      </c>
      <c r="E82" s="88">
        <v>1930</v>
      </c>
      <c r="F82" s="89">
        <v>45412</v>
      </c>
      <c r="G82" s="89">
        <v>45413</v>
      </c>
      <c r="H82" s="86">
        <f t="shared" si="9"/>
        <v>0</v>
      </c>
      <c r="I82" s="90">
        <v>62.5</v>
      </c>
      <c r="J82" s="90">
        <f t="shared" si="10"/>
        <v>750</v>
      </c>
      <c r="K82" s="86">
        <f t="shared" si="11"/>
        <v>2.5733333333333333</v>
      </c>
      <c r="L82" s="110">
        <v>12</v>
      </c>
      <c r="M82" s="29">
        <f t="shared" si="12"/>
        <v>30.88</v>
      </c>
    </row>
    <row r="83" spans="1:13" ht="12.75" customHeight="1" thickBot="1">
      <c r="A83" s="226" t="s">
        <v>128</v>
      </c>
      <c r="B83" s="227">
        <v>45412</v>
      </c>
      <c r="C83" s="226" t="s">
        <v>160</v>
      </c>
      <c r="D83" s="226" t="s">
        <v>171</v>
      </c>
      <c r="E83" s="228">
        <v>313400</v>
      </c>
      <c r="F83" s="229">
        <v>45412</v>
      </c>
      <c r="G83" s="229">
        <v>45413</v>
      </c>
      <c r="H83" s="230">
        <f t="shared" si="9"/>
        <v>0</v>
      </c>
      <c r="I83" s="231">
        <v>62.5</v>
      </c>
      <c r="J83" s="231">
        <f t="shared" si="10"/>
        <v>750</v>
      </c>
      <c r="K83" s="230">
        <f t="shared" si="11"/>
        <v>417.86666666666667</v>
      </c>
      <c r="L83" s="232">
        <v>12</v>
      </c>
      <c r="M83" s="225">
        <f t="shared" si="12"/>
        <v>5014.3999999999996</v>
      </c>
    </row>
    <row r="84" spans="1:13" ht="12.75" customHeight="1">
      <c r="A84" s="1" t="s">
        <v>131</v>
      </c>
      <c r="B84" s="87">
        <v>45167</v>
      </c>
      <c r="C84" s="1" t="s">
        <v>129</v>
      </c>
      <c r="D84" s="1" t="s">
        <v>130</v>
      </c>
      <c r="E84" s="88">
        <v>16500</v>
      </c>
      <c r="F84" s="89">
        <v>45138</v>
      </c>
      <c r="G84" s="89">
        <v>45139</v>
      </c>
      <c r="H84" s="86">
        <f t="shared" ref="H84:H91" si="13">+K84*9</f>
        <v>247.5</v>
      </c>
      <c r="I84" s="90">
        <v>50</v>
      </c>
      <c r="J84" s="90">
        <f t="shared" si="10"/>
        <v>600</v>
      </c>
      <c r="K84" s="86">
        <f t="shared" si="11"/>
        <v>27.5</v>
      </c>
      <c r="L84" s="110">
        <v>7</v>
      </c>
      <c r="M84" s="29">
        <f t="shared" si="12"/>
        <v>192.5</v>
      </c>
    </row>
    <row r="85" spans="1:13" ht="12.75" customHeight="1">
      <c r="A85" s="1" t="s">
        <v>131</v>
      </c>
      <c r="B85" s="87">
        <v>45167</v>
      </c>
      <c r="C85" s="1" t="s">
        <v>129</v>
      </c>
      <c r="D85" s="1" t="s">
        <v>133</v>
      </c>
      <c r="E85" s="88">
        <v>5500</v>
      </c>
      <c r="F85" s="89">
        <v>45138</v>
      </c>
      <c r="G85" s="89">
        <v>45139</v>
      </c>
      <c r="H85" s="86">
        <f t="shared" si="13"/>
        <v>82.5</v>
      </c>
      <c r="I85" s="90">
        <v>50</v>
      </c>
      <c r="J85" s="90">
        <f t="shared" si="10"/>
        <v>600</v>
      </c>
      <c r="K85" s="86">
        <f t="shared" si="11"/>
        <v>9.1666666666666661</v>
      </c>
      <c r="L85" s="110">
        <v>7</v>
      </c>
      <c r="M85" s="29">
        <f t="shared" si="12"/>
        <v>64.166666666666657</v>
      </c>
    </row>
    <row r="86" spans="1:13" ht="12.75" customHeight="1">
      <c r="A86" s="1" t="s">
        <v>131</v>
      </c>
      <c r="B86" s="87">
        <v>45167</v>
      </c>
      <c r="C86" s="1" t="s">
        <v>129</v>
      </c>
      <c r="D86" s="1" t="s">
        <v>135</v>
      </c>
      <c r="E86" s="88">
        <v>22000</v>
      </c>
      <c r="F86" s="89">
        <v>45138</v>
      </c>
      <c r="G86" s="89">
        <v>45139</v>
      </c>
      <c r="H86" s="86">
        <f t="shared" si="13"/>
        <v>330</v>
      </c>
      <c r="I86" s="90">
        <v>50</v>
      </c>
      <c r="J86" s="90">
        <f t="shared" si="10"/>
        <v>600</v>
      </c>
      <c r="K86" s="86">
        <f t="shared" si="11"/>
        <v>36.666666666666664</v>
      </c>
      <c r="L86" s="110">
        <v>7</v>
      </c>
      <c r="M86" s="29">
        <f t="shared" si="12"/>
        <v>256.66666666666663</v>
      </c>
    </row>
    <row r="87" spans="1:13" ht="12.75" customHeight="1">
      <c r="A87" s="1" t="s">
        <v>131</v>
      </c>
      <c r="B87" s="87">
        <v>45167</v>
      </c>
      <c r="C87" s="1" t="s">
        <v>129</v>
      </c>
      <c r="D87" s="1" t="s">
        <v>137</v>
      </c>
      <c r="E87" s="88">
        <v>29900</v>
      </c>
      <c r="F87" s="89">
        <v>45138</v>
      </c>
      <c r="G87" s="89">
        <v>45139</v>
      </c>
      <c r="H87" s="86">
        <f t="shared" si="13"/>
        <v>448.5</v>
      </c>
      <c r="I87" s="90">
        <v>50</v>
      </c>
      <c r="J87" s="90">
        <f t="shared" si="10"/>
        <v>600</v>
      </c>
      <c r="K87" s="86">
        <f t="shared" si="11"/>
        <v>49.833333333333336</v>
      </c>
      <c r="L87" s="110">
        <v>7</v>
      </c>
      <c r="M87" s="29">
        <f t="shared" si="12"/>
        <v>348.83333333333337</v>
      </c>
    </row>
    <row r="88" spans="1:13" ht="12.75" customHeight="1">
      <c r="A88" s="1" t="s">
        <v>131</v>
      </c>
      <c r="B88" s="87">
        <v>45167</v>
      </c>
      <c r="C88" s="1" t="s">
        <v>129</v>
      </c>
      <c r="D88" s="1" t="s">
        <v>139</v>
      </c>
      <c r="E88" s="88">
        <v>12000</v>
      </c>
      <c r="F88" s="89">
        <v>45138</v>
      </c>
      <c r="G88" s="89">
        <v>45139</v>
      </c>
      <c r="H88" s="86">
        <f t="shared" si="13"/>
        <v>180</v>
      </c>
      <c r="I88" s="90">
        <v>50</v>
      </c>
      <c r="J88" s="90">
        <f t="shared" si="10"/>
        <v>600</v>
      </c>
      <c r="K88" s="86">
        <f t="shared" si="11"/>
        <v>20</v>
      </c>
      <c r="L88" s="110">
        <v>7</v>
      </c>
      <c r="M88" s="29">
        <f t="shared" si="12"/>
        <v>140</v>
      </c>
    </row>
    <row r="89" spans="1:13" ht="12.75" customHeight="1">
      <c r="A89" s="1" t="s">
        <v>131</v>
      </c>
      <c r="B89" s="87">
        <v>45167</v>
      </c>
      <c r="C89" s="1" t="s">
        <v>129</v>
      </c>
      <c r="D89" s="1" t="s">
        <v>141</v>
      </c>
      <c r="E89" s="88">
        <v>6000</v>
      </c>
      <c r="F89" s="89">
        <v>45138</v>
      </c>
      <c r="G89" s="89">
        <v>45139</v>
      </c>
      <c r="H89" s="86">
        <f t="shared" si="13"/>
        <v>90</v>
      </c>
      <c r="I89" s="90">
        <v>50</v>
      </c>
      <c r="J89" s="90">
        <f t="shared" si="10"/>
        <v>600</v>
      </c>
      <c r="K89" s="86">
        <f t="shared" si="11"/>
        <v>10</v>
      </c>
      <c r="L89" s="110">
        <v>7</v>
      </c>
      <c r="M89" s="29">
        <f t="shared" si="12"/>
        <v>70</v>
      </c>
    </row>
    <row r="90" spans="1:13" ht="12.75" customHeight="1">
      <c r="A90" s="1" t="s">
        <v>131</v>
      </c>
      <c r="B90" s="87">
        <v>45167</v>
      </c>
      <c r="C90" s="1" t="s">
        <v>129</v>
      </c>
      <c r="D90" s="1" t="s">
        <v>143</v>
      </c>
      <c r="E90" s="88">
        <v>16500</v>
      </c>
      <c r="F90" s="89">
        <v>45138</v>
      </c>
      <c r="G90" s="89">
        <v>45139</v>
      </c>
      <c r="H90" s="86">
        <f t="shared" si="13"/>
        <v>247.5</v>
      </c>
      <c r="I90" s="90">
        <v>50</v>
      </c>
      <c r="J90" s="90">
        <f t="shared" si="10"/>
        <v>600</v>
      </c>
      <c r="K90" s="86">
        <f t="shared" si="11"/>
        <v>27.5</v>
      </c>
      <c r="L90" s="110">
        <v>7</v>
      </c>
      <c r="M90" s="29">
        <f t="shared" si="12"/>
        <v>192.5</v>
      </c>
    </row>
    <row r="91" spans="1:13" ht="12.75" customHeight="1">
      <c r="A91" s="1" t="s">
        <v>131</v>
      </c>
      <c r="B91" s="87">
        <v>45167</v>
      </c>
      <c r="C91" s="1" t="s">
        <v>129</v>
      </c>
      <c r="D91" s="1" t="s">
        <v>147</v>
      </c>
      <c r="E91" s="88">
        <v>5460</v>
      </c>
      <c r="F91" s="89">
        <v>45138</v>
      </c>
      <c r="G91" s="89">
        <v>45139</v>
      </c>
      <c r="H91" s="86">
        <f t="shared" si="13"/>
        <v>81.899999999999991</v>
      </c>
      <c r="I91" s="90">
        <v>50</v>
      </c>
      <c r="J91" s="90">
        <f t="shared" si="10"/>
        <v>600</v>
      </c>
      <c r="K91" s="86">
        <f t="shared" si="11"/>
        <v>9.1</v>
      </c>
      <c r="L91" s="110">
        <v>7</v>
      </c>
      <c r="M91" s="29">
        <f t="shared" si="12"/>
        <v>63.699999999999996</v>
      </c>
    </row>
    <row r="92" spans="1:13" ht="12.75" customHeight="1">
      <c r="A92" s="1" t="s">
        <v>131</v>
      </c>
      <c r="B92" s="87">
        <v>45168</v>
      </c>
      <c r="C92" s="1" t="s">
        <v>149</v>
      </c>
      <c r="D92" s="1" t="s">
        <v>150</v>
      </c>
      <c r="E92" s="88">
        <v>76500</v>
      </c>
      <c r="F92" s="89">
        <v>45169</v>
      </c>
      <c r="G92" s="89">
        <v>45170</v>
      </c>
      <c r="H92" s="86">
        <f>+K92*8</f>
        <v>1020</v>
      </c>
      <c r="I92" s="90">
        <v>50</v>
      </c>
      <c r="J92" s="90">
        <f t="shared" si="10"/>
        <v>600</v>
      </c>
      <c r="K92" s="86">
        <f t="shared" si="11"/>
        <v>127.5</v>
      </c>
      <c r="L92" s="110">
        <v>8</v>
      </c>
      <c r="M92" s="29">
        <f t="shared" si="12"/>
        <v>1020</v>
      </c>
    </row>
    <row r="93" spans="1:13" ht="12.75" customHeight="1">
      <c r="A93" s="1" t="s">
        <v>131</v>
      </c>
      <c r="B93" s="87">
        <v>45276</v>
      </c>
      <c r="C93" s="1" t="s">
        <v>152</v>
      </c>
      <c r="D93" s="1" t="s">
        <v>153</v>
      </c>
      <c r="E93" s="88">
        <v>32500</v>
      </c>
      <c r="F93" s="89">
        <v>45229</v>
      </c>
      <c r="G93" s="89">
        <v>45231</v>
      </c>
      <c r="H93" s="86">
        <f>+K93*6</f>
        <v>325</v>
      </c>
      <c r="I93" s="90">
        <v>50</v>
      </c>
      <c r="J93" s="90">
        <f t="shared" si="10"/>
        <v>600</v>
      </c>
      <c r="K93" s="86">
        <f t="shared" si="11"/>
        <v>54.166666666666664</v>
      </c>
      <c r="L93" s="110">
        <v>10</v>
      </c>
      <c r="M93" s="29">
        <f t="shared" si="12"/>
        <v>541.66666666666663</v>
      </c>
    </row>
    <row r="94" spans="1:13" ht="12.75" customHeight="1">
      <c r="A94" s="1" t="s">
        <v>131</v>
      </c>
      <c r="B94" s="87">
        <v>45291</v>
      </c>
      <c r="C94" s="1" t="s">
        <v>155</v>
      </c>
      <c r="D94" s="1" t="s">
        <v>156</v>
      </c>
      <c r="E94" s="88">
        <v>19500</v>
      </c>
      <c r="F94" s="89">
        <v>45232</v>
      </c>
      <c r="G94" s="89">
        <v>45261</v>
      </c>
      <c r="H94" s="86">
        <f>+K94*5</f>
        <v>162.5</v>
      </c>
      <c r="I94" s="90">
        <v>50</v>
      </c>
      <c r="J94" s="90">
        <f t="shared" si="10"/>
        <v>600</v>
      </c>
      <c r="K94" s="86">
        <f t="shared" si="11"/>
        <v>32.5</v>
      </c>
      <c r="L94" s="110">
        <v>11</v>
      </c>
      <c r="M94" s="29">
        <f t="shared" si="12"/>
        <v>357.5</v>
      </c>
    </row>
    <row r="95" spans="1:13" ht="12.75" customHeight="1">
      <c r="A95" s="1" t="s">
        <v>131</v>
      </c>
      <c r="B95" s="87">
        <v>45291</v>
      </c>
      <c r="C95" s="1" t="s">
        <v>155</v>
      </c>
      <c r="D95" s="1" t="s">
        <v>158</v>
      </c>
      <c r="E95" s="88">
        <v>5000</v>
      </c>
      <c r="F95" s="89">
        <v>45232</v>
      </c>
      <c r="G95" s="89">
        <v>45261</v>
      </c>
      <c r="H95" s="86">
        <f>+K95*5</f>
        <v>41.666666666666671</v>
      </c>
      <c r="I95" s="90">
        <v>50</v>
      </c>
      <c r="J95" s="90">
        <f t="shared" si="10"/>
        <v>600</v>
      </c>
      <c r="K95" s="86">
        <f t="shared" si="11"/>
        <v>8.3333333333333339</v>
      </c>
      <c r="L95" s="110">
        <v>11</v>
      </c>
      <c r="M95" s="29">
        <f t="shared" si="12"/>
        <v>91.666666666666671</v>
      </c>
    </row>
    <row r="96" spans="1:13" ht="12.75" customHeight="1">
      <c r="A96" s="1" t="s">
        <v>131</v>
      </c>
      <c r="B96" s="87">
        <v>45412</v>
      </c>
      <c r="C96" s="1" t="s">
        <v>160</v>
      </c>
      <c r="D96" s="1" t="s">
        <v>161</v>
      </c>
      <c r="E96" s="88">
        <v>19500</v>
      </c>
      <c r="F96" s="89">
        <v>45296</v>
      </c>
      <c r="G96" s="89">
        <v>45323</v>
      </c>
      <c r="H96" s="86">
        <f>+K96*3</f>
        <v>97.5</v>
      </c>
      <c r="I96" s="90">
        <v>50</v>
      </c>
      <c r="J96" s="90">
        <f t="shared" si="10"/>
        <v>600</v>
      </c>
      <c r="K96" s="86">
        <f t="shared" si="11"/>
        <v>32.5</v>
      </c>
      <c r="L96" s="110">
        <v>12</v>
      </c>
      <c r="M96" s="29">
        <f t="shared" si="12"/>
        <v>390</v>
      </c>
    </row>
    <row r="97" spans="1:13" ht="12.75" customHeight="1">
      <c r="A97" s="1" t="s">
        <v>131</v>
      </c>
      <c r="B97" s="87">
        <v>45412</v>
      </c>
      <c r="C97" s="1" t="s">
        <v>160</v>
      </c>
      <c r="D97" s="1" t="s">
        <v>163</v>
      </c>
      <c r="E97" s="88">
        <v>19500</v>
      </c>
      <c r="F97" s="89">
        <v>45352</v>
      </c>
      <c r="G97" s="89">
        <v>45383</v>
      </c>
      <c r="H97" s="86">
        <f>+K97*1</f>
        <v>32.5</v>
      </c>
      <c r="I97" s="90">
        <v>50</v>
      </c>
      <c r="J97" s="90">
        <f t="shared" si="10"/>
        <v>600</v>
      </c>
      <c r="K97" s="86">
        <f t="shared" si="11"/>
        <v>32.5</v>
      </c>
      <c r="L97" s="110">
        <v>12</v>
      </c>
      <c r="M97" s="29">
        <f t="shared" si="12"/>
        <v>390</v>
      </c>
    </row>
    <row r="98" spans="1:13" ht="12.75" customHeight="1">
      <c r="A98" s="1" t="s">
        <v>131</v>
      </c>
      <c r="B98" s="87">
        <v>45412</v>
      </c>
      <c r="C98" s="1" t="s">
        <v>160</v>
      </c>
      <c r="D98" s="1" t="s">
        <v>167</v>
      </c>
      <c r="E98" s="88">
        <v>6000</v>
      </c>
      <c r="F98" s="89">
        <v>45405</v>
      </c>
      <c r="G98" s="89">
        <v>45413</v>
      </c>
      <c r="H98" s="86">
        <f>+K98*0</f>
        <v>0</v>
      </c>
      <c r="I98" s="90">
        <v>50</v>
      </c>
      <c r="J98" s="90">
        <f t="shared" si="10"/>
        <v>600</v>
      </c>
      <c r="K98" s="86">
        <f t="shared" si="11"/>
        <v>10</v>
      </c>
      <c r="L98" s="110">
        <v>12</v>
      </c>
      <c r="M98" s="29">
        <f t="shared" si="12"/>
        <v>120</v>
      </c>
    </row>
    <row r="99" spans="1:13" ht="12.75" customHeight="1">
      <c r="A99" s="1" t="s">
        <v>131</v>
      </c>
      <c r="B99" s="87">
        <v>45412</v>
      </c>
      <c r="C99" s="1" t="s">
        <v>160</v>
      </c>
      <c r="D99" s="1" t="s">
        <v>169</v>
      </c>
      <c r="E99" s="88">
        <v>84000</v>
      </c>
      <c r="F99" s="89">
        <v>45412</v>
      </c>
      <c r="G99" s="89">
        <v>45413</v>
      </c>
      <c r="H99" s="86">
        <f>+K99*0</f>
        <v>0</v>
      </c>
      <c r="I99" s="90">
        <v>50</v>
      </c>
      <c r="J99" s="90">
        <f t="shared" si="10"/>
        <v>600</v>
      </c>
      <c r="K99" s="86">
        <f t="shared" si="11"/>
        <v>140</v>
      </c>
      <c r="L99" s="110">
        <v>12</v>
      </c>
      <c r="M99" s="29">
        <f t="shared" si="12"/>
        <v>1680</v>
      </c>
    </row>
    <row r="100" spans="1:13" ht="12.75" customHeight="1">
      <c r="A100" s="1" t="s">
        <v>131</v>
      </c>
      <c r="B100" s="87">
        <v>45412</v>
      </c>
      <c r="C100" s="1" t="s">
        <v>160</v>
      </c>
      <c r="D100" s="1" t="s">
        <v>171</v>
      </c>
      <c r="E100" s="88">
        <v>142800</v>
      </c>
      <c r="F100" s="89">
        <v>45412</v>
      </c>
      <c r="G100" s="89">
        <v>45413</v>
      </c>
      <c r="H100" s="86">
        <f>+K100*0</f>
        <v>0</v>
      </c>
      <c r="I100" s="90">
        <v>50</v>
      </c>
      <c r="J100" s="90">
        <f t="shared" si="10"/>
        <v>600</v>
      </c>
      <c r="K100" s="86">
        <f t="shared" si="11"/>
        <v>238</v>
      </c>
      <c r="L100" s="110">
        <v>12</v>
      </c>
      <c r="M100" s="29">
        <f t="shared" si="12"/>
        <v>2856</v>
      </c>
    </row>
    <row r="101" spans="1:13" ht="12.75" customHeight="1">
      <c r="B101" s="87"/>
      <c r="D101" s="75" t="s">
        <v>173</v>
      </c>
      <c r="E101" s="221">
        <f>SUBTOTAL(9,E8:E100)</f>
        <v>3176250</v>
      </c>
      <c r="F101" s="222"/>
      <c r="G101" s="222"/>
      <c r="H101" s="92">
        <f>SUBTOTAL(9,H8:H100)</f>
        <v>21108.546666666669</v>
      </c>
      <c r="I101" s="93"/>
      <c r="J101" s="93"/>
      <c r="K101" s="92">
        <f>SUBTOTAL(9,K8:K100)</f>
        <v>4408.0533333333333</v>
      </c>
      <c r="L101" s="223"/>
      <c r="M101" s="224">
        <f>SUM(M8:M100)</f>
        <v>43042.039999999994</v>
      </c>
    </row>
    <row r="102" spans="1:13" ht="12.75" customHeight="1" thickBot="1">
      <c r="E102" s="1"/>
      <c r="L102" s="1"/>
      <c r="M102" s="1"/>
    </row>
    <row r="103" spans="1:13" ht="12.75" customHeight="1" thickBot="1">
      <c r="A103" s="408" t="s">
        <v>190</v>
      </c>
      <c r="B103" s="408"/>
      <c r="D103" s="91"/>
      <c r="E103" s="88"/>
      <c r="F103" s="91"/>
    </row>
    <row r="104" spans="1:13" ht="12.75" customHeight="1" thickBot="1">
      <c r="A104" s="236" t="s">
        <v>119</v>
      </c>
      <c r="B104" s="236" t="s">
        <v>191</v>
      </c>
      <c r="C104" s="91"/>
      <c r="D104" s="91"/>
      <c r="E104" s="88"/>
    </row>
    <row r="105" spans="1:13" ht="12.75" customHeight="1" thickBot="1">
      <c r="A105" s="237" t="s">
        <v>128</v>
      </c>
      <c r="B105" s="354">
        <f>SUM(M8:M83)</f>
        <v>34266.840000000004</v>
      </c>
    </row>
    <row r="106" spans="1:13" ht="12.75" customHeight="1" thickBot="1">
      <c r="A106" s="234" t="s">
        <v>131</v>
      </c>
      <c r="B106" s="353">
        <f>SUM(M84:M100)</f>
        <v>8775.2000000000007</v>
      </c>
      <c r="L106" s="123"/>
      <c r="M106" s="117"/>
    </row>
    <row r="107" spans="1:13" ht="12.7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2.7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2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2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12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12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12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12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12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12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12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12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12.7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12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12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12.7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12.7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12.7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12.7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12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12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12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12.7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12.7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12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12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12.7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12.7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12.7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12.7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12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12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12.7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12.7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12.7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12.7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12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12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12.7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12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12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12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12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12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12.7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12.7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12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12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12.75" customHeight="1">
      <c r="D155" s="91"/>
      <c r="E155" s="88"/>
      <c r="F155" s="89"/>
      <c r="G155" s="89"/>
      <c r="H155" s="86"/>
      <c r="I155" s="90"/>
      <c r="J155" s="90"/>
      <c r="K155" s="86"/>
    </row>
    <row r="156" spans="1:13" ht="12.75" customHeight="1">
      <c r="F156" s="89"/>
      <c r="G156" s="89"/>
      <c r="H156" s="86"/>
      <c r="I156" s="90"/>
      <c r="J156" s="90"/>
      <c r="K156" s="86"/>
    </row>
    <row r="157" spans="1:13" ht="12.75" customHeight="1">
      <c r="F157" s="89"/>
      <c r="G157" s="89"/>
      <c r="H157" s="86"/>
      <c r="I157" s="90"/>
      <c r="J157" s="90"/>
      <c r="K157" s="86"/>
    </row>
    <row r="158" spans="1:13" s="110" customFormat="1" ht="12.75" customHeight="1">
      <c r="A158" s="1"/>
      <c r="B158" s="1"/>
      <c r="C158" s="1"/>
      <c r="D158" s="91"/>
      <c r="E158" s="88"/>
      <c r="F158" s="89"/>
      <c r="G158" s="89"/>
      <c r="H158" s="86"/>
      <c r="I158" s="90"/>
      <c r="J158" s="90"/>
      <c r="K158" s="86"/>
      <c r="M158" s="29"/>
    </row>
    <row r="159" spans="1:13" s="110" customFormat="1" ht="12.75" customHeight="1">
      <c r="A159" s="1"/>
      <c r="B159" s="1"/>
      <c r="C159" s="1"/>
      <c r="D159" s="1"/>
      <c r="E159" s="86"/>
      <c r="F159" s="89"/>
      <c r="G159" s="89"/>
      <c r="H159" s="86"/>
      <c r="I159" s="90"/>
      <c r="J159" s="90"/>
      <c r="K159" s="86"/>
      <c r="M159" s="29"/>
    </row>
    <row r="160" spans="1:13" s="110" customFormat="1" ht="12.75" customHeight="1">
      <c r="A160" s="1"/>
      <c r="B160" s="1"/>
      <c r="C160" s="1"/>
      <c r="D160" s="1"/>
      <c r="E160" s="86"/>
      <c r="F160" s="89"/>
      <c r="G160" s="89"/>
      <c r="H160" s="86"/>
      <c r="I160" s="90"/>
      <c r="J160" s="90"/>
      <c r="K160" s="86"/>
      <c r="M160" s="29"/>
    </row>
    <row r="161" spans="1:13" s="110" customFormat="1" ht="12.75" customHeight="1">
      <c r="A161" s="1"/>
      <c r="B161" s="1"/>
      <c r="C161" s="1"/>
      <c r="D161" s="91"/>
      <c r="E161" s="88"/>
      <c r="F161" s="91"/>
      <c r="G161" s="1"/>
      <c r="H161" s="1"/>
      <c r="I161" s="1"/>
      <c r="J161" s="1"/>
      <c r="K161" s="1"/>
      <c r="M161" s="29"/>
    </row>
    <row r="162" spans="1:13" s="110" customFormat="1" ht="12.75" customHeight="1">
      <c r="A162" s="1"/>
      <c r="B162" s="1"/>
      <c r="C162" s="91"/>
      <c r="D162" s="91"/>
      <c r="E162" s="88"/>
      <c r="F162" s="1"/>
      <c r="G162" s="1"/>
      <c r="H162" s="1"/>
      <c r="I162" s="1"/>
      <c r="J162" s="1"/>
      <c r="K162" s="1"/>
      <c r="M162" s="29"/>
    </row>
    <row r="163" spans="1:13" s="110" customFormat="1" ht="12.75" customHeight="1">
      <c r="A163" s="1"/>
      <c r="B163" s="1"/>
      <c r="C163" s="1"/>
      <c r="D163" s="91"/>
      <c r="E163" s="88"/>
      <c r="F163" s="91"/>
      <c r="G163" s="1"/>
      <c r="H163" s="1"/>
      <c r="I163" s="1"/>
      <c r="J163" s="1"/>
      <c r="K163" s="1"/>
      <c r="M163" s="29"/>
    </row>
  </sheetData>
  <mergeCells count="1">
    <mergeCell ref="A103:B103"/>
  </mergeCells>
  <pageMargins left="0.7" right="0.7" top="0.75" bottom="0.75" header="0.3" footer="0.3"/>
  <pageSetup paperSize="3" orientation="landscape" horizontalDpi="1200" verticalDpi="120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E223-EBBC-4E8E-AD1F-475462BDCB1A}">
  <dimension ref="A1:I54"/>
  <sheetViews>
    <sheetView tabSelected="1" workbookViewId="0">
      <selection activeCell="L21" sqref="L21"/>
    </sheetView>
  </sheetViews>
  <sheetFormatPr defaultColWidth="9.125" defaultRowHeight="12.75"/>
  <cols>
    <col min="1" max="1" width="9.125" style="1"/>
    <col min="2" max="2" width="35.875" style="1" customWidth="1"/>
    <col min="3" max="3" width="15.875" style="3" customWidth="1"/>
    <col min="4" max="4" width="18" style="106" customWidth="1"/>
    <col min="5" max="6" width="15.875" style="3" customWidth="1"/>
    <col min="7" max="7" width="18.25" style="1" customWidth="1"/>
    <col min="8" max="8" width="18.125" style="110" customWidth="1"/>
    <col min="9" max="9" width="18.875" style="1" customWidth="1"/>
    <col min="10" max="10" width="17.625" style="1" customWidth="1"/>
    <col min="11" max="16384" width="9.125" style="1"/>
  </cols>
  <sheetData>
    <row r="1" spans="1:9">
      <c r="A1" s="114" t="s">
        <v>14</v>
      </c>
    </row>
    <row r="2" spans="1:9">
      <c r="A2" s="114" t="s">
        <v>192</v>
      </c>
    </row>
    <row r="3" spans="1:9">
      <c r="A3" s="118">
        <v>45412</v>
      </c>
    </row>
    <row r="4" spans="1:9">
      <c r="A4" s="54"/>
    </row>
    <row r="6" spans="1:9">
      <c r="G6" s="37" t="s">
        <v>193</v>
      </c>
      <c r="H6" s="111" t="s">
        <v>118</v>
      </c>
      <c r="I6" s="37" t="s">
        <v>194</v>
      </c>
    </row>
    <row r="7" spans="1:9" s="57" customFormat="1">
      <c r="A7" s="55" t="s">
        <v>195</v>
      </c>
      <c r="B7" s="55" t="s">
        <v>4</v>
      </c>
      <c r="C7" s="55" t="s">
        <v>196</v>
      </c>
      <c r="D7" s="56" t="s">
        <v>197</v>
      </c>
      <c r="E7" s="55" t="s">
        <v>198</v>
      </c>
      <c r="F7" s="55" t="s">
        <v>199</v>
      </c>
      <c r="G7" s="107" t="s">
        <v>64</v>
      </c>
      <c r="H7" s="112" t="s">
        <v>200</v>
      </c>
      <c r="I7" s="71" t="s">
        <v>118</v>
      </c>
    </row>
    <row r="8" spans="1:9" s="57" customFormat="1">
      <c r="A8" s="58" t="s">
        <v>201</v>
      </c>
      <c r="B8" s="58" t="s">
        <v>202</v>
      </c>
      <c r="C8" s="59"/>
      <c r="D8" s="60"/>
      <c r="E8" s="55" t="s">
        <v>203</v>
      </c>
      <c r="F8" s="61">
        <v>204935.18</v>
      </c>
      <c r="H8" s="113"/>
    </row>
    <row r="9" spans="1:9" s="57" customFormat="1">
      <c r="A9" s="248" t="s">
        <v>204</v>
      </c>
      <c r="B9" s="248" t="s">
        <v>205</v>
      </c>
      <c r="C9" s="249"/>
      <c r="D9" s="250"/>
      <c r="E9" s="251" t="s">
        <v>206</v>
      </c>
      <c r="F9" s="252">
        <v>9470365.1199999992</v>
      </c>
      <c r="G9" s="128" t="s">
        <v>207</v>
      </c>
      <c r="H9" s="127">
        <v>37.5</v>
      </c>
      <c r="I9" s="73">
        <f>+F9/H9</f>
        <v>252543.06986666666</v>
      </c>
    </row>
    <row r="10" spans="1:9" s="57" customFormat="1">
      <c r="A10" s="58" t="s">
        <v>208</v>
      </c>
      <c r="B10" s="58" t="s">
        <v>209</v>
      </c>
      <c r="C10" s="59"/>
      <c r="D10" s="60"/>
      <c r="E10" s="55" t="s">
        <v>203</v>
      </c>
      <c r="F10" s="61">
        <v>14445.62</v>
      </c>
      <c r="H10" s="113"/>
    </row>
    <row r="11" spans="1:9" s="57" customFormat="1">
      <c r="A11" s="58" t="s">
        <v>210</v>
      </c>
      <c r="B11" s="58" t="s">
        <v>211</v>
      </c>
      <c r="C11" s="59"/>
      <c r="D11" s="60" t="s">
        <v>212</v>
      </c>
      <c r="E11" s="55" t="s">
        <v>203</v>
      </c>
      <c r="F11" s="61">
        <v>113840.08</v>
      </c>
      <c r="H11" s="113"/>
    </row>
    <row r="12" spans="1:9" ht="15" customHeight="1">
      <c r="A12" s="58" t="s">
        <v>213</v>
      </c>
      <c r="B12" s="58" t="s">
        <v>214</v>
      </c>
      <c r="C12" s="103"/>
      <c r="D12" s="104" t="s">
        <v>215</v>
      </c>
      <c r="E12" s="66"/>
      <c r="F12" s="67"/>
    </row>
    <row r="13" spans="1:9" ht="15" customHeight="1">
      <c r="A13" s="58" t="s">
        <v>216</v>
      </c>
      <c r="B13" s="58" t="s">
        <v>217</v>
      </c>
      <c r="C13" s="59"/>
      <c r="D13" s="60"/>
      <c r="E13" s="55" t="s">
        <v>203</v>
      </c>
      <c r="F13" s="61">
        <v>1443524.61</v>
      </c>
      <c r="G13" s="129" t="s">
        <v>207</v>
      </c>
      <c r="H13" s="72">
        <v>10</v>
      </c>
      <c r="I13" s="126"/>
    </row>
    <row r="14" spans="1:9" ht="15" customHeight="1">
      <c r="A14" s="58" t="s">
        <v>218</v>
      </c>
      <c r="B14" s="58" t="s">
        <v>219</v>
      </c>
      <c r="C14" s="59"/>
      <c r="D14" s="60"/>
      <c r="E14" s="55" t="s">
        <v>206</v>
      </c>
      <c r="F14" s="61">
        <v>263283.25</v>
      </c>
    </row>
    <row r="15" spans="1:9" ht="15" customHeight="1">
      <c r="A15" s="58" t="s">
        <v>220</v>
      </c>
      <c r="B15" s="58" t="s">
        <v>221</v>
      </c>
      <c r="C15" s="59"/>
      <c r="D15" s="60"/>
      <c r="E15" s="55" t="s">
        <v>203</v>
      </c>
      <c r="F15" s="61">
        <v>292.39</v>
      </c>
    </row>
    <row r="16" spans="1:9" ht="15" customHeight="1">
      <c r="A16" s="58" t="s">
        <v>222</v>
      </c>
      <c r="B16" s="58" t="s">
        <v>223</v>
      </c>
      <c r="C16" s="59"/>
      <c r="D16" s="60"/>
      <c r="E16" s="55" t="s">
        <v>206</v>
      </c>
      <c r="F16" s="61">
        <v>695536.84</v>
      </c>
      <c r="G16" s="64"/>
    </row>
    <row r="17" spans="1:6" ht="15" customHeight="1">
      <c r="A17" s="58" t="s">
        <v>224</v>
      </c>
      <c r="B17" s="58" t="s">
        <v>225</v>
      </c>
      <c r="C17" s="103"/>
      <c r="D17" s="104" t="s">
        <v>215</v>
      </c>
      <c r="E17" s="66"/>
      <c r="F17" s="67"/>
    </row>
    <row r="18" spans="1:6" ht="15" customHeight="1">
      <c r="A18" s="58" t="s">
        <v>226</v>
      </c>
      <c r="B18" s="58" t="s">
        <v>227</v>
      </c>
      <c r="C18" s="59"/>
      <c r="D18" s="60"/>
      <c r="E18" s="55" t="s">
        <v>203</v>
      </c>
      <c r="F18" s="61">
        <v>2811.11</v>
      </c>
    </row>
    <row r="19" spans="1:6" ht="15" customHeight="1">
      <c r="A19" s="58" t="s">
        <v>228</v>
      </c>
      <c r="B19" s="58" t="s">
        <v>229</v>
      </c>
      <c r="C19" s="103"/>
      <c r="D19" s="104" t="s">
        <v>215</v>
      </c>
      <c r="E19" s="55" t="s">
        <v>203</v>
      </c>
      <c r="F19" s="61"/>
    </row>
    <row r="20" spans="1:6" ht="15" customHeight="1">
      <c r="A20" s="58" t="s">
        <v>230</v>
      </c>
      <c r="B20" s="58" t="s">
        <v>231</v>
      </c>
      <c r="C20" s="59"/>
      <c r="D20" s="60"/>
      <c r="E20" s="55" t="s">
        <v>206</v>
      </c>
      <c r="F20" s="61">
        <v>203844.25</v>
      </c>
    </row>
    <row r="21" spans="1:6" ht="15" customHeight="1">
      <c r="A21" s="58" t="s">
        <v>232</v>
      </c>
      <c r="B21" s="58" t="s">
        <v>233</v>
      </c>
      <c r="C21" s="59"/>
      <c r="D21" s="60"/>
      <c r="E21" s="55" t="s">
        <v>203</v>
      </c>
      <c r="F21" s="61">
        <v>7744.79</v>
      </c>
    </row>
    <row r="22" spans="1:6" ht="15" customHeight="1">
      <c r="A22" s="58" t="s">
        <v>234</v>
      </c>
      <c r="B22" s="58" t="s">
        <v>235</v>
      </c>
      <c r="C22" s="59"/>
      <c r="D22" s="60"/>
      <c r="E22" s="55" t="s">
        <v>206</v>
      </c>
      <c r="F22" s="61">
        <v>4262.1400000000003</v>
      </c>
    </row>
    <row r="23" spans="1:6" ht="15" customHeight="1">
      <c r="A23" s="68" t="s">
        <v>236</v>
      </c>
      <c r="B23" s="58" t="s">
        <v>237</v>
      </c>
      <c r="C23" s="66"/>
      <c r="D23" s="69" t="s">
        <v>215</v>
      </c>
      <c r="E23" s="55" t="s">
        <v>206</v>
      </c>
      <c r="F23" s="61"/>
    </row>
    <row r="24" spans="1:6" ht="15" customHeight="1">
      <c r="A24" s="68" t="s">
        <v>238</v>
      </c>
      <c r="B24" s="58" t="s">
        <v>239</v>
      </c>
      <c r="C24" s="66"/>
      <c r="D24" s="69" t="s">
        <v>215</v>
      </c>
      <c r="E24" s="55" t="s">
        <v>203</v>
      </c>
      <c r="F24" s="61"/>
    </row>
    <row r="25" spans="1:6" ht="15" customHeight="1">
      <c r="A25" s="68" t="s">
        <v>240</v>
      </c>
      <c r="B25" s="58" t="s">
        <v>241</v>
      </c>
      <c r="C25" s="66"/>
      <c r="D25" s="69" t="s">
        <v>215</v>
      </c>
      <c r="E25" s="66"/>
      <c r="F25" s="67"/>
    </row>
    <row r="26" spans="1:6" ht="15" customHeight="1">
      <c r="A26" s="68" t="s">
        <v>242</v>
      </c>
      <c r="B26" s="58" t="s">
        <v>243</v>
      </c>
      <c r="C26" s="66"/>
      <c r="D26" s="69" t="s">
        <v>215</v>
      </c>
      <c r="E26" s="66"/>
      <c r="F26" s="67"/>
    </row>
    <row r="27" spans="1:6" ht="15" customHeight="1">
      <c r="A27" s="58" t="s">
        <v>244</v>
      </c>
      <c r="B27" s="58" t="s">
        <v>245</v>
      </c>
      <c r="C27" s="59"/>
      <c r="D27" s="60"/>
      <c r="E27" s="60"/>
      <c r="F27" s="62">
        <v>1897.08</v>
      </c>
    </row>
    <row r="28" spans="1:6" ht="15" customHeight="1">
      <c r="A28" s="58" t="s">
        <v>246</v>
      </c>
      <c r="B28" s="58" t="s">
        <v>247</v>
      </c>
      <c r="C28" s="59"/>
      <c r="D28" s="60"/>
      <c r="E28" s="60"/>
      <c r="F28" s="62">
        <v>19206.7</v>
      </c>
    </row>
    <row r="29" spans="1:6" ht="15" customHeight="1">
      <c r="A29" s="58" t="s">
        <v>248</v>
      </c>
      <c r="B29" s="58" t="s">
        <v>249</v>
      </c>
      <c r="C29" s="59"/>
      <c r="D29" s="60"/>
      <c r="E29" s="55" t="s">
        <v>203</v>
      </c>
      <c r="F29" s="61">
        <v>1493.1</v>
      </c>
    </row>
    <row r="30" spans="1:6" ht="15" customHeight="1">
      <c r="A30" s="58" t="s">
        <v>250</v>
      </c>
      <c r="B30" s="58" t="s">
        <v>251</v>
      </c>
      <c r="C30" s="59"/>
      <c r="D30" s="60"/>
      <c r="E30" s="55" t="s">
        <v>203</v>
      </c>
      <c r="F30" s="61">
        <v>43.33</v>
      </c>
    </row>
    <row r="31" spans="1:6" ht="15" customHeight="1">
      <c r="A31" s="58" t="s">
        <v>252</v>
      </c>
      <c r="B31" s="58" t="s">
        <v>253</v>
      </c>
      <c r="C31" s="59"/>
      <c r="D31" s="60"/>
      <c r="E31" s="55" t="s">
        <v>203</v>
      </c>
      <c r="F31" s="61">
        <v>16316.35</v>
      </c>
    </row>
    <row r="32" spans="1:6" ht="15" customHeight="1">
      <c r="A32" s="58" t="s">
        <v>254</v>
      </c>
      <c r="B32" s="58" t="s">
        <v>255</v>
      </c>
      <c r="C32" s="59"/>
      <c r="D32" s="63"/>
      <c r="E32" s="55" t="s">
        <v>203</v>
      </c>
      <c r="F32" s="61">
        <v>39470.44</v>
      </c>
    </row>
    <row r="33" spans="1:9" ht="15" customHeight="1">
      <c r="A33" s="58" t="s">
        <v>256</v>
      </c>
      <c r="B33" s="58" t="s">
        <v>257</v>
      </c>
      <c r="C33" s="59"/>
      <c r="D33" s="63"/>
      <c r="E33" s="55" t="s">
        <v>203</v>
      </c>
      <c r="F33" s="61">
        <v>8557.51</v>
      </c>
    </row>
    <row r="35" spans="1:9">
      <c r="A35" s="55" t="s">
        <v>195</v>
      </c>
      <c r="B35" s="55" t="s">
        <v>4</v>
      </c>
      <c r="C35" s="55" t="s">
        <v>196</v>
      </c>
      <c r="D35" s="65" t="s">
        <v>258</v>
      </c>
      <c r="E35" s="55" t="s">
        <v>198</v>
      </c>
      <c r="F35" s="55" t="s">
        <v>199</v>
      </c>
    </row>
    <row r="36" spans="1:9">
      <c r="A36" s="58" t="s">
        <v>259</v>
      </c>
      <c r="B36" s="58" t="s">
        <v>260</v>
      </c>
      <c r="C36" s="66"/>
      <c r="D36" s="74" t="s">
        <v>215</v>
      </c>
      <c r="E36" s="66"/>
      <c r="F36" s="61"/>
    </row>
    <row r="37" spans="1:9">
      <c r="A37" s="58" t="s">
        <v>261</v>
      </c>
      <c r="B37" s="58" t="s">
        <v>262</v>
      </c>
      <c r="C37" s="66"/>
      <c r="D37" s="74" t="s">
        <v>215</v>
      </c>
      <c r="E37" s="66"/>
      <c r="F37" s="61"/>
    </row>
    <row r="38" spans="1:9">
      <c r="A38" s="58" t="s">
        <v>263</v>
      </c>
      <c r="B38" s="58" t="s">
        <v>264</v>
      </c>
      <c r="C38" s="66"/>
      <c r="D38" s="74" t="s">
        <v>215</v>
      </c>
      <c r="E38" s="66"/>
      <c r="F38" s="61"/>
    </row>
    <row r="39" spans="1:9">
      <c r="A39" s="58" t="s">
        <v>265</v>
      </c>
      <c r="B39" s="58" t="s">
        <v>266</v>
      </c>
      <c r="C39" s="103"/>
      <c r="D39" s="105"/>
      <c r="E39" s="66" t="s">
        <v>203</v>
      </c>
      <c r="F39" s="61">
        <v>982408.82</v>
      </c>
      <c r="G39" s="5">
        <v>45505</v>
      </c>
      <c r="H39" s="72">
        <v>10</v>
      </c>
      <c r="I39" s="73">
        <f>+F39/H39</f>
        <v>98240.881999999998</v>
      </c>
    </row>
    <row r="40" spans="1:9">
      <c r="A40" s="58" t="s">
        <v>267</v>
      </c>
      <c r="B40" s="58" t="s">
        <v>268</v>
      </c>
      <c r="C40" s="66"/>
      <c r="D40" s="74" t="s">
        <v>215</v>
      </c>
      <c r="E40" s="66"/>
      <c r="F40" s="61"/>
    </row>
    <row r="41" spans="1:9">
      <c r="A41" s="58" t="s">
        <v>269</v>
      </c>
      <c r="B41" s="58" t="s">
        <v>270</v>
      </c>
      <c r="C41" s="103"/>
      <c r="D41" s="105"/>
      <c r="E41" s="66" t="s">
        <v>203</v>
      </c>
      <c r="F41" s="61">
        <v>5499.23</v>
      </c>
    </row>
    <row r="42" spans="1:9">
      <c r="A42" s="58" t="s">
        <v>271</v>
      </c>
      <c r="B42" s="58" t="s">
        <v>272</v>
      </c>
      <c r="C42" s="103"/>
      <c r="D42" s="105"/>
      <c r="E42" s="66" t="s">
        <v>203</v>
      </c>
      <c r="F42" s="61">
        <v>171340.59</v>
      </c>
    </row>
    <row r="43" spans="1:9">
      <c r="A43" s="58" t="s">
        <v>273</v>
      </c>
      <c r="B43" s="58" t="s">
        <v>274</v>
      </c>
      <c r="C43" s="103"/>
      <c r="D43" s="105"/>
      <c r="E43" s="66" t="s">
        <v>206</v>
      </c>
      <c r="F43" s="61">
        <v>584900.24</v>
      </c>
      <c r="G43" s="3"/>
    </row>
    <row r="44" spans="1:9">
      <c r="A44" s="58" t="s">
        <v>275</v>
      </c>
      <c r="B44" s="58" t="s">
        <v>276</v>
      </c>
      <c r="C44" s="103"/>
      <c r="D44" s="105" t="s">
        <v>215</v>
      </c>
      <c r="E44" s="66"/>
      <c r="F44" s="61"/>
    </row>
    <row r="45" spans="1:9">
      <c r="A45" s="58" t="s">
        <v>277</v>
      </c>
      <c r="B45" s="58" t="s">
        <v>278</v>
      </c>
      <c r="C45" s="103"/>
      <c r="D45" s="105"/>
      <c r="E45" s="66" t="s">
        <v>203</v>
      </c>
      <c r="F45" s="61">
        <v>6926.55</v>
      </c>
    </row>
    <row r="46" spans="1:9">
      <c r="A46" s="58" t="s">
        <v>279</v>
      </c>
      <c r="B46" s="58" t="s">
        <v>280</v>
      </c>
      <c r="C46" s="103"/>
      <c r="D46" s="105"/>
      <c r="E46" s="66" t="s">
        <v>203</v>
      </c>
      <c r="F46" s="61">
        <v>10351.379999999999</v>
      </c>
    </row>
    <row r="47" spans="1:9">
      <c r="A47" s="58" t="s">
        <v>281</v>
      </c>
      <c r="B47" s="58" t="s">
        <v>282</v>
      </c>
      <c r="C47" s="103"/>
      <c r="D47" s="105"/>
      <c r="E47" s="66" t="s">
        <v>203</v>
      </c>
      <c r="F47" s="61">
        <v>715.34</v>
      </c>
    </row>
    <row r="48" spans="1:9">
      <c r="A48" s="58" t="s">
        <v>283</v>
      </c>
      <c r="B48" s="58" t="s">
        <v>229</v>
      </c>
      <c r="C48" s="103"/>
      <c r="D48" s="105" t="s">
        <v>215</v>
      </c>
      <c r="E48" s="66"/>
      <c r="F48" s="61"/>
    </row>
    <row r="49" spans="1:6">
      <c r="A49" s="58" t="s">
        <v>284</v>
      </c>
      <c r="B49" s="58" t="s">
        <v>285</v>
      </c>
      <c r="C49" s="103"/>
      <c r="D49" s="105"/>
      <c r="E49" s="66" t="s">
        <v>203</v>
      </c>
      <c r="F49" s="61">
        <v>2894.79</v>
      </c>
    </row>
    <row r="50" spans="1:6">
      <c r="A50" s="58" t="s">
        <v>286</v>
      </c>
      <c r="B50" s="58" t="s">
        <v>287</v>
      </c>
      <c r="C50" s="103"/>
      <c r="D50" s="105"/>
      <c r="E50" s="66" t="s">
        <v>203</v>
      </c>
      <c r="F50" s="61">
        <v>11669.11</v>
      </c>
    </row>
    <row r="51" spans="1:6">
      <c r="A51" s="58" t="s">
        <v>288</v>
      </c>
      <c r="B51" s="58" t="s">
        <v>289</v>
      </c>
      <c r="C51" s="103"/>
      <c r="D51" s="105"/>
      <c r="E51" s="66" t="s">
        <v>203</v>
      </c>
      <c r="F51" s="61">
        <v>13713.22</v>
      </c>
    </row>
    <row r="52" spans="1:6">
      <c r="A52" s="58" t="s">
        <v>290</v>
      </c>
      <c r="B52" s="58" t="s">
        <v>291</v>
      </c>
      <c r="C52" s="103"/>
      <c r="D52" s="105"/>
      <c r="E52" s="66" t="s">
        <v>203</v>
      </c>
      <c r="F52" s="61">
        <v>1657.26</v>
      </c>
    </row>
    <row r="53" spans="1:6">
      <c r="A53" s="58" t="s">
        <v>292</v>
      </c>
      <c r="B53" s="58" t="s">
        <v>245</v>
      </c>
      <c r="C53" s="103"/>
      <c r="D53" s="105"/>
      <c r="E53" s="66"/>
      <c r="F53" s="61">
        <v>1081.46</v>
      </c>
    </row>
    <row r="54" spans="1:6">
      <c r="A54" s="58" t="s">
        <v>293</v>
      </c>
      <c r="B54" s="58" t="s">
        <v>294</v>
      </c>
      <c r="C54" s="103"/>
      <c r="D54" s="105"/>
      <c r="E54" s="66"/>
      <c r="F54" s="61">
        <v>16553.91</v>
      </c>
    </row>
  </sheetData>
  <pageMargins left="0.7" right="0.7" top="0.75" bottom="0.75" header="0.3" footer="0.3"/>
  <pageSetup paperSize="25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48A2-EAB4-4C07-A344-393AD996B8C3}">
  <dimension ref="A1:Q81"/>
  <sheetViews>
    <sheetView topLeftCell="A21" workbookViewId="0">
      <selection activeCell="N4" sqref="N4"/>
    </sheetView>
  </sheetViews>
  <sheetFormatPr defaultRowHeight="14.25"/>
  <cols>
    <col min="1" max="1" width="9.25" customWidth="1"/>
    <col min="3" max="3" width="33.875" customWidth="1"/>
    <col min="4" max="4" width="11" customWidth="1"/>
    <col min="5" max="5" width="11" bestFit="1" customWidth="1"/>
    <col min="6" max="6" width="12.375" bestFit="1" customWidth="1"/>
    <col min="7" max="7" width="11" bestFit="1" customWidth="1"/>
    <col min="8" max="8" width="12.375" bestFit="1" customWidth="1"/>
    <col min="9" max="9" width="11.25" customWidth="1"/>
    <col min="10" max="10" width="10.875" customWidth="1"/>
    <col min="11" max="11" width="12.375" bestFit="1" customWidth="1"/>
    <col min="12" max="12" width="10" customWidth="1"/>
    <col min="13" max="13" width="11.875" customWidth="1"/>
    <col min="14" max="14" width="11.625" bestFit="1" customWidth="1"/>
    <col min="15" max="15" width="10.625" customWidth="1"/>
    <col min="16" max="16" width="11" bestFit="1" customWidth="1"/>
  </cols>
  <sheetData>
    <row r="1" spans="1:17">
      <c r="A1" s="267" t="s">
        <v>295</v>
      </c>
      <c r="B1" s="267"/>
      <c r="C1" s="253" t="s">
        <v>296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  <c r="O1" s="254"/>
      <c r="P1" s="254"/>
      <c r="Q1" s="254"/>
    </row>
    <row r="2" spans="1:17">
      <c r="A2" s="267" t="s">
        <v>297</v>
      </c>
      <c r="B2" s="254"/>
      <c r="C2" s="253" t="s">
        <v>298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4"/>
      <c r="P2" s="254"/>
      <c r="Q2" s="254"/>
    </row>
    <row r="3" spans="1:17">
      <c r="A3" s="267" t="s">
        <v>299</v>
      </c>
      <c r="B3" s="254"/>
      <c r="C3" s="256">
        <v>45413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  <c r="O3" s="254"/>
      <c r="P3" s="254"/>
      <c r="Q3" s="254"/>
    </row>
    <row r="4" spans="1:17">
      <c r="A4" s="254"/>
      <c r="B4" s="254"/>
      <c r="C4" s="254"/>
      <c r="D4" s="254"/>
      <c r="E4" s="254"/>
      <c r="F4" s="254"/>
      <c r="G4" s="257"/>
      <c r="H4" s="254"/>
      <c r="I4" s="254"/>
      <c r="J4" s="254" t="s">
        <v>300</v>
      </c>
      <c r="K4" s="254"/>
      <c r="L4" s="254"/>
      <c r="M4" s="254"/>
      <c r="N4" s="255"/>
      <c r="O4" s="254"/>
      <c r="P4" s="254"/>
      <c r="Q4" s="254"/>
    </row>
    <row r="5" spans="1:17">
      <c r="A5" s="254"/>
      <c r="B5" s="254"/>
      <c r="C5" s="254"/>
      <c r="D5" s="254"/>
      <c r="E5" s="254"/>
      <c r="F5" s="257"/>
      <c r="G5" s="257" t="s">
        <v>301</v>
      </c>
      <c r="H5" s="257"/>
      <c r="I5" s="257" t="s">
        <v>301</v>
      </c>
      <c r="J5" s="257" t="s">
        <v>301</v>
      </c>
      <c r="K5" s="257"/>
      <c r="L5" s="254"/>
      <c r="M5" s="254"/>
      <c r="N5" s="255"/>
      <c r="O5" s="254"/>
      <c r="P5" s="254"/>
      <c r="Q5" s="254"/>
    </row>
    <row r="6" spans="1:17">
      <c r="A6" s="254"/>
      <c r="B6" s="254"/>
      <c r="C6" s="254"/>
      <c r="D6" s="254"/>
      <c r="E6" s="254"/>
      <c r="F6" s="257"/>
      <c r="G6" s="257" t="s">
        <v>302</v>
      </c>
      <c r="H6" s="257" t="s">
        <v>303</v>
      </c>
      <c r="I6" s="257" t="s">
        <v>304</v>
      </c>
      <c r="J6" s="257" t="s">
        <v>305</v>
      </c>
      <c r="K6" s="258" t="s">
        <v>25</v>
      </c>
      <c r="L6" s="254"/>
      <c r="M6" s="254"/>
      <c r="N6" s="259" t="s">
        <v>306</v>
      </c>
      <c r="O6" s="254"/>
      <c r="P6" s="254"/>
      <c r="Q6" s="254"/>
    </row>
    <row r="7" spans="1:17">
      <c r="A7" s="254"/>
      <c r="B7" s="254"/>
      <c r="C7" s="254"/>
      <c r="D7" s="254"/>
      <c r="E7" s="254"/>
      <c r="F7" s="257"/>
      <c r="G7" s="257" t="s">
        <v>307</v>
      </c>
      <c r="H7" s="257" t="s">
        <v>308</v>
      </c>
      <c r="I7" s="257" t="s">
        <v>307</v>
      </c>
      <c r="J7" s="257" t="s">
        <v>309</v>
      </c>
      <c r="K7" s="258" t="s">
        <v>310</v>
      </c>
      <c r="L7" s="260" t="s">
        <v>311</v>
      </c>
      <c r="M7" s="260"/>
      <c r="N7" s="259" t="s">
        <v>307</v>
      </c>
      <c r="O7" s="260" t="s">
        <v>115</v>
      </c>
      <c r="P7" s="260" t="s">
        <v>118</v>
      </c>
      <c r="Q7" s="254"/>
    </row>
    <row r="8" spans="1:17">
      <c r="A8" s="261" t="s">
        <v>312</v>
      </c>
      <c r="B8" s="261" t="s">
        <v>313</v>
      </c>
      <c r="C8" s="261" t="s">
        <v>314</v>
      </c>
      <c r="D8" s="262" t="s">
        <v>315</v>
      </c>
      <c r="E8" s="261" t="s">
        <v>316</v>
      </c>
      <c r="F8" s="261" t="s">
        <v>317</v>
      </c>
      <c r="G8" s="263">
        <f>+F57</f>
        <v>370570.45000000007</v>
      </c>
      <c r="H8" s="262" t="s">
        <v>318</v>
      </c>
      <c r="I8" s="263">
        <f>+E78</f>
        <v>173961.36</v>
      </c>
      <c r="J8" s="264">
        <v>0</v>
      </c>
      <c r="K8" s="265" t="s">
        <v>307</v>
      </c>
      <c r="L8" s="261" t="s">
        <v>319</v>
      </c>
      <c r="M8" s="261" t="s">
        <v>320</v>
      </c>
      <c r="N8" s="266" t="s">
        <v>321</v>
      </c>
      <c r="O8" s="261" t="s">
        <v>200</v>
      </c>
      <c r="P8" s="261" t="s">
        <v>53</v>
      </c>
      <c r="Q8" s="254"/>
    </row>
    <row r="9" spans="1:17" ht="24">
      <c r="A9" s="260"/>
      <c r="B9" s="254"/>
      <c r="C9" s="394" t="s">
        <v>322</v>
      </c>
      <c r="D9" s="268"/>
      <c r="E9" s="269"/>
      <c r="F9" s="270"/>
      <c r="G9" s="255"/>
      <c r="H9" s="255"/>
      <c r="I9" s="255"/>
      <c r="J9" s="255"/>
      <c r="K9" s="271"/>
      <c r="L9" s="254"/>
      <c r="M9" s="260"/>
      <c r="N9" s="255"/>
      <c r="O9" s="254"/>
      <c r="P9" s="254"/>
      <c r="Q9" s="254"/>
    </row>
    <row r="10" spans="1:17">
      <c r="A10" s="260">
        <v>3</v>
      </c>
      <c r="B10" s="254"/>
      <c r="C10" s="254" t="s">
        <v>323</v>
      </c>
      <c r="D10" s="268">
        <v>1</v>
      </c>
      <c r="E10" s="272">
        <f>+F10/D10</f>
        <v>4807</v>
      </c>
      <c r="F10" s="270">
        <v>4807</v>
      </c>
      <c r="G10" s="255">
        <f>+F10/$F$41*$G$8</f>
        <v>393.5290945589847</v>
      </c>
      <c r="H10" s="255">
        <f t="shared" ref="H10:H36" si="0">+F10+G10</f>
        <v>5200.529094558985</v>
      </c>
      <c r="I10" s="255">
        <f>+F10/$F$41*$I$8</f>
        <v>184.73911368013711</v>
      </c>
      <c r="J10" s="255">
        <f t="shared" ref="J10:J36" si="1">+H10*$J$8</f>
        <v>0</v>
      </c>
      <c r="K10" s="271">
        <f t="shared" ref="K10:K19" si="2">SUM(H10:J10)</f>
        <v>5385.268208239122</v>
      </c>
      <c r="L10" s="273" t="s">
        <v>324</v>
      </c>
      <c r="M10" s="274" t="s">
        <v>131</v>
      </c>
      <c r="N10" s="275">
        <f t="shared" ref="N10:N19" si="3">K10/D10</f>
        <v>5385.268208239122</v>
      </c>
      <c r="O10" s="274">
        <v>50</v>
      </c>
      <c r="P10" s="276">
        <f>+K10/O10</f>
        <v>107.70536416478244</v>
      </c>
      <c r="Q10" s="254"/>
    </row>
    <row r="11" spans="1:17">
      <c r="A11" s="260">
        <v>8</v>
      </c>
      <c r="B11" s="254"/>
      <c r="C11" s="254" t="s">
        <v>325</v>
      </c>
      <c r="D11" s="268">
        <v>1012.5</v>
      </c>
      <c r="E11" s="272">
        <f t="shared" ref="E11:E13" si="4">+F11/D11</f>
        <v>76</v>
      </c>
      <c r="F11" s="270">
        <v>76950</v>
      </c>
      <c r="G11" s="255">
        <f>+F11/$F$41*$G$8</f>
        <v>6299.5764148770277</v>
      </c>
      <c r="H11" s="255">
        <f>+F11+G11</f>
        <v>83249.576414877025</v>
      </c>
      <c r="I11" s="255">
        <f>+F11/$F$41*$I$8</f>
        <v>2957.2862071326294</v>
      </c>
      <c r="J11" s="255">
        <f>+H11*$J$8</f>
        <v>0</v>
      </c>
      <c r="K11" s="271">
        <f>SUM(H11:J11)</f>
        <v>86206.862622009648</v>
      </c>
      <c r="L11" s="277" t="s">
        <v>326</v>
      </c>
      <c r="M11" s="278" t="s">
        <v>128</v>
      </c>
      <c r="N11" s="279">
        <f>K11/D11</f>
        <v>85.14258036741694</v>
      </c>
      <c r="O11" s="278">
        <v>62.5</v>
      </c>
      <c r="P11" s="280">
        <f>+K11/O11</f>
        <v>1379.3098019521544</v>
      </c>
      <c r="Q11" s="254"/>
    </row>
    <row r="12" spans="1:17">
      <c r="A12" s="260">
        <v>9</v>
      </c>
      <c r="B12" s="254"/>
      <c r="C12" s="254" t="s">
        <v>327</v>
      </c>
      <c r="D12" s="268">
        <v>118</v>
      </c>
      <c r="E12" s="272">
        <f t="shared" si="4"/>
        <v>55</v>
      </c>
      <c r="F12" s="270">
        <v>6490</v>
      </c>
      <c r="G12" s="255">
        <f>+F12/$F$41*$G$8</f>
        <v>531.30930386682144</v>
      </c>
      <c r="H12" s="255">
        <f t="shared" si="0"/>
        <v>7021.3093038668212</v>
      </c>
      <c r="I12" s="255">
        <f>+F12/$F$41*$I$8</f>
        <v>249.41894066654666</v>
      </c>
      <c r="J12" s="255">
        <f t="shared" si="1"/>
        <v>0</v>
      </c>
      <c r="K12" s="271">
        <f t="shared" si="2"/>
        <v>7270.7282445333676</v>
      </c>
      <c r="L12" s="277" t="s">
        <v>326</v>
      </c>
      <c r="M12" s="278" t="s">
        <v>128</v>
      </c>
      <c r="N12" s="279">
        <f>K12/D12</f>
        <v>61.616341055367521</v>
      </c>
      <c r="O12" s="278">
        <v>62.5</v>
      </c>
      <c r="P12" s="280">
        <f>+K12/O12</f>
        <v>116.33165191253389</v>
      </c>
      <c r="Q12" s="254"/>
    </row>
    <row r="13" spans="1:17">
      <c r="A13" s="260"/>
      <c r="B13" s="254"/>
      <c r="C13" s="254" t="s">
        <v>328</v>
      </c>
      <c r="D13" s="268">
        <f>1+2+1+1+115+160+1</f>
        <v>281</v>
      </c>
      <c r="E13" s="272">
        <f t="shared" si="4"/>
        <v>504.07829181494662</v>
      </c>
      <c r="F13" s="270">
        <f>7590+8360+3450+5216+26680+87880+2470</f>
        <v>141646</v>
      </c>
      <c r="G13" s="255">
        <f>+F13/$F$41*$G$8</f>
        <v>11595.96882211399</v>
      </c>
      <c r="H13" s="255">
        <f t="shared" si="0"/>
        <v>153241.96882211399</v>
      </c>
      <c r="I13" s="255">
        <f>+F13/$F$41*$I$8</f>
        <v>5443.6356347694409</v>
      </c>
      <c r="J13" s="255">
        <f t="shared" si="1"/>
        <v>0</v>
      </c>
      <c r="K13" s="271">
        <f t="shared" si="2"/>
        <v>158685.60445688345</v>
      </c>
      <c r="L13" s="277" t="s">
        <v>326</v>
      </c>
      <c r="M13" s="278" t="s">
        <v>128</v>
      </c>
      <c r="N13" s="279">
        <f t="shared" si="3"/>
        <v>564.71745358321516</v>
      </c>
      <c r="O13" s="278">
        <v>62.5</v>
      </c>
      <c r="P13" s="280">
        <f>+K13/O13</f>
        <v>2538.9696713101353</v>
      </c>
      <c r="Q13" s="254"/>
    </row>
    <row r="14" spans="1:17">
      <c r="A14" s="260"/>
      <c r="B14" s="254"/>
      <c r="C14" s="254"/>
      <c r="D14" s="268"/>
      <c r="E14" s="272"/>
      <c r="F14" s="270"/>
      <c r="G14" s="255"/>
      <c r="H14" s="255"/>
      <c r="I14" s="255"/>
      <c r="J14" s="255"/>
      <c r="K14" s="271"/>
      <c r="L14" s="254"/>
      <c r="M14" s="260"/>
      <c r="N14" s="255"/>
      <c r="O14" s="260"/>
      <c r="P14" s="272"/>
      <c r="Q14" s="254"/>
    </row>
    <row r="15" spans="1:17">
      <c r="A15" s="260"/>
      <c r="B15" s="254"/>
      <c r="C15" s="267" t="s">
        <v>329</v>
      </c>
      <c r="D15" s="268"/>
      <c r="E15" s="272"/>
      <c r="F15" s="270"/>
      <c r="G15" s="255"/>
      <c r="H15" s="255"/>
      <c r="I15" s="255"/>
      <c r="J15" s="255"/>
      <c r="K15" s="271"/>
      <c r="L15" s="254"/>
      <c r="M15" s="260"/>
      <c r="N15" s="255"/>
      <c r="O15" s="260"/>
      <c r="P15" s="272"/>
      <c r="Q15" s="254"/>
    </row>
    <row r="16" spans="1:17">
      <c r="A16" s="260">
        <v>5</v>
      </c>
      <c r="B16" s="254"/>
      <c r="C16" s="254" t="s">
        <v>330</v>
      </c>
      <c r="D16" s="268">
        <v>2876</v>
      </c>
      <c r="E16" s="272">
        <f>+F16/D16</f>
        <v>76</v>
      </c>
      <c r="F16" s="270">
        <v>218576</v>
      </c>
      <c r="G16" s="255">
        <f>+F16/$F$41*$G$8</f>
        <v>17893.907920184032</v>
      </c>
      <c r="H16" s="255">
        <f t="shared" si="0"/>
        <v>236469.90792018402</v>
      </c>
      <c r="I16" s="255">
        <f>+F16/$F$41*$I$8</f>
        <v>8400.1532165071039</v>
      </c>
      <c r="J16" s="255">
        <f t="shared" si="1"/>
        <v>0</v>
      </c>
      <c r="K16" s="271">
        <f t="shared" si="2"/>
        <v>244870.06113669113</v>
      </c>
      <c r="L16" s="277" t="s">
        <v>326</v>
      </c>
      <c r="M16" s="278" t="s">
        <v>128</v>
      </c>
      <c r="N16" s="279">
        <f t="shared" si="3"/>
        <v>85.14258036741694</v>
      </c>
      <c r="O16" s="278">
        <v>62.5</v>
      </c>
      <c r="P16" s="280">
        <f>+K16/O16</f>
        <v>3917.9209781870582</v>
      </c>
      <c r="Q16" s="254"/>
    </row>
    <row r="17" spans="1:17">
      <c r="A17" s="260">
        <v>6</v>
      </c>
      <c r="B17" s="254"/>
      <c r="C17" s="254" t="s">
        <v>331</v>
      </c>
      <c r="D17" s="268">
        <v>20</v>
      </c>
      <c r="E17" s="272">
        <f t="shared" ref="E17:E36" si="5">+F17/D17</f>
        <v>55</v>
      </c>
      <c r="F17" s="270">
        <v>1100</v>
      </c>
      <c r="G17" s="255">
        <f>+F17/$F$41*$G$8</f>
        <v>90.052424384207029</v>
      </c>
      <c r="H17" s="255">
        <f t="shared" si="0"/>
        <v>1190.0524243842069</v>
      </c>
      <c r="I17" s="255">
        <f>+F17/$F$41*$I$8</f>
        <v>42.274396723143504</v>
      </c>
      <c r="J17" s="255">
        <f t="shared" si="1"/>
        <v>0</v>
      </c>
      <c r="K17" s="271">
        <f t="shared" si="2"/>
        <v>1232.3268211073505</v>
      </c>
      <c r="L17" s="277" t="s">
        <v>326</v>
      </c>
      <c r="M17" s="278" t="s">
        <v>128</v>
      </c>
      <c r="N17" s="279">
        <f t="shared" si="3"/>
        <v>61.616341055367528</v>
      </c>
      <c r="O17" s="278">
        <v>62.5</v>
      </c>
      <c r="P17" s="280">
        <f>+K17/O17</f>
        <v>19.717229137717609</v>
      </c>
      <c r="Q17" s="254"/>
    </row>
    <row r="18" spans="1:17">
      <c r="A18" s="260">
        <v>8</v>
      </c>
      <c r="B18" s="254"/>
      <c r="C18" s="254" t="s">
        <v>332</v>
      </c>
      <c r="D18" s="268">
        <v>7</v>
      </c>
      <c r="E18" s="272">
        <f t="shared" si="5"/>
        <v>6902</v>
      </c>
      <c r="F18" s="270">
        <v>48314</v>
      </c>
      <c r="G18" s="255">
        <f>+F18/$F$41*$G$8</f>
        <v>3955.2662106350708</v>
      </c>
      <c r="H18" s="255">
        <f t="shared" si="0"/>
        <v>52269.266210635069</v>
      </c>
      <c r="I18" s="255">
        <f>+F18/$F$41*$I$8</f>
        <v>1856.7683666199591</v>
      </c>
      <c r="J18" s="255">
        <f t="shared" si="1"/>
        <v>0</v>
      </c>
      <c r="K18" s="271">
        <f t="shared" si="2"/>
        <v>54126.034577255028</v>
      </c>
      <c r="L18" s="273" t="s">
        <v>324</v>
      </c>
      <c r="M18" s="274" t="s">
        <v>131</v>
      </c>
      <c r="N18" s="275">
        <f t="shared" si="3"/>
        <v>7732.2906538935758</v>
      </c>
      <c r="O18" s="274">
        <v>50</v>
      </c>
      <c r="P18" s="276">
        <f>+K18/O18</f>
        <v>1082.5206915451006</v>
      </c>
      <c r="Q18" s="254"/>
    </row>
    <row r="19" spans="1:17">
      <c r="A19" s="260"/>
      <c r="B19" s="254"/>
      <c r="C19" s="254" t="s">
        <v>328</v>
      </c>
      <c r="D19" s="268">
        <f>400+10+1+1+8+1</f>
        <v>421</v>
      </c>
      <c r="E19" s="272">
        <f t="shared" si="5"/>
        <v>389.84323040380048</v>
      </c>
      <c r="F19" s="270">
        <f>114400+41800+3163+2470+2120+171</f>
        <v>164124</v>
      </c>
      <c r="G19" s="255">
        <f>+F19/$F$41*$G$8</f>
        <v>13436.149181485083</v>
      </c>
      <c r="H19" s="255">
        <f t="shared" si="0"/>
        <v>177560.14918148509</v>
      </c>
      <c r="I19" s="255">
        <f>+F19/$F$41*$I$8</f>
        <v>6307.4937161720027</v>
      </c>
      <c r="J19" s="255">
        <f t="shared" si="1"/>
        <v>0</v>
      </c>
      <c r="K19" s="271">
        <f t="shared" si="2"/>
        <v>183867.64289765709</v>
      </c>
      <c r="L19" s="277" t="s">
        <v>326</v>
      </c>
      <c r="M19" s="278" t="s">
        <v>128</v>
      </c>
      <c r="N19" s="279">
        <f t="shared" si="3"/>
        <v>436.74024441248713</v>
      </c>
      <c r="O19" s="278">
        <v>62.5</v>
      </c>
      <c r="P19" s="280">
        <f>+K19/O19</f>
        <v>2941.8822863625132</v>
      </c>
      <c r="Q19" s="254"/>
    </row>
    <row r="20" spans="1:17">
      <c r="A20" s="260"/>
      <c r="B20" s="254"/>
      <c r="C20" s="254"/>
      <c r="D20" s="268"/>
      <c r="E20" s="281"/>
      <c r="F20" s="270"/>
      <c r="G20" s="255"/>
      <c r="H20" s="255"/>
      <c r="I20" s="255"/>
      <c r="J20" s="255"/>
      <c r="K20" s="271"/>
      <c r="L20" s="254"/>
      <c r="M20" s="260"/>
      <c r="N20" s="255"/>
      <c r="O20" s="260"/>
      <c r="P20" s="272"/>
      <c r="Q20" s="254"/>
    </row>
    <row r="21" spans="1:17">
      <c r="A21" s="260"/>
      <c r="B21" s="254"/>
      <c r="C21" s="267" t="s">
        <v>333</v>
      </c>
      <c r="D21" s="268"/>
      <c r="E21" s="281"/>
      <c r="F21" s="270"/>
      <c r="G21" s="255"/>
      <c r="H21" s="255"/>
      <c r="I21" s="255"/>
      <c r="J21" s="255"/>
      <c r="K21" s="271"/>
      <c r="L21" s="254"/>
      <c r="M21" s="260"/>
      <c r="N21" s="255"/>
      <c r="O21" s="260"/>
      <c r="P21" s="272"/>
      <c r="Q21" s="254"/>
    </row>
    <row r="22" spans="1:17">
      <c r="A22" s="260">
        <v>1</v>
      </c>
      <c r="B22" s="254"/>
      <c r="C22" s="254" t="s">
        <v>325</v>
      </c>
      <c r="D22" s="268">
        <v>3084</v>
      </c>
      <c r="E22" s="272">
        <f t="shared" si="5"/>
        <v>68</v>
      </c>
      <c r="F22" s="270">
        <v>209712</v>
      </c>
      <c r="G22" s="255">
        <f>+F22/$F$41*$G$8</f>
        <v>17168.249111328019</v>
      </c>
      <c r="H22" s="255">
        <f t="shared" si="0"/>
        <v>226880.24911132801</v>
      </c>
      <c r="I22" s="255">
        <f>+F22/$F$41*$I$8</f>
        <v>8059.4984414580631</v>
      </c>
      <c r="J22" s="255">
        <f t="shared" si="1"/>
        <v>0</v>
      </c>
      <c r="K22" s="271">
        <f t="shared" ref="K22:K36" si="6">SUM(H22:J22)</f>
        <v>234939.74755278608</v>
      </c>
      <c r="L22" s="277" t="s">
        <v>326</v>
      </c>
      <c r="M22" s="278" t="s">
        <v>128</v>
      </c>
      <c r="N22" s="279">
        <f t="shared" ref="N22:N25" si="7">K22/D22</f>
        <v>76.180203486636216</v>
      </c>
      <c r="O22" s="278">
        <v>62.5</v>
      </c>
      <c r="P22" s="280">
        <f>+K22/O22</f>
        <v>3759.0359608445774</v>
      </c>
      <c r="Q22" s="254"/>
    </row>
    <row r="23" spans="1:17">
      <c r="A23" s="260">
        <v>2</v>
      </c>
      <c r="B23" s="254"/>
      <c r="C23" s="254" t="s">
        <v>327</v>
      </c>
      <c r="D23" s="268">
        <v>380</v>
      </c>
      <c r="E23" s="272">
        <f t="shared" si="5"/>
        <v>32</v>
      </c>
      <c r="F23" s="270">
        <v>12160</v>
      </c>
      <c r="G23" s="255">
        <f>+F23/$F$41*$G$8</f>
        <v>995.48861864723403</v>
      </c>
      <c r="H23" s="255">
        <f t="shared" si="0"/>
        <v>13155.488618647234</v>
      </c>
      <c r="I23" s="255">
        <f>+F23/$F$41*$I$8</f>
        <v>467.32424013947724</v>
      </c>
      <c r="J23" s="255">
        <f t="shared" si="1"/>
        <v>0</v>
      </c>
      <c r="K23" s="271">
        <f t="shared" si="6"/>
        <v>13622.81285878671</v>
      </c>
      <c r="L23" s="277" t="s">
        <v>326</v>
      </c>
      <c r="M23" s="278" t="s">
        <v>128</v>
      </c>
      <c r="N23" s="279">
        <f t="shared" si="7"/>
        <v>35.849507523122924</v>
      </c>
      <c r="O23" s="278">
        <v>62.5</v>
      </c>
      <c r="P23" s="280">
        <f>+K23/O23</f>
        <v>217.96500574058737</v>
      </c>
      <c r="Q23" s="254"/>
    </row>
    <row r="24" spans="1:17">
      <c r="A24" s="260">
        <v>12</v>
      </c>
      <c r="B24" s="254"/>
      <c r="C24" s="254" t="s">
        <v>332</v>
      </c>
      <c r="D24" s="268">
        <v>2</v>
      </c>
      <c r="E24" s="272">
        <f t="shared" si="5"/>
        <v>6765</v>
      </c>
      <c r="F24" s="270">
        <v>13530</v>
      </c>
      <c r="G24" s="255">
        <f>+F24/$F$41*$G$8</f>
        <v>1107.6448199257466</v>
      </c>
      <c r="H24" s="255">
        <f t="shared" si="0"/>
        <v>14637.644819925747</v>
      </c>
      <c r="I24" s="255">
        <f>+F24/$F$41*$I$8</f>
        <v>519.97507969466506</v>
      </c>
      <c r="J24" s="255">
        <f t="shared" si="1"/>
        <v>0</v>
      </c>
      <c r="K24" s="271">
        <f t="shared" si="6"/>
        <v>15157.619899620411</v>
      </c>
      <c r="L24" s="273" t="s">
        <v>324</v>
      </c>
      <c r="M24" s="274" t="s">
        <v>131</v>
      </c>
      <c r="N24" s="275">
        <f t="shared" si="7"/>
        <v>7578.8099498102056</v>
      </c>
      <c r="O24" s="274">
        <v>50</v>
      </c>
      <c r="P24" s="276">
        <f>+K24/O24</f>
        <v>303.15239799240823</v>
      </c>
      <c r="Q24" s="254"/>
    </row>
    <row r="25" spans="1:17">
      <c r="A25" s="260"/>
      <c r="B25" s="254"/>
      <c r="C25" s="254" t="s">
        <v>328</v>
      </c>
      <c r="D25" s="268">
        <f>3+1+2+1+1+1+1</f>
        <v>10</v>
      </c>
      <c r="E25" s="272">
        <f t="shared" si="5"/>
        <v>3442.5</v>
      </c>
      <c r="F25" s="270">
        <f>13338+1980+770+7700+3206+4345+3086</f>
        <v>34425</v>
      </c>
      <c r="G25" s="255">
        <f>+F25/$F$41*$G$8</f>
        <v>2818.2315540239333</v>
      </c>
      <c r="H25" s="255">
        <f t="shared" si="0"/>
        <v>37243.231554023936</v>
      </c>
      <c r="I25" s="255">
        <f>+F25/$F$41*$I$8</f>
        <v>1322.99646108565</v>
      </c>
      <c r="J25" s="255">
        <f t="shared" si="1"/>
        <v>0</v>
      </c>
      <c r="K25" s="271">
        <f t="shared" si="6"/>
        <v>38566.228015109584</v>
      </c>
      <c r="L25" s="277" t="s">
        <v>326</v>
      </c>
      <c r="M25" s="278" t="s">
        <v>128</v>
      </c>
      <c r="N25" s="279">
        <f t="shared" si="7"/>
        <v>3856.6228015109582</v>
      </c>
      <c r="O25" s="278">
        <v>62.5</v>
      </c>
      <c r="P25" s="280">
        <f>+K25/O25</f>
        <v>617.05964824175339</v>
      </c>
      <c r="Q25" s="254"/>
    </row>
    <row r="26" spans="1:17">
      <c r="A26" s="260"/>
      <c r="B26" s="254"/>
      <c r="C26" s="254"/>
      <c r="D26" s="268"/>
      <c r="E26" s="281"/>
      <c r="F26" s="270"/>
      <c r="G26" s="255"/>
      <c r="H26" s="255"/>
      <c r="I26" s="255"/>
      <c r="J26" s="255"/>
      <c r="K26" s="271"/>
      <c r="L26" s="254"/>
      <c r="M26" s="260"/>
      <c r="N26" s="255"/>
      <c r="O26" s="260"/>
      <c r="P26" s="272"/>
      <c r="Q26" s="254"/>
    </row>
    <row r="27" spans="1:17">
      <c r="A27" s="260"/>
      <c r="B27" s="254"/>
      <c r="C27" s="267" t="s">
        <v>334</v>
      </c>
      <c r="D27" s="268"/>
      <c r="E27" s="281"/>
      <c r="F27" s="270"/>
      <c r="G27" s="255"/>
      <c r="H27" s="255"/>
      <c r="I27" s="255"/>
      <c r="J27" s="255"/>
      <c r="K27" s="271"/>
      <c r="L27" s="254"/>
      <c r="M27" s="260"/>
      <c r="N27" s="255"/>
      <c r="O27" s="260"/>
      <c r="P27" s="272"/>
      <c r="Q27" s="254"/>
    </row>
    <row r="28" spans="1:17">
      <c r="A28" s="260">
        <v>2</v>
      </c>
      <c r="B28" s="254"/>
      <c r="C28" s="254" t="s">
        <v>335</v>
      </c>
      <c r="D28" s="268">
        <v>1258</v>
      </c>
      <c r="E28" s="272">
        <f t="shared" si="5"/>
        <v>270</v>
      </c>
      <c r="F28" s="270">
        <v>339660</v>
      </c>
      <c r="G28" s="255">
        <f t="shared" ref="G28:G36" si="8">+F28/$F$41*$G$8</f>
        <v>27806.551333036143</v>
      </c>
      <c r="H28" s="255">
        <f t="shared" si="0"/>
        <v>367466.55133303616</v>
      </c>
      <c r="I28" s="255">
        <f t="shared" ref="I28:I36" si="9">+F28/$F$41*$I$8</f>
        <v>13053.565082711746</v>
      </c>
      <c r="J28" s="255">
        <f t="shared" si="1"/>
        <v>0</v>
      </c>
      <c r="K28" s="271">
        <f t="shared" si="6"/>
        <v>380520.11641574791</v>
      </c>
      <c r="L28" s="277" t="s">
        <v>326</v>
      </c>
      <c r="M28" s="278" t="s">
        <v>128</v>
      </c>
      <c r="N28" s="279">
        <f t="shared" ref="N28:N36" si="10">K28/D28</f>
        <v>302.48021972634967</v>
      </c>
      <c r="O28" s="278">
        <v>62.5</v>
      </c>
      <c r="P28" s="280">
        <f t="shared" ref="P28:P36" si="11">+K28/O28</f>
        <v>6088.3218626519665</v>
      </c>
      <c r="Q28" s="254"/>
    </row>
    <row r="29" spans="1:17">
      <c r="A29" s="260">
        <v>3</v>
      </c>
      <c r="B29" s="254"/>
      <c r="C29" s="254" t="s">
        <v>336</v>
      </c>
      <c r="D29" s="268">
        <v>4970</v>
      </c>
      <c r="E29" s="272">
        <f t="shared" si="5"/>
        <v>174.6</v>
      </c>
      <c r="F29" s="270">
        <v>867762</v>
      </c>
      <c r="G29" s="255">
        <f t="shared" si="8"/>
        <v>71040.065353171143</v>
      </c>
      <c r="H29" s="255">
        <f t="shared" si="0"/>
        <v>938802.0653531712</v>
      </c>
      <c r="I29" s="255">
        <f t="shared" si="9"/>
        <v>33349.195499334957</v>
      </c>
      <c r="J29" s="255">
        <f t="shared" si="1"/>
        <v>0</v>
      </c>
      <c r="K29" s="271">
        <f t="shared" si="6"/>
        <v>972151.26085250615</v>
      </c>
      <c r="L29" s="277" t="s">
        <v>326</v>
      </c>
      <c r="M29" s="278" t="s">
        <v>128</v>
      </c>
      <c r="N29" s="279">
        <f t="shared" si="10"/>
        <v>195.60387542303945</v>
      </c>
      <c r="O29" s="278">
        <v>62.5</v>
      </c>
      <c r="P29" s="280">
        <f t="shared" si="11"/>
        <v>15554.420173640099</v>
      </c>
      <c r="Q29" s="254"/>
    </row>
    <row r="30" spans="1:17">
      <c r="A30" s="260">
        <v>4</v>
      </c>
      <c r="B30" s="254"/>
      <c r="C30" s="254" t="s">
        <v>337</v>
      </c>
      <c r="D30" s="268">
        <v>660</v>
      </c>
      <c r="E30" s="272">
        <f t="shared" si="5"/>
        <v>208</v>
      </c>
      <c r="F30" s="270">
        <v>137280</v>
      </c>
      <c r="G30" s="255">
        <f t="shared" si="8"/>
        <v>11238.542563149036</v>
      </c>
      <c r="H30" s="255">
        <f t="shared" si="0"/>
        <v>148518.54256314904</v>
      </c>
      <c r="I30" s="255">
        <f t="shared" si="9"/>
        <v>5275.8447110483085</v>
      </c>
      <c r="J30" s="255">
        <f t="shared" si="1"/>
        <v>0</v>
      </c>
      <c r="K30" s="271">
        <f t="shared" si="6"/>
        <v>153794.38727419733</v>
      </c>
      <c r="L30" s="277" t="s">
        <v>326</v>
      </c>
      <c r="M30" s="278" t="s">
        <v>128</v>
      </c>
      <c r="N30" s="279">
        <f t="shared" si="10"/>
        <v>233.02179890029899</v>
      </c>
      <c r="O30" s="278">
        <v>62.5</v>
      </c>
      <c r="P30" s="280">
        <f t="shared" si="11"/>
        <v>2460.7101963871573</v>
      </c>
      <c r="Q30" s="254"/>
    </row>
    <row r="31" spans="1:17">
      <c r="A31" s="260">
        <v>5</v>
      </c>
      <c r="B31" s="254"/>
      <c r="C31" s="254" t="s">
        <v>338</v>
      </c>
      <c r="D31" s="268">
        <v>3447</v>
      </c>
      <c r="E31" s="272">
        <f t="shared" si="5"/>
        <v>172</v>
      </c>
      <c r="F31" s="270">
        <v>592884</v>
      </c>
      <c r="G31" s="255">
        <f t="shared" si="8"/>
        <v>48536.946889642</v>
      </c>
      <c r="H31" s="255">
        <f t="shared" si="0"/>
        <v>641420.94688964204</v>
      </c>
      <c r="I31" s="255">
        <f t="shared" si="9"/>
        <v>22785.284933458377</v>
      </c>
      <c r="J31" s="255">
        <f t="shared" si="1"/>
        <v>0</v>
      </c>
      <c r="K31" s="271">
        <f t="shared" si="6"/>
        <v>664206.23182310048</v>
      </c>
      <c r="L31" s="277" t="s">
        <v>326</v>
      </c>
      <c r="M31" s="278" t="s">
        <v>128</v>
      </c>
      <c r="N31" s="279">
        <f t="shared" si="10"/>
        <v>192.69110293678574</v>
      </c>
      <c r="O31" s="278">
        <v>62.5</v>
      </c>
      <c r="P31" s="280">
        <f t="shared" si="11"/>
        <v>10627.299709169607</v>
      </c>
      <c r="Q31" s="254"/>
    </row>
    <row r="32" spans="1:17">
      <c r="A32" s="260">
        <v>6</v>
      </c>
      <c r="B32" s="254"/>
      <c r="C32" s="254" t="s">
        <v>339</v>
      </c>
      <c r="D32" s="268">
        <v>190</v>
      </c>
      <c r="E32" s="272">
        <f t="shared" si="5"/>
        <v>165</v>
      </c>
      <c r="F32" s="270">
        <v>31350</v>
      </c>
      <c r="G32" s="255">
        <f t="shared" si="8"/>
        <v>2566.4940949499</v>
      </c>
      <c r="H32" s="255">
        <f t="shared" si="0"/>
        <v>33916.4940949499</v>
      </c>
      <c r="I32" s="255">
        <f t="shared" si="9"/>
        <v>1204.8203066095896</v>
      </c>
      <c r="J32" s="255">
        <f t="shared" si="1"/>
        <v>0</v>
      </c>
      <c r="K32" s="271">
        <f t="shared" si="6"/>
        <v>35121.314401559488</v>
      </c>
      <c r="L32" s="277" t="s">
        <v>326</v>
      </c>
      <c r="M32" s="278" t="s">
        <v>128</v>
      </c>
      <c r="N32" s="279">
        <f t="shared" si="10"/>
        <v>184.84902316610257</v>
      </c>
      <c r="O32" s="278">
        <v>62.5</v>
      </c>
      <c r="P32" s="280">
        <f t="shared" si="11"/>
        <v>561.9410304249518</v>
      </c>
      <c r="Q32" s="254"/>
    </row>
    <row r="33" spans="1:17">
      <c r="A33" s="260">
        <v>7</v>
      </c>
      <c r="B33" s="254"/>
      <c r="C33" s="254" t="s">
        <v>340</v>
      </c>
      <c r="D33" s="268">
        <v>6526</v>
      </c>
      <c r="E33" s="272">
        <f t="shared" si="5"/>
        <v>133.41023597916026</v>
      </c>
      <c r="F33" s="270">
        <v>870635.2</v>
      </c>
      <c r="G33" s="255">
        <f t="shared" si="8"/>
        <v>71275.282285662688</v>
      </c>
      <c r="H33" s="255">
        <f t="shared" si="0"/>
        <v>941910.48228566267</v>
      </c>
      <c r="I33" s="255">
        <f t="shared" si="9"/>
        <v>33459.616223575802</v>
      </c>
      <c r="J33" s="255">
        <f t="shared" si="1"/>
        <v>0</v>
      </c>
      <c r="K33" s="271">
        <f t="shared" si="6"/>
        <v>975370.09850923845</v>
      </c>
      <c r="L33" s="277" t="s">
        <v>326</v>
      </c>
      <c r="M33" s="278" t="s">
        <v>128</v>
      </c>
      <c r="N33" s="279">
        <f t="shared" si="10"/>
        <v>149.45910182489098</v>
      </c>
      <c r="O33" s="278">
        <v>62.5</v>
      </c>
      <c r="P33" s="280">
        <f t="shared" si="11"/>
        <v>15605.921576147815</v>
      </c>
      <c r="Q33" s="254"/>
    </row>
    <row r="34" spans="1:17">
      <c r="A34" s="260">
        <v>8</v>
      </c>
      <c r="B34" s="254"/>
      <c r="C34" s="254" t="s">
        <v>341</v>
      </c>
      <c r="D34" s="268">
        <v>278</v>
      </c>
      <c r="E34" s="272">
        <f t="shared" si="5"/>
        <v>148</v>
      </c>
      <c r="F34" s="270">
        <v>41144</v>
      </c>
      <c r="G34" s="255">
        <f t="shared" si="8"/>
        <v>3368.2881353307403</v>
      </c>
      <c r="H34" s="255">
        <f t="shared" si="0"/>
        <v>44512.288135330738</v>
      </c>
      <c r="I34" s="255">
        <f t="shared" si="9"/>
        <v>1581.2161625245603</v>
      </c>
      <c r="J34" s="255">
        <f t="shared" si="1"/>
        <v>0</v>
      </c>
      <c r="K34" s="271">
        <f t="shared" si="6"/>
        <v>46093.504297855296</v>
      </c>
      <c r="L34" s="277" t="s">
        <v>326</v>
      </c>
      <c r="M34" s="278" t="s">
        <v>128</v>
      </c>
      <c r="N34" s="279">
        <f t="shared" si="10"/>
        <v>165.8039722944435</v>
      </c>
      <c r="O34" s="278">
        <v>62.5</v>
      </c>
      <c r="P34" s="280">
        <f t="shared" si="11"/>
        <v>737.49606876568475</v>
      </c>
      <c r="Q34" s="254"/>
    </row>
    <row r="35" spans="1:17">
      <c r="A35" s="260">
        <v>23</v>
      </c>
      <c r="B35" s="254"/>
      <c r="C35" s="254" t="s">
        <v>332</v>
      </c>
      <c r="D35" s="268">
        <v>14</v>
      </c>
      <c r="E35" s="272">
        <f t="shared" si="5"/>
        <v>8650</v>
      </c>
      <c r="F35" s="270">
        <v>121100</v>
      </c>
      <c r="G35" s="255">
        <f t="shared" si="8"/>
        <v>9913.9532662976999</v>
      </c>
      <c r="H35" s="255">
        <f t="shared" si="0"/>
        <v>131013.9532662977</v>
      </c>
      <c r="I35" s="255">
        <f t="shared" si="9"/>
        <v>4654.0267665206156</v>
      </c>
      <c r="J35" s="255">
        <f t="shared" si="1"/>
        <v>0</v>
      </c>
      <c r="K35" s="271">
        <f t="shared" si="6"/>
        <v>135667.9800328183</v>
      </c>
      <c r="L35" s="273" t="s">
        <v>324</v>
      </c>
      <c r="M35" s="274" t="s">
        <v>131</v>
      </c>
      <c r="N35" s="275">
        <f t="shared" si="10"/>
        <v>9690.5700023441641</v>
      </c>
      <c r="O35" s="274">
        <v>50</v>
      </c>
      <c r="P35" s="276">
        <f t="shared" si="11"/>
        <v>2713.3596006563662</v>
      </c>
      <c r="Q35" s="254"/>
    </row>
    <row r="36" spans="1:17">
      <c r="A36" s="260"/>
      <c r="B36" s="254"/>
      <c r="C36" s="254" t="s">
        <v>328</v>
      </c>
      <c r="D36" s="268">
        <f>195+160+60+7+5+7+12+7+5+7+9+1+8</f>
        <v>483</v>
      </c>
      <c r="E36" s="272">
        <f t="shared" si="5"/>
        <v>1177.8488612836438</v>
      </c>
      <c r="F36" s="270">
        <f>114660+71200+70000+82600+45000+45500+58800+10780+6000+5915+4446+10800+43200</f>
        <v>568901</v>
      </c>
      <c r="G36" s="255">
        <f t="shared" si="8"/>
        <v>46573.558440545232</v>
      </c>
      <c r="H36" s="255">
        <f t="shared" si="0"/>
        <v>615474.55844054522</v>
      </c>
      <c r="I36" s="255">
        <f t="shared" si="9"/>
        <v>21863.587791084599</v>
      </c>
      <c r="J36" s="255">
        <f t="shared" si="1"/>
        <v>0</v>
      </c>
      <c r="K36" s="271">
        <f t="shared" si="6"/>
        <v>637338.14623162977</v>
      </c>
      <c r="L36" s="277" t="s">
        <v>326</v>
      </c>
      <c r="M36" s="278" t="s">
        <v>128</v>
      </c>
      <c r="N36" s="279">
        <f t="shared" si="10"/>
        <v>1319.5406754278049</v>
      </c>
      <c r="O36" s="278">
        <v>62.5</v>
      </c>
      <c r="P36" s="280">
        <f t="shared" si="11"/>
        <v>10197.410339706077</v>
      </c>
      <c r="Q36" s="254"/>
    </row>
    <row r="37" spans="1:17">
      <c r="A37" s="260"/>
      <c r="B37" s="254"/>
      <c r="C37" s="254"/>
      <c r="D37" s="268"/>
      <c r="E37" s="272"/>
      <c r="F37" s="270"/>
      <c r="G37" s="255"/>
      <c r="H37" s="255"/>
      <c r="I37" s="255"/>
      <c r="J37" s="255"/>
      <c r="K37" s="271"/>
      <c r="L37" s="254"/>
      <c r="M37" s="260"/>
      <c r="N37" s="255"/>
      <c r="O37" s="254"/>
      <c r="P37" s="254"/>
      <c r="Q37" s="254"/>
    </row>
    <row r="38" spans="1:17">
      <c r="A38" s="260"/>
      <c r="B38" s="254"/>
      <c r="C38" s="267" t="s">
        <v>342</v>
      </c>
      <c r="D38" s="268"/>
      <c r="E38" s="272"/>
      <c r="F38" s="270"/>
      <c r="G38" s="255"/>
      <c r="H38" s="255"/>
      <c r="I38" s="255"/>
      <c r="J38" s="255"/>
      <c r="K38" s="271"/>
      <c r="L38" s="254"/>
      <c r="M38" s="260"/>
      <c r="N38" s="255"/>
      <c r="O38" s="254"/>
      <c r="P38" s="254"/>
      <c r="Q38" s="254"/>
    </row>
    <row r="39" spans="1:17">
      <c r="A39" s="260">
        <v>1</v>
      </c>
      <c r="B39" s="254"/>
      <c r="C39" s="254" t="s">
        <v>340</v>
      </c>
      <c r="D39" s="268">
        <v>165</v>
      </c>
      <c r="E39" s="272">
        <f t="shared" ref="E39" si="12">+F39/D39</f>
        <v>145.5</v>
      </c>
      <c r="F39" s="270">
        <v>24007.5</v>
      </c>
      <c r="G39" s="255">
        <f>+F39/$F$41*$G$8</f>
        <v>1965.3941621853182</v>
      </c>
      <c r="H39" s="255">
        <f t="shared" ref="H39" si="13">+F39+G39</f>
        <v>25972.894162185319</v>
      </c>
      <c r="I39" s="255">
        <f>+F39/$F$41*$I$8</f>
        <v>922.63870848260683</v>
      </c>
      <c r="J39" s="255">
        <f t="shared" ref="J39" si="14">+H39*$J$8</f>
        <v>0</v>
      </c>
      <c r="K39" s="271">
        <f t="shared" ref="K39" si="15">SUM(H39:J39)</f>
        <v>26895.532870667925</v>
      </c>
      <c r="L39" s="277" t="s">
        <v>326</v>
      </c>
      <c r="M39" s="278" t="s">
        <v>128</v>
      </c>
      <c r="N39" s="279">
        <f t="shared" ref="N39" si="16">K39/D39</f>
        <v>163.00322951919955</v>
      </c>
      <c r="O39" s="278">
        <v>62.5</v>
      </c>
      <c r="P39" s="280">
        <f>+K39/O39</f>
        <v>430.32852593068679</v>
      </c>
      <c r="Q39" s="254"/>
    </row>
    <row r="40" spans="1:17">
      <c r="A40" s="260"/>
      <c r="B40" s="254"/>
      <c r="C40" s="254"/>
      <c r="D40" s="268"/>
      <c r="E40" s="272"/>
      <c r="F40" s="270"/>
      <c r="G40" s="255"/>
      <c r="H40" s="255"/>
      <c r="I40" s="255"/>
      <c r="J40" s="255"/>
      <c r="K40" s="271"/>
      <c r="L40" s="254"/>
      <c r="M40" s="260"/>
      <c r="N40" s="255"/>
      <c r="O40" s="254"/>
      <c r="P40" s="254"/>
      <c r="Q40" s="254"/>
    </row>
    <row r="41" spans="1:17" ht="15" thickBot="1">
      <c r="A41" s="260"/>
      <c r="B41" s="254"/>
      <c r="C41" s="254"/>
      <c r="D41" s="254"/>
      <c r="E41" s="255"/>
      <c r="F41" s="282">
        <f>SUM(F9:F40)</f>
        <v>4526557.7</v>
      </c>
      <c r="G41" s="255"/>
      <c r="H41" s="255"/>
      <c r="I41" s="255"/>
      <c r="J41" s="255"/>
      <c r="K41" s="271"/>
      <c r="L41" s="254"/>
      <c r="M41" s="283" t="s">
        <v>343</v>
      </c>
      <c r="N41" s="255"/>
      <c r="O41" s="254"/>
      <c r="P41" s="284">
        <f>SUM(P10:P40)</f>
        <v>81978.779770871741</v>
      </c>
      <c r="Q41" s="254"/>
    </row>
    <row r="42" spans="1:17" ht="15" thickTop="1">
      <c r="A42" s="260"/>
      <c r="B42" s="254"/>
      <c r="C42" s="254"/>
      <c r="D42" s="254"/>
      <c r="E42" s="255"/>
      <c r="F42" s="301"/>
      <c r="G42" s="255"/>
      <c r="H42" s="255"/>
      <c r="I42" s="255"/>
      <c r="J42" s="255"/>
      <c r="K42" s="271"/>
      <c r="L42" s="254"/>
      <c r="M42" s="283"/>
      <c r="N42" s="255"/>
      <c r="O42" s="254"/>
      <c r="P42" s="255"/>
      <c r="Q42" s="254"/>
    </row>
    <row r="43" spans="1:17">
      <c r="A43" s="260"/>
      <c r="B43" s="254"/>
      <c r="C43" s="254"/>
      <c r="D43" s="254"/>
      <c r="E43" s="255"/>
      <c r="F43" s="301"/>
      <c r="G43" s="255"/>
      <c r="H43" s="255"/>
      <c r="I43" s="255"/>
      <c r="J43" s="255"/>
      <c r="K43" s="271"/>
      <c r="L43" s="254"/>
      <c r="M43" s="283"/>
      <c r="N43" s="255"/>
      <c r="O43" s="254"/>
      <c r="P43" s="255"/>
      <c r="Q43" s="254"/>
    </row>
    <row r="44" spans="1:17" ht="15" thickBot="1">
      <c r="A44" s="260"/>
      <c r="B44" s="254"/>
      <c r="C44" s="254"/>
      <c r="D44" s="254"/>
      <c r="E44" s="255"/>
      <c r="F44" s="301"/>
      <c r="G44" s="255"/>
      <c r="H44" s="255"/>
      <c r="I44" s="255"/>
      <c r="J44" s="255"/>
      <c r="K44" s="271"/>
      <c r="L44" s="254"/>
      <c r="M44" s="283"/>
      <c r="N44" s="255"/>
      <c r="O44" s="254"/>
      <c r="P44" s="255"/>
      <c r="Q44" s="254"/>
    </row>
    <row r="45" spans="1:17" ht="15" thickBot="1">
      <c r="A45" s="260"/>
      <c r="B45" s="254"/>
      <c r="C45" s="254"/>
      <c r="D45" s="254"/>
      <c r="E45" s="255"/>
      <c r="F45" s="301"/>
      <c r="G45" s="255"/>
      <c r="H45" s="255"/>
      <c r="I45" s="255"/>
      <c r="J45" s="255"/>
      <c r="K45" s="271"/>
      <c r="M45" s="388" t="s">
        <v>190</v>
      </c>
      <c r="N45" s="388"/>
      <c r="O45" s="254"/>
      <c r="P45" s="255"/>
      <c r="Q45" s="254"/>
    </row>
    <row r="46" spans="1:17" ht="15.75" thickBot="1">
      <c r="A46" s="260"/>
      <c r="B46" s="254"/>
      <c r="C46" s="254"/>
      <c r="D46" s="254"/>
      <c r="E46" s="255"/>
      <c r="F46" s="301"/>
      <c r="G46" s="255"/>
      <c r="H46" s="255"/>
      <c r="I46" s="255"/>
      <c r="J46" s="255"/>
      <c r="K46" s="271"/>
      <c r="M46" s="236" t="s">
        <v>119</v>
      </c>
      <c r="N46" s="236" t="s">
        <v>191</v>
      </c>
      <c r="O46" s="254"/>
      <c r="P46" s="255"/>
      <c r="Q46" s="254"/>
    </row>
    <row r="47" spans="1:17" ht="15" thickBot="1">
      <c r="A47" s="260"/>
      <c r="B47" s="254"/>
      <c r="C47" s="254"/>
      <c r="D47" s="254"/>
      <c r="E47" s="255"/>
      <c r="F47" s="301"/>
      <c r="G47" s="255"/>
      <c r="H47" s="255"/>
      <c r="I47" s="255"/>
      <c r="J47" s="255"/>
      <c r="K47" s="271"/>
      <c r="M47" s="390" t="s">
        <v>128</v>
      </c>
      <c r="N47" s="354">
        <f>SUM(P11:P13,P16:P17,P19,P22:P23,P25,P28:P34,P36,P39)</f>
        <v>77772.041716513078</v>
      </c>
      <c r="O47" s="254"/>
      <c r="P47" s="255"/>
      <c r="Q47" s="254"/>
    </row>
    <row r="48" spans="1:17" ht="15" thickBot="1">
      <c r="A48" s="260"/>
      <c r="B48" s="254"/>
      <c r="C48" s="254"/>
      <c r="D48" s="254"/>
      <c r="E48" s="255"/>
      <c r="F48" s="301"/>
      <c r="G48" s="255"/>
      <c r="H48" s="255"/>
      <c r="I48" s="255"/>
      <c r="J48" s="255"/>
      <c r="K48" s="271"/>
      <c r="M48" s="234" t="s">
        <v>131</v>
      </c>
      <c r="N48" s="353">
        <f>SUM(P10,P18,P24,P35)</f>
        <v>4206.7380543586569</v>
      </c>
      <c r="O48" s="254"/>
      <c r="P48" s="255"/>
      <c r="Q48" s="254"/>
    </row>
    <row r="49" spans="1:17">
      <c r="A49" s="260"/>
      <c r="B49" s="254"/>
      <c r="C49" s="254"/>
      <c r="D49" s="254"/>
      <c r="E49" s="255"/>
      <c r="F49" s="254"/>
      <c r="G49" s="254"/>
      <c r="H49" s="254"/>
      <c r="I49" s="254"/>
      <c r="J49" s="254"/>
      <c r="K49" s="254"/>
      <c r="N49" s="255"/>
      <c r="O49" s="254"/>
      <c r="P49" s="254"/>
      <c r="Q49" s="254"/>
    </row>
    <row r="50" spans="1:17">
      <c r="A50" s="254"/>
      <c r="B50" s="254"/>
      <c r="C50" s="285" t="s">
        <v>344</v>
      </c>
      <c r="D50" s="254"/>
      <c r="E50" s="255"/>
      <c r="F50" s="254"/>
      <c r="G50" s="254"/>
      <c r="H50" s="254"/>
      <c r="I50" s="254"/>
      <c r="J50" s="254"/>
      <c r="K50" s="254"/>
      <c r="N50" s="255"/>
      <c r="O50" s="254"/>
      <c r="P50" s="254"/>
      <c r="Q50" s="254"/>
    </row>
    <row r="51" spans="1:17">
      <c r="A51" s="260"/>
      <c r="B51" s="254"/>
      <c r="C51" s="254" t="s">
        <v>345</v>
      </c>
      <c r="D51" s="268">
        <v>0</v>
      </c>
      <c r="E51" s="272">
        <v>0</v>
      </c>
      <c r="F51" s="270">
        <f>243128-229893</f>
        <v>13235</v>
      </c>
      <c r="G51" s="272"/>
      <c r="H51" s="272"/>
      <c r="I51" s="272"/>
      <c r="J51" s="272"/>
      <c r="K51" s="272"/>
      <c r="N51" s="255"/>
      <c r="P51" s="254"/>
      <c r="Q51" s="254"/>
    </row>
    <row r="52" spans="1:17">
      <c r="A52" s="260"/>
      <c r="B52" s="254"/>
      <c r="C52" s="254" t="s">
        <v>345</v>
      </c>
      <c r="D52" s="268">
        <v>0</v>
      </c>
      <c r="E52" s="272">
        <v>0</v>
      </c>
      <c r="F52" s="270">
        <f>339876.2-F16-F17-F18-F19</f>
        <v>-92237.799999999988</v>
      </c>
      <c r="G52" s="272"/>
      <c r="H52" s="272"/>
      <c r="I52" s="272"/>
      <c r="J52" s="272"/>
      <c r="K52" s="272"/>
      <c r="N52" s="255"/>
      <c r="P52" s="254"/>
      <c r="Q52" s="254"/>
    </row>
    <row r="53" spans="1:17">
      <c r="A53" s="260"/>
      <c r="B53" s="254"/>
      <c r="C53" s="254" t="s">
        <v>345</v>
      </c>
      <c r="D53" s="268">
        <v>0</v>
      </c>
      <c r="E53" s="272">
        <v>0</v>
      </c>
      <c r="F53" s="270">
        <f>302578.73-F22-F23-F24-F25</f>
        <v>32751.729999999981</v>
      </c>
      <c r="G53" s="272"/>
      <c r="H53" s="272"/>
      <c r="I53" s="272"/>
      <c r="J53" s="272"/>
      <c r="K53" s="272"/>
      <c r="N53" s="255"/>
      <c r="P53" s="254"/>
      <c r="Q53" s="254"/>
    </row>
    <row r="54" spans="1:17">
      <c r="A54" s="260"/>
      <c r="B54" s="254"/>
      <c r="C54" s="254" t="s">
        <v>345</v>
      </c>
      <c r="D54" s="268">
        <v>0</v>
      </c>
      <c r="E54" s="272">
        <v>0</v>
      </c>
      <c r="F54" s="270">
        <f>3985146.52-F28-F29-F30-F31-F32-F33-F34-F35-F36</f>
        <v>414430.32000000007</v>
      </c>
      <c r="G54" s="272"/>
      <c r="H54" s="272"/>
      <c r="I54" s="272"/>
      <c r="J54" s="272"/>
      <c r="K54" s="272"/>
      <c r="N54" s="255"/>
      <c r="P54" s="254"/>
      <c r="Q54" s="254"/>
    </row>
    <row r="55" spans="1:17">
      <c r="A55" s="260"/>
      <c r="B55" s="254"/>
      <c r="C55" s="254" t="s">
        <v>345</v>
      </c>
      <c r="D55" s="268">
        <v>0</v>
      </c>
      <c r="E55" s="272">
        <v>0</v>
      </c>
      <c r="F55" s="270">
        <f>1541.2+850</f>
        <v>2391.1999999999998</v>
      </c>
      <c r="G55" s="272"/>
      <c r="H55" s="272"/>
      <c r="I55" s="272"/>
      <c r="J55" s="272"/>
      <c r="K55" s="272"/>
      <c r="N55" s="255"/>
      <c r="O55" s="254"/>
      <c r="P55" s="254"/>
      <c r="Q55" s="254"/>
    </row>
    <row r="56" spans="1:17">
      <c r="A56" s="260"/>
      <c r="B56" s="254"/>
      <c r="C56" s="254"/>
      <c r="D56" s="268"/>
      <c r="E56" s="269"/>
      <c r="F56" s="270"/>
      <c r="G56" s="272"/>
      <c r="H56" s="272"/>
      <c r="I56" s="272"/>
      <c r="J56" s="272"/>
      <c r="K56" s="272"/>
      <c r="L56" s="254"/>
      <c r="M56" s="254"/>
      <c r="N56" s="255"/>
      <c r="O56" s="254"/>
      <c r="P56" s="254"/>
      <c r="Q56" s="254"/>
    </row>
    <row r="57" spans="1:17">
      <c r="A57" s="254"/>
      <c r="B57" s="254"/>
      <c r="C57" s="254"/>
      <c r="D57" s="272"/>
      <c r="E57" s="272"/>
      <c r="F57" s="282">
        <f>SUM(F51:F56)</f>
        <v>370570.45000000007</v>
      </c>
      <c r="G57" s="272"/>
      <c r="H57" s="272"/>
      <c r="I57" s="272"/>
      <c r="J57" s="272"/>
      <c r="K57" s="272"/>
      <c r="L57" s="254"/>
      <c r="M57" s="254"/>
      <c r="N57" s="255"/>
      <c r="O57" s="254"/>
      <c r="P57" s="254"/>
      <c r="Q57" s="254"/>
    </row>
    <row r="58" spans="1:17">
      <c r="A58" s="254"/>
      <c r="B58" s="254"/>
      <c r="C58" s="254"/>
      <c r="D58" s="254"/>
      <c r="E58" s="254"/>
      <c r="F58" s="255"/>
      <c r="G58" s="254"/>
      <c r="H58" s="254"/>
      <c r="I58" s="254"/>
      <c r="J58" s="254"/>
      <c r="K58" s="254"/>
      <c r="L58" s="254"/>
      <c r="M58" s="254"/>
      <c r="N58" s="255"/>
      <c r="O58" s="254"/>
      <c r="P58" s="254"/>
      <c r="Q58" s="254"/>
    </row>
    <row r="59" spans="1:17" ht="15" thickBot="1">
      <c r="A59" s="267" t="s">
        <v>346</v>
      </c>
      <c r="B59" s="254"/>
      <c r="C59" s="254"/>
      <c r="D59" s="254"/>
      <c r="E59" s="254"/>
      <c r="F59" s="286">
        <f>+F41+F57</f>
        <v>4897128.1500000004</v>
      </c>
      <c r="G59" s="287">
        <f>SUM(G9:G40)</f>
        <v>370570.45000000007</v>
      </c>
      <c r="H59" s="286">
        <f>SUM(H9:H40)</f>
        <v>4897128.1500000004</v>
      </c>
      <c r="I59" s="287">
        <f>SUM(I9:I40)</f>
        <v>173961.35999999996</v>
      </c>
      <c r="J59" s="286">
        <f>SUM(J9:J40)</f>
        <v>0</v>
      </c>
      <c r="K59" s="288">
        <f>SUM(K9:K40)</f>
        <v>5071089.51</v>
      </c>
      <c r="L59" s="254"/>
      <c r="M59" s="254"/>
      <c r="N59" s="255"/>
      <c r="O59" s="254"/>
      <c r="P59" s="254"/>
      <c r="Q59" s="254"/>
    </row>
    <row r="60" spans="1:17" ht="15.75" thickTop="1" thickBot="1">
      <c r="A60" s="267"/>
      <c r="B60" s="254"/>
      <c r="C60" s="254"/>
      <c r="D60" s="254"/>
      <c r="E60" s="254"/>
      <c r="F60" s="255"/>
      <c r="G60" s="255"/>
      <c r="H60" s="255"/>
      <c r="I60" s="255"/>
      <c r="J60" s="255"/>
      <c r="K60" s="289"/>
      <c r="L60" s="254"/>
      <c r="M60" s="254"/>
      <c r="N60" s="255"/>
      <c r="O60" s="254"/>
      <c r="P60" s="254"/>
      <c r="Q60" s="254"/>
    </row>
    <row r="61" spans="1:17" ht="15.75" thickTop="1" thickBot="1">
      <c r="A61" s="254"/>
      <c r="B61" s="254"/>
      <c r="C61" s="254"/>
      <c r="D61" s="254"/>
      <c r="E61" s="254"/>
      <c r="F61" s="255">
        <v>4897128.1499999985</v>
      </c>
      <c r="G61" s="254"/>
      <c r="H61" s="254"/>
      <c r="I61" s="254"/>
      <c r="J61" s="254"/>
      <c r="K61" s="290">
        <f>+H59+I59+J59</f>
        <v>5071089.5100000007</v>
      </c>
      <c r="L61" s="254"/>
      <c r="M61" s="254"/>
      <c r="N61" s="255"/>
      <c r="O61" s="254"/>
      <c r="P61" s="254"/>
      <c r="Q61" s="254"/>
    </row>
    <row r="62" spans="1:17" ht="15" thickTop="1">
      <c r="A62" s="254"/>
      <c r="B62" s="254"/>
      <c r="C62" s="254" t="s">
        <v>347</v>
      </c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5"/>
      <c r="O62" s="254"/>
      <c r="P62" s="254"/>
      <c r="Q62" s="254"/>
    </row>
    <row r="63" spans="1:17" ht="15" thickBot="1">
      <c r="A63" s="254"/>
      <c r="B63" s="254"/>
      <c r="C63" s="254"/>
      <c r="D63" s="254"/>
      <c r="E63" s="254"/>
      <c r="F63" s="260"/>
      <c r="G63" s="254"/>
      <c r="H63" s="254"/>
      <c r="I63" s="254"/>
      <c r="J63" s="254"/>
      <c r="K63" s="254"/>
      <c r="L63" s="254"/>
      <c r="M63" s="254"/>
      <c r="N63" s="255"/>
      <c r="O63" s="254"/>
      <c r="P63" s="254"/>
      <c r="Q63" s="254"/>
    </row>
    <row r="64" spans="1:17">
      <c r="A64" s="254"/>
      <c r="B64" s="254"/>
      <c r="C64" s="254"/>
      <c r="D64" s="254"/>
      <c r="E64" s="291">
        <v>1</v>
      </c>
      <c r="F64" s="291"/>
      <c r="G64" s="254"/>
      <c r="H64" s="292" t="s">
        <v>348</v>
      </c>
      <c r="I64" s="293"/>
      <c r="J64" s="293"/>
      <c r="K64" s="293"/>
      <c r="L64" s="293"/>
      <c r="M64" s="294"/>
      <c r="N64" s="255"/>
      <c r="O64" s="254"/>
      <c r="P64" s="254"/>
      <c r="Q64" s="254"/>
    </row>
    <row r="65" spans="1:17">
      <c r="A65" s="254"/>
      <c r="B65" s="254" t="s">
        <v>349</v>
      </c>
      <c r="C65" s="254" t="s">
        <v>350</v>
      </c>
      <c r="D65" s="270">
        <v>0</v>
      </c>
      <c r="E65" s="255">
        <v>0</v>
      </c>
      <c r="F65" s="254"/>
      <c r="G65" s="254"/>
      <c r="H65" s="295" t="s">
        <v>351</v>
      </c>
      <c r="I65" s="254" t="s">
        <v>352</v>
      </c>
      <c r="J65" s="254"/>
      <c r="K65" s="255">
        <v>0</v>
      </c>
      <c r="L65" s="254"/>
      <c r="M65" s="296"/>
      <c r="N65" s="255"/>
      <c r="O65" s="254"/>
      <c r="P65" s="254"/>
      <c r="Q65" s="254"/>
    </row>
    <row r="66" spans="1:17">
      <c r="A66" s="254"/>
      <c r="B66" s="254" t="s">
        <v>353</v>
      </c>
      <c r="C66" s="254" t="s">
        <v>354</v>
      </c>
      <c r="D66" s="270">
        <v>0</v>
      </c>
      <c r="E66" s="255">
        <v>0</v>
      </c>
      <c r="F66" s="254"/>
      <c r="G66" s="254"/>
      <c r="H66" s="295" t="s">
        <v>355</v>
      </c>
      <c r="I66" s="254" t="s">
        <v>356</v>
      </c>
      <c r="J66" s="254"/>
      <c r="K66" s="255">
        <v>0</v>
      </c>
      <c r="L66" s="254"/>
      <c r="M66" s="296"/>
      <c r="N66" s="255"/>
      <c r="O66" s="254"/>
      <c r="P66" s="254"/>
      <c r="Q66" s="254"/>
    </row>
    <row r="67" spans="1:17">
      <c r="A67" s="254"/>
      <c r="B67" s="254" t="s">
        <v>357</v>
      </c>
      <c r="C67" s="254" t="s">
        <v>358</v>
      </c>
      <c r="D67" s="270">
        <v>0</v>
      </c>
      <c r="E67" s="255">
        <v>0</v>
      </c>
      <c r="F67" s="254"/>
      <c r="G67" s="254"/>
      <c r="H67" s="295" t="s">
        <v>128</v>
      </c>
      <c r="I67" s="254" t="s">
        <v>326</v>
      </c>
      <c r="J67" s="254"/>
      <c r="K67" s="255">
        <f>+K11+K12+K13+K16+K17+K19+K22+K23+K25+K28+K29+K30+K31+K32+K33+K34+K36+K39</f>
        <v>4860752.6072820676</v>
      </c>
      <c r="L67" s="297"/>
      <c r="M67" s="296"/>
      <c r="N67" s="255"/>
      <c r="O67" s="254"/>
      <c r="P67" s="254"/>
      <c r="Q67" s="254"/>
    </row>
    <row r="68" spans="1:17">
      <c r="A68" s="254"/>
      <c r="B68" s="254" t="s">
        <v>359</v>
      </c>
      <c r="C68" s="254" t="s">
        <v>360</v>
      </c>
      <c r="D68" s="270">
        <v>0</v>
      </c>
      <c r="E68" s="255">
        <v>0</v>
      </c>
      <c r="F68" s="254"/>
      <c r="G68" s="254"/>
      <c r="H68" s="295" t="s">
        <v>361</v>
      </c>
      <c r="I68" s="254" t="s">
        <v>362</v>
      </c>
      <c r="J68" s="260"/>
      <c r="K68" s="255">
        <v>0</v>
      </c>
      <c r="L68" s="297"/>
      <c r="M68" s="296"/>
      <c r="N68" s="255"/>
      <c r="O68" s="254"/>
      <c r="P68" s="254"/>
      <c r="Q68" s="254"/>
    </row>
    <row r="69" spans="1:17">
      <c r="A69" s="254"/>
      <c r="B69" s="254" t="s">
        <v>363</v>
      </c>
      <c r="C69" s="254" t="s">
        <v>364</v>
      </c>
      <c r="D69" s="270">
        <v>0</v>
      </c>
      <c r="E69" s="255">
        <v>0</v>
      </c>
      <c r="F69" s="254"/>
      <c r="G69" s="254"/>
      <c r="H69" s="295" t="s">
        <v>365</v>
      </c>
      <c r="I69" s="254" t="s">
        <v>366</v>
      </c>
      <c r="J69" s="260"/>
      <c r="K69" s="255">
        <v>0</v>
      </c>
      <c r="L69" s="297"/>
      <c r="M69" s="296"/>
      <c r="N69" s="255"/>
      <c r="O69" s="254"/>
      <c r="P69" s="254"/>
      <c r="Q69" s="254"/>
    </row>
    <row r="70" spans="1:17">
      <c r="A70" s="254"/>
      <c r="B70" s="254" t="s">
        <v>367</v>
      </c>
      <c r="C70" s="254" t="s">
        <v>368</v>
      </c>
      <c r="D70" s="270">
        <v>0</v>
      </c>
      <c r="E70" s="255">
        <v>0</v>
      </c>
      <c r="F70" s="254"/>
      <c r="G70" s="254"/>
      <c r="H70" s="295" t="s">
        <v>369</v>
      </c>
      <c r="I70" s="254" t="s">
        <v>370</v>
      </c>
      <c r="J70" s="260"/>
      <c r="K70" s="255">
        <v>0</v>
      </c>
      <c r="L70" s="297"/>
      <c r="M70" s="296"/>
      <c r="N70" s="255"/>
      <c r="O70" s="254"/>
      <c r="P70" s="254"/>
      <c r="Q70" s="254"/>
    </row>
    <row r="71" spans="1:17">
      <c r="A71" s="254"/>
      <c r="B71" s="254" t="s">
        <v>371</v>
      </c>
      <c r="C71" s="254" t="s">
        <v>372</v>
      </c>
      <c r="D71" s="270">
        <v>0</v>
      </c>
      <c r="E71" s="255">
        <v>0</v>
      </c>
      <c r="F71" s="254"/>
      <c r="G71" s="254"/>
      <c r="H71" s="295" t="s">
        <v>131</v>
      </c>
      <c r="I71" s="254" t="s">
        <v>324</v>
      </c>
      <c r="J71" s="254"/>
      <c r="K71" s="297">
        <f>+K35+K24+K18+K10</f>
        <v>210336.90271793286</v>
      </c>
      <c r="L71" s="297"/>
      <c r="M71" s="296"/>
      <c r="N71" s="255"/>
      <c r="O71" s="254"/>
      <c r="P71" s="254"/>
      <c r="Q71" s="254"/>
    </row>
    <row r="72" spans="1:17">
      <c r="A72" s="254"/>
      <c r="B72" s="254" t="s">
        <v>373</v>
      </c>
      <c r="C72" s="254" t="s">
        <v>374</v>
      </c>
      <c r="D72" s="270">
        <v>0</v>
      </c>
      <c r="E72" s="255">
        <v>0</v>
      </c>
      <c r="F72" s="254"/>
      <c r="G72" s="254"/>
      <c r="H72" s="298"/>
      <c r="I72" s="260" t="s">
        <v>375</v>
      </c>
      <c r="J72" s="254" t="s">
        <v>376</v>
      </c>
      <c r="K72" s="297"/>
      <c r="L72" s="297">
        <f>H59+I59-L74</f>
        <v>5071089.5100000007</v>
      </c>
      <c r="M72" s="296"/>
      <c r="N72" s="255"/>
      <c r="O72" s="254"/>
      <c r="P72" s="254"/>
      <c r="Q72" s="254"/>
    </row>
    <row r="73" spans="1:17">
      <c r="A73" s="254"/>
      <c r="B73" s="254" t="s">
        <v>377</v>
      </c>
      <c r="C73" s="254" t="s">
        <v>378</v>
      </c>
      <c r="D73" s="270">
        <v>0</v>
      </c>
      <c r="E73" s="255">
        <v>0</v>
      </c>
      <c r="F73" s="254"/>
      <c r="G73" s="254"/>
      <c r="H73" s="298"/>
      <c r="I73" s="260" t="s">
        <v>379</v>
      </c>
      <c r="J73" s="254" t="s">
        <v>380</v>
      </c>
      <c r="K73" s="297"/>
      <c r="L73" s="297">
        <f>J59</f>
        <v>0</v>
      </c>
      <c r="M73" s="296"/>
      <c r="N73" s="255"/>
      <c r="O73" s="254"/>
      <c r="P73" s="254"/>
      <c r="Q73" s="254"/>
    </row>
    <row r="74" spans="1:17">
      <c r="A74" s="254"/>
      <c r="B74" s="254" t="s">
        <v>381</v>
      </c>
      <c r="C74" s="254" t="s">
        <v>382</v>
      </c>
      <c r="D74" s="270">
        <v>0</v>
      </c>
      <c r="E74" s="255">
        <v>0</v>
      </c>
      <c r="F74" s="254"/>
      <c r="G74" s="254"/>
      <c r="H74" s="298"/>
      <c r="I74" s="260" t="s">
        <v>383</v>
      </c>
      <c r="J74" s="254" t="s">
        <v>384</v>
      </c>
      <c r="K74" s="297"/>
      <c r="L74" s="297">
        <v>0</v>
      </c>
      <c r="M74" s="296"/>
      <c r="N74" s="255"/>
      <c r="O74" s="254"/>
      <c r="P74" s="254"/>
      <c r="Q74" s="254"/>
    </row>
    <row r="75" spans="1:17">
      <c r="A75" s="254"/>
      <c r="B75" s="254" t="s">
        <v>385</v>
      </c>
      <c r="C75" s="254" t="s">
        <v>386</v>
      </c>
      <c r="D75" s="270">
        <v>0</v>
      </c>
      <c r="E75" s="255">
        <v>0</v>
      </c>
      <c r="F75" s="254"/>
      <c r="G75" s="254"/>
      <c r="H75" s="298"/>
      <c r="I75" s="254"/>
      <c r="J75" s="254"/>
      <c r="K75" s="297"/>
      <c r="L75" s="297"/>
      <c r="M75" s="296"/>
      <c r="N75" s="255"/>
      <c r="O75" s="254"/>
      <c r="P75" s="254"/>
      <c r="Q75" s="254"/>
    </row>
    <row r="76" spans="1:17" ht="15" thickBot="1">
      <c r="A76" s="254"/>
      <c r="B76" s="254" t="s">
        <v>387</v>
      </c>
      <c r="C76" s="254" t="s">
        <v>388</v>
      </c>
      <c r="D76" s="270">
        <v>0</v>
      </c>
      <c r="E76" s="255">
        <v>0</v>
      </c>
      <c r="F76" s="254"/>
      <c r="G76" s="254"/>
      <c r="H76" s="298"/>
      <c r="I76" s="254"/>
      <c r="J76" s="254"/>
      <c r="K76" s="299">
        <f>SUM(K65:K75)</f>
        <v>5071089.5100000007</v>
      </c>
      <c r="L76" s="299">
        <f>SUM(L67:L75)</f>
        <v>5071089.5100000007</v>
      </c>
      <c r="M76" s="296"/>
      <c r="N76" s="255"/>
      <c r="O76" s="254"/>
      <c r="P76" s="254"/>
      <c r="Q76" s="254"/>
    </row>
    <row r="77" spans="1:17" ht="15" thickTop="1">
      <c r="A77" s="254"/>
      <c r="B77" s="254" t="s">
        <v>389</v>
      </c>
      <c r="C77" s="254" t="s">
        <v>390</v>
      </c>
      <c r="D77" s="270">
        <v>0</v>
      </c>
      <c r="E77" s="255">
        <v>0</v>
      </c>
      <c r="F77" s="254"/>
      <c r="G77" s="254"/>
      <c r="H77" s="298"/>
      <c r="I77" s="254"/>
      <c r="J77" s="254"/>
      <c r="K77" s="254"/>
      <c r="L77" s="254"/>
      <c r="M77" s="296"/>
      <c r="N77" s="255"/>
      <c r="O77" s="254"/>
      <c r="P77" s="254"/>
      <c r="Q77" s="254"/>
    </row>
    <row r="78" spans="1:17" ht="15" thickBot="1">
      <c r="A78" s="254"/>
      <c r="B78" s="254"/>
      <c r="C78" s="267" t="s">
        <v>391</v>
      </c>
      <c r="D78" s="300">
        <f>SUM(D65:D77)</f>
        <v>0</v>
      </c>
      <c r="E78" s="300">
        <v>173961.36</v>
      </c>
      <c r="F78" s="301"/>
      <c r="G78" s="254"/>
      <c r="H78" s="302"/>
      <c r="I78" s="303"/>
      <c r="J78" s="303"/>
      <c r="K78" s="303"/>
      <c r="L78" s="303"/>
      <c r="M78" s="304"/>
      <c r="N78" s="255"/>
      <c r="O78" s="254"/>
      <c r="P78" s="254"/>
      <c r="Q78" s="254"/>
    </row>
    <row r="79" spans="1:17" ht="15" thickTop="1">
      <c r="A79" s="254"/>
      <c r="B79" s="254"/>
      <c r="C79" s="254"/>
      <c r="D79" s="254"/>
      <c r="E79" s="254"/>
      <c r="F79" s="297"/>
      <c r="G79" s="254"/>
      <c r="H79" s="254"/>
      <c r="I79" s="254"/>
      <c r="J79" s="254"/>
      <c r="K79" s="254"/>
      <c r="L79" s="254"/>
      <c r="M79" s="254"/>
      <c r="N79" s="255"/>
      <c r="O79" s="254"/>
      <c r="P79" s="254"/>
      <c r="Q79" s="254"/>
    </row>
    <row r="80" spans="1:17">
      <c r="P80" s="254"/>
    </row>
    <row r="81" spans="16:16">
      <c r="P81" s="254"/>
    </row>
  </sheetData>
  <pageMargins left="0.7" right="0.7" top="0.75" bottom="0.75" header="0.3" footer="0.3"/>
  <pageSetup paperSize="3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6BD5-6C40-4A87-BBDB-D778AB7F69C3}">
  <dimension ref="A1:B15"/>
  <sheetViews>
    <sheetView workbookViewId="0">
      <selection activeCell="A3" sqref="A3"/>
    </sheetView>
  </sheetViews>
  <sheetFormatPr defaultRowHeight="14.25"/>
  <cols>
    <col min="1" max="1" width="45.375" customWidth="1"/>
    <col min="2" max="2" width="13.25" bestFit="1" customWidth="1"/>
  </cols>
  <sheetData>
    <row r="1" spans="1:2" ht="15">
      <c r="A1" s="28" t="s">
        <v>392</v>
      </c>
    </row>
    <row r="3" spans="1:2">
      <c r="A3" s="305" t="s">
        <v>393</v>
      </c>
    </row>
    <row r="4" spans="1:2">
      <c r="A4" s="305"/>
    </row>
    <row r="5" spans="1:2">
      <c r="A5" s="305" t="s">
        <v>394</v>
      </c>
    </row>
    <row r="6" spans="1:2">
      <c r="A6" s="305" t="s">
        <v>395</v>
      </c>
    </row>
    <row r="7" spans="1:2">
      <c r="A7" s="305"/>
    </row>
    <row r="8" spans="1:2">
      <c r="A8" s="305" t="s">
        <v>396</v>
      </c>
      <c r="B8" s="22">
        <v>5005615</v>
      </c>
    </row>
    <row r="9" spans="1:2">
      <c r="A9" s="305" t="s">
        <v>397</v>
      </c>
      <c r="B9" s="306">
        <v>537100</v>
      </c>
    </row>
    <row r="10" spans="1:2">
      <c r="A10" s="305" t="s">
        <v>398</v>
      </c>
      <c r="B10" s="22">
        <f>SUM(B8:B9)</f>
        <v>5542715</v>
      </c>
    </row>
    <row r="11" spans="1:2">
      <c r="A11" s="305"/>
      <c r="B11" s="22"/>
    </row>
    <row r="12" spans="1:2">
      <c r="A12" s="305" t="s">
        <v>399</v>
      </c>
      <c r="B12" s="307">
        <v>45</v>
      </c>
    </row>
    <row r="13" spans="1:2">
      <c r="A13" s="305"/>
      <c r="B13" s="22"/>
    </row>
    <row r="14" spans="1:2" ht="15" thickBot="1">
      <c r="A14" s="305" t="s">
        <v>400</v>
      </c>
      <c r="B14" s="308">
        <f>+B10/B12</f>
        <v>123171.44444444444</v>
      </c>
    </row>
    <row r="15" spans="1:2" ht="15" thickTop="1"/>
  </sheetData>
  <pageMargins left="0.7" right="0.7" top="0.75" bottom="0.75" header="0.3" footer="0.3"/>
  <pageSetup paperSize="2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SUMMARY</vt:lpstr>
      <vt:lpstr>New Employees</vt:lpstr>
      <vt:lpstr>CSR Wages</vt:lpstr>
      <vt:lpstr>Developments</vt:lpstr>
      <vt:lpstr>Developments-S</vt:lpstr>
      <vt:lpstr>Developments-W</vt:lpstr>
      <vt:lpstr>Capital Projects</vt:lpstr>
      <vt:lpstr>Transpark 2 Upgrade</vt:lpstr>
      <vt:lpstr>Transpark 2 Tank</vt:lpstr>
      <vt:lpstr>SCADA Upgrade</vt:lpstr>
      <vt:lpstr>SCADA Completion Date</vt:lpstr>
      <vt:lpstr>CIS Infinity Upgrade</vt:lpstr>
      <vt:lpstr>MCO Program</vt:lpstr>
      <vt:lpstr>Total Adjustments</vt:lpstr>
      <vt:lpstr>'CSR Wages'!Print_Area</vt:lpstr>
      <vt:lpstr>'Developments-S'!Print_Area</vt:lpstr>
      <vt:lpstr>'Developments-W'!Print_Area</vt:lpstr>
      <vt:lpstr>'New Employees'!Print_Area</vt:lpstr>
      <vt:lpstr>SUMMARY!Print_Area</vt:lpstr>
      <vt:lpstr>'Transpark 2 Upgrade'!Print_Area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2024-08-12T20:02:40Z</dcterms:created>
  <dcterms:modified xsi:type="dcterms:W3CDTF">2024-08-12T20:03:14Z</dcterms:modified>
  <cp:category/>
  <cp:contentStatus/>
</cp:coreProperties>
</file>

<file path=docProps/custom.xml><?xml version="1.0" encoding="utf-8"?>
<op:Properties xmlns:op="http://schemas.openxmlformats.org/officeDocument/2006/custom-properties">
  <op:property fmtid="{D5CDD505-2E9C-101B-9397-08002B2CF9AE}" pid="2" name="ndDocumentId">
    <vt:lpwstr xmlns:vt="http://schemas.openxmlformats.org/officeDocument/2006/docPropsVTypes">4874-6692-4503</vt:lpwstr>
  </op:property>
</op:Properties>
</file>