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skofirm-my.sharepoint.com/personal/emily_childress_skofirm_com/Documents/Emily Utility Documents/Water Districts/Warren Co. WD/Water Rate Case 2024/PSC 2/"/>
    </mc:Choice>
  </mc:AlternateContent>
  <xr:revisionPtr revIDLastSave="1" documentId="13_ncr:1_{8F736324-43D5-4751-B1C5-63EDC8281EC1}" xr6:coauthVersionLast="47" xr6:coauthVersionMax="47" xr10:uidLastSave="{EB492979-30BF-4B44-84B9-93BAB098AEB5}"/>
  <bookViews>
    <workbookView xWindow="-110" yWindow="-110" windowWidth="19420" windowHeight="11760" xr2:uid="{DECF4A87-2860-4762-B4D2-BE94635573CF}"/>
  </bookViews>
  <sheets>
    <sheet name="Expenses-Summary" sheetId="5" r:id="rId1"/>
    <sheet name="Revenues- Summary" sheetId="4" r:id="rId2"/>
    <sheet name="Revenues" sheetId="1" r:id="rId3"/>
    <sheet name="Expenses" sheetId="2" r:id="rId4"/>
    <sheet name="W-Sales-TY" sheetId="3" r:id="rId5"/>
    <sheet name="Purchased-TY" sheetId="17" r:id="rId6"/>
    <sheet name="W-Sales By Meter-TY" sheetId="9" r:id="rId7"/>
    <sheet name="W-Alloc Met-TY" sheetId="12" r:id="rId8"/>
    <sheet name="W Exp Alloc-TY" sheetId="6" r:id="rId9"/>
    <sheet name="W-Alloc %-TY" sheetId="10" r:id="rId10"/>
    <sheet name="W-Summary-TY" sheetId="7" r:id="rId11"/>
    <sheet name="Flow Adjustments" sheetId="25" r:id="rId12"/>
    <sheet name="W-Sales-TY Adj" sheetId="13" r:id="rId13"/>
    <sheet name="W-Purchased-TY Adj" sheetId="20" r:id="rId14"/>
    <sheet name="W-Sales By Meter-TY Adj" sheetId="19" r:id="rId15"/>
    <sheet name="W-Summary-TY Adj" sheetId="24" r:id="rId16"/>
    <sheet name="W-Alloc Met-TY Adj" sheetId="21" r:id="rId17"/>
    <sheet name="W-Exp Alloc-TY Adj" sheetId="22" r:id="rId18"/>
    <sheet name="W-Alloc %-TY Adj" sheetId="23" r:id="rId19"/>
    <sheet name="SAO" sheetId="26" r:id="rId20"/>
  </sheets>
  <definedNames>
    <definedName name="_xlnm.Print_Area" localSheetId="3">Expenses!$A$1:$K$259</definedName>
    <definedName name="_xlnm.Print_Area" localSheetId="2">Revenues!$A$1:$K$49</definedName>
    <definedName name="_xlnm.Print_Area" localSheetId="19">SAO!$A$2:$E$68</definedName>
    <definedName name="_xlnm.Print_Area" localSheetId="8">'W Exp Alloc-TY'!$A$1:$H$254</definedName>
    <definedName name="_xlnm.Print_Area" localSheetId="9">'W-Alloc %-TY'!$A$1:$M$13</definedName>
    <definedName name="_xlnm.Print_Area" localSheetId="18">'W-Alloc %-TY Adj'!$A$1:$N$14</definedName>
    <definedName name="_xlnm.Print_Area" localSheetId="7">'W-Alloc Met-TY'!$A$1:$M$28</definedName>
    <definedName name="_xlnm.Print_Area" localSheetId="16">'W-Alloc Met-TY Adj'!$A$1:$N$28</definedName>
    <definedName name="_xlnm.Print_Area" localSheetId="17">'W-Exp Alloc-TY Adj'!$A$1:$H$251</definedName>
    <definedName name="_xlnm.Print_Area" localSheetId="6">'W-Sales By Meter-TY'!$A$1:$CA$31</definedName>
    <definedName name="_xlnm.Print_Area" localSheetId="14">'W-Sales By Meter-TY Adj'!$A$1:$CA$31</definedName>
    <definedName name="_xlnm.Print_Area" localSheetId="12">'W-Sales-TY Adj'!$A$1:$F$15</definedName>
    <definedName name="_xlnm.Print_Area" localSheetId="10">'W-Summary-TY'!$A$1:$R$31</definedName>
    <definedName name="_xlnm.Print_Area" localSheetId="15">'W-Summary-TY Adj'!$A$1:$S$33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2" l="1"/>
  <c r="D24" i="12"/>
  <c r="E24" i="12"/>
  <c r="C24" i="21"/>
  <c r="E24" i="21"/>
  <c r="D24" i="21"/>
  <c r="J132" i="2" l="1"/>
  <c r="I132" i="2"/>
  <c r="I230" i="2"/>
  <c r="I227" i="2"/>
  <c r="I226" i="2"/>
  <c r="I225" i="2"/>
  <c r="J225" i="2"/>
  <c r="J227" i="2" l="1"/>
  <c r="J226" i="2"/>
  <c r="J230" i="2"/>
  <c r="B16" i="20"/>
  <c r="B15" i="20"/>
  <c r="B52" i="26"/>
  <c r="E19" i="26"/>
  <c r="J63" i="2" l="1"/>
  <c r="J27" i="2"/>
  <c r="I27" i="2"/>
  <c r="E27" i="26"/>
  <c r="J208" i="2" l="1"/>
  <c r="J109" i="2" l="1"/>
  <c r="E40" i="26"/>
  <c r="C132" i="22"/>
  <c r="E60" i="26"/>
  <c r="I188" i="2"/>
  <c r="J235" i="2" l="1"/>
  <c r="E235" i="2"/>
  <c r="J215" i="2"/>
  <c r="J214" i="2"/>
  <c r="J207" i="2"/>
  <c r="J206" i="2"/>
  <c r="J204" i="2"/>
  <c r="J203" i="2"/>
  <c r="J196" i="2"/>
  <c r="I192" i="2"/>
  <c r="I187" i="2"/>
  <c r="I186" i="2"/>
  <c r="I184" i="2"/>
  <c r="I183" i="2"/>
  <c r="I235" i="2"/>
  <c r="I234" i="2"/>
  <c r="I233" i="2"/>
  <c r="I232" i="2"/>
  <c r="I231" i="2"/>
  <c r="J240" i="2" l="1"/>
  <c r="J239" i="2"/>
  <c r="J238" i="2"/>
  <c r="J237" i="2"/>
  <c r="I39" i="2" l="1"/>
  <c r="B20" i="26" l="1"/>
  <c r="C52" i="26" s="1"/>
  <c r="J39" i="2" l="1"/>
  <c r="B28" i="26"/>
  <c r="B14" i="26"/>
  <c r="C17" i="26"/>
  <c r="E17" i="26" s="1"/>
  <c r="C15" i="26" l="1"/>
  <c r="C16" i="26"/>
  <c r="I229" i="2" l="1"/>
  <c r="J228" i="2"/>
  <c r="E16" i="26" l="1"/>
  <c r="I63" i="2"/>
  <c r="B19" i="26"/>
  <c r="B23" i="26"/>
  <c r="B24" i="26"/>
  <c r="B22" i="26"/>
  <c r="B21" i="26"/>
  <c r="C43" i="26"/>
  <c r="C24" i="26"/>
  <c r="C23" i="26"/>
  <c r="C22" i="26"/>
  <c r="C21" i="26"/>
  <c r="J88" i="2"/>
  <c r="J97" i="2"/>
  <c r="C25" i="26" l="1"/>
  <c r="E22" i="26"/>
  <c r="E24" i="26"/>
  <c r="E21" i="26"/>
  <c r="E23" i="26"/>
  <c r="E52" i="26"/>
  <c r="C20" i="26"/>
  <c r="E20" i="26" s="1"/>
  <c r="E25" i="26"/>
  <c r="C26" i="26"/>
  <c r="E26" i="26" s="1"/>
  <c r="E15" i="26"/>
  <c r="B41" i="26" l="1"/>
  <c r="B40" i="26"/>
  <c r="E64" i="26" s="1"/>
  <c r="B39" i="26"/>
  <c r="B38" i="26"/>
  <c r="B37" i="26"/>
  <c r="B36" i="26"/>
  <c r="B35" i="26"/>
  <c r="B34" i="26"/>
  <c r="B33" i="26"/>
  <c r="B32" i="26"/>
  <c r="B31" i="26"/>
  <c r="B30" i="26"/>
  <c r="B29" i="26"/>
  <c r="B27" i="26"/>
  <c r="C27" i="26" s="1"/>
  <c r="B18" i="26"/>
  <c r="E10" i="26"/>
  <c r="B10" i="26"/>
  <c r="E9" i="26"/>
  <c r="B9" i="26"/>
  <c r="E8" i="26"/>
  <c r="E63" i="26" s="1"/>
  <c r="E7" i="26"/>
  <c r="B8" i="26"/>
  <c r="E5" i="26"/>
  <c r="E66" i="26" s="1"/>
  <c r="E4" i="26"/>
  <c r="E3" i="26"/>
  <c r="B5" i="26"/>
  <c r="B3" i="26"/>
  <c r="B4" i="26"/>
  <c r="J229" i="2"/>
  <c r="I228" i="2"/>
  <c r="E62" i="26" l="1"/>
  <c r="B42" i="26"/>
  <c r="B53" i="26" s="1"/>
  <c r="E11" i="26"/>
  <c r="C4" i="26"/>
  <c r="J150" i="2" l="1"/>
  <c r="I153" i="2"/>
  <c r="J153" i="2"/>
  <c r="I147" i="2"/>
  <c r="J147" i="2"/>
  <c r="J161" i="2"/>
  <c r="J151" i="2"/>
  <c r="J146" i="2"/>
  <c r="C8" i="26"/>
  <c r="C10" i="26"/>
  <c r="C3" i="26"/>
  <c r="C9" i="26"/>
  <c r="B7" i="26"/>
  <c r="B11" i="26" s="1"/>
  <c r="J92" i="2"/>
  <c r="J91" i="2"/>
  <c r="J90" i="2"/>
  <c r="J89" i="2"/>
  <c r="I92" i="2"/>
  <c r="I91" i="2"/>
  <c r="I90" i="2"/>
  <c r="I89" i="2"/>
  <c r="I88" i="2"/>
  <c r="J72" i="2"/>
  <c r="J71" i="2"/>
  <c r="J70" i="2"/>
  <c r="J69" i="2"/>
  <c r="J68" i="2"/>
  <c r="J67" i="2"/>
  <c r="J66" i="2"/>
  <c r="J65" i="2"/>
  <c r="J64" i="2"/>
  <c r="J114" i="2"/>
  <c r="J113" i="2"/>
  <c r="J112" i="2"/>
  <c r="J111" i="2"/>
  <c r="J110" i="2"/>
  <c r="I114" i="2"/>
  <c r="I113" i="2"/>
  <c r="I112" i="2"/>
  <c r="I111" i="2"/>
  <c r="I110" i="2"/>
  <c r="I67" i="2"/>
  <c r="I66" i="2"/>
  <c r="I65" i="2"/>
  <c r="I64" i="2"/>
  <c r="J142" i="2"/>
  <c r="I148" i="2"/>
  <c r="I146" i="2"/>
  <c r="I142" i="2"/>
  <c r="C7" i="26" l="1"/>
  <c r="C11" i="26" s="1"/>
  <c r="E14" i="24"/>
  <c r="E13" i="24"/>
  <c r="E12" i="24"/>
  <c r="I7" i="24"/>
  <c r="K7" i="24" s="1"/>
  <c r="G7" i="24"/>
  <c r="F7" i="24"/>
  <c r="D7" i="24"/>
  <c r="N6" i="24"/>
  <c r="I6" i="24"/>
  <c r="K6" i="24" s="1"/>
  <c r="G6" i="24"/>
  <c r="F6" i="24"/>
  <c r="E6" i="24"/>
  <c r="D6" i="24"/>
  <c r="N5" i="24"/>
  <c r="I5" i="24"/>
  <c r="K5" i="24" s="1"/>
  <c r="G5" i="24"/>
  <c r="F5" i="24"/>
  <c r="E5" i="24"/>
  <c r="D5" i="24"/>
  <c r="N4" i="24"/>
  <c r="I4" i="24"/>
  <c r="K4" i="24" s="1"/>
  <c r="G4" i="24"/>
  <c r="F4" i="24"/>
  <c r="E4" i="24"/>
  <c r="D4" i="24"/>
  <c r="C243" i="22"/>
  <c r="G243" i="22" s="1"/>
  <c r="B243" i="22"/>
  <c r="C241" i="22"/>
  <c r="B241" i="22"/>
  <c r="C240" i="22"/>
  <c r="G240" i="22" s="1"/>
  <c r="B240" i="22"/>
  <c r="C239" i="22"/>
  <c r="G239" i="22" s="1"/>
  <c r="B239" i="22"/>
  <c r="B238" i="22"/>
  <c r="B237" i="22"/>
  <c r="B236" i="22"/>
  <c r="B235" i="22"/>
  <c r="C234" i="22"/>
  <c r="B234" i="22"/>
  <c r="C233" i="22"/>
  <c r="G233" i="22" s="1"/>
  <c r="B233" i="22"/>
  <c r="C232" i="22"/>
  <c r="B232" i="22"/>
  <c r="B231" i="22"/>
  <c r="C230" i="22"/>
  <c r="B230" i="22"/>
  <c r="C229" i="22"/>
  <c r="G229" i="22" s="1"/>
  <c r="B229" i="22"/>
  <c r="C228" i="22"/>
  <c r="B228" i="22"/>
  <c r="B227" i="22"/>
  <c r="B226" i="22"/>
  <c r="B225" i="22"/>
  <c r="B221" i="22"/>
  <c r="B220" i="22"/>
  <c r="B219" i="22"/>
  <c r="B218" i="22"/>
  <c r="B217" i="22"/>
  <c r="B216" i="22"/>
  <c r="B215" i="22"/>
  <c r="B214" i="22"/>
  <c r="B213" i="22"/>
  <c r="C212" i="22"/>
  <c r="B212" i="22"/>
  <c r="B211" i="22"/>
  <c r="B210" i="22"/>
  <c r="B209" i="22"/>
  <c r="C208" i="22"/>
  <c r="B208" i="22"/>
  <c r="C207" i="22"/>
  <c r="B207" i="22"/>
  <c r="C206" i="22"/>
  <c r="F206" i="22" s="1"/>
  <c r="B206" i="22"/>
  <c r="B205" i="22"/>
  <c r="B204" i="22"/>
  <c r="B203" i="22"/>
  <c r="B202" i="22"/>
  <c r="B201" i="22"/>
  <c r="B200" i="22"/>
  <c r="B199" i="22"/>
  <c r="C198" i="22"/>
  <c r="G198" i="22" s="1"/>
  <c r="B198" i="22"/>
  <c r="B197" i="22"/>
  <c r="C196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C179" i="22"/>
  <c r="F179" i="22" s="1"/>
  <c r="B179" i="22"/>
  <c r="C178" i="22"/>
  <c r="G178" i="22" s="1"/>
  <c r="B178" i="22"/>
  <c r="C177" i="22"/>
  <c r="G177" i="22" s="1"/>
  <c r="B177" i="22"/>
  <c r="C176" i="22"/>
  <c r="G176" i="22" s="1"/>
  <c r="B176" i="22"/>
  <c r="B172" i="22"/>
  <c r="B171" i="22"/>
  <c r="B170" i="22"/>
  <c r="B169" i="22"/>
  <c r="B168" i="22"/>
  <c r="B167" i="22"/>
  <c r="C166" i="22"/>
  <c r="G166" i="22" s="1"/>
  <c r="B166" i="22"/>
  <c r="B165" i="22"/>
  <c r="B164" i="22"/>
  <c r="B163" i="22"/>
  <c r="C162" i="22"/>
  <c r="B162" i="22"/>
  <c r="C161" i="22"/>
  <c r="B161" i="22"/>
  <c r="B160" i="22"/>
  <c r="B159" i="22"/>
  <c r="B158" i="22"/>
  <c r="B157" i="22"/>
  <c r="B156" i="22"/>
  <c r="B155" i="22"/>
  <c r="B154" i="22"/>
  <c r="C153" i="22"/>
  <c r="G153" i="22" s="1"/>
  <c r="B153" i="22"/>
  <c r="B152" i="22"/>
  <c r="C151" i="22"/>
  <c r="G151" i="22" s="1"/>
  <c r="B151" i="22"/>
  <c r="C150" i="22"/>
  <c r="B150" i="22"/>
  <c r="B149" i="22"/>
  <c r="B148" i="22"/>
  <c r="C147" i="22"/>
  <c r="B147" i="22"/>
  <c r="C146" i="22"/>
  <c r="G146" i="22" s="1"/>
  <c r="B146" i="22"/>
  <c r="C145" i="22"/>
  <c r="B145" i="22"/>
  <c r="B144" i="22"/>
  <c r="B143" i="22"/>
  <c r="C142" i="22"/>
  <c r="G142" i="22" s="1"/>
  <c r="B142" i="22"/>
  <c r="C141" i="22"/>
  <c r="G141" i="22" s="1"/>
  <c r="B141" i="22"/>
  <c r="C137" i="22"/>
  <c r="G137" i="22" s="1"/>
  <c r="B137" i="22"/>
  <c r="B136" i="22"/>
  <c r="B135" i="22"/>
  <c r="B134" i="22"/>
  <c r="B133" i="22"/>
  <c r="B132" i="22"/>
  <c r="B131" i="22"/>
  <c r="A131" i="22"/>
  <c r="B130" i="22"/>
  <c r="A130" i="22"/>
  <c r="B129" i="22"/>
  <c r="A129" i="22"/>
  <c r="B128" i="22"/>
  <c r="A128" i="22"/>
  <c r="B127" i="22"/>
  <c r="A127" i="22"/>
  <c r="B126" i="22"/>
  <c r="A126" i="22"/>
  <c r="B125" i="22"/>
  <c r="A125" i="22"/>
  <c r="B124" i="22"/>
  <c r="A124" i="22"/>
  <c r="B123" i="22"/>
  <c r="A123" i="22"/>
  <c r="B122" i="22"/>
  <c r="A122" i="22"/>
  <c r="B121" i="22"/>
  <c r="A121" i="22"/>
  <c r="B120" i="22"/>
  <c r="A120" i="22"/>
  <c r="B119" i="22"/>
  <c r="A119" i="22"/>
  <c r="B115" i="22"/>
  <c r="C114" i="22"/>
  <c r="F114" i="22" s="1"/>
  <c r="B114" i="22"/>
  <c r="C113" i="22"/>
  <c r="F113" i="22" s="1"/>
  <c r="B113" i="22"/>
  <c r="C112" i="22"/>
  <c r="G112" i="22" s="1"/>
  <c r="B112" i="22"/>
  <c r="C111" i="22"/>
  <c r="B111" i="22"/>
  <c r="C110" i="22"/>
  <c r="B110" i="22"/>
  <c r="B109" i="22"/>
  <c r="B108" i="22"/>
  <c r="B107" i="22"/>
  <c r="B106" i="22"/>
  <c r="B105" i="22"/>
  <c r="B104" i="22"/>
  <c r="B103" i="22"/>
  <c r="B102" i="22"/>
  <c r="B101" i="22"/>
  <c r="B100" i="22"/>
  <c r="C99" i="22"/>
  <c r="B99" i="22"/>
  <c r="B98" i="22"/>
  <c r="C97" i="22"/>
  <c r="B97" i="22"/>
  <c r="C93" i="22"/>
  <c r="F93" i="22" s="1"/>
  <c r="B93" i="22"/>
  <c r="C92" i="22"/>
  <c r="G92" i="22" s="1"/>
  <c r="B92" i="22"/>
  <c r="C91" i="22"/>
  <c r="G91" i="22" s="1"/>
  <c r="B91" i="22"/>
  <c r="C90" i="22"/>
  <c r="F90" i="22" s="1"/>
  <c r="B90" i="22"/>
  <c r="C89" i="22"/>
  <c r="G89" i="22" s="1"/>
  <c r="B89" i="22"/>
  <c r="C88" i="22"/>
  <c r="F88" i="22" s="1"/>
  <c r="B88" i="22"/>
  <c r="B87" i="22"/>
  <c r="B86" i="22"/>
  <c r="B85" i="22"/>
  <c r="B84" i="22"/>
  <c r="C83" i="22"/>
  <c r="G83" i="22" s="1"/>
  <c r="B83" i="22"/>
  <c r="C82" i="22"/>
  <c r="B82" i="22"/>
  <c r="C81" i="22"/>
  <c r="G81" i="22" s="1"/>
  <c r="B81" i="22"/>
  <c r="B80" i="22"/>
  <c r="B79" i="22"/>
  <c r="B78" i="22"/>
  <c r="B77" i="22"/>
  <c r="B76" i="22"/>
  <c r="C72" i="22"/>
  <c r="B72" i="22"/>
  <c r="C71" i="22"/>
  <c r="B71" i="22"/>
  <c r="C70" i="22"/>
  <c r="G70" i="22" s="1"/>
  <c r="B70" i="22"/>
  <c r="C69" i="22"/>
  <c r="B69" i="22"/>
  <c r="C68" i="22"/>
  <c r="G68" i="22" s="1"/>
  <c r="B68" i="22"/>
  <c r="C67" i="22"/>
  <c r="B67" i="22"/>
  <c r="C66" i="22"/>
  <c r="G66" i="22" s="1"/>
  <c r="B66" i="22"/>
  <c r="C65" i="22"/>
  <c r="F65" i="22" s="1"/>
  <c r="B65" i="22"/>
  <c r="C64" i="22"/>
  <c r="G64" i="22" s="1"/>
  <c r="B64" i="22"/>
  <c r="C63" i="22"/>
  <c r="B63" i="22"/>
  <c r="B62" i="22"/>
  <c r="B61" i="22"/>
  <c r="B60" i="22"/>
  <c r="C59" i="22"/>
  <c r="G59" i="22" s="1"/>
  <c r="B59" i="22"/>
  <c r="B58" i="22"/>
  <c r="B57" i="22"/>
  <c r="B56" i="22"/>
  <c r="B55" i="22"/>
  <c r="B54" i="22"/>
  <c r="B53" i="22"/>
  <c r="B52" i="22"/>
  <c r="B51" i="22"/>
  <c r="B50" i="22"/>
  <c r="C49" i="22"/>
  <c r="B49" i="22"/>
  <c r="C48" i="22"/>
  <c r="G48" i="22" s="1"/>
  <c r="B48" i="22"/>
  <c r="C47" i="22"/>
  <c r="B47" i="22"/>
  <c r="B46" i="22"/>
  <c r="B45" i="22"/>
  <c r="B44" i="22"/>
  <c r="B43" i="22"/>
  <c r="B42" i="22"/>
  <c r="B41" i="22"/>
  <c r="B40" i="22"/>
  <c r="C39" i="22"/>
  <c r="F39" i="22" s="1"/>
  <c r="B39" i="22"/>
  <c r="B35" i="22"/>
  <c r="B34" i="22"/>
  <c r="B33" i="22"/>
  <c r="B32" i="22"/>
  <c r="B31" i="22"/>
  <c r="B30" i="22"/>
  <c r="B29" i="22"/>
  <c r="B28" i="22"/>
  <c r="B27" i="22"/>
  <c r="B26" i="22"/>
  <c r="B25" i="22"/>
  <c r="C24" i="22"/>
  <c r="G24" i="22" s="1"/>
  <c r="B24" i="22"/>
  <c r="C23" i="22"/>
  <c r="G23" i="22" s="1"/>
  <c r="B23" i="22"/>
  <c r="C22" i="22"/>
  <c r="G22" i="22" s="1"/>
  <c r="B22" i="22"/>
  <c r="B21" i="22"/>
  <c r="B20" i="22"/>
  <c r="B19" i="22"/>
  <c r="B18" i="22"/>
  <c r="B17" i="22"/>
  <c r="B16" i="22"/>
  <c r="B15" i="22"/>
  <c r="B14" i="22"/>
  <c r="B13" i="22"/>
  <c r="C12" i="22"/>
  <c r="G12" i="22" s="1"/>
  <c r="B12" i="22"/>
  <c r="B11" i="22"/>
  <c r="B10" i="22"/>
  <c r="B9" i="22"/>
  <c r="B8" i="22"/>
  <c r="B7" i="22"/>
  <c r="B6" i="22"/>
  <c r="C5" i="22"/>
  <c r="G5" i="22" s="1"/>
  <c r="B5" i="22"/>
  <c r="F24" i="21"/>
  <c r="L17" i="21"/>
  <c r="L23" i="19"/>
  <c r="K23" i="19"/>
  <c r="BX15" i="19"/>
  <c r="BW15" i="19"/>
  <c r="BV15" i="19"/>
  <c r="BT15" i="19"/>
  <c r="BS15" i="19"/>
  <c r="BR15" i="19"/>
  <c r="BQ15" i="19"/>
  <c r="BN15" i="19"/>
  <c r="BM15" i="19"/>
  <c r="BL15" i="19"/>
  <c r="BK15" i="19"/>
  <c r="BJ15" i="19"/>
  <c r="BH15" i="19"/>
  <c r="BG15" i="19"/>
  <c r="BF15" i="19"/>
  <c r="BE15" i="19"/>
  <c r="BD15" i="19"/>
  <c r="BC15" i="19"/>
  <c r="BA15" i="19"/>
  <c r="AZ15" i="19"/>
  <c r="AY15" i="19"/>
  <c r="AX15" i="19"/>
  <c r="H23" i="19" s="1"/>
  <c r="AW15" i="19"/>
  <c r="AV15" i="19"/>
  <c r="AU15" i="19"/>
  <c r="AT15" i="19"/>
  <c r="AS15" i="19"/>
  <c r="AR15" i="19"/>
  <c r="AP15" i="19"/>
  <c r="AO15" i="19"/>
  <c r="AN15" i="19"/>
  <c r="AM15" i="19"/>
  <c r="AL15" i="19"/>
  <c r="AK15" i="19"/>
  <c r="AJ15" i="19"/>
  <c r="AI15" i="19"/>
  <c r="AH15" i="19"/>
  <c r="AG15" i="19"/>
  <c r="AF15" i="19"/>
  <c r="AE15" i="19"/>
  <c r="AD15" i="19"/>
  <c r="AC15" i="19"/>
  <c r="AB15" i="19"/>
  <c r="Z15" i="19"/>
  <c r="Y15" i="19"/>
  <c r="X15" i="19"/>
  <c r="W15" i="19"/>
  <c r="V15" i="19"/>
  <c r="T15" i="19"/>
  <c r="S15" i="19"/>
  <c r="R15" i="19"/>
  <c r="Q15" i="19"/>
  <c r="O15" i="19"/>
  <c r="P23" i="19" s="1"/>
  <c r="N15" i="19"/>
  <c r="O23" i="19" s="1"/>
  <c r="L15" i="19"/>
  <c r="K15" i="19"/>
  <c r="J15" i="19"/>
  <c r="I15" i="19"/>
  <c r="H15" i="19"/>
  <c r="G15" i="19"/>
  <c r="F15" i="19"/>
  <c r="E15" i="19"/>
  <c r="D15" i="19"/>
  <c r="C15" i="19"/>
  <c r="B15" i="19"/>
  <c r="BY14" i="19"/>
  <c r="BU14" i="19"/>
  <c r="BZ14" i="19" s="1"/>
  <c r="D13" i="13" s="1"/>
  <c r="BO14" i="19"/>
  <c r="BI14" i="19"/>
  <c r="BB14" i="19"/>
  <c r="AQ14" i="19"/>
  <c r="AA14" i="19"/>
  <c r="U14" i="19"/>
  <c r="M14" i="19"/>
  <c r="P14" i="19" s="1"/>
  <c r="B13" i="13" s="1"/>
  <c r="BY13" i="19"/>
  <c r="BU13" i="19"/>
  <c r="BZ13" i="19" s="1"/>
  <c r="D12" i="13" s="1"/>
  <c r="BO13" i="19"/>
  <c r="BI13" i="19"/>
  <c r="BB13" i="19"/>
  <c r="AQ13" i="19"/>
  <c r="AA13" i="19"/>
  <c r="U13" i="19"/>
  <c r="M13" i="19"/>
  <c r="P13" i="19" s="1"/>
  <c r="B12" i="13" s="1"/>
  <c r="BY12" i="19"/>
  <c r="BZ12" i="19" s="1"/>
  <c r="D11" i="13" s="1"/>
  <c r="BU12" i="19"/>
  <c r="BO12" i="19"/>
  <c r="BI12" i="19"/>
  <c r="BB12" i="19"/>
  <c r="AQ12" i="19"/>
  <c r="AA12" i="19"/>
  <c r="U12" i="19"/>
  <c r="M12" i="19"/>
  <c r="P12" i="19" s="1"/>
  <c r="B11" i="13" s="1"/>
  <c r="BY11" i="19"/>
  <c r="BU11" i="19"/>
  <c r="BO11" i="19"/>
  <c r="BI11" i="19"/>
  <c r="BB11" i="19"/>
  <c r="AQ11" i="19"/>
  <c r="AA11" i="19"/>
  <c r="U11" i="19"/>
  <c r="M11" i="19"/>
  <c r="P11" i="19" s="1"/>
  <c r="B10" i="13" s="1"/>
  <c r="BY10" i="19"/>
  <c r="BU10" i="19"/>
  <c r="BO10" i="19"/>
  <c r="BI10" i="19"/>
  <c r="BB10" i="19"/>
  <c r="AQ10" i="19"/>
  <c r="AA10" i="19"/>
  <c r="U10" i="19"/>
  <c r="M10" i="19"/>
  <c r="P10" i="19" s="1"/>
  <c r="B9" i="13" s="1"/>
  <c r="BY9" i="19"/>
  <c r="BU9" i="19"/>
  <c r="BZ9" i="19" s="1"/>
  <c r="D8" i="13" s="1"/>
  <c r="BO9" i="19"/>
  <c r="BI9" i="19"/>
  <c r="BB9" i="19"/>
  <c r="AQ9" i="19"/>
  <c r="AA9" i="19"/>
  <c r="U9" i="19"/>
  <c r="M9" i="19"/>
  <c r="P9" i="19" s="1"/>
  <c r="B8" i="13" s="1"/>
  <c r="BY8" i="19"/>
  <c r="BU8" i="19"/>
  <c r="BO8" i="19"/>
  <c r="BI8" i="19"/>
  <c r="BB8" i="19"/>
  <c r="AQ8" i="19"/>
  <c r="AA8" i="19"/>
  <c r="U8" i="19"/>
  <c r="P8" i="19"/>
  <c r="B7" i="13" s="1"/>
  <c r="M8" i="19"/>
  <c r="BY7" i="19"/>
  <c r="BU7" i="19"/>
  <c r="BO7" i="19"/>
  <c r="BI7" i="19"/>
  <c r="BB7" i="19"/>
  <c r="AQ7" i="19"/>
  <c r="AA7" i="19"/>
  <c r="U7" i="19"/>
  <c r="M7" i="19"/>
  <c r="P7" i="19" s="1"/>
  <c r="B6" i="13" s="1"/>
  <c r="BY6" i="19"/>
  <c r="BU6" i="19"/>
  <c r="BZ6" i="19" s="1"/>
  <c r="D5" i="13" s="1"/>
  <c r="BO6" i="19"/>
  <c r="BI6" i="19"/>
  <c r="BB6" i="19"/>
  <c r="AQ6" i="19"/>
  <c r="AA6" i="19"/>
  <c r="U6" i="19"/>
  <c r="M6" i="19"/>
  <c r="P6" i="19" s="1"/>
  <c r="B5" i="13" s="1"/>
  <c r="BY5" i="19"/>
  <c r="BU5" i="19"/>
  <c r="BO5" i="19"/>
  <c r="BI5" i="19"/>
  <c r="BB5" i="19"/>
  <c r="AQ5" i="19"/>
  <c r="AA5" i="19"/>
  <c r="U5" i="19"/>
  <c r="M5" i="19"/>
  <c r="P5" i="19" s="1"/>
  <c r="B4" i="13" s="1"/>
  <c r="BY4" i="19"/>
  <c r="BU4" i="19"/>
  <c r="BO4" i="19"/>
  <c r="BI4" i="19"/>
  <c r="BB4" i="19"/>
  <c r="AQ4" i="19"/>
  <c r="AA4" i="19"/>
  <c r="U4" i="19"/>
  <c r="M4" i="19"/>
  <c r="P4" i="19" s="1"/>
  <c r="B3" i="13" s="1"/>
  <c r="BY3" i="19"/>
  <c r="BU3" i="19"/>
  <c r="BO3" i="19"/>
  <c r="BI3" i="19"/>
  <c r="BB3" i="19"/>
  <c r="AQ3" i="19"/>
  <c r="AA3" i="19"/>
  <c r="U3" i="19"/>
  <c r="M3" i="19"/>
  <c r="P3" i="19" s="1"/>
  <c r="B17" i="20"/>
  <c r="B14" i="20"/>
  <c r="F14" i="13"/>
  <c r="B32" i="25"/>
  <c r="B31" i="25"/>
  <c r="B27" i="25"/>
  <c r="C27" i="25" s="1"/>
  <c r="E27" i="25" s="1"/>
  <c r="D27" i="25" s="1"/>
  <c r="B26" i="25"/>
  <c r="C26" i="25" s="1"/>
  <c r="E26" i="25" s="1"/>
  <c r="D22" i="25"/>
  <c r="C22" i="25"/>
  <c r="B22" i="25"/>
  <c r="D21" i="25"/>
  <c r="C21" i="25"/>
  <c r="D20" i="25"/>
  <c r="C20" i="25"/>
  <c r="D19" i="25"/>
  <c r="C19" i="25"/>
  <c r="D18" i="25"/>
  <c r="C18" i="25"/>
  <c r="D17" i="25"/>
  <c r="C17" i="25"/>
  <c r="D16" i="25"/>
  <c r="C16" i="25"/>
  <c r="D15" i="25"/>
  <c r="C15" i="25"/>
  <c r="D14" i="25"/>
  <c r="C14" i="25"/>
  <c r="D13" i="25"/>
  <c r="C13" i="25"/>
  <c r="D12" i="25"/>
  <c r="C12" i="25"/>
  <c r="D11" i="25"/>
  <c r="C11" i="25"/>
  <c r="D10" i="25"/>
  <c r="C10" i="25"/>
  <c r="B9" i="25"/>
  <c r="E4" i="25"/>
  <c r="D4" i="25"/>
  <c r="C4" i="25"/>
  <c r="B4" i="25"/>
  <c r="E14" i="7"/>
  <c r="E13" i="7"/>
  <c r="E12" i="7"/>
  <c r="I7" i="7"/>
  <c r="K7" i="7" s="1"/>
  <c r="G7" i="7"/>
  <c r="F7" i="7"/>
  <c r="D7" i="7"/>
  <c r="N6" i="7"/>
  <c r="I6" i="7"/>
  <c r="K6" i="7" s="1"/>
  <c r="G6" i="7"/>
  <c r="F6" i="7"/>
  <c r="E6" i="7"/>
  <c r="D6" i="7"/>
  <c r="N5" i="7"/>
  <c r="I5" i="7"/>
  <c r="K5" i="7" s="1"/>
  <c r="G5" i="7"/>
  <c r="F5" i="7"/>
  <c r="E5" i="7"/>
  <c r="D5" i="7"/>
  <c r="N4" i="7"/>
  <c r="I4" i="7"/>
  <c r="K4" i="7" s="1"/>
  <c r="G4" i="7"/>
  <c r="F4" i="7"/>
  <c r="E4" i="7"/>
  <c r="D4" i="7"/>
  <c r="C243" i="6"/>
  <c r="F243" i="6" s="1"/>
  <c r="B243" i="6"/>
  <c r="C242" i="6"/>
  <c r="B241" i="6"/>
  <c r="B240" i="6"/>
  <c r="C239" i="6"/>
  <c r="G239" i="6" s="1"/>
  <c r="B239" i="6"/>
  <c r="C238" i="6"/>
  <c r="F238" i="6" s="1"/>
  <c r="B238" i="6"/>
  <c r="B237" i="6"/>
  <c r="C236" i="6"/>
  <c r="G236" i="6" s="1"/>
  <c r="B236" i="6"/>
  <c r="C235" i="6"/>
  <c r="F235" i="6" s="1"/>
  <c r="B235" i="6"/>
  <c r="C234" i="6"/>
  <c r="G234" i="6" s="1"/>
  <c r="B234" i="6"/>
  <c r="C233" i="6"/>
  <c r="G233" i="6" s="1"/>
  <c r="B233" i="6"/>
  <c r="C232" i="6"/>
  <c r="B232" i="6"/>
  <c r="C231" i="6"/>
  <c r="B231" i="6"/>
  <c r="C230" i="6"/>
  <c r="G230" i="6" s="1"/>
  <c r="B230" i="6"/>
  <c r="C229" i="6"/>
  <c r="G229" i="6" s="1"/>
  <c r="B229" i="6"/>
  <c r="C228" i="6"/>
  <c r="G228" i="6" s="1"/>
  <c r="B228" i="6"/>
  <c r="C227" i="6"/>
  <c r="G227" i="6" s="1"/>
  <c r="B227" i="6"/>
  <c r="C226" i="6"/>
  <c r="G226" i="6" s="1"/>
  <c r="B226" i="6"/>
  <c r="C225" i="6"/>
  <c r="G225" i="6" s="1"/>
  <c r="B225" i="6"/>
  <c r="C221" i="6"/>
  <c r="B221" i="6"/>
  <c r="C220" i="6"/>
  <c r="G220" i="6" s="1"/>
  <c r="B220" i="6"/>
  <c r="C219" i="6"/>
  <c r="B219" i="6"/>
  <c r="C218" i="6"/>
  <c r="G218" i="6" s="1"/>
  <c r="B218" i="6"/>
  <c r="C217" i="6"/>
  <c r="B217" i="6"/>
  <c r="C216" i="6"/>
  <c r="F216" i="6" s="1"/>
  <c r="B216" i="6"/>
  <c r="C215" i="6"/>
  <c r="G215" i="6" s="1"/>
  <c r="B215" i="6"/>
  <c r="C214" i="6"/>
  <c r="F214" i="6" s="1"/>
  <c r="B214" i="6"/>
  <c r="C213" i="6"/>
  <c r="G213" i="6" s="1"/>
  <c r="B213" i="6"/>
  <c r="C212" i="6"/>
  <c r="G212" i="6" s="1"/>
  <c r="B212" i="6"/>
  <c r="C211" i="6"/>
  <c r="G211" i="6" s="1"/>
  <c r="B211" i="6"/>
  <c r="C210" i="6"/>
  <c r="F210" i="6" s="1"/>
  <c r="B210" i="6"/>
  <c r="C209" i="6"/>
  <c r="B209" i="6"/>
  <c r="C208" i="6"/>
  <c r="F208" i="6" s="1"/>
  <c r="B208" i="6"/>
  <c r="C207" i="6"/>
  <c r="F207" i="6" s="1"/>
  <c r="B207" i="6"/>
  <c r="C206" i="6"/>
  <c r="B206" i="6"/>
  <c r="C205" i="6"/>
  <c r="G205" i="6" s="1"/>
  <c r="B205" i="6"/>
  <c r="C204" i="6"/>
  <c r="B204" i="6"/>
  <c r="C203" i="6"/>
  <c r="B203" i="6"/>
  <c r="C202" i="6"/>
  <c r="G202" i="6" s="1"/>
  <c r="B202" i="6"/>
  <c r="C201" i="6"/>
  <c r="B201" i="6"/>
  <c r="C200" i="6"/>
  <c r="B200" i="6"/>
  <c r="C199" i="6"/>
  <c r="G199" i="6" s="1"/>
  <c r="B199" i="6"/>
  <c r="C198" i="6"/>
  <c r="B198" i="6"/>
  <c r="C197" i="6"/>
  <c r="G197" i="6" s="1"/>
  <c r="B197" i="6"/>
  <c r="C196" i="6"/>
  <c r="G196" i="6" s="1"/>
  <c r="B196" i="6"/>
  <c r="C195" i="6"/>
  <c r="F195" i="6" s="1"/>
  <c r="B195" i="6"/>
  <c r="C194" i="6"/>
  <c r="B194" i="6"/>
  <c r="C193" i="6"/>
  <c r="B193" i="6"/>
  <c r="C192" i="6"/>
  <c r="B192" i="6"/>
  <c r="C191" i="6"/>
  <c r="F191" i="6" s="1"/>
  <c r="B191" i="6"/>
  <c r="C190" i="6"/>
  <c r="B190" i="6"/>
  <c r="C189" i="6"/>
  <c r="G189" i="6" s="1"/>
  <c r="B189" i="6"/>
  <c r="C188" i="6"/>
  <c r="B188" i="6"/>
  <c r="C187" i="6"/>
  <c r="G187" i="6" s="1"/>
  <c r="B187" i="6"/>
  <c r="C186" i="6"/>
  <c r="B186" i="6"/>
  <c r="C185" i="6"/>
  <c r="B185" i="6"/>
  <c r="C184" i="6"/>
  <c r="B184" i="6"/>
  <c r="C183" i="6"/>
  <c r="F183" i="6" s="1"/>
  <c r="B183" i="6"/>
  <c r="C182" i="6"/>
  <c r="B182" i="6"/>
  <c r="C181" i="6"/>
  <c r="B181" i="6"/>
  <c r="C180" i="6"/>
  <c r="B180" i="6"/>
  <c r="C179" i="6"/>
  <c r="G179" i="6" s="1"/>
  <c r="B179" i="6"/>
  <c r="C178" i="6"/>
  <c r="G178" i="6" s="1"/>
  <c r="B178" i="6"/>
  <c r="C177" i="6"/>
  <c r="B177" i="6"/>
  <c r="C176" i="6"/>
  <c r="B176" i="6"/>
  <c r="C172" i="6"/>
  <c r="G172" i="6" s="1"/>
  <c r="B172" i="6"/>
  <c r="C171" i="6"/>
  <c r="G171" i="6" s="1"/>
  <c r="B171" i="6"/>
  <c r="C170" i="6"/>
  <c r="B170" i="6"/>
  <c r="C169" i="6"/>
  <c r="G169" i="6" s="1"/>
  <c r="B169" i="6"/>
  <c r="C168" i="6"/>
  <c r="F168" i="6" s="1"/>
  <c r="B168" i="6"/>
  <c r="C167" i="6"/>
  <c r="F167" i="6" s="1"/>
  <c r="B167" i="6"/>
  <c r="C166" i="6"/>
  <c r="G166" i="6" s="1"/>
  <c r="B166" i="6"/>
  <c r="C165" i="6"/>
  <c r="G165" i="6" s="1"/>
  <c r="B165" i="6"/>
  <c r="C164" i="6"/>
  <c r="G164" i="6" s="1"/>
  <c r="B164" i="6"/>
  <c r="C163" i="6"/>
  <c r="B163" i="6"/>
  <c r="C162" i="6"/>
  <c r="G162" i="6" s="1"/>
  <c r="B162" i="6"/>
  <c r="C161" i="6"/>
  <c r="F161" i="6" s="1"/>
  <c r="B161" i="6"/>
  <c r="C160" i="6"/>
  <c r="G160" i="6" s="1"/>
  <c r="B160" i="6"/>
  <c r="C159" i="6"/>
  <c r="G159" i="6" s="1"/>
  <c r="B159" i="6"/>
  <c r="C158" i="6"/>
  <c r="G158" i="6" s="1"/>
  <c r="B158" i="6"/>
  <c r="C157" i="6"/>
  <c r="B157" i="6"/>
  <c r="C156" i="6"/>
  <c r="F156" i="6" s="1"/>
  <c r="B156" i="6"/>
  <c r="C155" i="6"/>
  <c r="G155" i="6" s="1"/>
  <c r="B155" i="6"/>
  <c r="C154" i="6"/>
  <c r="G154" i="6" s="1"/>
  <c r="B154" i="6"/>
  <c r="C153" i="6"/>
  <c r="F153" i="6" s="1"/>
  <c r="B153" i="6"/>
  <c r="C152" i="6"/>
  <c r="F152" i="6" s="1"/>
  <c r="B152" i="6"/>
  <c r="C151" i="6"/>
  <c r="B151" i="6"/>
  <c r="C150" i="6"/>
  <c r="G150" i="6" s="1"/>
  <c r="B150" i="6"/>
  <c r="C149" i="6"/>
  <c r="B149" i="6"/>
  <c r="C148" i="6"/>
  <c r="B148" i="6"/>
  <c r="C147" i="6"/>
  <c r="G147" i="6" s="1"/>
  <c r="B147" i="6"/>
  <c r="C146" i="6"/>
  <c r="B146" i="6"/>
  <c r="C145" i="6"/>
  <c r="G145" i="6" s="1"/>
  <c r="B145" i="6"/>
  <c r="C144" i="6"/>
  <c r="F144" i="6" s="1"/>
  <c r="B144" i="6"/>
  <c r="C143" i="6"/>
  <c r="B143" i="6"/>
  <c r="C142" i="6"/>
  <c r="G142" i="6" s="1"/>
  <c r="B142" i="6"/>
  <c r="C141" i="6"/>
  <c r="G141" i="6" s="1"/>
  <c r="B141" i="6"/>
  <c r="C137" i="6"/>
  <c r="B137" i="6"/>
  <c r="C136" i="6"/>
  <c r="G136" i="6" s="1"/>
  <c r="B136" i="6"/>
  <c r="C135" i="6"/>
  <c r="G135" i="6" s="1"/>
  <c r="B135" i="6"/>
  <c r="C134" i="6"/>
  <c r="G134" i="6" s="1"/>
  <c r="B134" i="6"/>
  <c r="C133" i="6"/>
  <c r="G133" i="6" s="1"/>
  <c r="B133" i="6"/>
  <c r="C132" i="6"/>
  <c r="B132" i="6"/>
  <c r="C131" i="6"/>
  <c r="G131" i="6" s="1"/>
  <c r="B131" i="6"/>
  <c r="A131" i="6"/>
  <c r="C130" i="6"/>
  <c r="G130" i="6" s="1"/>
  <c r="B130" i="6"/>
  <c r="A130" i="6"/>
  <c r="C129" i="6"/>
  <c r="B129" i="6"/>
  <c r="A129" i="6"/>
  <c r="C128" i="6"/>
  <c r="G128" i="6" s="1"/>
  <c r="B128" i="6"/>
  <c r="A128" i="6"/>
  <c r="C127" i="6"/>
  <c r="B127" i="6"/>
  <c r="A127" i="6"/>
  <c r="C126" i="6"/>
  <c r="F126" i="6" s="1"/>
  <c r="B126" i="6"/>
  <c r="A126" i="6"/>
  <c r="C125" i="6"/>
  <c r="B125" i="6"/>
  <c r="A125" i="6"/>
  <c r="C124" i="6"/>
  <c r="F124" i="6" s="1"/>
  <c r="B124" i="6"/>
  <c r="A124" i="6"/>
  <c r="C123" i="6"/>
  <c r="F123" i="6" s="1"/>
  <c r="B123" i="6"/>
  <c r="A123" i="6"/>
  <c r="C122" i="6"/>
  <c r="B122" i="6"/>
  <c r="A122" i="6"/>
  <c r="C121" i="6"/>
  <c r="B121" i="6"/>
  <c r="A121" i="6"/>
  <c r="C120" i="6"/>
  <c r="G120" i="6" s="1"/>
  <c r="B120" i="6"/>
  <c r="A120" i="6"/>
  <c r="C119" i="6"/>
  <c r="G119" i="6" s="1"/>
  <c r="B119" i="6"/>
  <c r="A119" i="6"/>
  <c r="C115" i="6"/>
  <c r="G115" i="6" s="1"/>
  <c r="B115" i="6"/>
  <c r="C114" i="6"/>
  <c r="G114" i="6" s="1"/>
  <c r="B114" i="6"/>
  <c r="C113" i="6"/>
  <c r="F113" i="6" s="1"/>
  <c r="B113" i="6"/>
  <c r="C112" i="6"/>
  <c r="B112" i="6"/>
  <c r="C111" i="6"/>
  <c r="G111" i="6" s="1"/>
  <c r="B111" i="6"/>
  <c r="C110" i="6"/>
  <c r="B110" i="6"/>
  <c r="C109" i="6"/>
  <c r="B109" i="6"/>
  <c r="C108" i="6"/>
  <c r="B108" i="6"/>
  <c r="C107" i="6"/>
  <c r="F107" i="6" s="1"/>
  <c r="B107" i="6"/>
  <c r="C106" i="6"/>
  <c r="B106" i="6"/>
  <c r="C105" i="6"/>
  <c r="B105" i="6"/>
  <c r="C104" i="6"/>
  <c r="G104" i="6" s="1"/>
  <c r="B104" i="6"/>
  <c r="C103" i="6"/>
  <c r="B103" i="6"/>
  <c r="C102" i="6"/>
  <c r="G102" i="6" s="1"/>
  <c r="B102" i="6"/>
  <c r="C101" i="6"/>
  <c r="B101" i="6"/>
  <c r="C100" i="6"/>
  <c r="G100" i="6" s="1"/>
  <c r="B100" i="6"/>
  <c r="C99" i="6"/>
  <c r="G99" i="6" s="1"/>
  <c r="B99" i="6"/>
  <c r="B98" i="6"/>
  <c r="C97" i="6"/>
  <c r="B97" i="6"/>
  <c r="C93" i="6"/>
  <c r="G93" i="6" s="1"/>
  <c r="B93" i="6"/>
  <c r="C92" i="6"/>
  <c r="B92" i="6"/>
  <c r="C91" i="6"/>
  <c r="G91" i="6" s="1"/>
  <c r="B91" i="6"/>
  <c r="C90" i="6"/>
  <c r="G90" i="6" s="1"/>
  <c r="B90" i="6"/>
  <c r="C89" i="6"/>
  <c r="G89" i="6" s="1"/>
  <c r="B89" i="6"/>
  <c r="C88" i="6"/>
  <c r="B88" i="6"/>
  <c r="C87" i="6"/>
  <c r="G87" i="6" s="1"/>
  <c r="B87" i="6"/>
  <c r="C86" i="6"/>
  <c r="F86" i="6" s="1"/>
  <c r="B86" i="6"/>
  <c r="C85" i="6"/>
  <c r="F85" i="6" s="1"/>
  <c r="B85" i="6"/>
  <c r="C84" i="6"/>
  <c r="F84" i="6" s="1"/>
  <c r="B84" i="6"/>
  <c r="C83" i="6"/>
  <c r="B83" i="6"/>
  <c r="C82" i="6"/>
  <c r="G82" i="6" s="1"/>
  <c r="B82" i="6"/>
  <c r="C81" i="6"/>
  <c r="B81" i="6"/>
  <c r="C80" i="6"/>
  <c r="B80" i="6"/>
  <c r="C79" i="6"/>
  <c r="G79" i="6" s="1"/>
  <c r="B79" i="6"/>
  <c r="C78" i="6"/>
  <c r="F78" i="6" s="1"/>
  <c r="B78" i="6"/>
  <c r="B77" i="6"/>
  <c r="C76" i="6"/>
  <c r="F76" i="6" s="1"/>
  <c r="B76" i="6"/>
  <c r="C72" i="6"/>
  <c r="B72" i="6"/>
  <c r="C71" i="6"/>
  <c r="B71" i="6"/>
  <c r="C70" i="6"/>
  <c r="B70" i="6"/>
  <c r="C69" i="6"/>
  <c r="F69" i="6" s="1"/>
  <c r="B69" i="6"/>
  <c r="C68" i="6"/>
  <c r="B68" i="6"/>
  <c r="C67" i="6"/>
  <c r="B67" i="6"/>
  <c r="C66" i="6"/>
  <c r="B66" i="6"/>
  <c r="C65" i="6"/>
  <c r="F65" i="6" s="1"/>
  <c r="B65" i="6"/>
  <c r="C64" i="6"/>
  <c r="G64" i="6" s="1"/>
  <c r="B64" i="6"/>
  <c r="C63" i="6"/>
  <c r="B63" i="6"/>
  <c r="C62" i="6"/>
  <c r="G62" i="6" s="1"/>
  <c r="B62" i="6"/>
  <c r="C61" i="6"/>
  <c r="G61" i="6" s="1"/>
  <c r="B61" i="6"/>
  <c r="C60" i="6"/>
  <c r="G60" i="6" s="1"/>
  <c r="B60" i="6"/>
  <c r="C59" i="6"/>
  <c r="G59" i="6" s="1"/>
  <c r="B59" i="6"/>
  <c r="C58" i="6"/>
  <c r="G58" i="6" s="1"/>
  <c r="B58" i="6"/>
  <c r="C57" i="6"/>
  <c r="B57" i="6"/>
  <c r="C56" i="6"/>
  <c r="G56" i="6" s="1"/>
  <c r="B56" i="6"/>
  <c r="C55" i="6"/>
  <c r="G55" i="6" s="1"/>
  <c r="B55" i="6"/>
  <c r="C54" i="6"/>
  <c r="B54" i="6"/>
  <c r="C53" i="6"/>
  <c r="B53" i="6"/>
  <c r="C52" i="6"/>
  <c r="F52" i="6" s="1"/>
  <c r="B52" i="6"/>
  <c r="C51" i="6"/>
  <c r="B51" i="6"/>
  <c r="C50" i="6"/>
  <c r="F50" i="6" s="1"/>
  <c r="B50" i="6"/>
  <c r="C49" i="6"/>
  <c r="B49" i="6"/>
  <c r="C48" i="6"/>
  <c r="F48" i="6" s="1"/>
  <c r="B48" i="6"/>
  <c r="C47" i="6"/>
  <c r="B47" i="6"/>
  <c r="C46" i="6"/>
  <c r="G46" i="6" s="1"/>
  <c r="B46" i="6"/>
  <c r="C45" i="6"/>
  <c r="F45" i="6" s="1"/>
  <c r="B45" i="6"/>
  <c r="C44" i="6"/>
  <c r="B44" i="6"/>
  <c r="C43" i="6"/>
  <c r="F43" i="6" s="1"/>
  <c r="B43" i="6"/>
  <c r="B42" i="6"/>
  <c r="B41" i="6"/>
  <c r="C40" i="6"/>
  <c r="G40" i="6" s="1"/>
  <c r="B40" i="6"/>
  <c r="C39" i="6"/>
  <c r="B39" i="6"/>
  <c r="C35" i="6"/>
  <c r="B35" i="6"/>
  <c r="C34" i="6"/>
  <c r="G34" i="6" s="1"/>
  <c r="B34" i="6"/>
  <c r="C33" i="6"/>
  <c r="G33" i="6" s="1"/>
  <c r="B33" i="6"/>
  <c r="C32" i="6"/>
  <c r="B32" i="6"/>
  <c r="C31" i="6"/>
  <c r="B31" i="6"/>
  <c r="C30" i="6"/>
  <c r="G30" i="6" s="1"/>
  <c r="B30" i="6"/>
  <c r="C29" i="6"/>
  <c r="G29" i="6" s="1"/>
  <c r="B29" i="6"/>
  <c r="C28" i="6"/>
  <c r="B28" i="6"/>
  <c r="C27" i="6"/>
  <c r="G27" i="6" s="1"/>
  <c r="B27" i="6"/>
  <c r="C26" i="6"/>
  <c r="F26" i="6" s="1"/>
  <c r="B26" i="6"/>
  <c r="C25" i="6"/>
  <c r="G25" i="6" s="1"/>
  <c r="B25" i="6"/>
  <c r="C24" i="6"/>
  <c r="F24" i="6" s="1"/>
  <c r="B24" i="6"/>
  <c r="C23" i="6"/>
  <c r="F23" i="6" s="1"/>
  <c r="B23" i="6"/>
  <c r="C22" i="6"/>
  <c r="G22" i="6" s="1"/>
  <c r="B22" i="6"/>
  <c r="C21" i="6"/>
  <c r="G21" i="6" s="1"/>
  <c r="B21" i="6"/>
  <c r="C20" i="6"/>
  <c r="G20" i="6" s="1"/>
  <c r="B20" i="6"/>
  <c r="C19" i="6"/>
  <c r="F19" i="6" s="1"/>
  <c r="B19" i="6"/>
  <c r="C18" i="6"/>
  <c r="G18" i="6" s="1"/>
  <c r="B18" i="6"/>
  <c r="C17" i="6"/>
  <c r="G17" i="6" s="1"/>
  <c r="B17" i="6"/>
  <c r="C16" i="6"/>
  <c r="F16" i="6" s="1"/>
  <c r="B16" i="6"/>
  <c r="C15" i="6"/>
  <c r="G15" i="6" s="1"/>
  <c r="B15" i="6"/>
  <c r="C14" i="6"/>
  <c r="F14" i="6" s="1"/>
  <c r="B14" i="6"/>
  <c r="C13" i="6"/>
  <c r="B13" i="6"/>
  <c r="C12" i="6"/>
  <c r="G12" i="6" s="1"/>
  <c r="B12" i="6"/>
  <c r="C11" i="6"/>
  <c r="G11" i="6" s="1"/>
  <c r="B11" i="6"/>
  <c r="C10" i="6"/>
  <c r="B10" i="6"/>
  <c r="C9" i="6"/>
  <c r="G9" i="6" s="1"/>
  <c r="B9" i="6"/>
  <c r="C8" i="6"/>
  <c r="B8" i="6"/>
  <c r="C7" i="6"/>
  <c r="F7" i="6" s="1"/>
  <c r="B7" i="6"/>
  <c r="C6" i="6"/>
  <c r="B6" i="6"/>
  <c r="C5" i="6"/>
  <c r="G5" i="6" s="1"/>
  <c r="B5" i="6"/>
  <c r="L17" i="12"/>
  <c r="BX15" i="9"/>
  <c r="BW15" i="9"/>
  <c r="BV15" i="9"/>
  <c r="BT15" i="9"/>
  <c r="BS15" i="9"/>
  <c r="BR15" i="9"/>
  <c r="BQ15" i="9"/>
  <c r="BN15" i="9"/>
  <c r="BM15" i="9"/>
  <c r="BL15" i="9"/>
  <c r="BK15" i="9"/>
  <c r="BJ15" i="9"/>
  <c r="BH15" i="9"/>
  <c r="BG15" i="9"/>
  <c r="BF15" i="9"/>
  <c r="BE15" i="9"/>
  <c r="BD15" i="9"/>
  <c r="BC15" i="9"/>
  <c r="BA15" i="9"/>
  <c r="AZ15" i="9"/>
  <c r="AY15" i="9"/>
  <c r="AX15" i="9"/>
  <c r="AW15" i="9"/>
  <c r="AV15" i="9"/>
  <c r="AU15" i="9"/>
  <c r="AT15" i="9"/>
  <c r="AS15" i="9"/>
  <c r="AR15" i="9"/>
  <c r="AP15" i="9"/>
  <c r="AO15" i="9"/>
  <c r="AN15" i="9"/>
  <c r="AM15" i="9"/>
  <c r="AL15" i="9"/>
  <c r="L23" i="9" s="1"/>
  <c r="AK15" i="9"/>
  <c r="K23" i="9" s="1"/>
  <c r="AJ15" i="9"/>
  <c r="AI15" i="9"/>
  <c r="AH15" i="9"/>
  <c r="AG15" i="9"/>
  <c r="AF15" i="9"/>
  <c r="AE15" i="9"/>
  <c r="AD15" i="9"/>
  <c r="AC15" i="9"/>
  <c r="AB15" i="9"/>
  <c r="Z15" i="9"/>
  <c r="Y15" i="9"/>
  <c r="X15" i="9"/>
  <c r="W15" i="9"/>
  <c r="V15" i="9"/>
  <c r="T15" i="9"/>
  <c r="S15" i="9"/>
  <c r="R15" i="9"/>
  <c r="Q15" i="9"/>
  <c r="O15" i="9"/>
  <c r="P23" i="9" s="1"/>
  <c r="N15" i="9"/>
  <c r="M15" i="9"/>
  <c r="L15" i="9"/>
  <c r="K15" i="9"/>
  <c r="J23" i="9" s="1"/>
  <c r="J15" i="9"/>
  <c r="I15" i="9"/>
  <c r="H15" i="9"/>
  <c r="G15" i="9"/>
  <c r="F15" i="9"/>
  <c r="E15" i="9"/>
  <c r="D15" i="9"/>
  <c r="C15" i="9"/>
  <c r="B15" i="9"/>
  <c r="BY14" i="9"/>
  <c r="BU14" i="9"/>
  <c r="BZ14" i="9" s="1"/>
  <c r="D13" i="3" s="1"/>
  <c r="BO14" i="9"/>
  <c r="BI14" i="9"/>
  <c r="BB14" i="9"/>
  <c r="AQ14" i="9"/>
  <c r="AA14" i="9"/>
  <c r="U14" i="9"/>
  <c r="P14" i="9"/>
  <c r="B13" i="3" s="1"/>
  <c r="BY13" i="9"/>
  <c r="BU13" i="9"/>
  <c r="BZ13" i="9" s="1"/>
  <c r="D12" i="3" s="1"/>
  <c r="BO13" i="9"/>
  <c r="BI13" i="9"/>
  <c r="BB13" i="9"/>
  <c r="AQ13" i="9"/>
  <c r="AA13" i="9"/>
  <c r="U13" i="9"/>
  <c r="P13" i="9"/>
  <c r="B12" i="3" s="1"/>
  <c r="BY12" i="9"/>
  <c r="BU12" i="9"/>
  <c r="BO12" i="9"/>
  <c r="BI12" i="9"/>
  <c r="BB12" i="9"/>
  <c r="AQ12" i="9"/>
  <c r="AA12" i="9"/>
  <c r="U12" i="9"/>
  <c r="P12" i="9"/>
  <c r="B11" i="3" s="1"/>
  <c r="BY11" i="9"/>
  <c r="BU11" i="9"/>
  <c r="BO11" i="9"/>
  <c r="BI11" i="9"/>
  <c r="BB11" i="9"/>
  <c r="AQ11" i="9"/>
  <c r="AA11" i="9"/>
  <c r="U11" i="9"/>
  <c r="BP11" i="9" s="1"/>
  <c r="P11" i="9"/>
  <c r="B10" i="3" s="1"/>
  <c r="BY10" i="9"/>
  <c r="BU10" i="9"/>
  <c r="BO10" i="9"/>
  <c r="BI10" i="9"/>
  <c r="BB10" i="9"/>
  <c r="AQ10" i="9"/>
  <c r="AA10" i="9"/>
  <c r="U10" i="9"/>
  <c r="P10" i="9"/>
  <c r="B9" i="3" s="1"/>
  <c r="BY9" i="9"/>
  <c r="BU9" i="9"/>
  <c r="BO9" i="9"/>
  <c r="BI9" i="9"/>
  <c r="BB9" i="9"/>
  <c r="AQ9" i="9"/>
  <c r="AA9" i="9"/>
  <c r="U9" i="9"/>
  <c r="P9" i="9"/>
  <c r="B8" i="3" s="1"/>
  <c r="BY8" i="9"/>
  <c r="BU8" i="9"/>
  <c r="BZ8" i="9" s="1"/>
  <c r="D7" i="3" s="1"/>
  <c r="BO8" i="9"/>
  <c r="BI8" i="9"/>
  <c r="BB8" i="9"/>
  <c r="AQ8" i="9"/>
  <c r="AA8" i="9"/>
  <c r="U8" i="9"/>
  <c r="P8" i="9"/>
  <c r="BY7" i="9"/>
  <c r="BU7" i="9"/>
  <c r="BZ7" i="9" s="1"/>
  <c r="D6" i="3" s="1"/>
  <c r="BO7" i="9"/>
  <c r="BI7" i="9"/>
  <c r="BB7" i="9"/>
  <c r="AQ7" i="9"/>
  <c r="AA7" i="9"/>
  <c r="U7" i="9"/>
  <c r="P7" i="9"/>
  <c r="B6" i="3" s="1"/>
  <c r="BY6" i="9"/>
  <c r="BU6" i="9"/>
  <c r="BZ6" i="9" s="1"/>
  <c r="D5" i="3" s="1"/>
  <c r="BO6" i="9"/>
  <c r="BI6" i="9"/>
  <c r="BB6" i="9"/>
  <c r="AQ6" i="9"/>
  <c r="AA6" i="9"/>
  <c r="U6" i="9"/>
  <c r="P6" i="9"/>
  <c r="B5" i="3" s="1"/>
  <c r="BY5" i="9"/>
  <c r="BU5" i="9"/>
  <c r="BZ5" i="9" s="1"/>
  <c r="D4" i="3" s="1"/>
  <c r="BO5" i="9"/>
  <c r="BI5" i="9"/>
  <c r="BB5" i="9"/>
  <c r="AQ5" i="9"/>
  <c r="AA5" i="9"/>
  <c r="U5" i="9"/>
  <c r="P5" i="9"/>
  <c r="BY4" i="9"/>
  <c r="BU4" i="9"/>
  <c r="BO4" i="9"/>
  <c r="BI4" i="9"/>
  <c r="BB4" i="9"/>
  <c r="AQ4" i="9"/>
  <c r="AA4" i="9"/>
  <c r="U4" i="9"/>
  <c r="P4" i="9"/>
  <c r="B3" i="3" s="1"/>
  <c r="BY3" i="9"/>
  <c r="BU3" i="9"/>
  <c r="BO3" i="9"/>
  <c r="BI3" i="9"/>
  <c r="BB3" i="9"/>
  <c r="BB15" i="9" s="1"/>
  <c r="BB20" i="9" s="1"/>
  <c r="AQ3" i="9"/>
  <c r="AQ17" i="9" s="1"/>
  <c r="AQ18" i="9" s="1"/>
  <c r="AA3" i="9"/>
  <c r="U3" i="9"/>
  <c r="BP3" i="9" s="1"/>
  <c r="P3" i="9"/>
  <c r="B15" i="17"/>
  <c r="B14" i="17"/>
  <c r="F14" i="3"/>
  <c r="B7" i="3"/>
  <c r="B4" i="3"/>
  <c r="J244" i="2"/>
  <c r="I244" i="2"/>
  <c r="H244" i="2"/>
  <c r="G244" i="2"/>
  <c r="F244" i="2"/>
  <c r="J243" i="2"/>
  <c r="I243" i="2"/>
  <c r="H243" i="2"/>
  <c r="G243" i="2"/>
  <c r="F243" i="2"/>
  <c r="I242" i="2"/>
  <c r="H242" i="2"/>
  <c r="G242" i="2"/>
  <c r="F242" i="2"/>
  <c r="I241" i="2"/>
  <c r="C241" i="6"/>
  <c r="G241" i="6" s="1"/>
  <c r="I240" i="2"/>
  <c r="E240" i="2"/>
  <c r="I239" i="2"/>
  <c r="E239" i="2"/>
  <c r="H239" i="2" s="1"/>
  <c r="C238" i="22"/>
  <c r="I238" i="2"/>
  <c r="H238" i="2"/>
  <c r="G238" i="2"/>
  <c r="F238" i="2"/>
  <c r="C237" i="22"/>
  <c r="I237" i="2"/>
  <c r="E237" i="2"/>
  <c r="C237" i="6" s="1"/>
  <c r="J236" i="2"/>
  <c r="I236" i="2"/>
  <c r="H236" i="2"/>
  <c r="G236" i="2"/>
  <c r="F236" i="2"/>
  <c r="C235" i="22"/>
  <c r="G235" i="22" s="1"/>
  <c r="D235" i="2"/>
  <c r="F235" i="2" s="1"/>
  <c r="J234" i="2"/>
  <c r="H234" i="2"/>
  <c r="G234" i="2"/>
  <c r="F234" i="2"/>
  <c r="D234" i="2"/>
  <c r="J233" i="2"/>
  <c r="D233" i="2"/>
  <c r="F233" i="2" s="1"/>
  <c r="J232" i="2"/>
  <c r="D232" i="2"/>
  <c r="F232" i="2" s="1"/>
  <c r="J231" i="2"/>
  <c r="D231" i="2"/>
  <c r="F231" i="2" s="1"/>
  <c r="H230" i="2"/>
  <c r="G230" i="2"/>
  <c r="F230" i="2"/>
  <c r="H229" i="2"/>
  <c r="G229" i="2"/>
  <c r="F229" i="2"/>
  <c r="H228" i="2"/>
  <c r="G228" i="2"/>
  <c r="F228" i="2"/>
  <c r="H227" i="2"/>
  <c r="G227" i="2"/>
  <c r="F227" i="2"/>
  <c r="H226" i="2"/>
  <c r="G226" i="2"/>
  <c r="F226" i="2"/>
  <c r="H225" i="2"/>
  <c r="G225" i="2"/>
  <c r="F225" i="2"/>
  <c r="E222" i="2"/>
  <c r="D222" i="2"/>
  <c r="J221" i="2"/>
  <c r="I221" i="2"/>
  <c r="H221" i="2"/>
  <c r="G221" i="2"/>
  <c r="F221" i="2"/>
  <c r="J220" i="2"/>
  <c r="I220" i="2"/>
  <c r="H220" i="2"/>
  <c r="G220" i="2"/>
  <c r="F220" i="2"/>
  <c r="J219" i="2"/>
  <c r="I219" i="2"/>
  <c r="H219" i="2"/>
  <c r="G219" i="2"/>
  <c r="F219" i="2"/>
  <c r="J218" i="2"/>
  <c r="I218" i="2"/>
  <c r="H218" i="2"/>
  <c r="G218" i="2"/>
  <c r="F218" i="2"/>
  <c r="J217" i="2"/>
  <c r="I217" i="2"/>
  <c r="H217" i="2"/>
  <c r="G217" i="2"/>
  <c r="F217" i="2"/>
  <c r="J216" i="2"/>
  <c r="I216" i="2"/>
  <c r="H216" i="2"/>
  <c r="G216" i="2"/>
  <c r="F216" i="2"/>
  <c r="C215" i="22"/>
  <c r="G215" i="22" s="1"/>
  <c r="I215" i="2"/>
  <c r="H215" i="2"/>
  <c r="G215" i="2"/>
  <c r="F215" i="2"/>
  <c r="C214" i="22"/>
  <c r="G214" i="22" s="1"/>
  <c r="I214" i="2"/>
  <c r="H214" i="2"/>
  <c r="G214" i="2"/>
  <c r="F214" i="2"/>
  <c r="J213" i="2"/>
  <c r="I213" i="2"/>
  <c r="H213" i="2"/>
  <c r="G213" i="2"/>
  <c r="F213" i="2"/>
  <c r="J212" i="2"/>
  <c r="I212" i="2"/>
  <c r="H212" i="2"/>
  <c r="G212" i="2"/>
  <c r="F212" i="2"/>
  <c r="J211" i="2"/>
  <c r="I211" i="2"/>
  <c r="H211" i="2"/>
  <c r="G211" i="2"/>
  <c r="F211" i="2"/>
  <c r="J210" i="2"/>
  <c r="I210" i="2"/>
  <c r="H210" i="2"/>
  <c r="G210" i="2"/>
  <c r="F210" i="2"/>
  <c r="J209" i="2"/>
  <c r="I209" i="2"/>
  <c r="H209" i="2"/>
  <c r="G209" i="2"/>
  <c r="F209" i="2"/>
  <c r="I208" i="2"/>
  <c r="H208" i="2"/>
  <c r="G208" i="2"/>
  <c r="F208" i="2"/>
  <c r="I207" i="2"/>
  <c r="H207" i="2"/>
  <c r="G207" i="2"/>
  <c r="F207" i="2"/>
  <c r="I206" i="2"/>
  <c r="H206" i="2"/>
  <c r="G206" i="2"/>
  <c r="F206" i="2"/>
  <c r="J205" i="2"/>
  <c r="I205" i="2"/>
  <c r="H205" i="2"/>
  <c r="G205" i="2"/>
  <c r="F205" i="2"/>
  <c r="C204" i="22"/>
  <c r="I204" i="2"/>
  <c r="H204" i="2"/>
  <c r="G204" i="2"/>
  <c r="F204" i="2"/>
  <c r="C203" i="22"/>
  <c r="F203" i="22" s="1"/>
  <c r="I203" i="2"/>
  <c r="H203" i="2"/>
  <c r="G203" i="2"/>
  <c r="F203" i="2"/>
  <c r="J202" i="2"/>
  <c r="I202" i="2"/>
  <c r="H202" i="2"/>
  <c r="G202" i="2"/>
  <c r="F202" i="2"/>
  <c r="J201" i="2"/>
  <c r="I201" i="2"/>
  <c r="H201" i="2"/>
  <c r="G201" i="2"/>
  <c r="F201" i="2"/>
  <c r="J200" i="2"/>
  <c r="I200" i="2"/>
  <c r="H200" i="2"/>
  <c r="G200" i="2"/>
  <c r="F200" i="2"/>
  <c r="J199" i="2"/>
  <c r="I199" i="2"/>
  <c r="H199" i="2"/>
  <c r="G199" i="2"/>
  <c r="F199" i="2"/>
  <c r="J198" i="2"/>
  <c r="I198" i="2"/>
  <c r="H198" i="2"/>
  <c r="G198" i="2"/>
  <c r="F198" i="2"/>
  <c r="J197" i="2"/>
  <c r="I197" i="2"/>
  <c r="H197" i="2"/>
  <c r="G197" i="2"/>
  <c r="F197" i="2"/>
  <c r="I196" i="2"/>
  <c r="H196" i="2"/>
  <c r="G196" i="2"/>
  <c r="F196" i="2"/>
  <c r="J195" i="2"/>
  <c r="I195" i="2"/>
  <c r="H195" i="2"/>
  <c r="G195" i="2"/>
  <c r="F195" i="2"/>
  <c r="J194" i="2"/>
  <c r="I194" i="2"/>
  <c r="H194" i="2"/>
  <c r="G194" i="2"/>
  <c r="F194" i="2"/>
  <c r="J193" i="2"/>
  <c r="I193" i="2"/>
  <c r="H193" i="2"/>
  <c r="G193" i="2"/>
  <c r="F193" i="2"/>
  <c r="J192" i="2"/>
  <c r="H192" i="2"/>
  <c r="G192" i="2"/>
  <c r="F192" i="2"/>
  <c r="J191" i="2"/>
  <c r="I191" i="2"/>
  <c r="H191" i="2"/>
  <c r="G191" i="2"/>
  <c r="F191" i="2"/>
  <c r="J190" i="2"/>
  <c r="I190" i="2"/>
  <c r="H190" i="2"/>
  <c r="G190" i="2"/>
  <c r="F190" i="2"/>
  <c r="J189" i="2"/>
  <c r="I189" i="2"/>
  <c r="H189" i="2"/>
  <c r="G189" i="2"/>
  <c r="F189" i="2"/>
  <c r="J188" i="2"/>
  <c r="H188" i="2"/>
  <c r="G188" i="2"/>
  <c r="F188" i="2"/>
  <c r="J187" i="2"/>
  <c r="H187" i="2"/>
  <c r="G187" i="2"/>
  <c r="F187" i="2"/>
  <c r="J186" i="2"/>
  <c r="H186" i="2"/>
  <c r="G186" i="2"/>
  <c r="F186" i="2"/>
  <c r="J185" i="2"/>
  <c r="I185" i="2"/>
  <c r="H185" i="2"/>
  <c r="G185" i="2"/>
  <c r="F185" i="2"/>
  <c r="J184" i="2"/>
  <c r="H184" i="2"/>
  <c r="G184" i="2"/>
  <c r="F184" i="2"/>
  <c r="J183" i="2"/>
  <c r="H183" i="2"/>
  <c r="G183" i="2"/>
  <c r="F183" i="2"/>
  <c r="J182" i="2"/>
  <c r="I182" i="2"/>
  <c r="H182" i="2"/>
  <c r="G182" i="2"/>
  <c r="F182" i="2"/>
  <c r="J181" i="2"/>
  <c r="I181" i="2"/>
  <c r="H181" i="2"/>
  <c r="G181" i="2"/>
  <c r="F181" i="2"/>
  <c r="J180" i="2"/>
  <c r="I180" i="2"/>
  <c r="H180" i="2"/>
  <c r="G180" i="2"/>
  <c r="F180" i="2"/>
  <c r="J179" i="2"/>
  <c r="I179" i="2"/>
  <c r="H179" i="2"/>
  <c r="G179" i="2"/>
  <c r="F179" i="2"/>
  <c r="J178" i="2"/>
  <c r="I178" i="2"/>
  <c r="H178" i="2"/>
  <c r="G178" i="2"/>
  <c r="F178" i="2"/>
  <c r="J177" i="2"/>
  <c r="I177" i="2"/>
  <c r="H177" i="2"/>
  <c r="G177" i="2"/>
  <c r="F177" i="2"/>
  <c r="J176" i="2"/>
  <c r="I176" i="2"/>
  <c r="H176" i="2"/>
  <c r="G176" i="2"/>
  <c r="F176" i="2"/>
  <c r="E173" i="2"/>
  <c r="D173" i="2"/>
  <c r="J172" i="2"/>
  <c r="C172" i="22" s="1"/>
  <c r="I172" i="2"/>
  <c r="H172" i="2"/>
  <c r="G172" i="2"/>
  <c r="F172" i="2"/>
  <c r="J171" i="2"/>
  <c r="C171" i="22" s="1"/>
  <c r="G171" i="22" s="1"/>
  <c r="I171" i="2"/>
  <c r="H171" i="2"/>
  <c r="G171" i="2"/>
  <c r="F171" i="2"/>
  <c r="J170" i="2"/>
  <c r="C170" i="22" s="1"/>
  <c r="I170" i="2"/>
  <c r="H170" i="2"/>
  <c r="G170" i="2"/>
  <c r="F170" i="2"/>
  <c r="J169" i="2"/>
  <c r="C169" i="22" s="1"/>
  <c r="I169" i="2"/>
  <c r="H169" i="2"/>
  <c r="G169" i="2"/>
  <c r="F169" i="2"/>
  <c r="J168" i="2"/>
  <c r="C168" i="22" s="1"/>
  <c r="F168" i="22" s="1"/>
  <c r="I168" i="2"/>
  <c r="H168" i="2"/>
  <c r="G168" i="2"/>
  <c r="F168" i="2"/>
  <c r="J167" i="2"/>
  <c r="C167" i="22" s="1"/>
  <c r="G167" i="22" s="1"/>
  <c r="I167" i="2"/>
  <c r="H167" i="2"/>
  <c r="G167" i="2"/>
  <c r="F167" i="2"/>
  <c r="J166" i="2"/>
  <c r="I166" i="2"/>
  <c r="H166" i="2"/>
  <c r="G166" i="2"/>
  <c r="F166" i="2"/>
  <c r="J165" i="2"/>
  <c r="I165" i="2"/>
  <c r="H165" i="2"/>
  <c r="G165" i="2"/>
  <c r="F165" i="2"/>
  <c r="J164" i="2"/>
  <c r="I164" i="2"/>
  <c r="H164" i="2"/>
  <c r="G164" i="2"/>
  <c r="F164" i="2"/>
  <c r="J163" i="2"/>
  <c r="I163" i="2"/>
  <c r="H163" i="2"/>
  <c r="G163" i="2"/>
  <c r="F163" i="2"/>
  <c r="J162" i="2"/>
  <c r="I162" i="2"/>
  <c r="H162" i="2"/>
  <c r="G162" i="2"/>
  <c r="F162" i="2"/>
  <c r="I161" i="2"/>
  <c r="H161" i="2"/>
  <c r="G161" i="2"/>
  <c r="F161" i="2"/>
  <c r="J160" i="2"/>
  <c r="I160" i="2"/>
  <c r="H160" i="2"/>
  <c r="G160" i="2"/>
  <c r="F160" i="2"/>
  <c r="J159" i="2"/>
  <c r="I159" i="2"/>
  <c r="H159" i="2"/>
  <c r="G159" i="2"/>
  <c r="F159" i="2"/>
  <c r="J158" i="2"/>
  <c r="I158" i="2"/>
  <c r="H158" i="2"/>
  <c r="G158" i="2"/>
  <c r="F158" i="2"/>
  <c r="J157" i="2"/>
  <c r="I157" i="2"/>
  <c r="H157" i="2"/>
  <c r="G157" i="2"/>
  <c r="F157" i="2"/>
  <c r="J156" i="2"/>
  <c r="I156" i="2"/>
  <c r="H156" i="2"/>
  <c r="G156" i="2"/>
  <c r="F156" i="2"/>
  <c r="J155" i="2"/>
  <c r="I155" i="2"/>
  <c r="H155" i="2"/>
  <c r="G155" i="2"/>
  <c r="F155" i="2"/>
  <c r="J154" i="2"/>
  <c r="I154" i="2"/>
  <c r="H154" i="2"/>
  <c r="G154" i="2"/>
  <c r="F154" i="2"/>
  <c r="H153" i="2"/>
  <c r="G153" i="2"/>
  <c r="F153" i="2"/>
  <c r="J152" i="2"/>
  <c r="I152" i="2"/>
  <c r="H152" i="2"/>
  <c r="G152" i="2"/>
  <c r="F152" i="2"/>
  <c r="I151" i="2"/>
  <c r="H151" i="2"/>
  <c r="G151" i="2"/>
  <c r="F151" i="2"/>
  <c r="I150" i="2"/>
  <c r="H150" i="2"/>
  <c r="G150" i="2"/>
  <c r="F150" i="2"/>
  <c r="J149" i="2"/>
  <c r="I149" i="2"/>
  <c r="H149" i="2"/>
  <c r="G149" i="2"/>
  <c r="F149" i="2"/>
  <c r="J148" i="2"/>
  <c r="H148" i="2"/>
  <c r="G148" i="2"/>
  <c r="F148" i="2"/>
  <c r="H147" i="2"/>
  <c r="G147" i="2"/>
  <c r="F147" i="2"/>
  <c r="H146" i="2"/>
  <c r="G146" i="2"/>
  <c r="F146" i="2"/>
  <c r="J145" i="2"/>
  <c r="I145" i="2"/>
  <c r="H145" i="2"/>
  <c r="G145" i="2"/>
  <c r="F145" i="2"/>
  <c r="J144" i="2"/>
  <c r="I144" i="2"/>
  <c r="H144" i="2"/>
  <c r="G144" i="2"/>
  <c r="F144" i="2"/>
  <c r="J143" i="2"/>
  <c r="I143" i="2"/>
  <c r="H143" i="2"/>
  <c r="G143" i="2"/>
  <c r="F143" i="2"/>
  <c r="H142" i="2"/>
  <c r="G142" i="2"/>
  <c r="F142" i="2"/>
  <c r="J141" i="2"/>
  <c r="I141" i="2"/>
  <c r="H141" i="2"/>
  <c r="G141" i="2"/>
  <c r="F141" i="2"/>
  <c r="E138" i="2"/>
  <c r="D138" i="2"/>
  <c r="J137" i="2"/>
  <c r="I137" i="2"/>
  <c r="H137" i="2"/>
  <c r="G137" i="2"/>
  <c r="F137" i="2"/>
  <c r="J136" i="2"/>
  <c r="C136" i="22" s="1"/>
  <c r="I136" i="2"/>
  <c r="H136" i="2"/>
  <c r="G136" i="2"/>
  <c r="F136" i="2"/>
  <c r="J135" i="2"/>
  <c r="C135" i="22" s="1"/>
  <c r="G135" i="22" s="1"/>
  <c r="I135" i="2"/>
  <c r="H135" i="2"/>
  <c r="G135" i="2"/>
  <c r="F135" i="2"/>
  <c r="J134" i="2"/>
  <c r="C134" i="22" s="1"/>
  <c r="I134" i="2"/>
  <c r="H134" i="2"/>
  <c r="G134" i="2"/>
  <c r="F134" i="2"/>
  <c r="J133" i="2"/>
  <c r="C133" i="22" s="1"/>
  <c r="G133" i="22" s="1"/>
  <c r="I133" i="2"/>
  <c r="H133" i="2"/>
  <c r="G133" i="2"/>
  <c r="F133" i="2"/>
  <c r="H132" i="2"/>
  <c r="G132" i="2"/>
  <c r="F132" i="2"/>
  <c r="J131" i="2"/>
  <c r="E41" i="26" s="1"/>
  <c r="C41" i="26" s="1"/>
  <c r="I131" i="2"/>
  <c r="H131" i="2"/>
  <c r="G131" i="2"/>
  <c r="F131" i="2"/>
  <c r="J130" i="2"/>
  <c r="I130" i="2"/>
  <c r="H130" i="2"/>
  <c r="G130" i="2"/>
  <c r="F130" i="2"/>
  <c r="J129" i="2"/>
  <c r="C129" i="22" s="1"/>
  <c r="F129" i="22" s="1"/>
  <c r="I129" i="2"/>
  <c r="H129" i="2"/>
  <c r="G129" i="2"/>
  <c r="F129" i="2"/>
  <c r="J128" i="2"/>
  <c r="C128" i="22" s="1"/>
  <c r="G128" i="22" s="1"/>
  <c r="I128" i="2"/>
  <c r="H128" i="2"/>
  <c r="G128" i="2"/>
  <c r="F128" i="2"/>
  <c r="J127" i="2"/>
  <c r="C127" i="22" s="1"/>
  <c r="I127" i="2"/>
  <c r="H127" i="2"/>
  <c r="G127" i="2"/>
  <c r="F127" i="2"/>
  <c r="J126" i="2"/>
  <c r="C126" i="22" s="1"/>
  <c r="G126" i="22" s="1"/>
  <c r="I126" i="2"/>
  <c r="H126" i="2"/>
  <c r="G126" i="2"/>
  <c r="F126" i="2"/>
  <c r="J125" i="2"/>
  <c r="I125" i="2"/>
  <c r="H125" i="2"/>
  <c r="G125" i="2"/>
  <c r="F125" i="2"/>
  <c r="J124" i="2"/>
  <c r="E37" i="26" s="1"/>
  <c r="C37" i="26" s="1"/>
  <c r="I124" i="2"/>
  <c r="H124" i="2"/>
  <c r="G124" i="2"/>
  <c r="F124" i="2"/>
  <c r="J123" i="2"/>
  <c r="C123" i="22" s="1"/>
  <c r="G123" i="22" s="1"/>
  <c r="I123" i="2"/>
  <c r="H123" i="2"/>
  <c r="G123" i="2"/>
  <c r="F123" i="2"/>
  <c r="J122" i="2"/>
  <c r="C122" i="22" s="1"/>
  <c r="F122" i="22" s="1"/>
  <c r="I122" i="2"/>
  <c r="H122" i="2"/>
  <c r="G122" i="2"/>
  <c r="F122" i="2"/>
  <c r="J121" i="2"/>
  <c r="C121" i="22" s="1"/>
  <c r="G121" i="22" s="1"/>
  <c r="I121" i="2"/>
  <c r="H121" i="2"/>
  <c r="G121" i="2"/>
  <c r="F121" i="2"/>
  <c r="J120" i="2"/>
  <c r="C120" i="22" s="1"/>
  <c r="G120" i="22" s="1"/>
  <c r="I120" i="2"/>
  <c r="H120" i="2"/>
  <c r="G120" i="2"/>
  <c r="F120" i="2"/>
  <c r="J119" i="2"/>
  <c r="I119" i="2"/>
  <c r="H119" i="2"/>
  <c r="G119" i="2"/>
  <c r="F119" i="2"/>
  <c r="J115" i="2"/>
  <c r="I115" i="2"/>
  <c r="H115" i="2"/>
  <c r="G115" i="2"/>
  <c r="F115" i="2"/>
  <c r="H114" i="2"/>
  <c r="G114" i="2"/>
  <c r="F114" i="2"/>
  <c r="H113" i="2"/>
  <c r="G113" i="2"/>
  <c r="F113" i="2"/>
  <c r="H112" i="2"/>
  <c r="G112" i="2"/>
  <c r="F112" i="2"/>
  <c r="H111" i="2"/>
  <c r="G111" i="2"/>
  <c r="F111" i="2"/>
  <c r="H110" i="2"/>
  <c r="G110" i="2"/>
  <c r="F110" i="2"/>
  <c r="I109" i="2"/>
  <c r="H109" i="2"/>
  <c r="G109" i="2"/>
  <c r="F109" i="2"/>
  <c r="J108" i="2"/>
  <c r="I108" i="2"/>
  <c r="H108" i="2"/>
  <c r="G108" i="2"/>
  <c r="F108" i="2"/>
  <c r="J107" i="2"/>
  <c r="I107" i="2"/>
  <c r="H107" i="2"/>
  <c r="G107" i="2"/>
  <c r="F107" i="2"/>
  <c r="J106" i="2"/>
  <c r="I106" i="2"/>
  <c r="H106" i="2"/>
  <c r="G106" i="2"/>
  <c r="F106" i="2"/>
  <c r="J105" i="2"/>
  <c r="I105" i="2"/>
  <c r="H105" i="2"/>
  <c r="G105" i="2"/>
  <c r="F105" i="2"/>
  <c r="J104" i="2"/>
  <c r="I104" i="2"/>
  <c r="H104" i="2"/>
  <c r="G104" i="2"/>
  <c r="F104" i="2"/>
  <c r="J103" i="2"/>
  <c r="I103" i="2"/>
  <c r="H103" i="2"/>
  <c r="G103" i="2"/>
  <c r="F103" i="2"/>
  <c r="J102" i="2"/>
  <c r="I102" i="2"/>
  <c r="H102" i="2"/>
  <c r="G102" i="2"/>
  <c r="F102" i="2"/>
  <c r="J101" i="2"/>
  <c r="I101" i="2"/>
  <c r="H101" i="2"/>
  <c r="G101" i="2"/>
  <c r="F101" i="2"/>
  <c r="J100" i="2"/>
  <c r="I100" i="2"/>
  <c r="H100" i="2"/>
  <c r="G100" i="2"/>
  <c r="F100" i="2"/>
  <c r="J99" i="2"/>
  <c r="I99" i="2"/>
  <c r="H99" i="2"/>
  <c r="G99" i="2"/>
  <c r="F99" i="2"/>
  <c r="E98" i="2"/>
  <c r="D98" i="2"/>
  <c r="D116" i="2" s="1"/>
  <c r="I97" i="2"/>
  <c r="H97" i="2"/>
  <c r="G97" i="2"/>
  <c r="F97" i="2"/>
  <c r="J93" i="2"/>
  <c r="I93" i="2"/>
  <c r="H93" i="2"/>
  <c r="G93" i="2"/>
  <c r="F93" i="2"/>
  <c r="H92" i="2"/>
  <c r="G92" i="2"/>
  <c r="F92" i="2"/>
  <c r="H91" i="2"/>
  <c r="G91" i="2"/>
  <c r="F91" i="2"/>
  <c r="H90" i="2"/>
  <c r="G90" i="2"/>
  <c r="F90" i="2"/>
  <c r="H89" i="2"/>
  <c r="G89" i="2"/>
  <c r="F89" i="2"/>
  <c r="H88" i="2"/>
  <c r="G88" i="2"/>
  <c r="F88" i="2"/>
  <c r="J87" i="2"/>
  <c r="I87" i="2"/>
  <c r="H87" i="2"/>
  <c r="G87" i="2"/>
  <c r="F87" i="2"/>
  <c r="J86" i="2"/>
  <c r="I86" i="2"/>
  <c r="H86" i="2"/>
  <c r="G86" i="2"/>
  <c r="F86" i="2"/>
  <c r="J85" i="2"/>
  <c r="I85" i="2"/>
  <c r="H85" i="2"/>
  <c r="G85" i="2"/>
  <c r="F85" i="2"/>
  <c r="J84" i="2"/>
  <c r="I84" i="2"/>
  <c r="H84" i="2"/>
  <c r="G84" i="2"/>
  <c r="F84" i="2"/>
  <c r="J83" i="2"/>
  <c r="I83" i="2"/>
  <c r="H83" i="2"/>
  <c r="G83" i="2"/>
  <c r="F83" i="2"/>
  <c r="J82" i="2"/>
  <c r="I82" i="2"/>
  <c r="H82" i="2"/>
  <c r="G82" i="2"/>
  <c r="F82" i="2"/>
  <c r="J81" i="2"/>
  <c r="I81" i="2"/>
  <c r="H81" i="2"/>
  <c r="G81" i="2"/>
  <c r="F81" i="2"/>
  <c r="J80" i="2"/>
  <c r="I80" i="2"/>
  <c r="H80" i="2"/>
  <c r="G80" i="2"/>
  <c r="F80" i="2"/>
  <c r="J79" i="2"/>
  <c r="I79" i="2"/>
  <c r="H79" i="2"/>
  <c r="G79" i="2"/>
  <c r="F79" i="2"/>
  <c r="J78" i="2"/>
  <c r="I78" i="2"/>
  <c r="H78" i="2"/>
  <c r="G78" i="2"/>
  <c r="F78" i="2"/>
  <c r="E77" i="2"/>
  <c r="C77" i="6" s="1"/>
  <c r="D77" i="2"/>
  <c r="F77" i="2" s="1"/>
  <c r="J76" i="2"/>
  <c r="I76" i="2"/>
  <c r="H76" i="2"/>
  <c r="G76" i="2"/>
  <c r="F76" i="2"/>
  <c r="E73" i="2"/>
  <c r="I72" i="2"/>
  <c r="H72" i="2"/>
  <c r="G72" i="2"/>
  <c r="F72" i="2"/>
  <c r="I71" i="2"/>
  <c r="H71" i="2"/>
  <c r="G71" i="2"/>
  <c r="F71" i="2"/>
  <c r="I70" i="2"/>
  <c r="H70" i="2"/>
  <c r="G70" i="2"/>
  <c r="F70" i="2"/>
  <c r="I69" i="2"/>
  <c r="H69" i="2"/>
  <c r="G69" i="2"/>
  <c r="F69" i="2"/>
  <c r="I68" i="2"/>
  <c r="H68" i="2"/>
  <c r="G68" i="2"/>
  <c r="F68" i="2"/>
  <c r="H67" i="2"/>
  <c r="G67" i="2"/>
  <c r="F67" i="2"/>
  <c r="H66" i="2"/>
  <c r="G66" i="2"/>
  <c r="F66" i="2"/>
  <c r="H65" i="2"/>
  <c r="G65" i="2"/>
  <c r="F65" i="2"/>
  <c r="H64" i="2"/>
  <c r="G64" i="2"/>
  <c r="F64" i="2"/>
  <c r="H63" i="2"/>
  <c r="G63" i="2"/>
  <c r="F63" i="2"/>
  <c r="J62" i="2"/>
  <c r="I62" i="2"/>
  <c r="H62" i="2"/>
  <c r="G62" i="2"/>
  <c r="F62" i="2"/>
  <c r="J61" i="2"/>
  <c r="I61" i="2"/>
  <c r="H61" i="2"/>
  <c r="G61" i="2"/>
  <c r="F61" i="2"/>
  <c r="J60" i="2"/>
  <c r="I60" i="2"/>
  <c r="H60" i="2"/>
  <c r="G60" i="2"/>
  <c r="F60" i="2"/>
  <c r="J59" i="2"/>
  <c r="I59" i="2"/>
  <c r="H59" i="2"/>
  <c r="G59" i="2"/>
  <c r="F59" i="2"/>
  <c r="J58" i="2"/>
  <c r="I58" i="2"/>
  <c r="H58" i="2"/>
  <c r="G58" i="2"/>
  <c r="F58" i="2"/>
  <c r="J57" i="2"/>
  <c r="I57" i="2"/>
  <c r="H57" i="2"/>
  <c r="G57" i="2"/>
  <c r="F57" i="2"/>
  <c r="J56" i="2"/>
  <c r="I56" i="2"/>
  <c r="H56" i="2"/>
  <c r="G56" i="2"/>
  <c r="F56" i="2"/>
  <c r="J55" i="2"/>
  <c r="I55" i="2"/>
  <c r="H55" i="2"/>
  <c r="G55" i="2"/>
  <c r="F55" i="2"/>
  <c r="J54" i="2"/>
  <c r="I54" i="2"/>
  <c r="H54" i="2"/>
  <c r="G54" i="2"/>
  <c r="F54" i="2"/>
  <c r="J53" i="2"/>
  <c r="I53" i="2"/>
  <c r="H53" i="2"/>
  <c r="G53" i="2"/>
  <c r="F53" i="2"/>
  <c r="J52" i="2"/>
  <c r="I52" i="2"/>
  <c r="H52" i="2"/>
  <c r="G52" i="2"/>
  <c r="F52" i="2"/>
  <c r="J51" i="2"/>
  <c r="I51" i="2"/>
  <c r="H51" i="2"/>
  <c r="G51" i="2"/>
  <c r="F51" i="2"/>
  <c r="J50" i="2"/>
  <c r="I50" i="2"/>
  <c r="H50" i="2"/>
  <c r="G50" i="2"/>
  <c r="F50" i="2"/>
  <c r="J49" i="2"/>
  <c r="I49" i="2"/>
  <c r="H49" i="2"/>
  <c r="G49" i="2"/>
  <c r="F49" i="2"/>
  <c r="J48" i="2"/>
  <c r="I48" i="2"/>
  <c r="H48" i="2"/>
  <c r="G48" i="2"/>
  <c r="F48" i="2"/>
  <c r="J47" i="2"/>
  <c r="I47" i="2"/>
  <c r="H47" i="2"/>
  <c r="G47" i="2"/>
  <c r="F47" i="2"/>
  <c r="J46" i="2"/>
  <c r="I46" i="2"/>
  <c r="H46" i="2"/>
  <c r="G46" i="2"/>
  <c r="F46" i="2"/>
  <c r="J45" i="2"/>
  <c r="I45" i="2"/>
  <c r="H45" i="2"/>
  <c r="G45" i="2"/>
  <c r="F45" i="2"/>
  <c r="J44" i="2"/>
  <c r="I44" i="2"/>
  <c r="H44" i="2"/>
  <c r="G44" i="2"/>
  <c r="F44" i="2"/>
  <c r="J43" i="2"/>
  <c r="I43" i="2"/>
  <c r="H43" i="2"/>
  <c r="G43" i="2"/>
  <c r="F43" i="2"/>
  <c r="E42" i="2"/>
  <c r="J42" i="2" s="1"/>
  <c r="D42" i="2"/>
  <c r="E41" i="2"/>
  <c r="D41" i="2"/>
  <c r="H41" i="2" s="1"/>
  <c r="J40" i="2"/>
  <c r="I40" i="2"/>
  <c r="H40" i="2"/>
  <c r="G40" i="2"/>
  <c r="F40" i="2"/>
  <c r="H39" i="2"/>
  <c r="G39" i="2"/>
  <c r="F39" i="2"/>
  <c r="E36" i="2"/>
  <c r="D36" i="2"/>
  <c r="J35" i="2"/>
  <c r="C35" i="22" s="1"/>
  <c r="G35" i="22" s="1"/>
  <c r="I35" i="2"/>
  <c r="H35" i="2"/>
  <c r="G35" i="2"/>
  <c r="F35" i="2"/>
  <c r="J34" i="2"/>
  <c r="C34" i="22" s="1"/>
  <c r="G34" i="22" s="1"/>
  <c r="I34" i="2"/>
  <c r="H34" i="2"/>
  <c r="G34" i="2"/>
  <c r="F34" i="2"/>
  <c r="J33" i="2"/>
  <c r="C33" i="22" s="1"/>
  <c r="I33" i="2"/>
  <c r="H33" i="2"/>
  <c r="G33" i="2"/>
  <c r="F33" i="2"/>
  <c r="J32" i="2"/>
  <c r="C32" i="22" s="1"/>
  <c r="G32" i="22" s="1"/>
  <c r="I32" i="2"/>
  <c r="H32" i="2"/>
  <c r="G32" i="2"/>
  <c r="F32" i="2"/>
  <c r="J31" i="2"/>
  <c r="C31" i="22" s="1"/>
  <c r="G31" i="22" s="1"/>
  <c r="I31" i="2"/>
  <c r="H31" i="2"/>
  <c r="G31" i="2"/>
  <c r="F31" i="2"/>
  <c r="J30" i="2"/>
  <c r="C30" i="22" s="1"/>
  <c r="I30" i="2"/>
  <c r="H30" i="2"/>
  <c r="G30" i="2"/>
  <c r="F30" i="2"/>
  <c r="J29" i="2"/>
  <c r="C29" i="22" s="1"/>
  <c r="G29" i="22" s="1"/>
  <c r="I29" i="2"/>
  <c r="H29" i="2"/>
  <c r="G29" i="2"/>
  <c r="F29" i="2"/>
  <c r="J28" i="2"/>
  <c r="C28" i="22" s="1"/>
  <c r="G28" i="22" s="1"/>
  <c r="I28" i="2"/>
  <c r="H28" i="2"/>
  <c r="G28" i="2"/>
  <c r="F28" i="2"/>
  <c r="C27" i="22"/>
  <c r="H27" i="2"/>
  <c r="G27" i="2"/>
  <c r="F27" i="2"/>
  <c r="J26" i="2"/>
  <c r="C26" i="22" s="1"/>
  <c r="G26" i="22" s="1"/>
  <c r="I26" i="2"/>
  <c r="H26" i="2"/>
  <c r="G26" i="2"/>
  <c r="F26" i="2"/>
  <c r="J25" i="2"/>
  <c r="I25" i="2"/>
  <c r="H25" i="2"/>
  <c r="G25" i="2"/>
  <c r="F25" i="2"/>
  <c r="J24" i="2"/>
  <c r="I24" i="2"/>
  <c r="H24" i="2"/>
  <c r="G24" i="2"/>
  <c r="F24" i="2"/>
  <c r="J23" i="2"/>
  <c r="I23" i="2"/>
  <c r="H23" i="2"/>
  <c r="G23" i="2"/>
  <c r="F23" i="2"/>
  <c r="J22" i="2"/>
  <c r="I22" i="2"/>
  <c r="H22" i="2"/>
  <c r="G22" i="2"/>
  <c r="F22" i="2"/>
  <c r="J21" i="2"/>
  <c r="C21" i="22" s="1"/>
  <c r="I21" i="2"/>
  <c r="H21" i="2"/>
  <c r="G21" i="2"/>
  <c r="F21" i="2"/>
  <c r="J20" i="2"/>
  <c r="I20" i="2"/>
  <c r="H20" i="2"/>
  <c r="G20" i="2"/>
  <c r="F20" i="2"/>
  <c r="J19" i="2"/>
  <c r="C19" i="22" s="1"/>
  <c r="G19" i="22" s="1"/>
  <c r="I19" i="2"/>
  <c r="H19" i="2"/>
  <c r="G19" i="2"/>
  <c r="F19" i="2"/>
  <c r="J18" i="2"/>
  <c r="I18" i="2"/>
  <c r="H18" i="2"/>
  <c r="G18" i="2"/>
  <c r="F18" i="2"/>
  <c r="J17" i="2"/>
  <c r="C17" i="22" s="1"/>
  <c r="I17" i="2"/>
  <c r="H17" i="2"/>
  <c r="G17" i="2"/>
  <c r="F17" i="2"/>
  <c r="J16" i="2"/>
  <c r="C16" i="22" s="1"/>
  <c r="I16" i="2"/>
  <c r="H16" i="2"/>
  <c r="G16" i="2"/>
  <c r="F16" i="2"/>
  <c r="J15" i="2"/>
  <c r="I15" i="2"/>
  <c r="H15" i="2"/>
  <c r="G15" i="2"/>
  <c r="F15" i="2"/>
  <c r="J14" i="2"/>
  <c r="C14" i="22" s="1"/>
  <c r="I14" i="2"/>
  <c r="H14" i="2"/>
  <c r="G14" i="2"/>
  <c r="F14" i="2"/>
  <c r="J13" i="2"/>
  <c r="C13" i="22" s="1"/>
  <c r="G13" i="22" s="1"/>
  <c r="I13" i="2"/>
  <c r="H13" i="2"/>
  <c r="G13" i="2"/>
  <c r="F13" i="2"/>
  <c r="J12" i="2"/>
  <c r="I12" i="2"/>
  <c r="H12" i="2"/>
  <c r="G12" i="2"/>
  <c r="F12" i="2"/>
  <c r="J11" i="2"/>
  <c r="C11" i="22" s="1"/>
  <c r="G11" i="22" s="1"/>
  <c r="I11" i="2"/>
  <c r="H11" i="2"/>
  <c r="G11" i="2"/>
  <c r="F11" i="2"/>
  <c r="J10" i="2"/>
  <c r="I10" i="2"/>
  <c r="H10" i="2"/>
  <c r="G10" i="2"/>
  <c r="F10" i="2"/>
  <c r="J9" i="2"/>
  <c r="C9" i="22" s="1"/>
  <c r="G9" i="22" s="1"/>
  <c r="I9" i="2"/>
  <c r="H9" i="2"/>
  <c r="G9" i="2"/>
  <c r="F9" i="2"/>
  <c r="J8" i="2"/>
  <c r="C8" i="22" s="1"/>
  <c r="I8" i="2"/>
  <c r="H8" i="2"/>
  <c r="G8" i="2"/>
  <c r="F8" i="2"/>
  <c r="J7" i="2"/>
  <c r="C7" i="22" s="1"/>
  <c r="G7" i="22" s="1"/>
  <c r="I7" i="2"/>
  <c r="H7" i="2"/>
  <c r="G7" i="2"/>
  <c r="F7" i="2"/>
  <c r="J6" i="2"/>
  <c r="C6" i="22" s="1"/>
  <c r="G6" i="22" s="1"/>
  <c r="I6" i="2"/>
  <c r="H6" i="2"/>
  <c r="G6" i="2"/>
  <c r="F6" i="2"/>
  <c r="J5" i="2"/>
  <c r="I5" i="2"/>
  <c r="H5" i="2"/>
  <c r="G5" i="2"/>
  <c r="F5" i="2"/>
  <c r="J44" i="1"/>
  <c r="I44" i="1"/>
  <c r="H44" i="1"/>
  <c r="E44" i="1"/>
  <c r="D44" i="1"/>
  <c r="J42" i="1"/>
  <c r="I42" i="1"/>
  <c r="H42" i="1"/>
  <c r="E42" i="1"/>
  <c r="D42" i="1"/>
  <c r="J41" i="1"/>
  <c r="I41" i="1"/>
  <c r="H41" i="1"/>
  <c r="G41" i="1"/>
  <c r="F41" i="1"/>
  <c r="J40" i="1"/>
  <c r="I40" i="1"/>
  <c r="H40" i="1"/>
  <c r="G40" i="1"/>
  <c r="F40" i="1"/>
  <c r="J39" i="1"/>
  <c r="I39" i="1"/>
  <c r="H39" i="1"/>
  <c r="G39" i="1"/>
  <c r="F39" i="1"/>
  <c r="J38" i="1"/>
  <c r="I38" i="1"/>
  <c r="H38" i="1"/>
  <c r="G38" i="1"/>
  <c r="F38" i="1"/>
  <c r="J37" i="1"/>
  <c r="I37" i="1"/>
  <c r="H37" i="1"/>
  <c r="G37" i="1"/>
  <c r="F37" i="1"/>
  <c r="J36" i="1"/>
  <c r="I36" i="1"/>
  <c r="H36" i="1"/>
  <c r="G36" i="1"/>
  <c r="F36" i="1"/>
  <c r="J35" i="1"/>
  <c r="I35" i="1"/>
  <c r="H35" i="1"/>
  <c r="G35" i="1"/>
  <c r="F35" i="1"/>
  <c r="J34" i="1"/>
  <c r="I34" i="1"/>
  <c r="H34" i="1"/>
  <c r="G34" i="1"/>
  <c r="F34" i="1"/>
  <c r="J30" i="1"/>
  <c r="I30" i="1"/>
  <c r="H30" i="1"/>
  <c r="E30" i="1"/>
  <c r="D30" i="1"/>
  <c r="J29" i="1"/>
  <c r="I29" i="1"/>
  <c r="H29" i="1"/>
  <c r="G29" i="1"/>
  <c r="F29" i="1"/>
  <c r="J28" i="1"/>
  <c r="I28" i="1"/>
  <c r="H28" i="1"/>
  <c r="G28" i="1"/>
  <c r="F28" i="1"/>
  <c r="J27" i="1"/>
  <c r="I27" i="1"/>
  <c r="H27" i="1"/>
  <c r="G27" i="1"/>
  <c r="F27" i="1"/>
  <c r="J26" i="1"/>
  <c r="I26" i="1"/>
  <c r="H26" i="1"/>
  <c r="G26" i="1"/>
  <c r="F26" i="1"/>
  <c r="J25" i="1"/>
  <c r="I25" i="1"/>
  <c r="H25" i="1"/>
  <c r="G25" i="1"/>
  <c r="F25" i="1"/>
  <c r="J24" i="1"/>
  <c r="I24" i="1"/>
  <c r="H24" i="1"/>
  <c r="G24" i="1"/>
  <c r="F24" i="1"/>
  <c r="J23" i="1"/>
  <c r="I23" i="1"/>
  <c r="H23" i="1"/>
  <c r="G23" i="1"/>
  <c r="F23" i="1"/>
  <c r="J22" i="1"/>
  <c r="I22" i="1"/>
  <c r="H22" i="1"/>
  <c r="G22" i="1"/>
  <c r="F22" i="1"/>
  <c r="J21" i="1"/>
  <c r="I21" i="1"/>
  <c r="H21" i="1"/>
  <c r="G21" i="1"/>
  <c r="F21" i="1"/>
  <c r="J18" i="1"/>
  <c r="I18" i="1"/>
  <c r="H18" i="1"/>
  <c r="E18" i="1"/>
  <c r="D18" i="1"/>
  <c r="J17" i="1"/>
  <c r="I17" i="1"/>
  <c r="H17" i="1"/>
  <c r="G17" i="1"/>
  <c r="F17" i="1"/>
  <c r="J16" i="1"/>
  <c r="I16" i="1"/>
  <c r="H16" i="1"/>
  <c r="G16" i="1"/>
  <c r="F16" i="1"/>
  <c r="J15" i="1"/>
  <c r="I15" i="1"/>
  <c r="H15" i="1"/>
  <c r="G15" i="1"/>
  <c r="F15" i="1"/>
  <c r="J14" i="1"/>
  <c r="I14" i="1"/>
  <c r="H14" i="1"/>
  <c r="G14" i="1"/>
  <c r="F14" i="1"/>
  <c r="E14" i="1"/>
  <c r="D14" i="1"/>
  <c r="J13" i="1"/>
  <c r="I13" i="1"/>
  <c r="H13" i="1"/>
  <c r="G13" i="1"/>
  <c r="F13" i="1"/>
  <c r="E13" i="1"/>
  <c r="D13" i="1"/>
  <c r="J12" i="1"/>
  <c r="I12" i="1"/>
  <c r="H12" i="1"/>
  <c r="G12" i="1"/>
  <c r="F12" i="1"/>
  <c r="J11" i="1"/>
  <c r="I11" i="1"/>
  <c r="H11" i="1"/>
  <c r="G11" i="1"/>
  <c r="F11" i="1"/>
  <c r="J10" i="1"/>
  <c r="I10" i="1"/>
  <c r="H10" i="1"/>
  <c r="G10" i="1"/>
  <c r="F10" i="1"/>
  <c r="J9" i="1"/>
  <c r="I9" i="1"/>
  <c r="H9" i="1"/>
  <c r="G9" i="1"/>
  <c r="F9" i="1"/>
  <c r="J8" i="1"/>
  <c r="I8" i="1"/>
  <c r="H8" i="1"/>
  <c r="G8" i="1"/>
  <c r="F8" i="1"/>
  <c r="J7" i="1"/>
  <c r="I7" i="1"/>
  <c r="H7" i="1"/>
  <c r="G7" i="1"/>
  <c r="F7" i="1"/>
  <c r="J6" i="1"/>
  <c r="I6" i="1"/>
  <c r="H6" i="1"/>
  <c r="G6" i="1"/>
  <c r="F6" i="1"/>
  <c r="J5" i="1"/>
  <c r="I5" i="1"/>
  <c r="H5" i="1"/>
  <c r="G5" i="1"/>
  <c r="F5" i="1"/>
  <c r="F14" i="4"/>
  <c r="C14" i="4"/>
  <c r="B14" i="4"/>
  <c r="H13" i="4"/>
  <c r="G13" i="4"/>
  <c r="F13" i="4"/>
  <c r="E13" i="4"/>
  <c r="D13" i="4"/>
  <c r="H12" i="4"/>
  <c r="G12" i="4"/>
  <c r="F12" i="4"/>
  <c r="E12" i="4"/>
  <c r="D12" i="4"/>
  <c r="H11" i="4"/>
  <c r="G11" i="4"/>
  <c r="F11" i="4"/>
  <c r="H10" i="4"/>
  <c r="G10" i="4"/>
  <c r="F10" i="4"/>
  <c r="E10" i="4"/>
  <c r="D10" i="4"/>
  <c r="H9" i="4"/>
  <c r="G9" i="4"/>
  <c r="F9" i="4"/>
  <c r="E9" i="4"/>
  <c r="D9" i="4"/>
  <c r="H8" i="4"/>
  <c r="G8" i="4"/>
  <c r="F8" i="4"/>
  <c r="E8" i="4"/>
  <c r="D8" i="4"/>
  <c r="H7" i="4"/>
  <c r="G7" i="4"/>
  <c r="F7" i="4"/>
  <c r="E7" i="4"/>
  <c r="D7" i="4"/>
  <c r="H6" i="4"/>
  <c r="G6" i="4"/>
  <c r="F6" i="4"/>
  <c r="E6" i="4"/>
  <c r="D6" i="4"/>
  <c r="H5" i="4"/>
  <c r="G5" i="4"/>
  <c r="F5" i="4"/>
  <c r="E5" i="4"/>
  <c r="D5" i="4"/>
  <c r="H35" i="5"/>
  <c r="G35" i="5"/>
  <c r="F35" i="5"/>
  <c r="C35" i="5"/>
  <c r="B35" i="5"/>
  <c r="H33" i="5"/>
  <c r="G33" i="5"/>
  <c r="F33" i="5"/>
  <c r="C33" i="5"/>
  <c r="B33" i="5"/>
  <c r="H32" i="5"/>
  <c r="G32" i="5"/>
  <c r="F32" i="5"/>
  <c r="E32" i="5"/>
  <c r="D32" i="5"/>
  <c r="H31" i="5"/>
  <c r="G31" i="5"/>
  <c r="F31" i="5"/>
  <c r="E31" i="5"/>
  <c r="D31" i="5"/>
  <c r="H30" i="5"/>
  <c r="G30" i="5"/>
  <c r="F30" i="5"/>
  <c r="E30" i="5"/>
  <c r="D30" i="5"/>
  <c r="H29" i="5"/>
  <c r="G29" i="5"/>
  <c r="F29" i="5"/>
  <c r="H28" i="5"/>
  <c r="G28" i="5"/>
  <c r="F28" i="5"/>
  <c r="E28" i="5"/>
  <c r="D28" i="5"/>
  <c r="H27" i="5"/>
  <c r="G27" i="5"/>
  <c r="F27" i="5"/>
  <c r="E27" i="5"/>
  <c r="D27" i="5"/>
  <c r="H24" i="5"/>
  <c r="G24" i="5"/>
  <c r="F24" i="5"/>
  <c r="C24" i="5"/>
  <c r="B24" i="5"/>
  <c r="H23" i="5"/>
  <c r="G23" i="5"/>
  <c r="F23" i="5"/>
  <c r="E23" i="5"/>
  <c r="D23" i="5"/>
  <c r="H22" i="5"/>
  <c r="G22" i="5"/>
  <c r="F22" i="5"/>
  <c r="E22" i="5"/>
  <c r="D22" i="5"/>
  <c r="H21" i="5"/>
  <c r="G21" i="5"/>
  <c r="F21" i="5"/>
  <c r="E21" i="5"/>
  <c r="D21" i="5"/>
  <c r="H20" i="5"/>
  <c r="G20" i="5"/>
  <c r="F20" i="5"/>
  <c r="E20" i="5"/>
  <c r="D20" i="5"/>
  <c r="H19" i="5"/>
  <c r="G19" i="5"/>
  <c r="F19" i="5"/>
  <c r="E19" i="5"/>
  <c r="D19" i="5"/>
  <c r="H18" i="5"/>
  <c r="G18" i="5"/>
  <c r="F18" i="5"/>
  <c r="E18" i="5"/>
  <c r="D18" i="5"/>
  <c r="H17" i="5"/>
  <c r="G17" i="5"/>
  <c r="F17" i="5"/>
  <c r="E17" i="5"/>
  <c r="D17" i="5"/>
  <c r="H16" i="5"/>
  <c r="G16" i="5"/>
  <c r="F16" i="5"/>
  <c r="E16" i="5"/>
  <c r="D16" i="5"/>
  <c r="H15" i="5"/>
  <c r="G15" i="5"/>
  <c r="F15" i="5"/>
  <c r="E15" i="5"/>
  <c r="D15" i="5"/>
  <c r="H14" i="5"/>
  <c r="G14" i="5"/>
  <c r="F14" i="5"/>
  <c r="E14" i="5"/>
  <c r="D14" i="5"/>
  <c r="H13" i="5"/>
  <c r="G13" i="5"/>
  <c r="F13" i="5"/>
  <c r="H12" i="5"/>
  <c r="G12" i="5"/>
  <c r="F12" i="5"/>
  <c r="E12" i="5"/>
  <c r="D12" i="5"/>
  <c r="H11" i="5"/>
  <c r="G11" i="5"/>
  <c r="F11" i="5"/>
  <c r="E11" i="5"/>
  <c r="D11" i="5"/>
  <c r="H10" i="5"/>
  <c r="G10" i="5"/>
  <c r="F10" i="5"/>
  <c r="E10" i="5"/>
  <c r="D10" i="5"/>
  <c r="H9" i="5"/>
  <c r="G9" i="5"/>
  <c r="F9" i="5"/>
  <c r="E9" i="5"/>
  <c r="D9" i="5"/>
  <c r="H8" i="5"/>
  <c r="G8" i="5"/>
  <c r="F8" i="5"/>
  <c r="E8" i="5"/>
  <c r="D8" i="5"/>
  <c r="H7" i="5"/>
  <c r="G7" i="5"/>
  <c r="F7" i="5"/>
  <c r="E7" i="5"/>
  <c r="D7" i="5"/>
  <c r="H6" i="5"/>
  <c r="G6" i="5"/>
  <c r="F6" i="5"/>
  <c r="E6" i="5"/>
  <c r="D6" i="5"/>
  <c r="H5" i="5"/>
  <c r="G5" i="5"/>
  <c r="F5" i="5"/>
  <c r="E5" i="5"/>
  <c r="D5" i="5"/>
  <c r="BP11" i="19" l="1"/>
  <c r="AA15" i="19"/>
  <c r="BP6" i="19"/>
  <c r="BO15" i="19"/>
  <c r="BZ8" i="19"/>
  <c r="D7" i="13" s="1"/>
  <c r="BY17" i="19"/>
  <c r="BP4" i="19"/>
  <c r="BP10" i="19"/>
  <c r="BP5" i="19"/>
  <c r="C4" i="13" s="1"/>
  <c r="E4" i="13" s="1"/>
  <c r="AA17" i="19"/>
  <c r="AA18" i="19" s="1"/>
  <c r="C23" i="19"/>
  <c r="BP9" i="19"/>
  <c r="CA9" i="19" s="1"/>
  <c r="C4" i="21" s="1"/>
  <c r="D4" i="21" s="1"/>
  <c r="BP14" i="19"/>
  <c r="CA14" i="19" s="1"/>
  <c r="BB15" i="19"/>
  <c r="BZ11" i="19"/>
  <c r="D10" i="13" s="1"/>
  <c r="E23" i="19"/>
  <c r="BU17" i="19"/>
  <c r="BU18" i="19" s="1"/>
  <c r="BP12" i="19"/>
  <c r="C11" i="13" s="1"/>
  <c r="E11" i="13" s="1"/>
  <c r="BZ4" i="19"/>
  <c r="D3" i="13" s="1"/>
  <c r="E3" i="13" s="1"/>
  <c r="BI17" i="19"/>
  <c r="BI18" i="19" s="1"/>
  <c r="D23" i="19"/>
  <c r="BP8" i="19"/>
  <c r="CA8" i="19" s="1"/>
  <c r="BO17" i="19"/>
  <c r="BO18" i="19" s="1"/>
  <c r="BZ7" i="19"/>
  <c r="D6" i="13" s="1"/>
  <c r="F23" i="19"/>
  <c r="BP3" i="19"/>
  <c r="G23" i="19"/>
  <c r="M23" i="19"/>
  <c r="B23" i="19"/>
  <c r="BP13" i="19"/>
  <c r="C12" i="13" s="1"/>
  <c r="E12" i="13" s="1"/>
  <c r="I23" i="19"/>
  <c r="AQ17" i="19"/>
  <c r="AQ18" i="19" s="1"/>
  <c r="BZ5" i="19"/>
  <c r="D4" i="13" s="1"/>
  <c r="BZ10" i="19"/>
  <c r="D9" i="13" s="1"/>
  <c r="J23" i="19"/>
  <c r="BB17" i="19"/>
  <c r="BB18" i="19" s="1"/>
  <c r="BI15" i="19"/>
  <c r="BO20" i="19"/>
  <c r="C8" i="13"/>
  <c r="E8" i="13" s="1"/>
  <c r="C13" i="13"/>
  <c r="CA6" i="19"/>
  <c r="C5" i="13"/>
  <c r="E5" i="13" s="1"/>
  <c r="BZ17" i="19"/>
  <c r="BY18" i="19"/>
  <c r="E13" i="13"/>
  <c r="CA12" i="19"/>
  <c r="C9" i="13"/>
  <c r="E9" i="13" s="1"/>
  <c r="CA10" i="19"/>
  <c r="B2" i="13"/>
  <c r="P17" i="19"/>
  <c r="P18" i="19" s="1"/>
  <c r="P15" i="19"/>
  <c r="CA11" i="19"/>
  <c r="C10" i="13"/>
  <c r="AA20" i="19"/>
  <c r="C3" i="13"/>
  <c r="BB20" i="19"/>
  <c r="BI20" i="19"/>
  <c r="E10" i="13"/>
  <c r="C31" i="25"/>
  <c r="E31" i="25" s="1"/>
  <c r="D31" i="25" s="1"/>
  <c r="BZ3" i="19"/>
  <c r="BU15" i="19"/>
  <c r="M15" i="19"/>
  <c r="N23" i="19" s="1"/>
  <c r="AQ15" i="19"/>
  <c r="U15" i="19"/>
  <c r="U17" i="19"/>
  <c r="U18" i="19" s="1"/>
  <c r="BY15" i="19"/>
  <c r="BP7" i="19"/>
  <c r="BI17" i="9"/>
  <c r="BI18" i="9" s="1"/>
  <c r="BP12" i="9"/>
  <c r="BO17" i="9"/>
  <c r="F23" i="9"/>
  <c r="BU17" i="9"/>
  <c r="BU18" i="9" s="1"/>
  <c r="BZ12" i="9"/>
  <c r="D11" i="3" s="1"/>
  <c r="G23" i="9"/>
  <c r="BB17" i="9"/>
  <c r="BB18" i="9" s="1"/>
  <c r="O23" i="9"/>
  <c r="I23" i="9"/>
  <c r="BP5" i="9"/>
  <c r="BP13" i="9"/>
  <c r="C12" i="3" s="1"/>
  <c r="E12" i="3" s="1"/>
  <c r="H23" i="9"/>
  <c r="AA17" i="9"/>
  <c r="AA18" i="9" s="1"/>
  <c r="AQ15" i="9"/>
  <c r="AQ20" i="9" s="1"/>
  <c r="B23" i="9"/>
  <c r="BZ10" i="9"/>
  <c r="D9" i="3" s="1"/>
  <c r="BY15" i="9"/>
  <c r="BY20" i="9" s="1"/>
  <c r="BP10" i="9"/>
  <c r="U15" i="9"/>
  <c r="U20" i="9" s="1"/>
  <c r="C23" i="9"/>
  <c r="BI15" i="9"/>
  <c r="BI20" i="9" s="1"/>
  <c r="BZ3" i="9"/>
  <c r="D2" i="3" s="1"/>
  <c r="BP9" i="9"/>
  <c r="CA9" i="9" s="1"/>
  <c r="C4" i="12" s="1"/>
  <c r="D4" i="12" s="1"/>
  <c r="BZ11" i="9"/>
  <c r="D10" i="3" s="1"/>
  <c r="BP6" i="9"/>
  <c r="CA6" i="9" s="1"/>
  <c r="BP14" i="9"/>
  <c r="CA14" i="9" s="1"/>
  <c r="P15" i="9"/>
  <c r="F12" i="7" s="1"/>
  <c r="D23" i="9"/>
  <c r="M23" i="9"/>
  <c r="P17" i="9"/>
  <c r="P18" i="9" s="1"/>
  <c r="BP8" i="9"/>
  <c r="CA8" i="9" s="1"/>
  <c r="BO15" i="9"/>
  <c r="BO20" i="9" s="1"/>
  <c r="E23" i="9"/>
  <c r="AA15" i="9"/>
  <c r="AA20" i="9" s="1"/>
  <c r="U17" i="9"/>
  <c r="U18" i="9" s="1"/>
  <c r="BP7" i="9"/>
  <c r="CA7" i="9" s="1"/>
  <c r="BZ9" i="9"/>
  <c r="D8" i="3" s="1"/>
  <c r="N23" i="9"/>
  <c r="C2" i="3"/>
  <c r="CA10" i="9"/>
  <c r="C9" i="3"/>
  <c r="E9" i="3" s="1"/>
  <c r="P20" i="9"/>
  <c r="C12" i="7"/>
  <c r="O4" i="7"/>
  <c r="C10" i="3"/>
  <c r="E10" i="3" s="1"/>
  <c r="CA11" i="9"/>
  <c r="C11" i="3"/>
  <c r="E11" i="3" s="1"/>
  <c r="BO18" i="9"/>
  <c r="C4" i="3"/>
  <c r="E4" i="3" s="1"/>
  <c r="CA5" i="9"/>
  <c r="BU15" i="9"/>
  <c r="BZ4" i="9"/>
  <c r="D3" i="3" s="1"/>
  <c r="BY17" i="9"/>
  <c r="B2" i="3"/>
  <c r="BP4" i="9"/>
  <c r="C54" i="22"/>
  <c r="C45" i="22"/>
  <c r="G41" i="2"/>
  <c r="C181" i="22"/>
  <c r="F181" i="22" s="1"/>
  <c r="C236" i="22"/>
  <c r="C155" i="22"/>
  <c r="G155" i="22" s="1"/>
  <c r="C102" i="22"/>
  <c r="G102" i="22" s="1"/>
  <c r="C160" i="22"/>
  <c r="G160" i="22" s="1"/>
  <c r="C165" i="22"/>
  <c r="F165" i="22" s="1"/>
  <c r="C182" i="22"/>
  <c r="G182" i="22" s="1"/>
  <c r="E33" i="26"/>
  <c r="C33" i="26" s="1"/>
  <c r="C218" i="22"/>
  <c r="C62" i="22"/>
  <c r="G62" i="22" s="1"/>
  <c r="C78" i="22"/>
  <c r="C103" i="22"/>
  <c r="G103" i="22" s="1"/>
  <c r="I245" i="2"/>
  <c r="C87" i="22"/>
  <c r="G87" i="22" s="1"/>
  <c r="C211" i="22"/>
  <c r="C164" i="22"/>
  <c r="G164" i="22" s="1"/>
  <c r="C192" i="22"/>
  <c r="G192" i="22" s="1"/>
  <c r="C231" i="22"/>
  <c r="G231" i="22" s="1"/>
  <c r="C86" i="22"/>
  <c r="C186" i="22"/>
  <c r="C43" i="22"/>
  <c r="G43" i="22" s="1"/>
  <c r="E18" i="26"/>
  <c r="C18" i="26" s="1"/>
  <c r="C194" i="22"/>
  <c r="C199" i="22"/>
  <c r="G199" i="22" s="1"/>
  <c r="C209" i="22"/>
  <c r="F209" i="22" s="1"/>
  <c r="C226" i="22"/>
  <c r="G226" i="22" s="1"/>
  <c r="C148" i="22"/>
  <c r="C201" i="22"/>
  <c r="G201" i="22" s="1"/>
  <c r="C154" i="22"/>
  <c r="G154" i="22" s="1"/>
  <c r="C60" i="22"/>
  <c r="G60" i="22" s="1"/>
  <c r="C159" i="22"/>
  <c r="G159" i="22" s="1"/>
  <c r="E29" i="26"/>
  <c r="C29" i="26" s="1"/>
  <c r="C213" i="22"/>
  <c r="G213" i="22" s="1"/>
  <c r="C41" i="6"/>
  <c r="G41" i="6" s="1"/>
  <c r="C156" i="22"/>
  <c r="C183" i="22"/>
  <c r="C115" i="22"/>
  <c r="G115" i="22" s="1"/>
  <c r="C56" i="22"/>
  <c r="C85" i="22"/>
  <c r="G85" i="22" s="1"/>
  <c r="C191" i="22"/>
  <c r="G191" i="22" s="1"/>
  <c r="I173" i="2"/>
  <c r="C106" i="22"/>
  <c r="G106" i="22" s="1"/>
  <c r="C143" i="22"/>
  <c r="C197" i="22"/>
  <c r="G231" i="2"/>
  <c r="C163" i="22"/>
  <c r="C52" i="22"/>
  <c r="C184" i="22"/>
  <c r="C219" i="22"/>
  <c r="G219" i="22" s="1"/>
  <c r="C187" i="22"/>
  <c r="G187" i="22" s="1"/>
  <c r="C205" i="22"/>
  <c r="G205" i="22" s="1"/>
  <c r="C221" i="22"/>
  <c r="G221" i="22" s="1"/>
  <c r="C185" i="22"/>
  <c r="G185" i="22" s="1"/>
  <c r="C80" i="22"/>
  <c r="D73" i="2"/>
  <c r="C193" i="22"/>
  <c r="G193" i="22" s="1"/>
  <c r="C101" i="22"/>
  <c r="G101" i="22" s="1"/>
  <c r="C53" i="22"/>
  <c r="G53" i="22" s="1"/>
  <c r="C157" i="22"/>
  <c r="F157" i="22" s="1"/>
  <c r="C57" i="22"/>
  <c r="G57" i="22" s="1"/>
  <c r="C152" i="22"/>
  <c r="G152" i="22" s="1"/>
  <c r="C180" i="22"/>
  <c r="G180" i="22" s="1"/>
  <c r="G235" i="2"/>
  <c r="H235" i="2"/>
  <c r="C50" i="22"/>
  <c r="F50" i="22" s="1"/>
  <c r="I41" i="2"/>
  <c r="J41" i="2"/>
  <c r="C46" i="22"/>
  <c r="F46" i="22" s="1"/>
  <c r="C42" i="22"/>
  <c r="G42" i="22" s="1"/>
  <c r="H231" i="2"/>
  <c r="C217" i="22"/>
  <c r="G217" i="22" s="1"/>
  <c r="C104" i="22"/>
  <c r="G104" i="22" s="1"/>
  <c r="C40" i="22"/>
  <c r="G40" i="22" s="1"/>
  <c r="C108" i="22"/>
  <c r="G108" i="22" s="1"/>
  <c r="C188" i="22"/>
  <c r="G188" i="22" s="1"/>
  <c r="C220" i="22"/>
  <c r="C158" i="22"/>
  <c r="F158" i="22" s="1"/>
  <c r="C105" i="22"/>
  <c r="C149" i="22"/>
  <c r="E36" i="26"/>
  <c r="C36" i="26" s="1"/>
  <c r="F42" i="2"/>
  <c r="C61" i="22"/>
  <c r="G42" i="2"/>
  <c r="C107" i="22"/>
  <c r="C144" i="22"/>
  <c r="G144" i="22" s="1"/>
  <c r="C44" i="22"/>
  <c r="F44" i="22" s="1"/>
  <c r="C84" i="22"/>
  <c r="F84" i="22" s="1"/>
  <c r="C19" i="26"/>
  <c r="C190" i="22"/>
  <c r="G190" i="22" s="1"/>
  <c r="C195" i="22"/>
  <c r="G195" i="22" s="1"/>
  <c r="C200" i="22"/>
  <c r="F200" i="22" s="1"/>
  <c r="C210" i="22"/>
  <c r="G210" i="22" s="1"/>
  <c r="C227" i="22"/>
  <c r="F227" i="22" s="1"/>
  <c r="C58" i="22"/>
  <c r="F58" i="22" s="1"/>
  <c r="C242" i="22"/>
  <c r="G242" i="22" s="1"/>
  <c r="C124" i="22"/>
  <c r="G124" i="22" s="1"/>
  <c r="C55" i="22"/>
  <c r="C202" i="22"/>
  <c r="G202" i="22" s="1"/>
  <c r="C51" i="22"/>
  <c r="G51" i="22" s="1"/>
  <c r="C100" i="22"/>
  <c r="G100" i="22" s="1"/>
  <c r="C216" i="22"/>
  <c r="C79" i="22"/>
  <c r="G79" i="22" s="1"/>
  <c r="C109" i="22"/>
  <c r="G109" i="22" s="1"/>
  <c r="C189" i="22"/>
  <c r="G189" i="22" s="1"/>
  <c r="G19" i="6"/>
  <c r="F188" i="6"/>
  <c r="G188" i="6"/>
  <c r="F34" i="6"/>
  <c r="G24" i="6"/>
  <c r="F53" i="6"/>
  <c r="G53" i="6"/>
  <c r="F18" i="6"/>
  <c r="G61" i="22"/>
  <c r="F237" i="22"/>
  <c r="G237" i="22"/>
  <c r="E31" i="26"/>
  <c r="C31" i="26" s="1"/>
  <c r="C15" i="22"/>
  <c r="F15" i="22" s="1"/>
  <c r="E38" i="26"/>
  <c r="C38" i="26" s="1"/>
  <c r="C125" i="22"/>
  <c r="F125" i="22" s="1"/>
  <c r="H222" i="2"/>
  <c r="H36" i="2"/>
  <c r="I222" i="2"/>
  <c r="I36" i="2"/>
  <c r="J222" i="2"/>
  <c r="F82" i="22"/>
  <c r="F112" i="6"/>
  <c r="G82" i="22"/>
  <c r="F32" i="22"/>
  <c r="E116" i="2"/>
  <c r="C98" i="6"/>
  <c r="F98" i="6" s="1"/>
  <c r="J98" i="2"/>
  <c r="F98" i="2"/>
  <c r="C240" i="6"/>
  <c r="F240" i="6" s="1"/>
  <c r="H240" i="2"/>
  <c r="F87" i="6"/>
  <c r="F240" i="2"/>
  <c r="F128" i="22"/>
  <c r="F230" i="22"/>
  <c r="H98" i="2"/>
  <c r="G240" i="2"/>
  <c r="G196" i="22"/>
  <c r="F196" i="22"/>
  <c r="G230" i="22"/>
  <c r="I98" i="2"/>
  <c r="C20" i="22"/>
  <c r="G20" i="22" s="1"/>
  <c r="F69" i="22"/>
  <c r="G54" i="22"/>
  <c r="F54" i="22"/>
  <c r="G129" i="22"/>
  <c r="H138" i="2"/>
  <c r="G98" i="2"/>
  <c r="G8" i="22"/>
  <c r="C42" i="6"/>
  <c r="G42" i="6" s="1"/>
  <c r="G28" i="6"/>
  <c r="F28" i="6"/>
  <c r="G93" i="22"/>
  <c r="G112" i="6"/>
  <c r="G80" i="22"/>
  <c r="I138" i="2"/>
  <c r="H173" i="2"/>
  <c r="E39" i="26"/>
  <c r="C39" i="26" s="1"/>
  <c r="C25" i="22"/>
  <c r="G25" i="22" s="1"/>
  <c r="J245" i="2"/>
  <c r="E58" i="26" s="1"/>
  <c r="C225" i="22"/>
  <c r="F225" i="22" s="1"/>
  <c r="J73" i="2"/>
  <c r="C10" i="22"/>
  <c r="G10" i="22" s="1"/>
  <c r="I42" i="2"/>
  <c r="H42" i="2"/>
  <c r="C40" i="26"/>
  <c r="C130" i="22"/>
  <c r="F130" i="22" s="1"/>
  <c r="F134" i="22"/>
  <c r="G134" i="22"/>
  <c r="D245" i="2"/>
  <c r="H232" i="2"/>
  <c r="G232" i="2"/>
  <c r="G156" i="6"/>
  <c r="G238" i="6"/>
  <c r="F148" i="6"/>
  <c r="E245" i="2"/>
  <c r="F12" i="6"/>
  <c r="F80" i="6"/>
  <c r="F13" i="22"/>
  <c r="G232" i="22"/>
  <c r="G241" i="2"/>
  <c r="G80" i="6"/>
  <c r="G126" i="6"/>
  <c r="H241" i="2"/>
  <c r="D94" i="2"/>
  <c r="G212" i="22"/>
  <c r="E30" i="26"/>
  <c r="C30" i="26" s="1"/>
  <c r="I77" i="2"/>
  <c r="E32" i="26"/>
  <c r="C32" i="26" s="1"/>
  <c r="J77" i="2"/>
  <c r="E94" i="2"/>
  <c r="G161" i="6"/>
  <c r="E35" i="26"/>
  <c r="C35" i="26" s="1"/>
  <c r="J138" i="2"/>
  <c r="E34" i="26"/>
  <c r="C34" i="26" s="1"/>
  <c r="F232" i="22"/>
  <c r="H237" i="2"/>
  <c r="H233" i="2"/>
  <c r="F166" i="22"/>
  <c r="C18" i="22"/>
  <c r="G18" i="22" s="1"/>
  <c r="C119" i="22"/>
  <c r="G179" i="22"/>
  <c r="F41" i="2"/>
  <c r="J173" i="2"/>
  <c r="F239" i="2"/>
  <c r="G233" i="2"/>
  <c r="G239" i="2"/>
  <c r="F220" i="6"/>
  <c r="F20" i="6"/>
  <c r="F241" i="2"/>
  <c r="G148" i="6"/>
  <c r="F237" i="2"/>
  <c r="C131" i="22"/>
  <c r="G131" i="22" s="1"/>
  <c r="G237" i="2"/>
  <c r="F90" i="6"/>
  <c r="F135" i="6"/>
  <c r="F169" i="6"/>
  <c r="F204" i="6"/>
  <c r="G204" i="6"/>
  <c r="G77" i="2"/>
  <c r="G69" i="6"/>
  <c r="F184" i="6"/>
  <c r="C76" i="22"/>
  <c r="G76" i="22" s="1"/>
  <c r="E28" i="26"/>
  <c r="C28" i="26" s="1"/>
  <c r="H77" i="2"/>
  <c r="H94" i="2" s="1"/>
  <c r="G184" i="6"/>
  <c r="J36" i="2"/>
  <c r="E14" i="26"/>
  <c r="C14" i="26" s="1"/>
  <c r="G86" i="6"/>
  <c r="G207" i="6"/>
  <c r="G17" i="22"/>
  <c r="F17" i="22"/>
  <c r="G48" i="6"/>
  <c r="F105" i="6"/>
  <c r="G49" i="6"/>
  <c r="F49" i="6"/>
  <c r="G105" i="6"/>
  <c r="G157" i="6"/>
  <c r="F157" i="6"/>
  <c r="F93" i="6"/>
  <c r="G127" i="6"/>
  <c r="F127" i="6"/>
  <c r="G55" i="22"/>
  <c r="F55" i="22"/>
  <c r="F104" i="22"/>
  <c r="G156" i="22"/>
  <c r="F156" i="22"/>
  <c r="G97" i="6"/>
  <c r="F97" i="6"/>
  <c r="F149" i="6"/>
  <c r="G149" i="6"/>
  <c r="G105" i="22"/>
  <c r="F105" i="22"/>
  <c r="F161" i="22"/>
  <c r="G46" i="22"/>
  <c r="F6" i="6"/>
  <c r="F192" i="6"/>
  <c r="G192" i="6"/>
  <c r="G161" i="22"/>
  <c r="G162" i="22"/>
  <c r="F162" i="22"/>
  <c r="G122" i="6"/>
  <c r="F122" i="6"/>
  <c r="G6" i="6"/>
  <c r="F131" i="6"/>
  <c r="G27" i="22"/>
  <c r="G81" i="6"/>
  <c r="F81" i="6"/>
  <c r="F132" i="6"/>
  <c r="G132" i="6"/>
  <c r="G221" i="6"/>
  <c r="F221" i="6"/>
  <c r="G200" i="6"/>
  <c r="F200" i="6"/>
  <c r="F54" i="6"/>
  <c r="G54" i="6"/>
  <c r="F137" i="22"/>
  <c r="F241" i="6"/>
  <c r="G39" i="22"/>
  <c r="F243" i="22"/>
  <c r="G76" i="6"/>
  <c r="F88" i="6"/>
  <c r="F132" i="22"/>
  <c r="F55" i="6"/>
  <c r="F143" i="6"/>
  <c r="G132" i="22"/>
  <c r="F150" i="22"/>
  <c r="F82" i="6"/>
  <c r="F187" i="6"/>
  <c r="F48" i="22"/>
  <c r="F142" i="22"/>
  <c r="F12" i="22"/>
  <c r="F100" i="22"/>
  <c r="G157" i="22"/>
  <c r="G50" i="6"/>
  <c r="F77" i="6"/>
  <c r="G152" i="6"/>
  <c r="F194" i="6"/>
  <c r="G210" i="6"/>
  <c r="F217" i="6"/>
  <c r="F31" i="22"/>
  <c r="F208" i="22"/>
  <c r="G77" i="6"/>
  <c r="G194" i="6"/>
  <c r="G217" i="6"/>
  <c r="F6" i="22"/>
  <c r="G58" i="22"/>
  <c r="F133" i="22"/>
  <c r="G208" i="22"/>
  <c r="F229" i="22"/>
  <c r="F172" i="22"/>
  <c r="G172" i="22"/>
  <c r="F226" i="6"/>
  <c r="F133" i="6"/>
  <c r="F217" i="22"/>
  <c r="G216" i="6"/>
  <c r="G45" i="6"/>
  <c r="F51" i="6"/>
  <c r="F57" i="6"/>
  <c r="C94" i="6"/>
  <c r="F110" i="6"/>
  <c r="F199" i="22"/>
  <c r="G51" i="6"/>
  <c r="G57" i="6"/>
  <c r="G110" i="6"/>
  <c r="F119" i="6"/>
  <c r="F211" i="6"/>
  <c r="F228" i="6"/>
  <c r="F207" i="22"/>
  <c r="F128" i="6"/>
  <c r="F235" i="22"/>
  <c r="G167" i="6"/>
  <c r="F67" i="6"/>
  <c r="F218" i="6"/>
  <c r="F59" i="22"/>
  <c r="F80" i="22"/>
  <c r="F193" i="6"/>
  <c r="G207" i="22"/>
  <c r="C36" i="6"/>
  <c r="G23" i="6"/>
  <c r="G67" i="6"/>
  <c r="G78" i="6"/>
  <c r="G85" i="6"/>
  <c r="F162" i="6"/>
  <c r="F7" i="22"/>
  <c r="G193" i="6"/>
  <c r="G143" i="6"/>
  <c r="G123" i="6"/>
  <c r="F11" i="6"/>
  <c r="F130" i="6"/>
  <c r="G227" i="22"/>
  <c r="G7" i="6"/>
  <c r="G88" i="6"/>
  <c r="F115" i="6"/>
  <c r="F111" i="6"/>
  <c r="F189" i="6"/>
  <c r="F229" i="6"/>
  <c r="G69" i="22"/>
  <c r="F154" i="22"/>
  <c r="F187" i="22"/>
  <c r="G234" i="22"/>
  <c r="F47" i="6"/>
  <c r="G47" i="6"/>
  <c r="G52" i="6"/>
  <c r="G92" i="6"/>
  <c r="F136" i="6"/>
  <c r="F197" i="6"/>
  <c r="F205" i="6"/>
  <c r="F212" i="6"/>
  <c r="G15" i="22"/>
  <c r="F33" i="22"/>
  <c r="F234" i="22"/>
  <c r="G14" i="6"/>
  <c r="F142" i="6"/>
  <c r="F166" i="6"/>
  <c r="F99" i="22"/>
  <c r="G99" i="22"/>
  <c r="G107" i="6"/>
  <c r="G243" i="6"/>
  <c r="F5" i="22"/>
  <c r="G150" i="22"/>
  <c r="F92" i="6"/>
  <c r="F59" i="6"/>
  <c r="G183" i="6"/>
  <c r="G33" i="22"/>
  <c r="G203" i="22"/>
  <c r="F212" i="22"/>
  <c r="F239" i="22"/>
  <c r="G83" i="6"/>
  <c r="G194" i="22"/>
  <c r="F194" i="22"/>
  <c r="G124" i="6"/>
  <c r="F135" i="22"/>
  <c r="F214" i="22"/>
  <c r="F236" i="6"/>
  <c r="F121" i="6"/>
  <c r="G121" i="6"/>
  <c r="G185" i="6"/>
  <c r="F230" i="6"/>
  <c r="F83" i="22"/>
  <c r="F215" i="22"/>
  <c r="F225" i="6"/>
  <c r="F231" i="6"/>
  <c r="G168" i="22"/>
  <c r="G66" i="6"/>
  <c r="F66" i="6"/>
  <c r="G101" i="6"/>
  <c r="F101" i="6"/>
  <c r="F145" i="6"/>
  <c r="G30" i="22"/>
  <c r="F78" i="22"/>
  <c r="F233" i="22"/>
  <c r="F83" i="6"/>
  <c r="F213" i="6"/>
  <c r="G8" i="6"/>
  <c r="F15" i="6"/>
  <c r="G43" i="6"/>
  <c r="G44" i="6"/>
  <c r="F44" i="6"/>
  <c r="F49" i="22"/>
  <c r="F176" i="22"/>
  <c r="G84" i="6"/>
  <c r="F71" i="6"/>
  <c r="F190" i="6"/>
  <c r="F34" i="22"/>
  <c r="F179" i="6"/>
  <c r="F97" i="22"/>
  <c r="G97" i="22"/>
  <c r="F177" i="22"/>
  <c r="G144" i="6"/>
  <c r="F58" i="6"/>
  <c r="F108" i="6"/>
  <c r="G31" i="6"/>
  <c r="F31" i="6"/>
  <c r="F137" i="6"/>
  <c r="F165" i="6"/>
  <c r="F180" i="6"/>
  <c r="G191" i="6"/>
  <c r="G231" i="6"/>
  <c r="F25" i="6"/>
  <c r="F109" i="6"/>
  <c r="G109" i="6"/>
  <c r="G137" i="6"/>
  <c r="G180" i="6"/>
  <c r="G78" i="22"/>
  <c r="F205" i="22"/>
  <c r="F240" i="22"/>
  <c r="F19" i="22"/>
  <c r="G235" i="6"/>
  <c r="F182" i="22"/>
  <c r="G35" i="6"/>
  <c r="G106" i="6"/>
  <c r="F106" i="6"/>
  <c r="G125" i="6"/>
  <c r="F125" i="6"/>
  <c r="G49" i="22"/>
  <c r="F121" i="22"/>
  <c r="G136" i="22"/>
  <c r="F136" i="22"/>
  <c r="G10" i="6"/>
  <c r="F10" i="6"/>
  <c r="F185" i="6"/>
  <c r="G113" i="6"/>
  <c r="F23" i="22"/>
  <c r="F186" i="6"/>
  <c r="F210" i="22"/>
  <c r="F35" i="22"/>
  <c r="C138" i="6"/>
  <c r="F172" i="6"/>
  <c r="F24" i="22"/>
  <c r="G86" i="22"/>
  <c r="F86" i="22"/>
  <c r="F155" i="6"/>
  <c r="F56" i="22"/>
  <c r="G56" i="22"/>
  <c r="F129" i="6"/>
  <c r="G129" i="6"/>
  <c r="G201" i="6"/>
  <c r="F201" i="6"/>
  <c r="F35" i="6"/>
  <c r="G70" i="6"/>
  <c r="G145" i="22"/>
  <c r="F145" i="22"/>
  <c r="F29" i="6"/>
  <c r="F14" i="22"/>
  <c r="G14" i="22"/>
  <c r="G71" i="6"/>
  <c r="G190" i="6"/>
  <c r="F30" i="6"/>
  <c r="F150" i="6"/>
  <c r="F204" i="22"/>
  <c r="F100" i="6"/>
  <c r="G65" i="6"/>
  <c r="F30" i="22"/>
  <c r="G146" i="6"/>
  <c r="F146" i="6"/>
  <c r="G181" i="6"/>
  <c r="F181" i="6"/>
  <c r="F79" i="22"/>
  <c r="F70" i="6"/>
  <c r="G208" i="6"/>
  <c r="F79" i="6"/>
  <c r="G238" i="22"/>
  <c r="F238" i="22"/>
  <c r="G195" i="6"/>
  <c r="F126" i="22"/>
  <c r="F167" i="22"/>
  <c r="G237" i="6"/>
  <c r="F237" i="6"/>
  <c r="G204" i="22"/>
  <c r="G122" i="22"/>
  <c r="G186" i="6"/>
  <c r="C173" i="6"/>
  <c r="F163" i="22"/>
  <c r="G163" i="22"/>
  <c r="G63" i="6"/>
  <c r="F63" i="6"/>
  <c r="F89" i="6"/>
  <c r="G203" i="6"/>
  <c r="F203" i="6"/>
  <c r="G197" i="22"/>
  <c r="F197" i="22"/>
  <c r="G13" i="6"/>
  <c r="F13" i="6"/>
  <c r="G206" i="6"/>
  <c r="F206" i="6"/>
  <c r="D26" i="25"/>
  <c r="E28" i="25"/>
  <c r="G47" i="22"/>
  <c r="F47" i="22"/>
  <c r="F196" i="6"/>
  <c r="G127" i="22"/>
  <c r="F127" i="22"/>
  <c r="G108" i="6"/>
  <c r="F60" i="6"/>
  <c r="F103" i="6"/>
  <c r="G103" i="6"/>
  <c r="F160" i="6"/>
  <c r="F11" i="22"/>
  <c r="G242" i="6"/>
  <c r="F242" i="6"/>
  <c r="F29" i="22"/>
  <c r="G151" i="6"/>
  <c r="F151" i="6"/>
  <c r="G72" i="6"/>
  <c r="F163" i="6"/>
  <c r="F123" i="22"/>
  <c r="F169" i="22"/>
  <c r="G16" i="6"/>
  <c r="G26" i="6"/>
  <c r="F158" i="6"/>
  <c r="G163" i="6"/>
  <c r="G176" i="6"/>
  <c r="G206" i="22"/>
  <c r="F114" i="6"/>
  <c r="G182" i="6"/>
  <c r="F182" i="6"/>
  <c r="G209" i="6"/>
  <c r="G219" i="6"/>
  <c r="F21" i="6"/>
  <c r="F134" i="6"/>
  <c r="G153" i="6"/>
  <c r="F198" i="6"/>
  <c r="G214" i="6"/>
  <c r="F227" i="6"/>
  <c r="G169" i="22"/>
  <c r="F5" i="6"/>
  <c r="G32" i="6"/>
  <c r="F32" i="6"/>
  <c r="F46" i="6"/>
  <c r="F56" i="6"/>
  <c r="F91" i="6"/>
  <c r="F104" i="6"/>
  <c r="G198" i="6"/>
  <c r="F239" i="6"/>
  <c r="C222" i="6"/>
  <c r="F141" i="6"/>
  <c r="F241" i="22"/>
  <c r="G241" i="22"/>
  <c r="G177" i="6"/>
  <c r="F177" i="6"/>
  <c r="F81" i="22"/>
  <c r="G170" i="22"/>
  <c r="F170" i="22"/>
  <c r="F72" i="6"/>
  <c r="F209" i="6"/>
  <c r="G168" i="6"/>
  <c r="G21" i="22"/>
  <c r="F21" i="22"/>
  <c r="G232" i="6"/>
  <c r="F232" i="6"/>
  <c r="F219" i="6"/>
  <c r="F17" i="6"/>
  <c r="F99" i="6"/>
  <c r="F154" i="6"/>
  <c r="F164" i="6"/>
  <c r="F215" i="6"/>
  <c r="F141" i="22"/>
  <c r="F185" i="22"/>
  <c r="G216" i="22"/>
  <c r="F216" i="22"/>
  <c r="F22" i="6"/>
  <c r="F41" i="6"/>
  <c r="F62" i="6"/>
  <c r="G68" i="6"/>
  <c r="F68" i="6"/>
  <c r="F159" i="6"/>
  <c r="F199" i="6"/>
  <c r="F234" i="6"/>
  <c r="G16" i="22"/>
  <c r="F16" i="22"/>
  <c r="F28" i="22"/>
  <c r="F64" i="22"/>
  <c r="G39" i="6"/>
  <c r="F39" i="6"/>
  <c r="F176" i="6"/>
  <c r="G170" i="6"/>
  <c r="F170" i="6"/>
  <c r="F26" i="22"/>
  <c r="F178" i="22"/>
  <c r="F33" i="6"/>
  <c r="F40" i="6"/>
  <c r="F64" i="6"/>
  <c r="F102" i="6"/>
  <c r="F147" i="6"/>
  <c r="F171" i="6"/>
  <c r="F178" i="6"/>
  <c r="F202" i="6"/>
  <c r="F233" i="6"/>
  <c r="F22" i="22"/>
  <c r="F53" i="22"/>
  <c r="F111" i="22"/>
  <c r="F171" i="22"/>
  <c r="F198" i="22"/>
  <c r="G111" i="22"/>
  <c r="F228" i="22"/>
  <c r="G228" i="22"/>
  <c r="B54" i="26"/>
  <c r="F153" i="22"/>
  <c r="G147" i="22"/>
  <c r="F147" i="22"/>
  <c r="F92" i="22"/>
  <c r="F91" i="22"/>
  <c r="G90" i="22"/>
  <c r="F89" i="22"/>
  <c r="G88" i="22"/>
  <c r="G72" i="22"/>
  <c r="F72" i="22"/>
  <c r="F71" i="22"/>
  <c r="G71" i="22"/>
  <c r="F70" i="22"/>
  <c r="F68" i="22"/>
  <c r="G67" i="22"/>
  <c r="F67" i="22"/>
  <c r="F66" i="22"/>
  <c r="G65" i="22"/>
  <c r="F63" i="22"/>
  <c r="G63" i="22"/>
  <c r="G114" i="22"/>
  <c r="G113" i="22"/>
  <c r="F112" i="22"/>
  <c r="F110" i="22"/>
  <c r="G110" i="22"/>
  <c r="F151" i="22"/>
  <c r="F146" i="22"/>
  <c r="F115" i="22" l="1"/>
  <c r="F152" i="22"/>
  <c r="F87" i="22"/>
  <c r="F109" i="22"/>
  <c r="F221" i="22"/>
  <c r="F201" i="22"/>
  <c r="G165" i="22"/>
  <c r="F60" i="22"/>
  <c r="G84" i="22"/>
  <c r="F106" i="22"/>
  <c r="F103" i="22"/>
  <c r="F160" i="22"/>
  <c r="F102" i="22"/>
  <c r="F62" i="22"/>
  <c r="F57" i="22"/>
  <c r="F189" i="22"/>
  <c r="F192" i="22"/>
  <c r="F180" i="22"/>
  <c r="F191" i="22"/>
  <c r="G158" i="22"/>
  <c r="G44" i="22"/>
  <c r="C7" i="13"/>
  <c r="E7" i="13" s="1"/>
  <c r="CA4" i="19"/>
  <c r="CA5" i="19"/>
  <c r="Q23" i="19"/>
  <c r="F25" i="19" s="1"/>
  <c r="CA3" i="19"/>
  <c r="CA13" i="19"/>
  <c r="BP15" i="19"/>
  <c r="F13" i="24" s="1"/>
  <c r="C2" i="13"/>
  <c r="U20" i="19"/>
  <c r="P20" i="19"/>
  <c r="C12" i="24"/>
  <c r="H25" i="19"/>
  <c r="B14" i="13"/>
  <c r="L25" i="19"/>
  <c r="D25" i="19"/>
  <c r="K25" i="19"/>
  <c r="O4" i="24"/>
  <c r="E25" i="19"/>
  <c r="O5" i="24"/>
  <c r="BP18" i="19"/>
  <c r="BP17" i="19"/>
  <c r="CA17" i="19" s="1"/>
  <c r="P25" i="19"/>
  <c r="C25" i="19"/>
  <c r="N25" i="19"/>
  <c r="CA7" i="19"/>
  <c r="C6" i="13"/>
  <c r="E6" i="13" s="1"/>
  <c r="J25" i="19"/>
  <c r="O25" i="19"/>
  <c r="BY20" i="19"/>
  <c r="C32" i="25"/>
  <c r="E32" i="25" s="1"/>
  <c r="D32" i="25" s="1"/>
  <c r="F12" i="24"/>
  <c r="M25" i="19"/>
  <c r="G25" i="19"/>
  <c r="B25" i="19"/>
  <c r="C13" i="24"/>
  <c r="BP20" i="19"/>
  <c r="AQ20" i="19"/>
  <c r="BU20" i="19"/>
  <c r="I25" i="19"/>
  <c r="BZ18" i="19"/>
  <c r="BZ15" i="19"/>
  <c r="D2" i="13"/>
  <c r="D14" i="13" s="1"/>
  <c r="Q23" i="9"/>
  <c r="J25" i="9" s="1"/>
  <c r="CA13" i="9"/>
  <c r="CA3" i="9"/>
  <c r="CA12" i="9"/>
  <c r="C8" i="3"/>
  <c r="C25" i="9"/>
  <c r="M25" i="9"/>
  <c r="B25" i="9"/>
  <c r="C7" i="3"/>
  <c r="E7" i="3" s="1"/>
  <c r="C13" i="3"/>
  <c r="E13" i="3" s="1"/>
  <c r="C6" i="3"/>
  <c r="E6" i="3" s="1"/>
  <c r="C5" i="3"/>
  <c r="E5" i="3" s="1"/>
  <c r="E8" i="3"/>
  <c r="BP17" i="9"/>
  <c r="BZ15" i="9"/>
  <c r="N25" i="9"/>
  <c r="E25" i="9"/>
  <c r="D25" i="9"/>
  <c r="CA4" i="9"/>
  <c r="CA15" i="9" s="1"/>
  <c r="C3" i="3"/>
  <c r="E3" i="3" s="1"/>
  <c r="BP18" i="9"/>
  <c r="G25" i="9"/>
  <c r="BY18" i="9"/>
  <c r="BZ17" i="9"/>
  <c r="CA17" i="9" s="1"/>
  <c r="BP15" i="9"/>
  <c r="L25" i="9"/>
  <c r="I25" i="9"/>
  <c r="P25" i="9"/>
  <c r="K25" i="9"/>
  <c r="BU20" i="9"/>
  <c r="D14" i="3"/>
  <c r="H25" i="9"/>
  <c r="E2" i="3"/>
  <c r="B14" i="3"/>
  <c r="F25" i="9"/>
  <c r="O25" i="9"/>
  <c r="F155" i="22"/>
  <c r="F219" i="22"/>
  <c r="F149" i="22"/>
  <c r="F193" i="22"/>
  <c r="F183" i="22"/>
  <c r="F43" i="22"/>
  <c r="F51" i="22"/>
  <c r="F220" i="22"/>
  <c r="H245" i="2"/>
  <c r="F164" i="22"/>
  <c r="F20" i="22"/>
  <c r="F107" i="22"/>
  <c r="G50" i="22"/>
  <c r="G149" i="22"/>
  <c r="G183" i="22"/>
  <c r="I94" i="2"/>
  <c r="I247" i="2" s="1"/>
  <c r="F144" i="22"/>
  <c r="F226" i="22"/>
  <c r="E247" i="2"/>
  <c r="D247" i="2"/>
  <c r="G218" i="22"/>
  <c r="F231" i="22"/>
  <c r="G45" i="22"/>
  <c r="F108" i="22"/>
  <c r="G107" i="22"/>
  <c r="G181" i="22"/>
  <c r="F101" i="22"/>
  <c r="G184" i="22"/>
  <c r="G236" i="22"/>
  <c r="F143" i="22"/>
  <c r="G143" i="22"/>
  <c r="F25" i="22"/>
  <c r="I73" i="2"/>
  <c r="F184" i="22"/>
  <c r="J94" i="2"/>
  <c r="F159" i="22"/>
  <c r="F52" i="22"/>
  <c r="C173" i="22"/>
  <c r="F202" i="22"/>
  <c r="F148" i="22"/>
  <c r="F124" i="22"/>
  <c r="G148" i="22"/>
  <c r="C222" i="22"/>
  <c r="I116" i="2"/>
  <c r="G186" i="22"/>
  <c r="F186" i="22"/>
  <c r="G52" i="22"/>
  <c r="F218" i="22"/>
  <c r="F190" i="22"/>
  <c r="G209" i="22"/>
  <c r="F188" i="22"/>
  <c r="F211" i="22"/>
  <c r="F242" i="22"/>
  <c r="G200" i="22"/>
  <c r="F42" i="22"/>
  <c r="G220" i="22"/>
  <c r="F213" i="22"/>
  <c r="F236" i="22"/>
  <c r="G211" i="22"/>
  <c r="C41" i="22"/>
  <c r="F85" i="22"/>
  <c r="F195" i="22"/>
  <c r="F40" i="22"/>
  <c r="F45" i="22"/>
  <c r="E42" i="26"/>
  <c r="E53" i="26" s="1"/>
  <c r="F10" i="22"/>
  <c r="F119" i="22"/>
  <c r="F18" i="22"/>
  <c r="G98" i="6"/>
  <c r="G116" i="6" s="1"/>
  <c r="E6" i="10" s="1"/>
  <c r="G225" i="22"/>
  <c r="C116" i="6"/>
  <c r="F131" i="22"/>
  <c r="G125" i="22"/>
  <c r="G130" i="22"/>
  <c r="G119" i="22"/>
  <c r="G240" i="6"/>
  <c r="G244" i="6" s="1"/>
  <c r="I6" i="10" s="1"/>
  <c r="C138" i="22"/>
  <c r="F42" i="6"/>
  <c r="J116" i="2"/>
  <c r="J247" i="2" s="1"/>
  <c r="C98" i="22"/>
  <c r="C36" i="22"/>
  <c r="C244" i="22"/>
  <c r="G94" i="6"/>
  <c r="D6" i="10" s="1"/>
  <c r="C77" i="22"/>
  <c r="C94" i="22" s="1"/>
  <c r="C73" i="6"/>
  <c r="F76" i="22"/>
  <c r="H73" i="2"/>
  <c r="C244" i="6"/>
  <c r="H116" i="2"/>
  <c r="F116" i="6"/>
  <c r="E5" i="10" s="1"/>
  <c r="G36" i="22"/>
  <c r="B6" i="23" s="1"/>
  <c r="G138" i="6"/>
  <c r="F6" i="10" s="1"/>
  <c r="G173" i="6"/>
  <c r="G6" i="10" s="1"/>
  <c r="G36" i="6"/>
  <c r="B6" i="10" s="1"/>
  <c r="F244" i="6"/>
  <c r="I5" i="10" s="1"/>
  <c r="F94" i="6"/>
  <c r="D5" i="10" s="1"/>
  <c r="G73" i="6"/>
  <c r="C6" i="10" s="1"/>
  <c r="G222" i="6"/>
  <c r="H6" i="10" s="1"/>
  <c r="F173" i="6"/>
  <c r="G5" i="10" s="1"/>
  <c r="F222" i="6"/>
  <c r="H5" i="10" s="1"/>
  <c r="G244" i="22" l="1"/>
  <c r="I6" i="23" s="1"/>
  <c r="CA15" i="19"/>
  <c r="G138" i="22"/>
  <c r="F6" i="23" s="1"/>
  <c r="C3" i="21"/>
  <c r="D3" i="21" s="1"/>
  <c r="F11" i="24"/>
  <c r="C11" i="24"/>
  <c r="BI16" i="19"/>
  <c r="H15" i="21" s="1"/>
  <c r="BO16" i="19"/>
  <c r="I15" i="21" s="1"/>
  <c r="AA16" i="19"/>
  <c r="D15" i="21" s="1"/>
  <c r="BB16" i="19"/>
  <c r="F15" i="21" s="1"/>
  <c r="U16" i="19"/>
  <c r="AQ16" i="19"/>
  <c r="E15" i="21" s="1"/>
  <c r="BU16" i="19"/>
  <c r="P16" i="19"/>
  <c r="BY16" i="19"/>
  <c r="J15" i="21" s="1"/>
  <c r="CA18" i="19"/>
  <c r="G222" i="22"/>
  <c r="H6" i="23" s="1"/>
  <c r="F173" i="22"/>
  <c r="G5" i="23" s="1"/>
  <c r="G173" i="22"/>
  <c r="G6" i="23" s="1"/>
  <c r="E2" i="13"/>
  <c r="E14" i="13" s="1"/>
  <c r="D15" i="13" s="1"/>
  <c r="BP19" i="19"/>
  <c r="D23" i="21" s="1"/>
  <c r="F222" i="22"/>
  <c r="H5" i="23" s="1"/>
  <c r="Q25" i="19"/>
  <c r="O7" i="24"/>
  <c r="C14" i="24"/>
  <c r="BZ20" i="19"/>
  <c r="CA20" i="19" s="1"/>
  <c r="F14" i="24"/>
  <c r="O6" i="24"/>
  <c r="F244" i="22"/>
  <c r="I5" i="23" s="1"/>
  <c r="C14" i="13"/>
  <c r="E33" i="25"/>
  <c r="E34" i="25" s="1"/>
  <c r="Q25" i="9"/>
  <c r="E14" i="3"/>
  <c r="D15" i="3"/>
  <c r="C11" i="7"/>
  <c r="C3" i="12"/>
  <c r="D3" i="12" s="1"/>
  <c r="F11" i="7"/>
  <c r="BY16" i="9"/>
  <c r="J15" i="12" s="1"/>
  <c r="BI16" i="9"/>
  <c r="H15" i="12" s="1"/>
  <c r="P16" i="9"/>
  <c r="U16" i="9"/>
  <c r="AA16" i="9"/>
  <c r="D15" i="12" s="1"/>
  <c r="BB16" i="9"/>
  <c r="F15" i="12" s="1"/>
  <c r="BO16" i="9"/>
  <c r="I15" i="12" s="1"/>
  <c r="AQ16" i="9"/>
  <c r="E15" i="12" s="1"/>
  <c r="C13" i="7"/>
  <c r="BP20" i="9"/>
  <c r="O5" i="7"/>
  <c r="F13" i="7"/>
  <c r="BZ18" i="9"/>
  <c r="BU16" i="9"/>
  <c r="C14" i="3"/>
  <c r="C15" i="3" s="1"/>
  <c r="B15" i="3"/>
  <c r="C14" i="7"/>
  <c r="BZ20" i="9"/>
  <c r="O6" i="7"/>
  <c r="F14" i="7"/>
  <c r="H247" i="2"/>
  <c r="C73" i="22"/>
  <c r="F41" i="22"/>
  <c r="G41" i="22"/>
  <c r="G73" i="22" s="1"/>
  <c r="C6" i="23" s="1"/>
  <c r="C246" i="6"/>
  <c r="E59" i="26"/>
  <c r="G98" i="22"/>
  <c r="G116" i="22" s="1"/>
  <c r="E6" i="23" s="1"/>
  <c r="C116" i="22"/>
  <c r="C246" i="22" s="1"/>
  <c r="F98" i="22"/>
  <c r="F116" i="22" s="1"/>
  <c r="E5" i="23" s="1"/>
  <c r="G77" i="22"/>
  <c r="G94" i="22" s="1"/>
  <c r="D6" i="23" s="1"/>
  <c r="F77" i="22"/>
  <c r="F94" i="22" s="1"/>
  <c r="D5" i="23" s="1"/>
  <c r="C42" i="26"/>
  <c r="C53" i="26" s="1"/>
  <c r="C54" i="26" s="1"/>
  <c r="K6" i="10"/>
  <c r="G246" i="6"/>
  <c r="J6" i="10" s="1"/>
  <c r="B15" i="13" l="1"/>
  <c r="C15" i="13"/>
  <c r="E15" i="13"/>
  <c r="K15" i="21"/>
  <c r="BZ16" i="19"/>
  <c r="E22" i="21" s="1"/>
  <c r="C22" i="21"/>
  <c r="G15" i="21"/>
  <c r="C15" i="21"/>
  <c r="CA16" i="19"/>
  <c r="BP16" i="19"/>
  <c r="D22" i="21" s="1"/>
  <c r="AA19" i="19"/>
  <c r="D16" i="21" s="1"/>
  <c r="AQ19" i="19"/>
  <c r="E16" i="21" s="1"/>
  <c r="BI19" i="19"/>
  <c r="H16" i="21" s="1"/>
  <c r="BB19" i="19"/>
  <c r="F16" i="21" s="1"/>
  <c r="BU19" i="19"/>
  <c r="K16" i="21" s="1"/>
  <c r="BO19" i="19"/>
  <c r="I16" i="21" s="1"/>
  <c r="BY19" i="19"/>
  <c r="J16" i="21" s="1"/>
  <c r="P19" i="19"/>
  <c r="U19" i="19"/>
  <c r="C16" i="21" s="1"/>
  <c r="BZ19" i="19"/>
  <c r="D9" i="21"/>
  <c r="D8" i="21"/>
  <c r="E15" i="3"/>
  <c r="O7" i="7"/>
  <c r="CA18" i="9"/>
  <c r="BZ19" i="9" s="1"/>
  <c r="G15" i="12"/>
  <c r="C22" i="12"/>
  <c r="BZ16" i="9"/>
  <c r="E22" i="12" s="1"/>
  <c r="K15" i="12"/>
  <c r="BP16" i="9"/>
  <c r="D22" i="12" s="1"/>
  <c r="CA16" i="9"/>
  <c r="C15" i="12"/>
  <c r="L15" i="12" s="1"/>
  <c r="D9" i="12"/>
  <c r="D8" i="12"/>
  <c r="CA20" i="9"/>
  <c r="K6" i="23"/>
  <c r="G246" i="22"/>
  <c r="J6" i="23" s="1"/>
  <c r="E54" i="26"/>
  <c r="E57" i="26"/>
  <c r="L6" i="23"/>
  <c r="M6" i="23"/>
  <c r="E132" i="22" l="1"/>
  <c r="E228" i="22"/>
  <c r="E104" i="22"/>
  <c r="E243" i="22"/>
  <c r="E83" i="22"/>
  <c r="E215" i="22"/>
  <c r="E158" i="22"/>
  <c r="E22" i="22"/>
  <c r="E70" i="22"/>
  <c r="E13" i="22"/>
  <c r="E123" i="22"/>
  <c r="E214" i="22"/>
  <c r="E176" i="22"/>
  <c r="E66" i="22"/>
  <c r="E153" i="22"/>
  <c r="E208" i="22"/>
  <c r="E156" i="22"/>
  <c r="E64" i="22"/>
  <c r="E82" i="22"/>
  <c r="E79" i="22"/>
  <c r="E57" i="22"/>
  <c r="E189" i="22"/>
  <c r="E59" i="22"/>
  <c r="E128" i="22"/>
  <c r="E21" i="22"/>
  <c r="E217" i="22"/>
  <c r="E194" i="22"/>
  <c r="E203" i="22"/>
  <c r="E204" i="22"/>
  <c r="E5" i="22"/>
  <c r="E42" i="22"/>
  <c r="E177" i="22"/>
  <c r="E115" i="22"/>
  <c r="E152" i="22"/>
  <c r="E53" i="22"/>
  <c r="E68" i="22"/>
  <c r="E81" i="22"/>
  <c r="E85" i="22"/>
  <c r="E141" i="22"/>
  <c r="E227" i="22"/>
  <c r="E233" i="22"/>
  <c r="E165" i="22"/>
  <c r="E19" i="22"/>
  <c r="E114" i="22"/>
  <c r="E32" i="22"/>
  <c r="E89" i="22"/>
  <c r="E137" i="22"/>
  <c r="E112" i="22"/>
  <c r="E237" i="22"/>
  <c r="E56" i="22"/>
  <c r="E93" i="22"/>
  <c r="E134" i="22"/>
  <c r="E185" i="22"/>
  <c r="E29" i="22"/>
  <c r="E145" i="22"/>
  <c r="E198" i="22"/>
  <c r="E157" i="22"/>
  <c r="E26" i="22"/>
  <c r="E72" i="22"/>
  <c r="E171" i="22"/>
  <c r="E168" i="22"/>
  <c r="E167" i="22"/>
  <c r="E179" i="22"/>
  <c r="E207" i="22"/>
  <c r="E80" i="22"/>
  <c r="E162" i="22"/>
  <c r="E7" i="22"/>
  <c r="E146" i="22"/>
  <c r="E71" i="22"/>
  <c r="E166" i="22"/>
  <c r="E99" i="22"/>
  <c r="E30" i="22"/>
  <c r="E55" i="22"/>
  <c r="E17" i="22"/>
  <c r="E39" i="22"/>
  <c r="E212" i="22"/>
  <c r="E172" i="22"/>
  <c r="E11" i="22"/>
  <c r="E6" i="22"/>
  <c r="E102" i="22"/>
  <c r="E205" i="22"/>
  <c r="E125" i="22"/>
  <c r="E47" i="22"/>
  <c r="E69" i="22"/>
  <c r="E229" i="22"/>
  <c r="E206" i="22"/>
  <c r="E58" i="22"/>
  <c r="E33" i="22"/>
  <c r="E178" i="22"/>
  <c r="E151" i="22"/>
  <c r="E127" i="22"/>
  <c r="E234" i="22"/>
  <c r="E147" i="22"/>
  <c r="E106" i="22"/>
  <c r="E121" i="22"/>
  <c r="E97" i="22"/>
  <c r="E65" i="22"/>
  <c r="E109" i="22"/>
  <c r="E169" i="22"/>
  <c r="E14" i="22"/>
  <c r="E150" i="22"/>
  <c r="E88" i="22"/>
  <c r="E230" i="22"/>
  <c r="E199" i="22"/>
  <c r="E240" i="22"/>
  <c r="E181" i="22"/>
  <c r="E28" i="22"/>
  <c r="E239" i="22"/>
  <c r="E24" i="22"/>
  <c r="E126" i="22"/>
  <c r="E133" i="22"/>
  <c r="E193" i="22"/>
  <c r="E86" i="22"/>
  <c r="E34" i="22"/>
  <c r="E136" i="22"/>
  <c r="E92" i="22"/>
  <c r="E238" i="22"/>
  <c r="E110" i="22"/>
  <c r="E196" i="22"/>
  <c r="E62" i="22"/>
  <c r="E48" i="22"/>
  <c r="E201" i="22"/>
  <c r="E91" i="22"/>
  <c r="E221" i="22"/>
  <c r="E182" i="22"/>
  <c r="E161" i="22"/>
  <c r="E31" i="22"/>
  <c r="E46" i="22"/>
  <c r="E187" i="22"/>
  <c r="E49" i="22"/>
  <c r="E16" i="22"/>
  <c r="E142" i="22"/>
  <c r="E90" i="22"/>
  <c r="E67" i="22"/>
  <c r="E232" i="22"/>
  <c r="E54" i="22"/>
  <c r="E105" i="22"/>
  <c r="E135" i="22"/>
  <c r="E170" i="22"/>
  <c r="E113" i="22"/>
  <c r="E63" i="22"/>
  <c r="E235" i="22"/>
  <c r="E23" i="22"/>
  <c r="E192" i="22"/>
  <c r="E35" i="22"/>
  <c r="E122" i="22"/>
  <c r="E241" i="22"/>
  <c r="E129" i="22"/>
  <c r="E84" i="22"/>
  <c r="E111" i="22"/>
  <c r="E12" i="22"/>
  <c r="E226" i="22"/>
  <c r="E40" i="22"/>
  <c r="E164" i="22"/>
  <c r="E180" i="22"/>
  <c r="E108" i="22"/>
  <c r="E119" i="22"/>
  <c r="E218" i="22"/>
  <c r="E130" i="22"/>
  <c r="E197" i="22"/>
  <c r="E216" i="22"/>
  <c r="E190" i="22"/>
  <c r="E20" i="22"/>
  <c r="E200" i="22"/>
  <c r="E213" i="22"/>
  <c r="E149" i="22"/>
  <c r="E43" i="22"/>
  <c r="E160" i="22"/>
  <c r="E10" i="22"/>
  <c r="E25" i="22"/>
  <c r="E159" i="22"/>
  <c r="E155" i="22"/>
  <c r="E191" i="22"/>
  <c r="E15" i="22"/>
  <c r="E186" i="22"/>
  <c r="E195" i="22"/>
  <c r="E45" i="22"/>
  <c r="E107" i="22"/>
  <c r="E210" i="22"/>
  <c r="E184" i="22"/>
  <c r="E131" i="22"/>
  <c r="E183" i="22"/>
  <c r="E124" i="22"/>
  <c r="E202" i="22"/>
  <c r="E225" i="22"/>
  <c r="E103" i="22"/>
  <c r="E18" i="22"/>
  <c r="E144" i="22"/>
  <c r="E50" i="22"/>
  <c r="E101" i="22"/>
  <c r="E100" i="22"/>
  <c r="E220" i="22"/>
  <c r="E211" i="22"/>
  <c r="E87" i="22"/>
  <c r="E143" i="22"/>
  <c r="E154" i="22"/>
  <c r="E188" i="22"/>
  <c r="E148" i="22"/>
  <c r="E52" i="22"/>
  <c r="E231" i="22"/>
  <c r="E60" i="22"/>
  <c r="E163" i="22"/>
  <c r="E242" i="22"/>
  <c r="E209" i="22"/>
  <c r="E236" i="22"/>
  <c r="E44" i="22"/>
  <c r="E76" i="22"/>
  <c r="E78" i="22"/>
  <c r="E51" i="22"/>
  <c r="E219" i="22"/>
  <c r="E41" i="22"/>
  <c r="E77" i="22"/>
  <c r="E98" i="22"/>
  <c r="C23" i="21"/>
  <c r="F23" i="21" s="1"/>
  <c r="G16" i="21"/>
  <c r="L16" i="21"/>
  <c r="CA19" i="19"/>
  <c r="E23" i="21"/>
  <c r="E9" i="21"/>
  <c r="E9" i="22"/>
  <c r="E61" i="22"/>
  <c r="E120" i="22"/>
  <c r="E8" i="22"/>
  <c r="E27" i="22"/>
  <c r="L15" i="21"/>
  <c r="F22" i="21"/>
  <c r="E9" i="12"/>
  <c r="E61" i="6"/>
  <c r="E9" i="6"/>
  <c r="E8" i="6"/>
  <c r="E27" i="6"/>
  <c r="E120" i="6"/>
  <c r="M6" i="10"/>
  <c r="L6" i="10"/>
  <c r="BU19" i="9"/>
  <c r="K16" i="12" s="1"/>
  <c r="U19" i="9"/>
  <c r="C16" i="12" s="1"/>
  <c r="AQ19" i="9"/>
  <c r="E16" i="12" s="1"/>
  <c r="AA19" i="9"/>
  <c r="D16" i="12" s="1"/>
  <c r="BI19" i="9"/>
  <c r="H16" i="12" s="1"/>
  <c r="BB19" i="9"/>
  <c r="F16" i="12" s="1"/>
  <c r="P19" i="9"/>
  <c r="BO19" i="9"/>
  <c r="I16" i="12" s="1"/>
  <c r="BY19" i="9"/>
  <c r="J16" i="12" s="1"/>
  <c r="BP19" i="9"/>
  <c r="D23" i="12" s="1"/>
  <c r="E194" i="6"/>
  <c r="E6" i="6"/>
  <c r="E217" i="6"/>
  <c r="E200" i="6"/>
  <c r="E102" i="6"/>
  <c r="E212" i="6"/>
  <c r="E168" i="6"/>
  <c r="E214" i="6"/>
  <c r="E26" i="6"/>
  <c r="E76" i="6"/>
  <c r="E166" i="6"/>
  <c r="E77" i="6"/>
  <c r="E193" i="6"/>
  <c r="E154" i="6"/>
  <c r="E167" i="6"/>
  <c r="E130" i="6"/>
  <c r="E15" i="6"/>
  <c r="E225" i="6"/>
  <c r="E203" i="6"/>
  <c r="E16" i="6"/>
  <c r="E232" i="6"/>
  <c r="E137" i="6"/>
  <c r="E123" i="6"/>
  <c r="E227" i="6"/>
  <c r="E69" i="6"/>
  <c r="E12" i="6"/>
  <c r="E79" i="6"/>
  <c r="E179" i="6"/>
  <c r="E54" i="6"/>
  <c r="E181" i="6"/>
  <c r="E242" i="6"/>
  <c r="E125" i="6"/>
  <c r="E243" i="6"/>
  <c r="E148" i="6"/>
  <c r="E39" i="6"/>
  <c r="E221" i="6"/>
  <c r="E7" i="6"/>
  <c r="E100" i="6"/>
  <c r="E208" i="6"/>
  <c r="E65" i="6"/>
  <c r="E134" i="6"/>
  <c r="E14" i="6"/>
  <c r="E241" i="6"/>
  <c r="E155" i="6"/>
  <c r="E63" i="6"/>
  <c r="E235" i="6"/>
  <c r="E19" i="6"/>
  <c r="E93" i="6"/>
  <c r="E170" i="6"/>
  <c r="E185" i="6"/>
  <c r="E201" i="6"/>
  <c r="E176" i="6"/>
  <c r="E48" i="6"/>
  <c r="E33" i="6"/>
  <c r="E42" i="6"/>
  <c r="E158" i="6"/>
  <c r="E45" i="6"/>
  <c r="E58" i="6"/>
  <c r="E67" i="6"/>
  <c r="E17" i="6"/>
  <c r="E103" i="6"/>
  <c r="E106" i="6"/>
  <c r="E57" i="6"/>
  <c r="E136" i="6"/>
  <c r="E47" i="6"/>
  <c r="E184" i="6"/>
  <c r="E156" i="6"/>
  <c r="E90" i="6"/>
  <c r="E164" i="6"/>
  <c r="E142" i="6"/>
  <c r="E10" i="6"/>
  <c r="E21" i="6"/>
  <c r="E231" i="6"/>
  <c r="E50" i="6"/>
  <c r="E64" i="6"/>
  <c r="E25" i="6"/>
  <c r="E97" i="6"/>
  <c r="E41" i="6"/>
  <c r="E124" i="6"/>
  <c r="E219" i="6"/>
  <c r="E177" i="6"/>
  <c r="E188" i="6"/>
  <c r="E135" i="6"/>
  <c r="E171" i="6"/>
  <c r="E115" i="6"/>
  <c r="E165" i="6"/>
  <c r="E44" i="6"/>
  <c r="E13" i="6"/>
  <c r="E52" i="6"/>
  <c r="E112" i="6"/>
  <c r="E83" i="6"/>
  <c r="E81" i="6"/>
  <c r="E72" i="6"/>
  <c r="E204" i="6"/>
  <c r="E88" i="6"/>
  <c r="E163" i="6"/>
  <c r="E20" i="6"/>
  <c r="E127" i="6"/>
  <c r="E60" i="6"/>
  <c r="E55" i="6"/>
  <c r="E31" i="6"/>
  <c r="E213" i="6"/>
  <c r="E237" i="6"/>
  <c r="E182" i="6"/>
  <c r="E28" i="6"/>
  <c r="E145" i="6"/>
  <c r="E22" i="6"/>
  <c r="E51" i="6"/>
  <c r="E129" i="6"/>
  <c r="E122" i="6"/>
  <c r="E119" i="6"/>
  <c r="E82" i="6"/>
  <c r="E160" i="6"/>
  <c r="E186" i="6"/>
  <c r="E109" i="6"/>
  <c r="E191" i="6"/>
  <c r="E110" i="6"/>
  <c r="E215" i="6"/>
  <c r="E133" i="6"/>
  <c r="E211" i="6"/>
  <c r="E111" i="6"/>
  <c r="E226" i="6"/>
  <c r="E62" i="6"/>
  <c r="E107" i="6"/>
  <c r="E198" i="6"/>
  <c r="E162" i="6"/>
  <c r="E40" i="6"/>
  <c r="E228" i="6"/>
  <c r="E146" i="6"/>
  <c r="E91" i="6"/>
  <c r="E68" i="6"/>
  <c r="E53" i="6"/>
  <c r="E149" i="6"/>
  <c r="E78" i="6"/>
  <c r="E131" i="6"/>
  <c r="E233" i="6"/>
  <c r="E210" i="6"/>
  <c r="E147" i="6"/>
  <c r="E59" i="6"/>
  <c r="E66" i="6"/>
  <c r="E206" i="6"/>
  <c r="E5" i="6"/>
  <c r="E104" i="6"/>
  <c r="E152" i="6"/>
  <c r="E108" i="6"/>
  <c r="E190" i="6"/>
  <c r="E178" i="6"/>
  <c r="E29" i="6"/>
  <c r="E159" i="6"/>
  <c r="E23" i="6"/>
  <c r="E105" i="6"/>
  <c r="E49" i="6"/>
  <c r="E126" i="6"/>
  <c r="E84" i="6"/>
  <c r="E24" i="6"/>
  <c r="E99" i="6"/>
  <c r="E101" i="6"/>
  <c r="E46" i="6"/>
  <c r="E199" i="6"/>
  <c r="E85" i="6"/>
  <c r="E183" i="6"/>
  <c r="E86" i="6"/>
  <c r="E56" i="6"/>
  <c r="E161" i="6"/>
  <c r="E89" i="6"/>
  <c r="E114" i="6"/>
  <c r="E234" i="6"/>
  <c r="E192" i="6"/>
  <c r="E207" i="6"/>
  <c r="E202" i="6"/>
  <c r="E150" i="6"/>
  <c r="E113" i="6"/>
  <c r="E216" i="6"/>
  <c r="E209" i="6"/>
  <c r="E169" i="6"/>
  <c r="E11" i="6"/>
  <c r="E238" i="6"/>
  <c r="E87" i="6"/>
  <c r="E220" i="6"/>
  <c r="E132" i="6"/>
  <c r="E34" i="6"/>
  <c r="E121" i="6"/>
  <c r="E172" i="6"/>
  <c r="E230" i="6"/>
  <c r="E239" i="6"/>
  <c r="E229" i="6"/>
  <c r="E218" i="6"/>
  <c r="E71" i="6"/>
  <c r="E143" i="6"/>
  <c r="E32" i="6"/>
  <c r="E141" i="6"/>
  <c r="E128" i="6"/>
  <c r="E180" i="6"/>
  <c r="E157" i="6"/>
  <c r="E196" i="6"/>
  <c r="E187" i="6"/>
  <c r="E151" i="6"/>
  <c r="E153" i="6"/>
  <c r="E70" i="6"/>
  <c r="E18" i="6"/>
  <c r="E197" i="6"/>
  <c r="E205" i="6"/>
  <c r="E80" i="6"/>
  <c r="E92" i="6"/>
  <c r="E195" i="6"/>
  <c r="E236" i="6"/>
  <c r="E43" i="6"/>
  <c r="E35" i="6"/>
  <c r="E144" i="6"/>
  <c r="E189" i="6"/>
  <c r="E30" i="6"/>
  <c r="E98" i="6"/>
  <c r="E240" i="6"/>
  <c r="F22" i="12"/>
  <c r="E23" i="12"/>
  <c r="CA19" i="9"/>
  <c r="E61" i="26"/>
  <c r="E65" i="26" s="1"/>
  <c r="E67" i="26" s="1"/>
  <c r="E116" i="6" l="1"/>
  <c r="E4" i="10" s="1"/>
  <c r="E7" i="10" s="1"/>
  <c r="E73" i="22"/>
  <c r="C4" i="23" s="1"/>
  <c r="E244" i="22"/>
  <c r="I4" i="23" s="1"/>
  <c r="I7" i="23" s="1"/>
  <c r="E116" i="22"/>
  <c r="E4" i="23" s="1"/>
  <c r="E7" i="23" s="1"/>
  <c r="E222" i="22"/>
  <c r="H4" i="23" s="1"/>
  <c r="H7" i="23" s="1"/>
  <c r="E138" i="22"/>
  <c r="F4" i="23" s="1"/>
  <c r="F120" i="22"/>
  <c r="F138" i="22" s="1"/>
  <c r="F5" i="23" s="1"/>
  <c r="F61" i="22"/>
  <c r="F73" i="22" s="1"/>
  <c r="C5" i="23" s="1"/>
  <c r="F27" i="22"/>
  <c r="F9" i="22"/>
  <c r="F8" i="22"/>
  <c r="E94" i="22"/>
  <c r="D4" i="23" s="1"/>
  <c r="D7" i="23" s="1"/>
  <c r="E173" i="22"/>
  <c r="G4" i="23" s="1"/>
  <c r="G7" i="23" s="1"/>
  <c r="E36" i="22"/>
  <c r="E173" i="6"/>
  <c r="G4" i="10" s="1"/>
  <c r="G7" i="10" s="1"/>
  <c r="F24" i="12"/>
  <c r="E73" i="6"/>
  <c r="C4" i="10" s="1"/>
  <c r="G16" i="12"/>
  <c r="L16" i="12" s="1"/>
  <c r="C23" i="12"/>
  <c r="F23" i="12" s="1"/>
  <c r="E138" i="6"/>
  <c r="F4" i="10" s="1"/>
  <c r="E94" i="6"/>
  <c r="D4" i="10" s="1"/>
  <c r="D7" i="10" s="1"/>
  <c r="E222" i="6"/>
  <c r="H4" i="10" s="1"/>
  <c r="H7" i="10" s="1"/>
  <c r="E36" i="6"/>
  <c r="E244" i="6"/>
  <c r="I4" i="10" s="1"/>
  <c r="I7" i="10" s="1"/>
  <c r="F8" i="6"/>
  <c r="F9" i="6"/>
  <c r="F27" i="6"/>
  <c r="F61" i="6"/>
  <c r="F73" i="6" s="1"/>
  <c r="C5" i="10" s="1"/>
  <c r="F120" i="6"/>
  <c r="F138" i="6" s="1"/>
  <c r="F5" i="10" s="1"/>
  <c r="E68" i="26"/>
  <c r="F7" i="23" l="1"/>
  <c r="F36" i="22"/>
  <c r="B5" i="23"/>
  <c r="F246" i="22"/>
  <c r="J5" i="23" s="1"/>
  <c r="B4" i="23"/>
  <c r="E246" i="22"/>
  <c r="J4" i="23" s="1"/>
  <c r="C7" i="23"/>
  <c r="F36" i="6"/>
  <c r="F246" i="6" s="1"/>
  <c r="J5" i="10" s="1"/>
  <c r="F7" i="10"/>
  <c r="E246" i="6"/>
  <c r="J4" i="10" s="1"/>
  <c r="B4" i="10"/>
  <c r="C7" i="10"/>
  <c r="J7" i="23" l="1"/>
  <c r="J7" i="10"/>
  <c r="B5" i="10"/>
  <c r="L4" i="23"/>
  <c r="M4" i="23"/>
  <c r="K4" i="23"/>
  <c r="B7" i="23"/>
  <c r="L5" i="23"/>
  <c r="M5" i="23"/>
  <c r="K5" i="23"/>
  <c r="K4" i="10"/>
  <c r="B7" i="10"/>
  <c r="M4" i="10"/>
  <c r="L4" i="10"/>
  <c r="M5" i="10"/>
  <c r="L5" i="10"/>
  <c r="K5" i="10"/>
  <c r="M7" i="23" l="1"/>
  <c r="K7" i="23"/>
  <c r="L7" i="23"/>
  <c r="M7" i="10"/>
  <c r="B6" i="7" s="1"/>
  <c r="K7" i="10"/>
  <c r="K8" i="10" s="1"/>
  <c r="L7" i="10"/>
  <c r="B4" i="7"/>
  <c r="M8" i="10" l="1"/>
  <c r="C6" i="7" s="1"/>
  <c r="B5" i="24"/>
  <c r="L8" i="23"/>
  <c r="K8" i="23"/>
  <c r="B4" i="24"/>
  <c r="B6" i="24"/>
  <c r="M8" i="23"/>
  <c r="C4" i="24"/>
  <c r="C4" i="7"/>
  <c r="H6" i="7"/>
  <c r="G14" i="7"/>
  <c r="B14" i="7"/>
  <c r="D14" i="7" s="1"/>
  <c r="P6" i="7"/>
  <c r="L6" i="7"/>
  <c r="H4" i="7"/>
  <c r="P4" i="7"/>
  <c r="L4" i="7"/>
  <c r="G12" i="7"/>
  <c r="B12" i="7"/>
  <c r="D12" i="7" s="1"/>
  <c r="B5" i="7"/>
  <c r="L8" i="10"/>
  <c r="C6" i="24" l="1"/>
  <c r="G14" i="24"/>
  <c r="H6" i="24"/>
  <c r="P6" i="24"/>
  <c r="B14" i="24"/>
  <c r="D14" i="24" s="1"/>
  <c r="L6" i="24"/>
  <c r="J8" i="23"/>
  <c r="P4" i="24"/>
  <c r="L4" i="24"/>
  <c r="G12" i="24"/>
  <c r="B12" i="24"/>
  <c r="D12" i="24" s="1"/>
  <c r="H4" i="24"/>
  <c r="B7" i="24"/>
  <c r="L5" i="24"/>
  <c r="G13" i="24"/>
  <c r="B13" i="24"/>
  <c r="D13" i="24" s="1"/>
  <c r="H5" i="24"/>
  <c r="P5" i="24"/>
  <c r="C5" i="24"/>
  <c r="C5" i="7"/>
  <c r="P5" i="7"/>
  <c r="P7" i="7" s="1"/>
  <c r="B13" i="7"/>
  <c r="D13" i="7" s="1"/>
  <c r="L5" i="7"/>
  <c r="H5" i="7"/>
  <c r="G13" i="7"/>
  <c r="J8" i="10"/>
  <c r="B7" i="7"/>
  <c r="H7" i="24" l="1"/>
  <c r="L7" i="24"/>
  <c r="G11" i="24"/>
  <c r="B11" i="24"/>
  <c r="D11" i="24" s="1"/>
  <c r="P7" i="24"/>
  <c r="H7" i="7"/>
  <c r="B11" i="7"/>
  <c r="D11" i="7" s="1"/>
  <c r="G11" i="7"/>
  <c r="L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tc={850EC09C-22E1-4736-940F-E36DBDC3093A}</author>
  </authors>
  <commentList>
    <comment ref="H30" authorId="0" shapeId="0" xr:uid="{850EC09C-22E1-4736-940F-E36DBDC3093A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176,559 in '22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tc={0D5A7374-F15A-47AB-9DEF-79034E10D06E}</author>
  </authors>
  <commentList>
    <comment ref="C197" authorId="0" shapeId="0" xr:uid="{0D5A7374-F15A-47AB-9DEF-79034E10D06E}">
      <text>
        <t>[Threaded comment]
Your version of Excel allows you to read this threaded comment; however, any edits to it will get removed if the file is opened in a newer version of Excel. Learn more: https://go.microsoft.com/fwlink/?linkid=870924
Comment:
    No line item name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tc={769CF2C0-E24E-4DF9-89ED-10C5689800E2}</author>
  </authors>
  <commentList>
    <comment ref="F1" authorId="0" shapeId="0" xr:uid="{769CF2C0-E24E-4DF9-89ED-10C5689800E2}">
      <text>
        <t>[Threaded comment]
Your version of Excel allows you to read this threaded comment; however, any edits to it will get removed if the file is opened in a newer version of Excel. Learn more: https://go.microsoft.com/fwlink/?linkid=870924
Comment:
    Source: Statistics by Metering Location, monthly sales data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tc={E5E6762A-EB71-45CB-A06A-4CEA473946A1}</author>
  </authors>
  <commentList>
    <comment ref="B197" authorId="0" shapeId="0" xr:uid="{E5E6762A-EB71-45CB-A06A-4CEA473946A1}">
      <text>
        <t>[Threaded comment]
Your version of Excel allows you to read this threaded comment; however, any edits to it will get removed if the file is opened in a newer version of Excel. Learn more: https://go.microsoft.com/fwlink/?linkid=870924
Comment:
    No line item name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tc={D6B1504F-5446-49A0-841A-3DEF6B8382C2}</author>
  </authors>
  <commentList>
    <comment ref="C8" authorId="0" shapeId="0" xr:uid="{D6B1504F-5446-49A0-841A-3DEF6B8382C2}">
      <text>
        <t>[Threaded comment]
Your version of Excel allows you to read this threaded comment; however, any edits to it will get removed if the file is opened in a newer version of Excel. Learn more: https://go.microsoft.com/fwlink/?linkid=870924
Comment:
    When would the plant open &amp; begin using water?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tc={00C4CC70-2F7D-4731-9175-0032E8E59807}</author>
  </authors>
  <commentList>
    <comment ref="F1" authorId="0" shapeId="0" xr:uid="{00C4CC70-2F7D-4731-9175-0032E8E59807}">
      <text>
        <t>[Threaded comment]
Your version of Excel allows you to read this threaded comment; however, any edits to it will get removed if the file is opened in a newer version of Excel. Learn more: https://go.microsoft.com/fwlink/?linkid=870924
Comment:
    Source: Statistics by Metering Location, monthly sales data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tc={459B7782-D60D-4F35-A5C1-40D5D113AC07}</author>
  </authors>
  <commentList>
    <comment ref="M2" authorId="0" shapeId="0" xr:uid="{459B7782-D60D-4F35-A5C1-40D5D113AC07}">
      <text>
        <t>[Threaded comment]
Your version of Excel allows you to read this threaded comment; however, any edits to it will get removed if the file is opened in a newer version of Excel. Learn more: https://go.microsoft.com/fwlink/?linkid=870924
Comment:
    Flow Adjustments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tc={DA8199A0-223B-46A1-94E7-9C88D15E2064}</author>
    <author>tc={D9886142-E7E2-47A9-BDE0-9E7765951E0A}</author>
    <author>tc={5497DBB2-AA9C-484E-9076-C42EC94C6777}</author>
    <author>tc={931CBA28-A6BF-405B-8B31-E60C8B0DF659}</author>
    <author>tc={BD40BFF0-9418-4BF5-BD81-81884140B31E}</author>
    <author>tc={631D2989-A69C-4E7F-BDEB-991447A1603D}</author>
    <author>tc={640D5BC1-8088-43D9-A13A-9F2CEAD3E96B}</author>
    <author>tc={0B52F8CC-B28C-4AEE-B530-A2BAA0AE2D82}</author>
    <author>tc={D7FB0802-5F0A-4E36-83AB-84DC8A25BF1D}</author>
    <author>tc={9638CA81-F5AA-44A8-A55A-64B9C298CA2A}</author>
    <author>tc={0C9C38A8-BA04-41A3-9B9E-6ADE01961389}</author>
    <author>tc={689F7184-D21A-4C44-A99E-0A20696F975C}</author>
    <author>tc={EB93696C-EAC6-4CB2-B54E-3B2C5E3060AC}</author>
    <author>tc={8BFA828A-D439-4121-B7F0-7492CA2FCC0A}</author>
    <author>tc={4BAB86F3-F28E-4495-A1E4-49ABBE2A2881}</author>
    <author>tc={5DD4E52B-AAEB-46E0-AF30-3134ED0DF2C4}</author>
    <author>tc={B1A802C9-4D1B-4456-A6A6-AD3986F3537E}</author>
    <author>tc={CC371A1E-E556-4AFA-A01E-34BF5CDB8B21}</author>
  </authors>
  <commentList>
    <comment ref="C15" authorId="0" shapeId="0" xr:uid="{DA8199A0-223B-46A1-94E7-9C88D15E2064}">
      <text>
        <t>[Threaded comment]
Your version of Excel allows you to read this threaded comment; however, any edits to it will get removed if the file is opened in a newer version of Excel. Learn more: https://go.microsoft.com/fwlink/?linkid=870924
Comment:
    3.241% COLA</t>
      </text>
    </comment>
    <comment ref="C16" authorId="1" shapeId="0" xr:uid="{D9886142-E7E2-47A9-BDE0-9E7765951E0A}">
      <text>
        <t>[Threaded comment]
Your version of Excel allows you to read this threaded comment; however, any edits to it will get removed if the file is opened in a newer version of Excel. Learn more: https://go.microsoft.com/fwlink/?linkid=870924
Comment:
    2% Merit Increase</t>
      </text>
    </comment>
    <comment ref="C21" authorId="2" shapeId="0" xr:uid="{5497DBB2-AA9C-484E-9076-C42EC94C6777}">
      <text>
        <t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New Employees &amp; CSR Wages tabs</t>
      </text>
    </comment>
    <comment ref="C22" authorId="3" shapeId="0" xr:uid="{931CBA28-A6BF-405B-8B31-E60C8B0DF659}">
      <text>
        <t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New Employees &amp; CSR Wages tabs</t>
      </text>
    </comment>
    <comment ref="C23" authorId="4" shapeId="0" xr:uid="{BD40BFF0-9418-4BF5-BD81-81884140B31E}">
      <text>
        <t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New Employees &amp; CSR Wages tabs</t>
      </text>
    </comment>
    <comment ref="C24" authorId="5" shapeId="0" xr:uid="{631D2989-A69C-4E7F-BDEB-991447A1603D}">
      <text>
        <t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New Employees &amp; CSR Wages tabs</t>
      </text>
    </comment>
    <comment ref="C25" authorId="6" shapeId="0" xr:uid="{640D5BC1-8088-43D9-A13A-9F2CEAD3E96B}">
      <text>
        <t>[Threaded comment]
Your version of Excel allows you to read this threaded comment; however, any edits to it will get removed if the file is opened in a newer version of Excel. Learn more: https://go.microsoft.com/fwlink/?linkid=870924
Comment:
    3.241% COLA</t>
      </text>
    </comment>
    <comment ref="C26" authorId="7" shapeId="0" xr:uid="{0B52F8CC-B28C-4AEE-B530-A2BAA0AE2D82}">
      <text>
        <t>[Threaded comment]
Your version of Excel allows you to read this threaded comment; however, any edits to it will get removed if the file is opened in a newer version of Excel. Learn more: https://go.microsoft.com/fwlink/?linkid=870924
Comment:
    2% Merit Increase</t>
      </text>
    </comment>
    <comment ref="C44" authorId="8" shapeId="0" xr:uid="{D7FB0802-5F0A-4E36-83AB-84DC8A25BF1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Developments-S
</t>
      </text>
    </comment>
    <comment ref="C45" authorId="9" shapeId="0" xr:uid="{9638CA81-F5AA-44A8-A55A-64B9C298CA2A}">
      <text>
        <t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Developments-S</t>
      </text>
    </comment>
    <comment ref="C46" authorId="10" shapeId="0" xr:uid="{0C9C38A8-BA04-41A3-9B9E-6ADE01961389}">
      <text>
        <t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Transpark 2 upgrade</t>
      </text>
    </comment>
    <comment ref="C47" authorId="11" shapeId="0" xr:uid="{689F7184-D21A-4C44-A99E-0A20696F975C}">
      <text>
        <t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Transpark 2 Upgrade</t>
      </text>
    </comment>
    <comment ref="C48" authorId="12" shapeId="0" xr:uid="{EB93696C-EAC6-4CB2-B54E-3B2C5E3060A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Transpark 2 Tank
</t>
      </text>
    </comment>
    <comment ref="C49" authorId="13" shapeId="0" xr:uid="{8BFA828A-D439-4121-B7F0-7492CA2FCC0A}">
      <text>
        <t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SCADA Upgrade</t>
      </text>
    </comment>
    <comment ref="C50" authorId="14" shapeId="0" xr:uid="{4BAB86F3-F28E-4495-A1E4-49ABBE2A2881}">
      <text>
        <t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CIS Infinity Upgrade</t>
      </text>
    </comment>
    <comment ref="C51" authorId="15" shapeId="0" xr:uid="{5DD4E52B-AAEB-46E0-AF30-3134ED0DF2C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WC Known and Measurables.xlsx 
MCO Program
</t>
      </text>
    </comment>
    <comment ref="C52" authorId="16" shapeId="0" xr:uid="{B1A802C9-4D1B-4456-A6A6-AD3986F3537E}">
      <text>
        <t>[Threaded comment]
Your version of Excel allows you to read this threaded comment; however, any edits to it will get removed if the file is opened in a newer version of Excel. Learn more: https://go.microsoft.com/fwlink/?linkid=870924
Comment:
    Cola and merit increase of Commissioner SS &amp; Medicare ($120) (See Expenses tab of WCWD COS Study- Water.xlsx)
Payroll Taxes- WC Known and Measurables.xlsx  
New Employees
CSR Wages</t>
      </text>
    </comment>
    <comment ref="E58" authorId="17" shapeId="0" xr:uid="{CC371A1E-E556-4AFA-A01E-34BF5CDB8B21}">
      <text>
        <t>[Threaded comment]
Your version of Excel allows you to read this threaded comment; however, any edits to it will get removed if the file is opened in a newer version of Excel. Learn more: https://go.microsoft.com/fwlink/?linkid=870924
Comment:
    Principal- $696,263 (DSC Included)
Principal DSC- $101,223
Interest- $334,993 (DSC Included)
Interest DSC- $33,279 
Total DSC- $134,502</t>
      </text>
    </comment>
  </commentList>
</comments>
</file>

<file path=xl/sharedStrings.xml><?xml version="1.0" encoding="utf-8"?>
<sst xmlns="http://schemas.openxmlformats.org/spreadsheetml/2006/main" count="2301" uniqueCount="854">
  <si>
    <t xml:space="preserve"> Allocated Test Year</t>
  </si>
  <si>
    <t>Allocation Percent</t>
  </si>
  <si>
    <t xml:space="preserve"> Test Year</t>
  </si>
  <si>
    <t>Test Year w/ Defined Adjustments</t>
  </si>
  <si>
    <t>Comments</t>
  </si>
  <si>
    <t>Item</t>
  </si>
  <si>
    <t>Sewer</t>
  </si>
  <si>
    <t>Water</t>
  </si>
  <si>
    <t>Combined</t>
  </si>
  <si>
    <t>Operating Expenses</t>
  </si>
  <si>
    <t>Salaries and Wages</t>
  </si>
  <si>
    <t>Commissioner Fees</t>
  </si>
  <si>
    <t>Employee Overhead</t>
  </si>
  <si>
    <t>Purchased Water</t>
  </si>
  <si>
    <t>Sewage Disposal</t>
  </si>
  <si>
    <t>Purchased Power</t>
  </si>
  <si>
    <t xml:space="preserve">Chemicals </t>
  </si>
  <si>
    <t>Materials &amp; Supplies</t>
  </si>
  <si>
    <t>Contractual Servs- Engineering</t>
  </si>
  <si>
    <t xml:space="preserve">Contractual Servs- Accounting </t>
  </si>
  <si>
    <t>Contractual Servs- Legal</t>
  </si>
  <si>
    <t>Contractual Servs- Other</t>
  </si>
  <si>
    <t xml:space="preserve">Rental of Building &amp; Utilities </t>
  </si>
  <si>
    <t>Equipment Expense</t>
  </si>
  <si>
    <t>Insurance- General Liability</t>
  </si>
  <si>
    <t>Insurance- Other</t>
  </si>
  <si>
    <t>Regulatory Expense</t>
  </si>
  <si>
    <t>Bad Debt Expense</t>
  </si>
  <si>
    <t>Miscellaneous Expense</t>
  </si>
  <si>
    <t>Sub-Total</t>
  </si>
  <si>
    <t>Other Expenses</t>
  </si>
  <si>
    <t>Depreciation</t>
  </si>
  <si>
    <t>Misc Non-Operating Income</t>
  </si>
  <si>
    <t>Unrealized (Gain) \ Loss</t>
  </si>
  <si>
    <t>Interest Expense</t>
  </si>
  <si>
    <t>Debt Expense</t>
  </si>
  <si>
    <t>OPEB Expense</t>
  </si>
  <si>
    <t>Total</t>
  </si>
  <si>
    <t>Water &amp; Sewer System Revenue Allocation Summary</t>
  </si>
  <si>
    <t>Allocated Test Year</t>
  </si>
  <si>
    <t>Metered Revenue</t>
  </si>
  <si>
    <t>Fortefied Discounts</t>
  </si>
  <si>
    <t>Misc Service Revenue</t>
  </si>
  <si>
    <t>Other Water Revenue</t>
  </si>
  <si>
    <t>Interest Income</t>
  </si>
  <si>
    <t>Rental Income</t>
  </si>
  <si>
    <t>Non-Utility Income - Recycling</t>
  </si>
  <si>
    <t>Non-Utility Income - Storm Water</t>
  </si>
  <si>
    <t>Disposition Gain \ (Losses)</t>
  </si>
  <si>
    <t>Water &amp; Sewer System Revenue Allocation</t>
  </si>
  <si>
    <t>Code</t>
  </si>
  <si>
    <t xml:space="preserve"> Metered Revenue</t>
  </si>
  <si>
    <t>460-0000-3</t>
  </si>
  <si>
    <t>460-0000-2</t>
  </si>
  <si>
    <t>Unmetered Revenue-Check Valves</t>
  </si>
  <si>
    <t>461-0001-3</t>
  </si>
  <si>
    <t>461-0001-2</t>
  </si>
  <si>
    <t>Metered Revenue-Residential</t>
  </si>
  <si>
    <t>461-0002-3</t>
  </si>
  <si>
    <t>461-0002-2</t>
  </si>
  <si>
    <t>Metered Revenue-Commercial</t>
  </si>
  <si>
    <t>461-0003-3</t>
  </si>
  <si>
    <t>461-0003-2</t>
  </si>
  <si>
    <t>Metered Revenue-Industrial</t>
  </si>
  <si>
    <t>461-0004-3</t>
  </si>
  <si>
    <t>461-0004-2</t>
  </si>
  <si>
    <t>Metered Revenue-City/County/State/Fed</t>
  </si>
  <si>
    <t>461-0005-3</t>
  </si>
  <si>
    <t>461-0005-2</t>
  </si>
  <si>
    <t>Metered Revenue-Mult Family</t>
  </si>
  <si>
    <t>461-0006-3</t>
  </si>
  <si>
    <t>461-0006-2</t>
  </si>
  <si>
    <t>Metered Revenue-Bulk Loading</t>
  </si>
  <si>
    <t>461-0033-3</t>
  </si>
  <si>
    <t>461-0033-2</t>
  </si>
  <si>
    <t>Metered Revenue-Agricultural</t>
  </si>
  <si>
    <t>461-0101-3</t>
  </si>
  <si>
    <t>461-0101-2</t>
  </si>
  <si>
    <t>Unbilled Revenue-Residential</t>
  </si>
  <si>
    <t>461-0102-3</t>
  </si>
  <si>
    <t>461-0102-2</t>
  </si>
  <si>
    <t>Unbilled Revenue-Commercial &amp; Industrial</t>
  </si>
  <si>
    <t>461-0000-3</t>
  </si>
  <si>
    <t>461-0000-2</t>
  </si>
  <si>
    <t>Metered Revenue-Fire Protect</t>
  </si>
  <si>
    <t>Metered Revenue-Irrigation</t>
  </si>
  <si>
    <t>Metered Revenue-Leak Adjusts</t>
  </si>
  <si>
    <t>419-0000-3</t>
  </si>
  <si>
    <t>419-0000-2</t>
  </si>
  <si>
    <t>Interest Income-Sinking/Misc</t>
  </si>
  <si>
    <t>419-0002-3</t>
  </si>
  <si>
    <t>419-0003-2</t>
  </si>
  <si>
    <t>Interest Income-Depreciation Reserve</t>
  </si>
  <si>
    <t>-</t>
  </si>
  <si>
    <t>419-0004-2</t>
  </si>
  <si>
    <t>Interest Income-DSR (SC Bank)</t>
  </si>
  <si>
    <t>419-0008-2</t>
  </si>
  <si>
    <t>419-0001-3</t>
  </si>
  <si>
    <t>419-0009-2</t>
  </si>
  <si>
    <t>Interest Income-Customer Deposits</t>
  </si>
  <si>
    <t>419-0001-2</t>
  </si>
  <si>
    <t>Interest Income-Depreciation Reserve Fund</t>
  </si>
  <si>
    <t>Unclassified</t>
  </si>
  <si>
    <t>470-000-3</t>
  </si>
  <si>
    <t>470-0000-2</t>
  </si>
  <si>
    <t>Fortified Discounts</t>
  </si>
  <si>
    <t>471-0000-3</t>
  </si>
  <si>
    <t>471-0000-2</t>
  </si>
  <si>
    <t>474-0000-3</t>
  </si>
  <si>
    <t>474-0000-2</t>
  </si>
  <si>
    <t>474-0001-3</t>
  </si>
  <si>
    <t>474-0001-2</t>
  </si>
  <si>
    <t>Other Water Revenue-Meter Reading</t>
  </si>
  <si>
    <t>472-0000-3</t>
  </si>
  <si>
    <t>472-0000-2</t>
  </si>
  <si>
    <t>Rental Revenue-District Property</t>
  </si>
  <si>
    <t>421-0000-2</t>
  </si>
  <si>
    <t>Non-Utility Income-Southern Recycling</t>
  </si>
  <si>
    <t>421-0002-2</t>
  </si>
  <si>
    <t>Non-Utility Income-Storm Water Agency</t>
  </si>
  <si>
    <t>414-0000-3</t>
  </si>
  <si>
    <t>414-0000-2</t>
  </si>
  <si>
    <t>Disposition - Gains / (Losses)</t>
  </si>
  <si>
    <t>Notes</t>
  </si>
  <si>
    <t>Data from 2023 Financials - Water Division Revenue &amp; Expenses FINAL.pdf</t>
  </si>
  <si>
    <t>Data from 2023 Financials - Sewer Division Revenue &amp; Expenses FINAL.pdf</t>
  </si>
  <si>
    <t>Water &amp; Sewer System Expense Allocation</t>
  </si>
  <si>
    <t>Test Year</t>
  </si>
  <si>
    <t>#</t>
  </si>
  <si>
    <t>Source</t>
  </si>
  <si>
    <t>601-1001-3</t>
  </si>
  <si>
    <t>601-1001-2</t>
  </si>
  <si>
    <t>Wages- Source (Oper)</t>
  </si>
  <si>
    <t>COLA 3.241% + 2% Merit increase</t>
  </si>
  <si>
    <t>601-2002-3</t>
  </si>
  <si>
    <t>601-2002-2</t>
  </si>
  <si>
    <t>Wages- Source (Maint)</t>
  </si>
  <si>
    <t>604-1001-3</t>
  </si>
  <si>
    <t>604-1001-2</t>
  </si>
  <si>
    <t>Employee Overhead- Source (Oper)</t>
  </si>
  <si>
    <t>615-5001-3</t>
  </si>
  <si>
    <t>615-5001-2</t>
  </si>
  <si>
    <t>Purchased Power- Source</t>
  </si>
  <si>
    <t>615-1021-2</t>
  </si>
  <si>
    <t>Purchased Power- Source (ENERNOC)</t>
  </si>
  <si>
    <t>620-1001-3</t>
  </si>
  <si>
    <t>620-1001-2</t>
  </si>
  <si>
    <t>Materials &amp; Supplies- Source (Oper)</t>
  </si>
  <si>
    <t>620-2002-3</t>
  </si>
  <si>
    <t>620-2002-2</t>
  </si>
  <si>
    <t>Materials &amp; Supplies- Source (Maint)</t>
  </si>
  <si>
    <t>631-1001-3</t>
  </si>
  <si>
    <t>631-1001-2</t>
  </si>
  <si>
    <t>Contract Engineering- Source (Oper)</t>
  </si>
  <si>
    <t>632-1001-3</t>
  </si>
  <si>
    <t>632-1001-2</t>
  </si>
  <si>
    <t>Contract Accounting- Source (Oper)</t>
  </si>
  <si>
    <t>632-2002-3</t>
  </si>
  <si>
    <t>632-2002-2</t>
  </si>
  <si>
    <t>Contract Accounting- Source (Maint)</t>
  </si>
  <si>
    <t>633-1001-3</t>
  </si>
  <si>
    <t>633-1001-2</t>
  </si>
  <si>
    <t>Contract Legal- Source (Oper)</t>
  </si>
  <si>
    <t>633-2002-3</t>
  </si>
  <si>
    <t>633-2002-2</t>
  </si>
  <si>
    <t>Contract Legal- Source (Maint)</t>
  </si>
  <si>
    <t>635-1001-3</t>
  </si>
  <si>
    <t>635-1001-2</t>
  </si>
  <si>
    <t>Contract Other- Source (Oper)</t>
  </si>
  <si>
    <t>635-1021-3</t>
  </si>
  <si>
    <t>635-1021-2</t>
  </si>
  <si>
    <t>Contract Other- Source (Alarm)</t>
  </si>
  <si>
    <t>635-2002-3</t>
  </si>
  <si>
    <t>635-2002-2</t>
  </si>
  <si>
    <t>Contract Other- Source (Maint)</t>
  </si>
  <si>
    <t>641-1001-3</t>
  </si>
  <si>
    <t>641-1001-2</t>
  </si>
  <si>
    <t>Rent &amp; Utilities- Source (Oper)</t>
  </si>
  <si>
    <t>650-1001-3</t>
  </si>
  <si>
    <t>650-1001-2</t>
  </si>
  <si>
    <t>Equipment Expense- Source (Oper)</t>
  </si>
  <si>
    <t>650-2002-3</t>
  </si>
  <si>
    <t>650-2002-2</t>
  </si>
  <si>
    <t>Equipment Expense- Source (Maint)</t>
  </si>
  <si>
    <t>657-1001-3</t>
  </si>
  <si>
    <t>657-1001-2</t>
  </si>
  <si>
    <t>Insurance G/L- Source (Oper)</t>
  </si>
  <si>
    <t>659-1001-3</t>
  </si>
  <si>
    <t>659-1001-2</t>
  </si>
  <si>
    <t>Insurance Other- Source (Oper)</t>
  </si>
  <si>
    <t>675-1001-3</t>
  </si>
  <si>
    <t>675-1001-2</t>
  </si>
  <si>
    <t>Misc Expense- Source (Oper)</t>
  </si>
  <si>
    <t>675-2002-3</t>
  </si>
  <si>
    <t>675-2002-2</t>
  </si>
  <si>
    <t>Misc Expense- Source (Maint)</t>
  </si>
  <si>
    <t>610-1001-3</t>
  </si>
  <si>
    <t>610-1001-2</t>
  </si>
  <si>
    <t xml:space="preserve">Purchased Water </t>
  </si>
  <si>
    <t>610-1100-3</t>
  </si>
  <si>
    <t>610-1100-2</t>
  </si>
  <si>
    <t>Purchased Water - Unbilled (BGMU)</t>
  </si>
  <si>
    <t>615-3001-2</t>
  </si>
  <si>
    <t>Purchased Power Water Treat</t>
  </si>
  <si>
    <t>Transmission &amp; Distribution</t>
  </si>
  <si>
    <t>601-5001-3</t>
  </si>
  <si>
    <t>601-5001-2</t>
  </si>
  <si>
    <t>Wages- T&amp;D (Oper)</t>
  </si>
  <si>
    <t>COLA 3.241% + 2% Merit increase, New Employee Salaries</t>
  </si>
  <si>
    <t>601-6002-3</t>
  </si>
  <si>
    <t>601-6002-2</t>
  </si>
  <si>
    <t>Wages- T&amp;D (Maint)</t>
  </si>
  <si>
    <t>Employee Overhead T&amp;D (Oper)</t>
  </si>
  <si>
    <t>Employee Overhead- T&amp;D (Maint)</t>
  </si>
  <si>
    <t>Purchased Power- T&amp;D</t>
  </si>
  <si>
    <t>615-5002-2</t>
  </si>
  <si>
    <t>Purchased Power- T&amp;D (ENERNOC)</t>
  </si>
  <si>
    <t>620-5001-3</t>
  </si>
  <si>
    <t>620-5001-2</t>
  </si>
  <si>
    <t>Materials &amp; Supplies- T&amp;D (Oper)</t>
  </si>
  <si>
    <t>620-6002-3</t>
  </si>
  <si>
    <t>620-6002-2</t>
  </si>
  <si>
    <t>Materials &amp; Supplies- T&amp;D (Maint)</t>
  </si>
  <si>
    <t>632-5001-3</t>
  </si>
  <si>
    <t>632-5001-2</t>
  </si>
  <si>
    <t>Contract Accounting- T&amp;D (Oper)</t>
  </si>
  <si>
    <t>632-6002-3</t>
  </si>
  <si>
    <t>632-6002-2</t>
  </si>
  <si>
    <t>Contract Accounting- T&amp;D (Maint)</t>
  </si>
  <si>
    <t>633-5001-3</t>
  </si>
  <si>
    <t>633-5001-2</t>
  </si>
  <si>
    <t>Contract Legal- T&amp;D (Oper)</t>
  </si>
  <si>
    <t>633-6002-3</t>
  </si>
  <si>
    <t>633-6002-2</t>
  </si>
  <si>
    <t>Contract Legal- T&amp;D (Maint)</t>
  </si>
  <si>
    <t>635-5001-3</t>
  </si>
  <si>
    <t>635-5001-2</t>
  </si>
  <si>
    <t>Contract Other- T&amp;D (Oper)</t>
  </si>
  <si>
    <t>635-6002-3</t>
  </si>
  <si>
    <t>635-6002-2</t>
  </si>
  <si>
    <t>Contract Other- T&amp;D (Maint)</t>
  </si>
  <si>
    <t>641-5001-3</t>
  </si>
  <si>
    <t>641-5001-2</t>
  </si>
  <si>
    <t>Rent &amp; Utilities- T&amp;D (Oper)</t>
  </si>
  <si>
    <t>641-5031-3</t>
  </si>
  <si>
    <t>641-5031-2</t>
  </si>
  <si>
    <t>650-5001-3</t>
  </si>
  <si>
    <t>650-5001-2</t>
  </si>
  <si>
    <t>Equipment Expense- T&amp;D (Oper)</t>
  </si>
  <si>
    <t>650-6002-3</t>
  </si>
  <si>
    <t>650-6002-2</t>
  </si>
  <si>
    <t>Equipment Expense- T&amp;D (Maint)</t>
  </si>
  <si>
    <t>657-5001-3</t>
  </si>
  <si>
    <t>657-5001-2</t>
  </si>
  <si>
    <t>Insurance G/L- T&amp;D (Oper)</t>
  </si>
  <si>
    <t>659-5001-3</t>
  </si>
  <si>
    <t>659-5001-2</t>
  </si>
  <si>
    <t>Insurance Other- T&amp;D (Oper)</t>
  </si>
  <si>
    <t>675-5001-3</t>
  </si>
  <si>
    <t>675-5001-2</t>
  </si>
  <si>
    <t>Misc Expense- T&amp;D (Oper)</t>
  </si>
  <si>
    <t>675-6002-3</t>
  </si>
  <si>
    <t>675-6002-2</t>
  </si>
  <si>
    <t>Misc Expense- T&amp;D (Maint)</t>
  </si>
  <si>
    <t>618-6002-3</t>
  </si>
  <si>
    <t>Chemicals</t>
  </si>
  <si>
    <t>635-4002-3</t>
  </si>
  <si>
    <t>635-4002-2</t>
  </si>
  <si>
    <t xml:space="preserve">Contract Other- Water (Maint) </t>
  </si>
  <si>
    <t>Payroll Taxes- T&amp;D (Oper)</t>
  </si>
  <si>
    <t>COLA 3.241% + 2% Merit increase, New Employees</t>
  </si>
  <si>
    <t>Wages (OH)- T&amp;D (Oper)</t>
  </si>
  <si>
    <t>Worker's Compensation- T&amp;D (Oper)</t>
  </si>
  <si>
    <t>Fringe Benefits- Insurance- T&amp;D (Oper)</t>
  </si>
  <si>
    <t>New Employees</t>
  </si>
  <si>
    <t>Retirement- T&amp;D (Oper)</t>
  </si>
  <si>
    <t>Payroll Taxes- T&amp;D (Maint)</t>
  </si>
  <si>
    <t>Wages (OH)- T&amp;D (Maint)</t>
  </si>
  <si>
    <t>Worker's Compensation- T&amp;D (Maint)</t>
  </si>
  <si>
    <t>Fringe Benefits- Insurance- T&amp;D (Maint)</t>
  </si>
  <si>
    <t>Retirement- T&amp;D (Maint)</t>
  </si>
  <si>
    <t>Customer Accounts</t>
  </si>
  <si>
    <t>601-7001-3</t>
  </si>
  <si>
    <t>601-7001-2</t>
  </si>
  <si>
    <t>Wages</t>
  </si>
  <si>
    <t>604-7001-3</t>
  </si>
  <si>
    <t>604-7001-2</t>
  </si>
  <si>
    <t>620-7001-3</t>
  </si>
  <si>
    <t>620-7001-2</t>
  </si>
  <si>
    <t xml:space="preserve">Materials &amp; Supplies </t>
  </si>
  <si>
    <t>631-7001-3</t>
  </si>
  <si>
    <t>631-7001-2</t>
  </si>
  <si>
    <t xml:space="preserve">Contract Engineering </t>
  </si>
  <si>
    <t>632-7001-3</t>
  </si>
  <si>
    <t>632-7001-2</t>
  </si>
  <si>
    <t>Contract Accounting</t>
  </si>
  <si>
    <t>633-7001-3</t>
  </si>
  <si>
    <t>633-7001-2</t>
  </si>
  <si>
    <t>Contract Legal</t>
  </si>
  <si>
    <t>635-7001-3</t>
  </si>
  <si>
    <t>635-7001-2</t>
  </si>
  <si>
    <t>Contract Other</t>
  </si>
  <si>
    <t>641-7001-3</t>
  </si>
  <si>
    <t>641-7001-2</t>
  </si>
  <si>
    <t xml:space="preserve">Rent &amp; Utilities </t>
  </si>
  <si>
    <t>641-7011-3</t>
  </si>
  <si>
    <t>641-7011-2</t>
  </si>
  <si>
    <t>650-7001-3</t>
  </si>
  <si>
    <t>650-7001-2</t>
  </si>
  <si>
    <t>Equipment Expenses</t>
  </si>
  <si>
    <t>657-7001-3</t>
  </si>
  <si>
    <t>657-7001-2</t>
  </si>
  <si>
    <t>Insurance G/L</t>
  </si>
  <si>
    <t>675-7001-3</t>
  </si>
  <si>
    <t>675-7001-2</t>
  </si>
  <si>
    <t>Misc Expense</t>
  </si>
  <si>
    <t>Payroll Taxes</t>
  </si>
  <si>
    <t>COLA 3.241% + 2% Merit increase, CSR Wages</t>
  </si>
  <si>
    <t>Worker's Compensation</t>
  </si>
  <si>
    <t xml:space="preserve">Fringe Benefits- Insurance </t>
  </si>
  <si>
    <t xml:space="preserve"> CSR Wages</t>
  </si>
  <si>
    <t xml:space="preserve">Retirement </t>
  </si>
  <si>
    <t xml:space="preserve">Admin &amp; General </t>
  </si>
  <si>
    <t>601-8001-3</t>
  </si>
  <si>
    <t>601-8001-2</t>
  </si>
  <si>
    <t xml:space="preserve">COLA 3.241% + 2% Merit increase, New Employees </t>
  </si>
  <si>
    <t>604-8001-3</t>
  </si>
  <si>
    <t>604-8001-2</t>
  </si>
  <si>
    <t>620-8001-3</t>
  </si>
  <si>
    <t>620-8001-2</t>
  </si>
  <si>
    <t>632-8001-3</t>
  </si>
  <si>
    <t>632-8001-2</t>
  </si>
  <si>
    <t>633-8001-3</t>
  </si>
  <si>
    <t>633-8001-2</t>
  </si>
  <si>
    <t>635-8001-3</t>
  </si>
  <si>
    <t>635-8001-2</t>
  </si>
  <si>
    <t>641-8001-3</t>
  </si>
  <si>
    <t>641-8001-2</t>
  </si>
  <si>
    <t>650-8001-3</t>
  </si>
  <si>
    <t>650-8001-2</t>
  </si>
  <si>
    <t>657-8001-3</t>
  </si>
  <si>
    <t>657-8001-2</t>
  </si>
  <si>
    <t>659-8001-3</t>
  </si>
  <si>
    <t>659-8001-2</t>
  </si>
  <si>
    <t xml:space="preserve">Insurance Other </t>
  </si>
  <si>
    <t>675-8001-3</t>
  </si>
  <si>
    <t>675-8001-2</t>
  </si>
  <si>
    <t>Misc Expesne</t>
  </si>
  <si>
    <t>675-8011-3</t>
  </si>
  <si>
    <t>675-8011-2</t>
  </si>
  <si>
    <t>Misc Expense- Commissioner Fee</t>
  </si>
  <si>
    <t>604-8011-3</t>
  </si>
  <si>
    <t>604-8011-2</t>
  </si>
  <si>
    <t>Commissioner SS &amp; Medicare</t>
  </si>
  <si>
    <t>604-8200-3</t>
  </si>
  <si>
    <t>604-8200-2</t>
  </si>
  <si>
    <t>Employee Overhead- Reimbursement Acct</t>
  </si>
  <si>
    <t>615-5011-3</t>
  </si>
  <si>
    <t>615-5011-2</t>
  </si>
  <si>
    <t>Purchased Power- Master Mtrs</t>
  </si>
  <si>
    <t>615-7001-2</t>
  </si>
  <si>
    <t>Purchased Power- Property</t>
  </si>
  <si>
    <t>415-0000-2</t>
  </si>
  <si>
    <t xml:space="preserve">Reimbursement- Trucks &amp; Equipment </t>
  </si>
  <si>
    <t>416-0000-3</t>
  </si>
  <si>
    <t xml:space="preserve">Expense - Trucks &amp; Equipment </t>
  </si>
  <si>
    <t>408-0000-3</t>
  </si>
  <si>
    <t>408-0000-2</t>
  </si>
  <si>
    <t>PSC Assessment</t>
  </si>
  <si>
    <t>670-7001-3</t>
  </si>
  <si>
    <t>670-7001-2</t>
  </si>
  <si>
    <t>670-7010-3</t>
  </si>
  <si>
    <t>675-7021-3</t>
  </si>
  <si>
    <t>675-7021-2</t>
  </si>
  <si>
    <t>Misc Expense- Cash Over/Short (CIS)</t>
  </si>
  <si>
    <t>675-7025-3</t>
  </si>
  <si>
    <t>675-7025-2</t>
  </si>
  <si>
    <t>Misc Expense- Customer FB (CIS)</t>
  </si>
  <si>
    <t>421-0000-3</t>
  </si>
  <si>
    <t>Non-Utility Income</t>
  </si>
  <si>
    <t>421-0001-3</t>
  </si>
  <si>
    <t>421-0001-2</t>
  </si>
  <si>
    <t>Non-Utility Income- Miscellaneous</t>
  </si>
  <si>
    <t>426-0000-3</t>
  </si>
  <si>
    <t>426-0000-2</t>
  </si>
  <si>
    <t>Unrealized (Gain)/Loss on Investments</t>
  </si>
  <si>
    <t>Rate Case Expenses</t>
  </si>
  <si>
    <t>Legal fee, HDR fees, Publication Costs (Distributed over 3 years)</t>
  </si>
  <si>
    <t>Depreciation Expense</t>
  </si>
  <si>
    <t>403-3041-3</t>
  </si>
  <si>
    <t>Improvement (Land)</t>
  </si>
  <si>
    <t>403-3043-3</t>
  </si>
  <si>
    <t>403-3043-2</t>
  </si>
  <si>
    <t>Structures</t>
  </si>
  <si>
    <t xml:space="preserve">Depreciation-Developments </t>
  </si>
  <si>
    <t>403-3044-3</t>
  </si>
  <si>
    <t>Office Building</t>
  </si>
  <si>
    <t>403-3112-3</t>
  </si>
  <si>
    <t>403-3112-2</t>
  </si>
  <si>
    <t>Equip (Elec Plumbing)</t>
  </si>
  <si>
    <t>403-3304-3</t>
  </si>
  <si>
    <t>403-3304-2</t>
  </si>
  <si>
    <t>Standpipes</t>
  </si>
  <si>
    <t>403-3314-3</t>
  </si>
  <si>
    <t>403-3314-2</t>
  </si>
  <si>
    <t>Mains (T&amp;D)</t>
  </si>
  <si>
    <t>Depreciation-Developments, Transpark 2 Upgrade</t>
  </si>
  <si>
    <t>403-3324-3</t>
  </si>
  <si>
    <t>403-3324-2</t>
  </si>
  <si>
    <t>SCADA</t>
  </si>
  <si>
    <t>Depreciation- SCADA Upgrade</t>
  </si>
  <si>
    <t>403-3334-3</t>
  </si>
  <si>
    <t>403-3334-2</t>
  </si>
  <si>
    <t>Meters  (Services)</t>
  </si>
  <si>
    <t>403-3344-3</t>
  </si>
  <si>
    <t>403-3344-2</t>
  </si>
  <si>
    <t>Meters</t>
  </si>
  <si>
    <t>403-3345-3</t>
  </si>
  <si>
    <t>403-3345-2</t>
  </si>
  <si>
    <t>Meters (Installations)</t>
  </si>
  <si>
    <t>MCO</t>
  </si>
  <si>
    <t>403-3354-3</t>
  </si>
  <si>
    <t>403-3354-2</t>
  </si>
  <si>
    <t>Hydrants</t>
  </si>
  <si>
    <t>403-3392-3</t>
  </si>
  <si>
    <t>403-3392-2</t>
  </si>
  <si>
    <t>Equipment (Plumbing)</t>
  </si>
  <si>
    <t>403-3400-3</t>
  </si>
  <si>
    <t>403-3400-2</t>
  </si>
  <si>
    <t>Software</t>
  </si>
  <si>
    <t>Billing Software</t>
  </si>
  <si>
    <t>403-3401-3</t>
  </si>
  <si>
    <t>403-3401-2</t>
  </si>
  <si>
    <t>Hardware</t>
  </si>
  <si>
    <t>403-3402-3</t>
  </si>
  <si>
    <t>403-3402-2</t>
  </si>
  <si>
    <t>Datamatic</t>
  </si>
  <si>
    <t>403-3405-3</t>
  </si>
  <si>
    <t>403-3405-2</t>
  </si>
  <si>
    <t xml:space="preserve">Furniture &amp; Equipment </t>
  </si>
  <si>
    <t>403-3415-3</t>
  </si>
  <si>
    <t>403-3435-2</t>
  </si>
  <si>
    <t>Trucks &amp; Equipment</t>
  </si>
  <si>
    <t>403-3435-3</t>
  </si>
  <si>
    <t>Equipment (Tools)</t>
  </si>
  <si>
    <t>403-3465-3</t>
  </si>
  <si>
    <t>403-3465-2</t>
  </si>
  <si>
    <t>Equip (Communication)</t>
  </si>
  <si>
    <t>403-9000-3</t>
  </si>
  <si>
    <t>403-9000-2</t>
  </si>
  <si>
    <t>Depreciation Expense (Old)</t>
  </si>
  <si>
    <t>403-3044-2</t>
  </si>
  <si>
    <t>Depreciation- Transpark 2 Tank</t>
  </si>
  <si>
    <t>403-3047-2</t>
  </si>
  <si>
    <t>505 Hwy 31 W (Block Bldg)</t>
  </si>
  <si>
    <t>403-3048-2</t>
  </si>
  <si>
    <t>505 Hwy 31 W (Rental Bldg)</t>
  </si>
  <si>
    <t>403-3203-2</t>
  </si>
  <si>
    <t xml:space="preserve">Equipment </t>
  </si>
  <si>
    <t>403-3320-2</t>
  </si>
  <si>
    <t>Unidentified Assets</t>
  </si>
  <si>
    <t>403-3394-2</t>
  </si>
  <si>
    <t>Equipment (T&amp;D)</t>
  </si>
  <si>
    <t>427-3000-3</t>
  </si>
  <si>
    <t>427-3000-2</t>
  </si>
  <si>
    <t>Series 1970, USDA</t>
  </si>
  <si>
    <t>20% Debt Service Coverage</t>
  </si>
  <si>
    <t>427-3001-3</t>
  </si>
  <si>
    <t>427-3001-2</t>
  </si>
  <si>
    <t>Series 1993, USDA</t>
  </si>
  <si>
    <t>427-3002-3</t>
  </si>
  <si>
    <t>427-3002-2</t>
  </si>
  <si>
    <t>Series 1995, USDA</t>
  </si>
  <si>
    <t>427-3003-3</t>
  </si>
  <si>
    <t>KIA Russellville Rd</t>
  </si>
  <si>
    <t>427-3004-3</t>
  </si>
  <si>
    <t>KIA Barren River Rd (A98-02)</t>
  </si>
  <si>
    <t>427-3005-3</t>
  </si>
  <si>
    <t>2019 USDA</t>
  </si>
  <si>
    <t>427-3007-3</t>
  </si>
  <si>
    <t>Series 2003C, KRWFC</t>
  </si>
  <si>
    <t>427-3008-3</t>
  </si>
  <si>
    <t>KIA, Buchanon Park (C11-02)</t>
  </si>
  <si>
    <t>427-3009-3</t>
  </si>
  <si>
    <t>Series 2013B, KRWFC</t>
  </si>
  <si>
    <t>427-3010-3</t>
  </si>
  <si>
    <t>KIA, Alvanton Area Improvement</t>
  </si>
  <si>
    <t>427-3023-3</t>
  </si>
  <si>
    <t>KIA, Plum Springs Rehab</t>
  </si>
  <si>
    <t>427-3025-3</t>
  </si>
  <si>
    <t>Series 2021A, KRWFC</t>
  </si>
  <si>
    <t>427-3040-3</t>
  </si>
  <si>
    <t>Series 2022D, KRWFC</t>
  </si>
  <si>
    <t>427-4005-3</t>
  </si>
  <si>
    <t>Consumer Deposits</t>
  </si>
  <si>
    <t>427-5010-3</t>
  </si>
  <si>
    <t>Other</t>
  </si>
  <si>
    <t>429-1007-3</t>
  </si>
  <si>
    <t>Amortized Debt Expense</t>
  </si>
  <si>
    <t>429-1025-3</t>
  </si>
  <si>
    <t>Am Prem/Disc-KRWFC, Series 2021A</t>
  </si>
  <si>
    <t>427-3003-2</t>
  </si>
  <si>
    <t>Series 2004A, Refunding</t>
  </si>
  <si>
    <t>427-3004-2</t>
  </si>
  <si>
    <t>KIA, So KY Industrial/Hwy 31W</t>
  </si>
  <si>
    <t>427-3005-2</t>
  </si>
  <si>
    <t>KIA, So KY Industrial Park</t>
  </si>
  <si>
    <t>427-3006-2</t>
  </si>
  <si>
    <t xml:space="preserve">Series 2005A, USDA </t>
  </si>
  <si>
    <t>427-3007-2</t>
  </si>
  <si>
    <t>427-3008-2</t>
  </si>
  <si>
    <t>Series 1998, Refunding</t>
  </si>
  <si>
    <t>427-3009-2</t>
  </si>
  <si>
    <t>Series 1998B, Revenue</t>
  </si>
  <si>
    <t>427-3010-2</t>
  </si>
  <si>
    <t>Series 1999 A, USDA</t>
  </si>
  <si>
    <t>427-3011-2</t>
  </si>
  <si>
    <t>KRWFC 2003, KRWFC</t>
  </si>
  <si>
    <t>427-3012-2</t>
  </si>
  <si>
    <t>427-3013-2</t>
  </si>
  <si>
    <t>427-3014-2</t>
  </si>
  <si>
    <t>Series 2016B, KRWFC</t>
  </si>
  <si>
    <t>427-3020-2</t>
  </si>
  <si>
    <t>KIA Morgantown Rd Improvements</t>
  </si>
  <si>
    <t>427-3036-2</t>
  </si>
  <si>
    <t>427-3040-2</t>
  </si>
  <si>
    <t>427-4005-2</t>
  </si>
  <si>
    <t>427-5010-2</t>
  </si>
  <si>
    <t>429-1004-2</t>
  </si>
  <si>
    <t>Amortized Prem/Disc Exp- Rev Bonds, Series 2004A</t>
  </si>
  <si>
    <t>429-1005-2</t>
  </si>
  <si>
    <t>Amortized Prem/Disc Exp- KRWFC, Series 2006A</t>
  </si>
  <si>
    <t>429-1006-2</t>
  </si>
  <si>
    <t>Amortized Prem/Disc Exp- KRWFC, Series 2012B</t>
  </si>
  <si>
    <t>429-1007-2</t>
  </si>
  <si>
    <t>Amortized Prem/Disc Exp- KRWFC, Series 2013B</t>
  </si>
  <si>
    <t>429-1008-2</t>
  </si>
  <si>
    <t>Amortized Prem/Disc Exp- KRWFC, Series 2016B</t>
  </si>
  <si>
    <t>429-1036-2</t>
  </si>
  <si>
    <t>Amortized Prem/Disc Exp- KRWFC, Series 2021A</t>
  </si>
  <si>
    <t>428-0000-3</t>
  </si>
  <si>
    <t>428-0000-2</t>
  </si>
  <si>
    <t>428-1000-2</t>
  </si>
  <si>
    <t>Amortized Debt Gain/Loss KRWFC Series 2016B</t>
  </si>
  <si>
    <t>428-1025-3</t>
  </si>
  <si>
    <t>428-1036-2</t>
  </si>
  <si>
    <t>Amortized Debt Gain/Loss KRWFC Series 2021A</t>
  </si>
  <si>
    <t>428-2000-3</t>
  </si>
  <si>
    <t>428-2000-2</t>
  </si>
  <si>
    <t>Debt Issuance Expense</t>
  </si>
  <si>
    <t>604-8300-3</t>
  </si>
  <si>
    <t>604-8300-2</t>
  </si>
  <si>
    <t xml:space="preserve">Bonds- Series 2020, USDA </t>
  </si>
  <si>
    <t>Loan- KIA, Buchanon Park (C11-02)</t>
  </si>
  <si>
    <t>Loan- Series 2013B, RWFA</t>
  </si>
  <si>
    <t>Loan - KIA, Plum Springs Rehab (B19-006)</t>
  </si>
  <si>
    <t>Loan- Series 2021A, KRWFC</t>
  </si>
  <si>
    <t>Loan- Series 2022D, KRWFC</t>
  </si>
  <si>
    <t>Bond- Series 2005A, USDA (RD)</t>
  </si>
  <si>
    <t>Loan- Series 2013B, KRWFC</t>
  </si>
  <si>
    <t>Loan- Series 2016B, KRWFC</t>
  </si>
  <si>
    <t xml:space="preserve">Loan- Series 2020 KIA </t>
  </si>
  <si>
    <t>Debt principal &amp; interest- WATER LT Debt Schedule.xlsx</t>
  </si>
  <si>
    <t>Debt principal &amp; interest- SEWER LT Debt Schedule.xlsx</t>
  </si>
  <si>
    <t>Employee Overhead Allocation- Employee Overhead Rate- Adjusted.xlsx</t>
  </si>
  <si>
    <t>Sewer Depreciation Adjustments- WC Known Measurables.xlsx- Developments-S, SCADA Upgrade, CIS Infinity Upgrade</t>
  </si>
  <si>
    <t>Water Depreciation Adjustments- WC Known Measurables.xlsx- Developments-W, Transpark 2 Upgrade, Transpark 2 Tank, SCADA Upgrade, CIS Infinity Upgrade, MCO Program</t>
  </si>
  <si>
    <t>Cost of Living Adjustment- See Cost of Living History.xlsx</t>
  </si>
  <si>
    <t>Monthly Sales for Test Year</t>
  </si>
  <si>
    <r>
      <t>Industrial</t>
    </r>
    <r>
      <rPr>
        <b/>
        <vertAlign val="superscript"/>
        <sz val="10"/>
        <color theme="1"/>
        <rFont val="Arial"/>
        <family val="2"/>
      </rPr>
      <t>2</t>
    </r>
  </si>
  <si>
    <r>
      <t>Commercial</t>
    </r>
    <r>
      <rPr>
        <b/>
        <vertAlign val="superscript"/>
        <sz val="10"/>
        <color theme="1"/>
        <rFont val="Arial"/>
        <family val="2"/>
      </rPr>
      <t>2</t>
    </r>
  </si>
  <si>
    <r>
      <t>Residential</t>
    </r>
    <r>
      <rPr>
        <b/>
        <vertAlign val="superscript"/>
        <sz val="10"/>
        <color theme="1"/>
        <rFont val="Arial"/>
        <family val="2"/>
      </rPr>
      <t>2</t>
    </r>
  </si>
  <si>
    <r>
      <t>Total Water Sold</t>
    </r>
    <r>
      <rPr>
        <b/>
        <vertAlign val="superscript"/>
        <sz val="10"/>
        <color theme="1"/>
        <rFont val="Arial"/>
        <family val="2"/>
      </rPr>
      <t>2</t>
    </r>
  </si>
  <si>
    <r>
      <t>Total Water Sold</t>
    </r>
    <r>
      <rPr>
        <b/>
        <vertAlign val="superscript"/>
        <sz val="10"/>
        <color theme="1"/>
        <rFont val="Arial"/>
        <family val="2"/>
      </rPr>
      <t>3</t>
    </r>
  </si>
  <si>
    <t>January '23</t>
  </si>
  <si>
    <t>February '23</t>
  </si>
  <si>
    <t>March '23</t>
  </si>
  <si>
    <t>April '23</t>
  </si>
  <si>
    <t>May '23</t>
  </si>
  <si>
    <t>June '23</t>
  </si>
  <si>
    <t>July '23</t>
  </si>
  <si>
    <t>August '23</t>
  </si>
  <si>
    <t>September '23</t>
  </si>
  <si>
    <t>October '23</t>
  </si>
  <si>
    <t>November '23</t>
  </si>
  <si>
    <t>December '23</t>
  </si>
  <si>
    <t>% of Total</t>
  </si>
  <si>
    <t>Notes: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</si>
  <si>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Measured in gallons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</si>
  <si>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Data from Billing Analysis 2023 - Water.xlsx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</si>
  <si>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Data from 2023 Monthly Sales &amp; Purchased Water</t>
    </r>
  </si>
  <si>
    <t>Monthly Purchased Water for Test Year</t>
  </si>
  <si>
    <r>
      <t>Purchase Total</t>
    </r>
    <r>
      <rPr>
        <b/>
        <vertAlign val="superscript"/>
        <sz val="11"/>
        <rFont val="Arial"/>
        <family val="2"/>
      </rPr>
      <t>1,2</t>
    </r>
  </si>
  <si>
    <t xml:space="preserve">Unaccounted for Water 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</si>
  <si>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Data from 2023 Monthly Sales &amp; Purchased Water</t>
    </r>
  </si>
  <si>
    <t>Days per Month</t>
  </si>
  <si>
    <t>Industrial</t>
  </si>
  <si>
    <t>Commercial</t>
  </si>
  <si>
    <t>Residential</t>
  </si>
  <si>
    <t>IN 5/8</t>
  </si>
  <si>
    <t>IN 1</t>
  </si>
  <si>
    <t>IN 1.5</t>
  </si>
  <si>
    <t>IN 2</t>
  </si>
  <si>
    <t>IN 3</t>
  </si>
  <si>
    <t>IN 4</t>
  </si>
  <si>
    <t>IN 6</t>
  </si>
  <si>
    <t>IN 8</t>
  </si>
  <si>
    <t>IN 10</t>
  </si>
  <si>
    <t>IN 4 In DC FS</t>
  </si>
  <si>
    <t>IN 6 In DC FS</t>
  </si>
  <si>
    <t>IN 8 In DC FS</t>
  </si>
  <si>
    <t>IN 10 In DC FS</t>
  </si>
  <si>
    <t>Industrial Sub-Total</t>
  </si>
  <si>
    <t>AG- 5/8</t>
  </si>
  <si>
    <t>AG- 1</t>
  </si>
  <si>
    <t>AG- 1.5</t>
  </si>
  <si>
    <t>AG 2</t>
  </si>
  <si>
    <t>CH- 5/8</t>
  </si>
  <si>
    <t>CH- 1</t>
  </si>
  <si>
    <t>CH- 2</t>
  </si>
  <si>
    <t>CH- 4</t>
  </si>
  <si>
    <t>CH- 4 In DC FS</t>
  </si>
  <si>
    <t>CO- 5/8</t>
  </si>
  <si>
    <t>CO- 1</t>
  </si>
  <si>
    <t>CO 1.5</t>
  </si>
  <si>
    <t>CO 2</t>
  </si>
  <si>
    <t>CO 3</t>
  </si>
  <si>
    <t>CO 4</t>
  </si>
  <si>
    <t>CO 6</t>
  </si>
  <si>
    <t>CO 8</t>
  </si>
  <si>
    <t>CO 10</t>
  </si>
  <si>
    <t>CO 2 In DC FS</t>
  </si>
  <si>
    <t>CO 3 In DC FS</t>
  </si>
  <si>
    <t>CO 4 In DC FS</t>
  </si>
  <si>
    <t>CO 6 In DC FS</t>
  </si>
  <si>
    <t>CO 8 In DC FS</t>
  </si>
  <si>
    <t>CO 10 In DC FS</t>
  </si>
  <si>
    <t>GO- 5/8</t>
  </si>
  <si>
    <t>GO 1</t>
  </si>
  <si>
    <t>GO- 1.5</t>
  </si>
  <si>
    <t>GO- 2</t>
  </si>
  <si>
    <t>GO 3</t>
  </si>
  <si>
    <t>GO- 4</t>
  </si>
  <si>
    <t>GO- 6</t>
  </si>
  <si>
    <t>GO- 4 In DSFS</t>
  </si>
  <si>
    <t>GO- 6 In DS FS</t>
  </si>
  <si>
    <t>GO- 8 In DS FS</t>
  </si>
  <si>
    <t>MF- 5/8</t>
  </si>
  <si>
    <t>MF- 1</t>
  </si>
  <si>
    <t>MF- 1.5</t>
  </si>
  <si>
    <t>MF 2</t>
  </si>
  <si>
    <t>MF- 3</t>
  </si>
  <si>
    <t>MF- 4</t>
  </si>
  <si>
    <t>MD- 5/8</t>
  </si>
  <si>
    <t>MD- 1</t>
  </si>
  <si>
    <t>MD- 2</t>
  </si>
  <si>
    <t>MD- 3</t>
  </si>
  <si>
    <t>MD- 4</t>
  </si>
  <si>
    <t>Commercial Sub-Total</t>
  </si>
  <si>
    <t>RE- 5/8</t>
  </si>
  <si>
    <t xml:space="preserve">RE 1 </t>
  </si>
  <si>
    <t>RE- 1.5</t>
  </si>
  <si>
    <t>RE- 2</t>
  </si>
  <si>
    <t>RN- 5/8</t>
  </si>
  <si>
    <t>RN- 1</t>
  </si>
  <si>
    <t>RN- 2</t>
  </si>
  <si>
    <t>Residential Sub-Total</t>
  </si>
  <si>
    <t>Maximum Month</t>
  </si>
  <si>
    <t>Maximum Day</t>
  </si>
  <si>
    <t>Maximum Day %</t>
  </si>
  <si>
    <t>Average Day</t>
  </si>
  <si>
    <t xml:space="preserve">Meter </t>
  </si>
  <si>
    <t>2 In DC FS</t>
  </si>
  <si>
    <t>3 In DC FS</t>
  </si>
  <si>
    <t xml:space="preserve"> 4 In DC FS</t>
  </si>
  <si>
    <t xml:space="preserve"> 6 In DC FS</t>
  </si>
  <si>
    <t xml:space="preserve"> 8 In DC FS</t>
  </si>
  <si>
    <t xml:space="preserve"> 10 In DC FS</t>
  </si>
  <si>
    <t>Gallons</t>
  </si>
  <si>
    <t>Average Gallons/ Month</t>
  </si>
  <si>
    <t xml:space="preserve">Notes: </t>
  </si>
  <si>
    <t>Data from Billing Analysis 2023 - Water.xlsx</t>
  </si>
  <si>
    <t>Allocation Methods Test Year</t>
  </si>
  <si>
    <t>GPD</t>
  </si>
  <si>
    <t>GPM</t>
  </si>
  <si>
    <t>Allocation Factors Based on Expense Type for Service Functions</t>
  </si>
  <si>
    <t>Service Function</t>
  </si>
  <si>
    <t>Base</t>
  </si>
  <si>
    <t>Max Day / Extra Capacity</t>
  </si>
  <si>
    <t>Customer Costs</t>
  </si>
  <si>
    <t>Avg Day Only</t>
  </si>
  <si>
    <t>AD</t>
  </si>
  <si>
    <t>Avg Day + Max Day</t>
  </si>
  <si>
    <t>ADM</t>
  </si>
  <si>
    <t>CC</t>
  </si>
  <si>
    <t>Test Year - User Allocations for Service Functions (Distribution)</t>
  </si>
  <si>
    <t>Agriculture</t>
  </si>
  <si>
    <t>Churches &amp; Community Center</t>
  </si>
  <si>
    <t>Government</t>
  </si>
  <si>
    <t>Multi-Family Non Domicile</t>
  </si>
  <si>
    <t>Multi-Family Domicile</t>
  </si>
  <si>
    <t>Residential Non-Domicile</t>
  </si>
  <si>
    <t>Residential Domicile</t>
  </si>
  <si>
    <t>Customer Class</t>
  </si>
  <si>
    <t>Caculated from Billing Analysis 2023 - Water.xlsx</t>
  </si>
  <si>
    <t>Water System Cost of Service by Function for Test Year</t>
  </si>
  <si>
    <t>604-5001-2</t>
  </si>
  <si>
    <t>604-6001-2</t>
  </si>
  <si>
    <t>Data adjusted from WCWD Revenue &amp; Expenses Detail- Sewer</t>
  </si>
  <si>
    <t>Data adjusted from WCWD Revenue &amp; Expenses Detail- Water</t>
  </si>
  <si>
    <t>Admin &amp; General</t>
  </si>
  <si>
    <r>
      <t>Test Year Amount</t>
    </r>
    <r>
      <rPr>
        <b/>
        <vertAlign val="superscript"/>
        <sz val="10"/>
        <rFont val="Arial"/>
        <family val="2"/>
      </rPr>
      <t>1</t>
    </r>
  </si>
  <si>
    <t>Commerical</t>
  </si>
  <si>
    <t>Percent</t>
  </si>
  <si>
    <t>Allocated from WCWD Revenue &amp; Expenses Detail- Water</t>
  </si>
  <si>
    <t>Test Year Financial Summary</t>
  </si>
  <si>
    <t>Cost of Service</t>
  </si>
  <si>
    <t>Water Sales Revenue</t>
  </si>
  <si>
    <t>Other Revenues</t>
  </si>
  <si>
    <t>Total Revenue</t>
  </si>
  <si>
    <t>Surplus / (Deficit)</t>
  </si>
  <si>
    <t>Potential Rate Increase</t>
  </si>
  <si>
    <t>Total revenues w/ Rate Increase</t>
  </si>
  <si>
    <t>Revenue Per Proposed Rate</t>
  </si>
  <si>
    <t>Amount</t>
  </si>
  <si>
    <t>%</t>
  </si>
  <si>
    <t>Approx. Current Rate</t>
  </si>
  <si>
    <t>Proposed Rate</t>
  </si>
  <si>
    <t>Surplus (Deficit)</t>
  </si>
  <si>
    <t>WCWD</t>
  </si>
  <si>
    <t>Test Year Financial Summary (Values Per 1,000 Gallons Sold)</t>
  </si>
  <si>
    <t>Cost of Service per 1,000 gallons sold</t>
  </si>
  <si>
    <t>Water Sales Revenue per 1,000 gallons sold</t>
  </si>
  <si>
    <t>Surplus / (Deficit) per 1,000 gallons sold</t>
  </si>
  <si>
    <t>Approx. Current Bill per 1000 gal</t>
  </si>
  <si>
    <t>Revenue Based on Sales</t>
  </si>
  <si>
    <t>Revenue Based on Sales minus Cost of Service</t>
  </si>
  <si>
    <t>Warren County Water District Approximate Revenue Changes</t>
  </si>
  <si>
    <t>Monthly (Test Year)</t>
  </si>
  <si>
    <t>Monthly (Test Year w/ Defined Adjustments)</t>
  </si>
  <si>
    <t>Total Annual Revenue (Test Year w/ Defined Adjustments)</t>
  </si>
  <si>
    <t>Annual Defined Adjusted Revenue</t>
  </si>
  <si>
    <t>Revenue</t>
  </si>
  <si>
    <t>Rate per 1,000 gals</t>
  </si>
  <si>
    <t>Average Water Bill</t>
  </si>
  <si>
    <t>Industrial Approximate Sales Changes</t>
  </si>
  <si>
    <r>
      <t>Test Year</t>
    </r>
    <r>
      <rPr>
        <b/>
        <vertAlign val="superscript"/>
        <sz val="10"/>
        <rFont val="Arial"/>
        <family val="2"/>
      </rPr>
      <t xml:space="preserve"> 2</t>
    </r>
  </si>
  <si>
    <t>Test Year with Defined Adjustments (gal)</t>
  </si>
  <si>
    <r>
      <t>Defined Adjustment (gal)</t>
    </r>
    <r>
      <rPr>
        <b/>
        <vertAlign val="superscript"/>
        <sz val="10"/>
        <rFont val="Arial"/>
        <family val="2"/>
      </rPr>
      <t xml:space="preserve"> 4</t>
    </r>
  </si>
  <si>
    <t>Average Monthly Usage (gal)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</si>
  <si>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</si>
  <si>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</si>
  <si>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</si>
  <si>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</si>
  <si>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</si>
  <si>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</si>
  <si>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</si>
  <si>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</si>
  <si>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</si>
  <si>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</si>
  <si>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</si>
  <si>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</si>
  <si>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Average Annual Usage</t>
  </si>
  <si>
    <r>
      <t xml:space="preserve">$ / 1000 gallons (rounded) </t>
    </r>
    <r>
      <rPr>
        <b/>
        <vertAlign val="superscript"/>
        <sz val="10"/>
        <rFont val="Arial"/>
        <family val="2"/>
      </rPr>
      <t>3</t>
    </r>
  </si>
  <si>
    <t>Monthly Change</t>
  </si>
  <si>
    <r>
      <t xml:space="preserve">Annual Expense Adjustment </t>
    </r>
    <r>
      <rPr>
        <b/>
        <vertAlign val="superscript"/>
        <sz val="10"/>
        <rFont val="Arial"/>
        <family val="2"/>
      </rPr>
      <t>5</t>
    </r>
  </si>
  <si>
    <t>Source Water</t>
  </si>
  <si>
    <t>Water Distribution</t>
  </si>
  <si>
    <t>Chemical Supplies</t>
  </si>
  <si>
    <t>Total Expenses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</si>
  <si>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Test Year with Defined Adjustments data from Warren County for 2023.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</si>
  <si>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Data from Warren County for FY 23. 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</si>
  <si>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Calculated as utility expense divided by Monthly Modified Water Sales from Appendix 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</si>
  <si>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Calculated as difference in Test Year w/ Defined Adjustments and Test Year.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</si>
  <si>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Calculated as Average Annual Usage multiplied by expense cost per 1000 gallons. </t>
    </r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</si>
  <si>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 xml:space="preserve"> Current BGMU cost per 1000 gallons is ~$2.34 (various by meter location). </t>
    </r>
  </si>
  <si>
    <t>Monthly Sales for Test Year Adjusted</t>
  </si>
  <si>
    <t>Monthly Purchased Water for Test Year Adjusted</t>
  </si>
  <si>
    <t xml:space="preserve">Average </t>
  </si>
  <si>
    <t>Max Day</t>
  </si>
  <si>
    <t>Unaccounted  Water</t>
  </si>
  <si>
    <t xml:space="preserve"> Sub-Total</t>
  </si>
  <si>
    <t>Allocation Methods</t>
  </si>
  <si>
    <t>Test Year Adjusted - User Allocations for Service Functions (Distribution)</t>
  </si>
  <si>
    <t>Caculated from 2023 Monthly Sales &amp; Purchased Water</t>
  </si>
  <si>
    <t>Water System Cost of Service by Function for Test Year Adjusted</t>
  </si>
  <si>
    <t>Test Year Adjusted Financial Summary</t>
  </si>
  <si>
    <t>Test Year Adjusted Financial Summary (Values Per 1,000 Gallons Sold)</t>
  </si>
  <si>
    <t>Operating Revenues</t>
  </si>
  <si>
    <t>Adjustments</t>
  </si>
  <si>
    <t>Ref.</t>
  </si>
  <si>
    <t>Pro Forma</t>
  </si>
  <si>
    <t>Fire Protection</t>
  </si>
  <si>
    <t>Total Sales of Water</t>
  </si>
  <si>
    <t>Other Water Revenues</t>
  </si>
  <si>
    <t>Forfeited Discounts</t>
  </si>
  <si>
    <t>Misc. Service Revenues</t>
  </si>
  <si>
    <t>Total Operating Revenues</t>
  </si>
  <si>
    <t>Salaries and Wages- Employees</t>
  </si>
  <si>
    <t>A</t>
  </si>
  <si>
    <t>COLA</t>
  </si>
  <si>
    <t>Merit</t>
  </si>
  <si>
    <t>New employees</t>
  </si>
  <si>
    <t>Comissioner Fees</t>
  </si>
  <si>
    <t>B</t>
  </si>
  <si>
    <t>Worker's Comp</t>
  </si>
  <si>
    <t>Retirement</t>
  </si>
  <si>
    <t>C</t>
  </si>
  <si>
    <t>Materials and Supplies</t>
  </si>
  <si>
    <t>Contractual Services- Accounting</t>
  </si>
  <si>
    <t>Contractual Services- Legal</t>
  </si>
  <si>
    <t>Contractual Services- Other</t>
  </si>
  <si>
    <t>Rental of Building/Real Prop.</t>
  </si>
  <si>
    <t>Insurance- Gen. Liability</t>
  </si>
  <si>
    <t>Bad Debt</t>
  </si>
  <si>
    <t>Miscellaneous Expenses</t>
  </si>
  <si>
    <t>Misc Non-Utility Income</t>
  </si>
  <si>
    <t>Unrealized (Gain)/Loss on Investment</t>
  </si>
  <si>
    <t>Total Operation and Maint. Expenses</t>
  </si>
  <si>
    <t>Depreciation Expenses</t>
  </si>
  <si>
    <t>D</t>
  </si>
  <si>
    <t>Developments- Hydrants</t>
  </si>
  <si>
    <t>E</t>
  </si>
  <si>
    <t>Developments- Mains</t>
  </si>
  <si>
    <t>Transpark 2- Hydrants</t>
  </si>
  <si>
    <t>F</t>
  </si>
  <si>
    <t>Transpark 2- Mains</t>
  </si>
  <si>
    <t xml:space="preserve">Transpark 2 tank- Structures </t>
  </si>
  <si>
    <t>SCADA Upgrade</t>
  </si>
  <si>
    <t>G</t>
  </si>
  <si>
    <t>CIS Infinity Upgrade</t>
  </si>
  <si>
    <t>H</t>
  </si>
  <si>
    <t>MCO Program</t>
  </si>
  <si>
    <t>I</t>
  </si>
  <si>
    <t xml:space="preserve">Taxes other than Income </t>
  </si>
  <si>
    <t>J</t>
  </si>
  <si>
    <t>Total Operating Expenses</t>
  </si>
  <si>
    <t xml:space="preserve">Net Utility Operating Income </t>
  </si>
  <si>
    <t>Revenue Requirements</t>
  </si>
  <si>
    <t xml:space="preserve">Pro Forma Operating Expenses </t>
  </si>
  <si>
    <t xml:space="preserve">Principal and Interest Payments </t>
  </si>
  <si>
    <t>K</t>
  </si>
  <si>
    <t>Additional working capital (DSC)</t>
  </si>
  <si>
    <t>L</t>
  </si>
  <si>
    <t xml:space="preserve">Rate Case Expense </t>
  </si>
  <si>
    <t>M</t>
  </si>
  <si>
    <t>Total Revenue Requirement</t>
  </si>
  <si>
    <t>Other Operating Revenue</t>
  </si>
  <si>
    <t xml:space="preserve">Interest Income </t>
  </si>
  <si>
    <t>Nonutility Income</t>
  </si>
  <si>
    <t>Revenue Required Fom Water Sales</t>
  </si>
  <si>
    <t>Revenue from Sales at Present Rates</t>
  </si>
  <si>
    <t>Surplus Revenue With Required Adjustments</t>
  </si>
  <si>
    <t>Water &amp; Sewer System Expense Allocation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</si>
</sst>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#,##0"/>
    <numFmt numFmtId="167" formatCode="_(* #,##0_);_(* \(#,##0\);_(* &quot;-&quot;??_);_(@_)"/>
    <numFmt numFmtId="168" formatCode="&quot;$&quot;#,##0.00"/>
    <numFmt numFmtId="169" formatCode="0.000%"/>
  </numFmts>
  <fonts count="54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8"/>
      <name val="Arial"/>
      <family val="2"/>
    </font>
    <font>
      <sz val="10"/>
      <color rgb="FF7030A0"/>
      <name val="Arial"/>
      <family val="2"/>
    </font>
    <font>
      <i/>
      <sz val="10"/>
      <color rgb="FF7030A0"/>
      <name val="Arial"/>
      <family val="2"/>
    </font>
    <font>
      <sz val="11"/>
      <color rgb="FF7030A0"/>
      <name val="Arial"/>
      <family val="2"/>
      <scheme val="minor"/>
    </font>
    <font>
      <i/>
      <sz val="10"/>
      <color theme="9"/>
      <name val="Arial"/>
      <family val="2"/>
    </font>
    <font>
      <sz val="11"/>
      <color theme="9"/>
      <name val="Arial"/>
      <family val="2"/>
      <scheme val="minor"/>
    </font>
    <font>
      <sz val="10"/>
      <color theme="7"/>
      <name val="Arial"/>
      <family val="2"/>
    </font>
    <font>
      <sz val="11"/>
      <color theme="7"/>
      <name val="Arial"/>
      <family val="2"/>
      <scheme val="minor"/>
    </font>
    <font>
      <sz val="8"/>
      <name val="Arial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vertAlign val="superscript"/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i/>
      <sz val="10"/>
      <color theme="4"/>
      <name val="Arial"/>
      <family val="2"/>
    </font>
    <font>
      <b/>
      <vertAlign val="superscript"/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  <scheme val="minor"/>
    </font>
    <font>
      <b/>
      <sz val="10"/>
      <color rgb="FF000000"/>
      <name val="Arial"/>
      <family val="2"/>
    </font>
    <font>
      <sz val="10"/>
      <color theme="1"/>
      <name val="Aral"/>
    </font>
    <font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4298B5"/>
      <name val="Arial"/>
      <family val="2"/>
    </font>
    <font>
      <b/>
      <vertAlign val="superscript"/>
      <sz val="11"/>
      <name val="Arial"/>
      <family val="2"/>
    </font>
    <font>
      <i/>
      <sz val="10"/>
      <color rgb="FF4298B5"/>
      <name val="Arial"/>
      <family val="2"/>
    </font>
    <font>
      <b/>
      <sz val="10"/>
      <color rgb="FF4298B5"/>
      <name val="Arial"/>
      <family val="2"/>
    </font>
    <font>
      <sz val="10"/>
      <color rgb="FFFFC600"/>
      <name val="Arial"/>
      <family val="2"/>
    </font>
    <font>
      <sz val="10"/>
      <color rgb="FF5D3754"/>
      <name val="Arial"/>
      <family val="2"/>
    </font>
    <font>
      <i/>
      <sz val="10"/>
      <color rgb="FF5D3754"/>
      <name val="Arial"/>
      <family val="2"/>
    </font>
    <font>
      <i/>
      <sz val="10"/>
      <color rgb="FF4A7729"/>
      <name val="Arial"/>
      <family val="2"/>
    </font>
    <font>
      <sz val="10"/>
      <color rgb="FF4A7729"/>
      <name val="Arial"/>
      <family val="2"/>
    </font>
    <font>
      <b/>
      <sz val="10"/>
      <color rgb="FFFFFFFF"/>
      <name val="Arial"/>
      <family val="2"/>
    </font>
    <font>
      <b/>
      <sz val="11"/>
      <color theme="1"/>
      <name val="Arial"/>
      <family val="2"/>
    </font>
    <font>
      <b/>
      <sz val="10"/>
      <color rgb="FF4A7729"/>
      <name val="Arial"/>
      <family val="2"/>
    </font>
    <font>
      <sz val="11"/>
      <color rgb="FF4A7729"/>
      <name val="Arial"/>
      <family val="2"/>
      <scheme val="minor"/>
    </font>
    <font>
      <vertAlign val="superscript"/>
      <sz val="10"/>
      <name val="Arial"/>
      <family val="2"/>
    </font>
    <font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vertAlign val="superscript"/>
      <sz val="10"/>
      <color theme="1"/>
      <name val="Arial"/>
      <family val="2"/>
    </font>
    <font>
      <sz val="11"/>
      <name val="Arial"/>
      <family val="2"/>
      <scheme val="minor"/>
    </font>
    <font>
      <i/>
      <sz val="10"/>
      <color theme="9" tint="-0.249977111117893"/>
      <name val="Arial"/>
      <family val="2"/>
    </font>
    <font>
      <sz val="11"/>
      <color theme="0"/>
      <name val="Arial"/>
      <family val="2"/>
      <scheme val="minor"/>
    </font>
    <font>
      <sz val="11"/>
      <color theme="2"/>
      <name val="Arial"/>
      <family val="2"/>
      <scheme val="minor"/>
    </font>
    <font>
      <b/>
      <sz val="10"/>
      <name val="Arial"/>
      <family val="2"/>
      <scheme val="minor"/>
    </font>
    <font>
      <sz val="10"/>
      <color rgb="FFFF0000"/>
      <name val="Arial"/>
      <family val="2"/>
    </font>
    <font>
      <sz val="9"/>
      <color theme="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4298B5"/>
        <bgColor indexed="64"/>
      </patternFill>
    </fill>
    <fill>
      <patternFill patternType="solid">
        <fgColor rgb="FFE87722"/>
        <bgColor indexed="64"/>
      </patternFill>
    </fill>
    <fill>
      <patternFill patternType="solid">
        <fgColor rgb="FFFFC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A772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lightTrellis"/>
    </fill>
    <fill>
      <patternFill patternType="solid">
        <fgColor rgb="FF4298B5"/>
        <bgColor auto="1"/>
      </patternFill>
    </fill>
  </fills>
  <borders count="8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6" fontId="2" fillId="0" borderId="8" applyFont="0" applyBorder="0">
      <alignment horizontal="center"/>
    </xf>
    <xf numFmtId="43" fontId="1" fillId="0" borderId="0" applyFont="0" applyFill="0" applyBorder="0" applyAlignment="0" applyProtection="0"/>
    <xf numFmtId="0" fontId="28" fillId="0" borderId="0" applyNumberFormat="0" applyBorder="0" applyAlignment="0"/>
    <xf numFmtId="0" fontId="29" fillId="0" borderId="0" applyNumberFormat="0" applyBorder="0" applyAlignment="0"/>
  </cellStyleXfs>
  <cellXfs count="1006">
    <xf numFmtId="0" fontId="0" fillId="0" borderId="0" xfId="0"/>
    <xf numFmtId="0" fontId="3" fillId="0" borderId="1" xfId="2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165" fontId="6" fillId="0" borderId="0" xfId="2" applyNumberFormat="1" applyFont="1" applyAlignment="1">
      <alignment horizontal="center"/>
    </xf>
    <xf numFmtId="165" fontId="6" fillId="0" borderId="11" xfId="2" applyNumberFormat="1" applyFont="1" applyBorder="1" applyAlignment="1">
      <alignment horizontal="center"/>
    </xf>
    <xf numFmtId="0" fontId="0" fillId="0" borderId="4" xfId="0" applyBorder="1"/>
    <xf numFmtId="0" fontId="3" fillId="0" borderId="15" xfId="2" applyFont="1" applyBorder="1" applyAlignment="1">
      <alignment horizontal="center" vertical="center"/>
    </xf>
    <xf numFmtId="0" fontId="0" fillId="0" borderId="5" xfId="0" applyBorder="1"/>
    <xf numFmtId="0" fontId="2" fillId="0" borderId="6" xfId="2" applyBorder="1" applyAlignment="1">
      <alignment horizontal="center" wrapText="1"/>
    </xf>
    <xf numFmtId="0" fontId="2" fillId="0" borderId="12" xfId="2" applyBorder="1" applyAlignment="1">
      <alignment horizontal="center" wrapText="1"/>
    </xf>
    <xf numFmtId="164" fontId="7" fillId="0" borderId="6" xfId="2" applyNumberFormat="1" applyFont="1" applyBorder="1" applyAlignment="1">
      <alignment horizontal="center"/>
    </xf>
    <xf numFmtId="164" fontId="8" fillId="0" borderId="6" xfId="2" applyNumberFormat="1" applyFont="1" applyBorder="1" applyAlignment="1">
      <alignment horizontal="center"/>
    </xf>
    <xf numFmtId="164" fontId="8" fillId="0" borderId="12" xfId="2" applyNumberFormat="1" applyFont="1" applyBorder="1" applyAlignment="1">
      <alignment horizontal="center"/>
    </xf>
    <xf numFmtId="164" fontId="10" fillId="0" borderId="5" xfId="2" applyNumberFormat="1" applyFont="1" applyBorder="1" applyAlignment="1">
      <alignment horizontal="center"/>
    </xf>
    <xf numFmtId="0" fontId="3" fillId="2" borderId="18" xfId="2" applyFont="1" applyFill="1" applyBorder="1" applyAlignment="1">
      <alignment horizontal="center"/>
    </xf>
    <xf numFmtId="0" fontId="0" fillId="0" borderId="6" xfId="0" applyBorder="1"/>
    <xf numFmtId="44" fontId="0" fillId="0" borderId="0" xfId="1" applyFont="1" applyBorder="1"/>
    <xf numFmtId="0" fontId="2" fillId="0" borderId="4" xfId="2" applyBorder="1" applyAlignment="1">
      <alignment horizontal="center" wrapText="1"/>
    </xf>
    <xf numFmtId="164" fontId="10" fillId="0" borderId="10" xfId="2" applyNumberFormat="1" applyFont="1" applyBorder="1" applyAlignment="1">
      <alignment horizontal="center"/>
    </xf>
    <xf numFmtId="0" fontId="2" fillId="0" borderId="20" xfId="2" applyBorder="1"/>
    <xf numFmtId="0" fontId="2" fillId="0" borderId="2" xfId="2" applyBorder="1"/>
    <xf numFmtId="0" fontId="2" fillId="0" borderId="16" xfId="2" applyBorder="1"/>
    <xf numFmtId="0" fontId="0" fillId="0" borderId="0" xfId="0" applyAlignment="1">
      <alignment horizontal="center"/>
    </xf>
    <xf numFmtId="164" fontId="12" fillId="0" borderId="5" xfId="2" applyNumberFormat="1" applyFont="1" applyBorder="1" applyAlignment="1">
      <alignment horizontal="center"/>
    </xf>
    <xf numFmtId="164" fontId="12" fillId="0" borderId="10" xfId="2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0" xfId="1" applyNumberFormat="1" applyFont="1" applyFill="1" applyBorder="1" applyAlignment="1">
      <alignment horizontal="center"/>
    </xf>
    <xf numFmtId="164" fontId="2" fillId="0" borderId="7" xfId="1" applyNumberFormat="1" applyFont="1" applyBorder="1"/>
    <xf numFmtId="164" fontId="2" fillId="0" borderId="5" xfId="1" applyNumberFormat="1" applyFont="1" applyBorder="1"/>
    <xf numFmtId="164" fontId="3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0" xfId="1" applyNumberFormat="1" applyFont="1" applyBorder="1"/>
    <xf numFmtId="164" fontId="0" fillId="0" borderId="0" xfId="1" applyNumberFormat="1" applyFont="1"/>
    <xf numFmtId="164" fontId="2" fillId="0" borderId="9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15" fillId="0" borderId="0" xfId="1" applyNumberFormat="1" applyFont="1"/>
    <xf numFmtId="0" fontId="2" fillId="0" borderId="6" xfId="2" applyBorder="1"/>
    <xf numFmtId="164" fontId="2" fillId="0" borderId="10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0" xfId="1" applyNumberFormat="1" applyFont="1"/>
    <xf numFmtId="164" fontId="1" fillId="0" borderId="0" xfId="1" applyNumberFormat="1" applyFont="1"/>
    <xf numFmtId="164" fontId="2" fillId="0" borderId="2" xfId="1" applyNumberFormat="1" applyFont="1" applyBorder="1"/>
    <xf numFmtId="164" fontId="2" fillId="0" borderId="9" xfId="1" applyNumberFormat="1" applyFont="1" applyBorder="1"/>
    <xf numFmtId="164" fontId="1" fillId="0" borderId="12" xfId="1" applyNumberFormat="1" applyFont="1" applyBorder="1"/>
    <xf numFmtId="164" fontId="1" fillId="0" borderId="6" xfId="1" applyNumberFormat="1" applyFont="1" applyBorder="1"/>
    <xf numFmtId="164" fontId="4" fillId="0" borderId="0" xfId="1" applyNumberFormat="1" applyFont="1" applyFill="1" applyBorder="1" applyAlignment="1">
      <alignment horizontal="center"/>
    </xf>
    <xf numFmtId="0" fontId="13" fillId="0" borderId="5" xfId="0" applyFont="1" applyBorder="1"/>
    <xf numFmtId="0" fontId="11" fillId="0" borderId="5" xfId="0" applyFont="1" applyBorder="1"/>
    <xf numFmtId="0" fontId="9" fillId="0" borderId="6" xfId="0" applyFont="1" applyBorder="1"/>
    <xf numFmtId="0" fontId="0" fillId="0" borderId="6" xfId="0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15" fillId="0" borderId="12" xfId="1" applyNumberFormat="1" applyFont="1" applyBorder="1" applyAlignment="1">
      <alignment horizontal="center"/>
    </xf>
    <xf numFmtId="164" fontId="15" fillId="0" borderId="6" xfId="1" applyNumberFormat="1" applyFont="1" applyBorder="1" applyAlignment="1">
      <alignment horizontal="center"/>
    </xf>
    <xf numFmtId="164" fontId="15" fillId="0" borderId="0" xfId="1" applyNumberFormat="1" applyFont="1" applyAlignment="1">
      <alignment horizontal="center"/>
    </xf>
    <xf numFmtId="0" fontId="15" fillId="0" borderId="9" xfId="0" applyFont="1" applyBorder="1"/>
    <xf numFmtId="0" fontId="15" fillId="0" borderId="24" xfId="0" applyFont="1" applyBorder="1"/>
    <xf numFmtId="0" fontId="15" fillId="0" borderId="6" xfId="0" applyFont="1" applyBorder="1"/>
    <xf numFmtId="0" fontId="15" fillId="0" borderId="12" xfId="0" applyFont="1" applyBorder="1"/>
    <xf numFmtId="0" fontId="2" fillId="0" borderId="24" xfId="2" applyBorder="1" applyAlignment="1">
      <alignment horizontal="left"/>
    </xf>
    <xf numFmtId="164" fontId="4" fillId="0" borderId="6" xfId="1" applyNumberFormat="1" applyFont="1" applyFill="1" applyBorder="1" applyAlignment="1">
      <alignment horizontal="center"/>
    </xf>
    <xf numFmtId="0" fontId="2" fillId="0" borderId="26" xfId="2" applyBorder="1"/>
    <xf numFmtId="0" fontId="2" fillId="0" borderId="24" xfId="2" applyBorder="1"/>
    <xf numFmtId="0" fontId="2" fillId="0" borderId="6" xfId="2" applyBorder="1" applyAlignment="1">
      <alignment horizontal="left"/>
    </xf>
    <xf numFmtId="0" fontId="3" fillId="0" borderId="30" xfId="2" applyFont="1" applyBorder="1" applyAlignment="1">
      <alignment horizontal="center" vertical="center"/>
    </xf>
    <xf numFmtId="0" fontId="3" fillId="2" borderId="26" xfId="2" applyFont="1" applyFill="1" applyBorder="1" applyAlignment="1">
      <alignment horizontal="center"/>
    </xf>
    <xf numFmtId="0" fontId="3" fillId="2" borderId="24" xfId="2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26" xfId="2" applyBorder="1" applyAlignment="1">
      <alignment horizontal="left"/>
    </xf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31" xfId="2" applyBorder="1"/>
    <xf numFmtId="0" fontId="2" fillId="0" borderId="4" xfId="2" applyBorder="1"/>
    <xf numFmtId="164" fontId="2" fillId="0" borderId="6" xfId="1" applyNumberFormat="1" applyFont="1" applyBorder="1"/>
    <xf numFmtId="164" fontId="2" fillId="0" borderId="6" xfId="1" applyNumberFormat="1" applyFont="1" applyFill="1" applyBorder="1"/>
    <xf numFmtId="0" fontId="2" fillId="0" borderId="18" xfId="2" applyBorder="1" applyAlignment="1">
      <alignment horizontal="left"/>
    </xf>
    <xf numFmtId="164" fontId="15" fillId="0" borderId="6" xfId="1" applyNumberFormat="1" applyFont="1" applyBorder="1"/>
    <xf numFmtId="0" fontId="0" fillId="0" borderId="9" xfId="0" applyBorder="1"/>
    <xf numFmtId="0" fontId="2" fillId="0" borderId="33" xfId="2" applyBorder="1"/>
    <xf numFmtId="0" fontId="2" fillId="0" borderId="32" xfId="2" applyBorder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7" xfId="0" applyFont="1" applyBorder="1"/>
    <xf numFmtId="0" fontId="15" fillId="0" borderId="5" xfId="0" applyFont="1" applyBorder="1" applyAlignment="1">
      <alignment horizontal="left"/>
    </xf>
    <xf numFmtId="0" fontId="15" fillId="0" borderId="5" xfId="0" applyFont="1" applyBorder="1"/>
    <xf numFmtId="0" fontId="15" fillId="0" borderId="32" xfId="0" applyFont="1" applyBorder="1" applyAlignment="1">
      <alignment horizontal="left"/>
    </xf>
    <xf numFmtId="164" fontId="15" fillId="0" borderId="7" xfId="1" applyNumberFormat="1" applyFont="1" applyBorder="1"/>
    <xf numFmtId="164" fontId="15" fillId="0" borderId="8" xfId="1" applyNumberFormat="1" applyFont="1" applyBorder="1"/>
    <xf numFmtId="164" fontId="15" fillId="0" borderId="5" xfId="1" applyNumberFormat="1" applyFont="1" applyBorder="1"/>
    <xf numFmtId="164" fontId="15" fillId="0" borderId="0" xfId="1" applyNumberFormat="1" applyFont="1" applyBorder="1"/>
    <xf numFmtId="164" fontId="2" fillId="0" borderId="11" xfId="1" applyNumberFormat="1" applyFont="1" applyBorder="1"/>
    <xf numFmtId="164" fontId="0" fillId="0" borderId="5" xfId="1" applyNumberFormat="1" applyFont="1" applyBorder="1"/>
    <xf numFmtId="0" fontId="0" fillId="0" borderId="12" xfId="0" applyBorder="1"/>
    <xf numFmtId="164" fontId="0" fillId="0" borderId="6" xfId="1" applyNumberFormat="1" applyFont="1" applyBorder="1"/>
    <xf numFmtId="164" fontId="2" fillId="0" borderId="12" xfId="1" applyNumberFormat="1" applyFont="1" applyBorder="1"/>
    <xf numFmtId="0" fontId="0" fillId="0" borderId="34" xfId="0" applyBorder="1"/>
    <xf numFmtId="0" fontId="16" fillId="0" borderId="1" xfId="3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2" borderId="15" xfId="2" applyFont="1" applyFill="1" applyBorder="1" applyAlignment="1">
      <alignment horizontal="center"/>
    </xf>
    <xf numFmtId="0" fontId="3" fillId="2" borderId="32" xfId="2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3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0" fillId="0" borderId="33" xfId="0" applyBorder="1"/>
    <xf numFmtId="164" fontId="0" fillId="0" borderId="0" xfId="0" applyNumberFormat="1"/>
    <xf numFmtId="9" fontId="0" fillId="0" borderId="0" xfId="4" applyFont="1"/>
    <xf numFmtId="164" fontId="0" fillId="0" borderId="0" xfId="4" applyNumberFormat="1" applyFont="1"/>
    <xf numFmtId="0" fontId="3" fillId="0" borderId="27" xfId="5" applyFont="1" applyBorder="1" applyAlignment="1">
      <alignment horizontal="center" vertical="center" wrapText="1"/>
    </xf>
    <xf numFmtId="0" fontId="3" fillId="0" borderId="21" xfId="5" applyFont="1" applyBorder="1" applyAlignment="1">
      <alignment horizontal="center" vertical="center" wrapText="1"/>
    </xf>
    <xf numFmtId="0" fontId="3" fillId="0" borderId="3" xfId="5" applyFont="1" applyBorder="1" applyAlignment="1">
      <alignment horizontal="center"/>
    </xf>
    <xf numFmtId="0" fontId="3" fillId="0" borderId="35" xfId="5" applyFont="1" applyBorder="1" applyAlignment="1">
      <alignment horizontal="center"/>
    </xf>
    <xf numFmtId="0" fontId="3" fillId="0" borderId="0" xfId="5" applyFont="1" applyAlignment="1">
      <alignment horizontal="center" wrapText="1"/>
    </xf>
    <xf numFmtId="0" fontId="2" fillId="0" borderId="18" xfId="2" applyBorder="1"/>
    <xf numFmtId="0" fontId="15" fillId="0" borderId="0" xfId="0" applyFont="1"/>
    <xf numFmtId="164" fontId="4" fillId="4" borderId="5" xfId="1" applyNumberFormat="1" applyFont="1" applyFill="1" applyBorder="1" applyAlignment="1">
      <alignment horizontal="center"/>
    </xf>
    <xf numFmtId="164" fontId="4" fillId="4" borderId="0" xfId="1" applyNumberFormat="1" applyFont="1" applyFill="1" applyBorder="1" applyAlignment="1">
      <alignment horizontal="center"/>
    </xf>
    <xf numFmtId="164" fontId="4" fillId="4" borderId="4" xfId="0" applyNumberFormat="1" applyFont="1" applyFill="1" applyBorder="1"/>
    <xf numFmtId="0" fontId="4" fillId="4" borderId="28" xfId="2" applyFont="1" applyFill="1" applyBorder="1" applyAlignment="1">
      <alignment horizontal="center"/>
    </xf>
    <xf numFmtId="164" fontId="0" fillId="4" borderId="5" xfId="1" applyNumberFormat="1" applyFont="1" applyFill="1" applyBorder="1"/>
    <xf numFmtId="164" fontId="0" fillId="4" borderId="6" xfId="1" applyNumberFormat="1" applyFont="1" applyFill="1" applyBorder="1"/>
    <xf numFmtId="164" fontId="4" fillId="4" borderId="0" xfId="0" applyNumberFormat="1" applyFont="1" applyFill="1"/>
    <xf numFmtId="0" fontId="0" fillId="4" borderId="4" xfId="0" applyFill="1" applyBorder="1"/>
    <xf numFmtId="167" fontId="15" fillId="0" borderId="30" xfId="8" applyNumberFormat="1" applyFont="1" applyBorder="1" applyAlignment="1"/>
    <xf numFmtId="167" fontId="15" fillId="0" borderId="37" xfId="8" applyNumberFormat="1" applyFont="1" applyBorder="1" applyAlignment="1"/>
    <xf numFmtId="167" fontId="15" fillId="0" borderId="26" xfId="8" applyNumberFormat="1" applyFont="1" applyBorder="1" applyAlignment="1"/>
    <xf numFmtId="167" fontId="15" fillId="0" borderId="23" xfId="8" applyNumberFormat="1" applyFont="1" applyBorder="1" applyAlignment="1"/>
    <xf numFmtId="167" fontId="15" fillId="0" borderId="25" xfId="8" applyNumberFormat="1" applyFont="1" applyBorder="1" applyAlignment="1"/>
    <xf numFmtId="167" fontId="15" fillId="0" borderId="50" xfId="8" applyNumberFormat="1" applyFont="1" applyBorder="1" applyAlignment="1"/>
    <xf numFmtId="167" fontId="15" fillId="0" borderId="51" xfId="8" applyNumberFormat="1" applyFont="1" applyBorder="1" applyAlignment="1"/>
    <xf numFmtId="167" fontId="15" fillId="0" borderId="49" xfId="8" applyNumberFormat="1" applyFont="1" applyBorder="1" applyAlignment="1"/>
    <xf numFmtId="167" fontId="15" fillId="0" borderId="53" xfId="8" applyNumberFormat="1" applyFont="1" applyBorder="1" applyAlignment="1"/>
    <xf numFmtId="17" fontId="2" fillId="0" borderId="48" xfId="3" applyNumberFormat="1" applyBorder="1" applyAlignment="1">
      <alignment horizontal="center" wrapText="1"/>
    </xf>
    <xf numFmtId="0" fontId="2" fillId="0" borderId="25" xfId="3" applyBorder="1" applyAlignment="1">
      <alignment horizontal="center" wrapText="1"/>
    </xf>
    <xf numFmtId="17" fontId="2" fillId="0" borderId="25" xfId="3" applyNumberFormat="1" applyBorder="1" applyAlignment="1">
      <alignment horizontal="center" wrapText="1"/>
    </xf>
    <xf numFmtId="0" fontId="2" fillId="0" borderId="49" xfId="3" applyBorder="1" applyAlignment="1">
      <alignment horizontal="center" wrapText="1"/>
    </xf>
    <xf numFmtId="167" fontId="15" fillId="0" borderId="17" xfId="8" applyNumberFormat="1" applyFont="1" applyBorder="1" applyAlignment="1"/>
    <xf numFmtId="167" fontId="15" fillId="0" borderId="24" xfId="8" applyNumberFormat="1" applyFont="1" applyBorder="1" applyAlignment="1"/>
    <xf numFmtId="167" fontId="15" fillId="0" borderId="12" xfId="8" applyNumberFormat="1" applyFont="1" applyBorder="1" applyAlignment="1"/>
    <xf numFmtId="167" fontId="15" fillId="0" borderId="14" xfId="8" applyNumberFormat="1" applyFont="1" applyBorder="1" applyAlignment="1"/>
    <xf numFmtId="167" fontId="15" fillId="0" borderId="54" xfId="8" applyNumberFormat="1" applyFont="1" applyBorder="1" applyAlignment="1"/>
    <xf numFmtId="167" fontId="15" fillId="0" borderId="57" xfId="8" applyNumberFormat="1" applyFont="1" applyBorder="1" applyAlignment="1"/>
    <xf numFmtId="167" fontId="15" fillId="0" borderId="6" xfId="8" applyNumberFormat="1" applyFont="1" applyBorder="1" applyAlignment="1"/>
    <xf numFmtId="167" fontId="15" fillId="0" borderId="0" xfId="0" applyNumberFormat="1" applyFont="1"/>
    <xf numFmtId="0" fontId="2" fillId="0" borderId="1" xfId="2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10" xfId="0" applyFont="1" applyBorder="1"/>
    <xf numFmtId="0" fontId="23" fillId="0" borderId="32" xfId="0" applyFont="1" applyBorder="1"/>
    <xf numFmtId="0" fontId="23" fillId="0" borderId="7" xfId="0" applyFont="1" applyBorder="1"/>
    <xf numFmtId="0" fontId="25" fillId="0" borderId="3" xfId="0" applyFont="1" applyBorder="1" applyAlignment="1">
      <alignment horizontal="center"/>
    </xf>
    <xf numFmtId="0" fontId="0" fillId="0" borderId="11" xfId="0" applyBorder="1"/>
    <xf numFmtId="0" fontId="0" fillId="0" borderId="3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5" borderId="0" xfId="0" applyFill="1" applyAlignment="1">
      <alignment horizontal="center"/>
    </xf>
    <xf numFmtId="164" fontId="4" fillId="5" borderId="0" xfId="1" applyNumberFormat="1" applyFont="1" applyFill="1" applyBorder="1" applyAlignment="1">
      <alignment horizontal="center"/>
    </xf>
    <xf numFmtId="10" fontId="4" fillId="5" borderId="51" xfId="4" applyNumberFormat="1" applyFont="1" applyFill="1" applyBorder="1" applyAlignment="1">
      <alignment horizontal="center"/>
    </xf>
    <xf numFmtId="167" fontId="4" fillId="5" borderId="12" xfId="8" applyNumberFormat="1" applyFont="1" applyFill="1" applyBorder="1" applyAlignment="1"/>
    <xf numFmtId="167" fontId="4" fillId="5" borderId="22" xfId="8" applyNumberFormat="1" applyFont="1" applyFill="1" applyBorder="1" applyAlignment="1">
      <alignment horizontal="center"/>
    </xf>
    <xf numFmtId="10" fontId="4" fillId="5" borderId="54" xfId="4" applyNumberFormat="1" applyFont="1" applyFill="1" applyBorder="1" applyAlignment="1">
      <alignment horizontal="center"/>
    </xf>
    <xf numFmtId="167" fontId="4" fillId="5" borderId="17" xfId="8" applyNumberFormat="1" applyFont="1" applyFill="1" applyBorder="1" applyAlignment="1"/>
    <xf numFmtId="167" fontId="4" fillId="5" borderId="52" xfId="8" applyNumberFormat="1" applyFont="1" applyFill="1" applyBorder="1" applyAlignment="1">
      <alignment horizontal="center"/>
    </xf>
    <xf numFmtId="167" fontId="4" fillId="5" borderId="56" xfId="8" applyNumberFormat="1" applyFont="1" applyFill="1" applyBorder="1" applyAlignment="1">
      <alignment horizontal="center"/>
    </xf>
    <xf numFmtId="167" fontId="4" fillId="5" borderId="55" xfId="8" applyNumberFormat="1" applyFont="1" applyFill="1" applyBorder="1" applyAlignment="1">
      <alignment horizontal="center"/>
    </xf>
    <xf numFmtId="10" fontId="4" fillId="5" borderId="49" xfId="4" applyNumberFormat="1" applyFont="1" applyFill="1" applyBorder="1" applyAlignment="1">
      <alignment horizontal="center"/>
    </xf>
    <xf numFmtId="10" fontId="4" fillId="5" borderId="53" xfId="4" applyNumberFormat="1" applyFont="1" applyFill="1" applyBorder="1" applyAlignment="1">
      <alignment horizontal="center"/>
    </xf>
    <xf numFmtId="0" fontId="4" fillId="5" borderId="14" xfId="0" applyFont="1" applyFill="1" applyBorder="1"/>
    <xf numFmtId="0" fontId="4" fillId="5" borderId="35" xfId="0" applyFont="1" applyFill="1" applyBorder="1"/>
    <xf numFmtId="167" fontId="4" fillId="5" borderId="20" xfId="8" applyNumberFormat="1" applyFont="1" applyFill="1" applyBorder="1" applyAlignment="1"/>
    <xf numFmtId="167" fontId="4" fillId="5" borderId="18" xfId="8" applyNumberFormat="1" applyFont="1" applyFill="1" applyBorder="1" applyAlignment="1"/>
    <xf numFmtId="167" fontId="4" fillId="5" borderId="33" xfId="8" applyNumberFormat="1" applyFont="1" applyFill="1" applyBorder="1" applyAlignment="1"/>
    <xf numFmtId="0" fontId="4" fillId="5" borderId="1" xfId="0" applyFont="1" applyFill="1" applyBorder="1"/>
    <xf numFmtId="167" fontId="4" fillId="5" borderId="1" xfId="0" applyNumberFormat="1" applyFont="1" applyFill="1" applyBorder="1"/>
    <xf numFmtId="10" fontId="4" fillId="5" borderId="1" xfId="4" applyNumberFormat="1" applyFont="1" applyFill="1" applyBorder="1"/>
    <xf numFmtId="0" fontId="4" fillId="5" borderId="36" xfId="0" applyFont="1" applyFill="1" applyBorder="1" applyAlignment="1">
      <alignment horizontal="center"/>
    </xf>
    <xf numFmtId="164" fontId="4" fillId="5" borderId="36" xfId="0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0" fontId="4" fillId="5" borderId="40" xfId="5" applyFont="1" applyFill="1" applyBorder="1" applyAlignment="1">
      <alignment horizontal="center" wrapText="1"/>
    </xf>
    <xf numFmtId="44" fontId="4" fillId="5" borderId="41" xfId="6" applyFont="1" applyFill="1" applyBorder="1" applyAlignment="1">
      <alignment horizontal="center"/>
    </xf>
    <xf numFmtId="0" fontId="0" fillId="6" borderId="0" xfId="0" applyFill="1"/>
    <xf numFmtId="0" fontId="0" fillId="6" borderId="6" xfId="0" applyFill="1" applyBorder="1" applyAlignment="1">
      <alignment horizontal="center"/>
    </xf>
    <xf numFmtId="164" fontId="4" fillId="6" borderId="0" xfId="1" applyNumberFormat="1" applyFont="1" applyFill="1" applyBorder="1" applyAlignment="1">
      <alignment horizontal="center"/>
    </xf>
    <xf numFmtId="164" fontId="4" fillId="6" borderId="6" xfId="1" applyNumberFormat="1" applyFont="1" applyFill="1" applyBorder="1" applyAlignment="1">
      <alignment horizontal="center"/>
    </xf>
    <xf numFmtId="164" fontId="4" fillId="6" borderId="4" xfId="0" applyNumberFormat="1" applyFont="1" applyFill="1" applyBorder="1"/>
    <xf numFmtId="0" fontId="4" fillId="6" borderId="31" xfId="2" applyFont="1" applyFill="1" applyBorder="1" applyAlignment="1">
      <alignment horizontal="center"/>
    </xf>
    <xf numFmtId="0" fontId="0" fillId="6" borderId="5" xfId="0" applyFill="1" applyBorder="1"/>
    <xf numFmtId="164" fontId="4" fillId="6" borderId="5" xfId="0" applyNumberFormat="1" applyFont="1" applyFill="1" applyBorder="1"/>
    <xf numFmtId="164" fontId="4" fillId="6" borderId="5" xfId="1" applyNumberFormat="1" applyFont="1" applyFill="1" applyBorder="1" applyAlignment="1">
      <alignment horizontal="center"/>
    </xf>
    <xf numFmtId="0" fontId="0" fillId="6" borderId="6" xfId="0" applyFill="1" applyBorder="1"/>
    <xf numFmtId="0" fontId="4" fillId="6" borderId="9" xfId="2" applyFont="1" applyFill="1" applyBorder="1" applyAlignment="1">
      <alignment horizontal="center"/>
    </xf>
    <xf numFmtId="164" fontId="4" fillId="6" borderId="6" xfId="0" applyNumberFormat="1" applyFont="1" applyFill="1" applyBorder="1"/>
    <xf numFmtId="0" fontId="4" fillId="6" borderId="19" xfId="2" applyFont="1" applyFill="1" applyBorder="1" applyAlignment="1">
      <alignment horizontal="center"/>
    </xf>
    <xf numFmtId="164" fontId="4" fillId="6" borderId="13" xfId="1" applyNumberFormat="1" applyFont="1" applyFill="1" applyBorder="1" applyAlignment="1">
      <alignment horizontal="center"/>
    </xf>
    <xf numFmtId="164" fontId="4" fillId="6" borderId="14" xfId="1" applyNumberFormat="1" applyFont="1" applyFill="1" applyBorder="1" applyAlignment="1">
      <alignment horizontal="center"/>
    </xf>
    <xf numFmtId="0" fontId="0" fillId="6" borderId="13" xfId="0" applyFill="1" applyBorder="1"/>
    <xf numFmtId="164" fontId="4" fillId="6" borderId="3" xfId="0" applyNumberFormat="1" applyFont="1" applyFill="1" applyBorder="1"/>
    <xf numFmtId="0" fontId="11" fillId="6" borderId="3" xfId="0" applyFont="1" applyFill="1" applyBorder="1"/>
    <xf numFmtId="0" fontId="9" fillId="6" borderId="14" xfId="0" applyFont="1" applyFill="1" applyBorder="1"/>
    <xf numFmtId="0" fontId="0" fillId="6" borderId="35" xfId="0" applyFill="1" applyBorder="1"/>
    <xf numFmtId="164" fontId="4" fillId="6" borderId="0" xfId="1" applyNumberFormat="1" applyFont="1" applyFill="1" applyAlignment="1">
      <alignment horizontal="center"/>
    </xf>
    <xf numFmtId="0" fontId="0" fillId="6" borderId="9" xfId="0" applyFill="1" applyBorder="1" applyAlignment="1">
      <alignment horizontal="center"/>
    </xf>
    <xf numFmtId="164" fontId="4" fillId="6" borderId="4" xfId="1" applyNumberFormat="1" applyFont="1" applyFill="1" applyBorder="1" applyAlignment="1">
      <alignment horizontal="center"/>
    </xf>
    <xf numFmtId="0" fontId="4" fillId="6" borderId="7" xfId="2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164" fontId="4" fillId="7" borderId="13" xfId="0" applyNumberFormat="1" applyFont="1" applyFill="1" applyBorder="1"/>
    <xf numFmtId="164" fontId="4" fillId="7" borderId="14" xfId="0" applyNumberFormat="1" applyFont="1" applyFill="1" applyBorder="1"/>
    <xf numFmtId="0" fontId="0" fillId="7" borderId="13" xfId="0" applyFill="1" applyBorder="1"/>
    <xf numFmtId="0" fontId="0" fillId="7" borderId="14" xfId="0" applyFill="1" applyBorder="1"/>
    <xf numFmtId="164" fontId="4" fillId="7" borderId="35" xfId="0" applyNumberFormat="1" applyFont="1" applyFill="1" applyBorder="1"/>
    <xf numFmtId="0" fontId="0" fillId="7" borderId="35" xfId="0" applyFill="1" applyBorder="1"/>
    <xf numFmtId="0" fontId="0" fillId="7" borderId="14" xfId="0" applyFill="1" applyBorder="1" applyAlignment="1">
      <alignment horizontal="center"/>
    </xf>
    <xf numFmtId="0" fontId="4" fillId="7" borderId="35" xfId="2" applyFont="1" applyFill="1" applyBorder="1" applyAlignment="1">
      <alignment horizontal="center"/>
    </xf>
    <xf numFmtId="164" fontId="4" fillId="7" borderId="3" xfId="1" applyNumberFormat="1" applyFont="1" applyFill="1" applyBorder="1" applyAlignment="1">
      <alignment horizontal="center"/>
    </xf>
    <xf numFmtId="164" fontId="4" fillId="7" borderId="14" xfId="1" applyNumberFormat="1" applyFont="1" applyFill="1" applyBorder="1" applyAlignment="1">
      <alignment horizontal="center"/>
    </xf>
    <xf numFmtId="44" fontId="0" fillId="7" borderId="3" xfId="1" applyFont="1" applyFill="1" applyBorder="1"/>
    <xf numFmtId="44" fontId="0" fillId="7" borderId="13" xfId="1" applyFont="1" applyFill="1" applyBorder="1"/>
    <xf numFmtId="164" fontId="4" fillId="7" borderId="3" xfId="0" applyNumberFormat="1" applyFont="1" applyFill="1" applyBorder="1"/>
    <xf numFmtId="164" fontId="4" fillId="7" borderId="3" xfId="1" applyNumberFormat="1" applyFont="1" applyFill="1" applyBorder="1"/>
    <xf numFmtId="0" fontId="4" fillId="5" borderId="19" xfId="3" applyFont="1" applyFill="1" applyBorder="1" applyAlignment="1">
      <alignment horizontal="left"/>
    </xf>
    <xf numFmtId="0" fontId="4" fillId="5" borderId="20" xfId="3" applyFont="1" applyFill="1" applyBorder="1" applyAlignment="1">
      <alignment horizontal="left"/>
    </xf>
    <xf numFmtId="164" fontId="2" fillId="0" borderId="6" xfId="1" applyNumberFormat="1" applyFont="1" applyFill="1" applyBorder="1" applyAlignment="1">
      <alignment horizontal="center"/>
    </xf>
    <xf numFmtId="0" fontId="3" fillId="0" borderId="0" xfId="3" applyFont="1"/>
    <xf numFmtId="0" fontId="2" fillId="0" borderId="0" xfId="3"/>
    <xf numFmtId="0" fontId="20" fillId="0" borderId="0" xfId="0" applyFont="1"/>
    <xf numFmtId="0" fontId="3" fillId="0" borderId="1" xfId="3" applyFont="1" applyBorder="1" applyAlignment="1">
      <alignment horizontal="center"/>
    </xf>
    <xf numFmtId="0" fontId="2" fillId="0" borderId="17" xfId="3" applyBorder="1" applyAlignment="1">
      <alignment horizontal="center"/>
    </xf>
    <xf numFmtId="3" fontId="2" fillId="0" borderId="0" xfId="3" applyNumberFormat="1" applyAlignment="1">
      <alignment horizontal="center"/>
    </xf>
    <xf numFmtId="0" fontId="2" fillId="0" borderId="0" xfId="3" applyAlignment="1">
      <alignment horizontal="center"/>
    </xf>
    <xf numFmtId="0" fontId="3" fillId="0" borderId="27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9" fontId="2" fillId="0" borderId="20" xfId="4" applyFont="1" applyFill="1" applyBorder="1" applyAlignment="1">
      <alignment horizontal="center"/>
    </xf>
    <xf numFmtId="9" fontId="2" fillId="0" borderId="17" xfId="4" applyFont="1" applyFill="1" applyBorder="1" applyAlignment="1">
      <alignment horizontal="center"/>
    </xf>
    <xf numFmtId="0" fontId="2" fillId="0" borderId="24" xfId="3" applyBorder="1" applyAlignment="1">
      <alignment horizontal="center"/>
    </xf>
    <xf numFmtId="9" fontId="2" fillId="0" borderId="24" xfId="4" applyFont="1" applyFill="1" applyBorder="1" applyAlignment="1">
      <alignment horizontal="center"/>
    </xf>
    <xf numFmtId="9" fontId="2" fillId="0" borderId="19" xfId="4" applyFont="1" applyFill="1" applyBorder="1" applyAlignment="1">
      <alignment horizontal="center"/>
    </xf>
    <xf numFmtId="165" fontId="2" fillId="0" borderId="54" xfId="3" applyNumberFormat="1" applyBorder="1" applyAlignment="1">
      <alignment horizontal="center"/>
    </xf>
    <xf numFmtId="9" fontId="2" fillId="0" borderId="0" xfId="4" applyFont="1" applyFill="1" applyBorder="1" applyAlignment="1">
      <alignment horizontal="center"/>
    </xf>
    <xf numFmtId="165" fontId="2" fillId="0" borderId="0" xfId="3" applyNumberFormat="1" applyAlignment="1">
      <alignment horizontal="center"/>
    </xf>
    <xf numFmtId="0" fontId="0" fillId="0" borderId="18" xfId="0" applyBorder="1"/>
    <xf numFmtId="0" fontId="2" fillId="0" borderId="31" xfId="3" applyBorder="1" applyAlignment="1">
      <alignment horizontal="center"/>
    </xf>
    <xf numFmtId="0" fontId="2" fillId="0" borderId="18" xfId="3" applyBorder="1" applyAlignment="1">
      <alignment horizontal="center"/>
    </xf>
    <xf numFmtId="0" fontId="2" fillId="0" borderId="4" xfId="3" applyBorder="1" applyAlignment="1">
      <alignment horizontal="center"/>
    </xf>
    <xf numFmtId="0" fontId="2" fillId="0" borderId="19" xfId="3" applyBorder="1" applyAlignment="1">
      <alignment horizontal="center"/>
    </xf>
    <xf numFmtId="0" fontId="28" fillId="0" borderId="0" xfId="9" quotePrefix="1" applyAlignment="1"/>
    <xf numFmtId="44" fontId="28" fillId="0" borderId="0" xfId="1" applyFont="1"/>
    <xf numFmtId="0" fontId="28" fillId="0" borderId="0" xfId="9" applyAlignment="1">
      <alignment horizontal="left"/>
    </xf>
    <xf numFmtId="44" fontId="0" fillId="0" borderId="0" xfId="0" applyNumberFormat="1"/>
    <xf numFmtId="0" fontId="2" fillId="0" borderId="2" xfId="2" applyBorder="1" applyAlignment="1">
      <alignment horizontal="center"/>
    </xf>
    <xf numFmtId="164" fontId="2" fillId="0" borderId="2" xfId="2" applyNumberFormat="1" applyBorder="1" applyAlignment="1">
      <alignment horizontal="center"/>
    </xf>
    <xf numFmtId="10" fontId="3" fillId="0" borderId="12" xfId="0" applyNumberFormat="1" applyFont="1" applyBorder="1" applyAlignment="1">
      <alignment vertical="center" wrapText="1"/>
    </xf>
    <xf numFmtId="10" fontId="3" fillId="0" borderId="33" xfId="0" applyNumberFormat="1" applyFont="1" applyBorder="1" applyAlignment="1">
      <alignment vertical="center" wrapText="1"/>
    </xf>
    <xf numFmtId="10" fontId="3" fillId="0" borderId="20" xfId="0" applyNumberFormat="1" applyFont="1" applyBorder="1" applyAlignment="1">
      <alignment vertical="center" wrapText="1"/>
    </xf>
    <xf numFmtId="167" fontId="2" fillId="0" borderId="17" xfId="8" applyNumberFormat="1" applyFont="1" applyBorder="1" applyAlignment="1">
      <alignment horizontal="center" vertical="center"/>
    </xf>
    <xf numFmtId="167" fontId="2" fillId="0" borderId="24" xfId="8" applyNumberFormat="1" applyFont="1" applyBorder="1" applyAlignment="1">
      <alignment horizontal="center" vertical="center"/>
    </xf>
    <xf numFmtId="167" fontId="2" fillId="0" borderId="54" xfId="8" applyNumberFormat="1" applyFont="1" applyBorder="1" applyAlignment="1">
      <alignment horizontal="center" vertical="center"/>
    </xf>
    <xf numFmtId="167" fontId="4" fillId="5" borderId="20" xfId="8" applyNumberFormat="1" applyFont="1" applyFill="1" applyBorder="1" applyAlignment="1">
      <alignment horizontal="center" vertical="center"/>
    </xf>
    <xf numFmtId="164" fontId="2" fillId="0" borderId="34" xfId="1" applyNumberFormat="1" applyFont="1" applyBorder="1" applyAlignment="1">
      <alignment horizontal="center"/>
    </xf>
    <xf numFmtId="164" fontId="15" fillId="0" borderId="11" xfId="1" applyNumberFormat="1" applyFont="1" applyBorder="1" applyAlignment="1">
      <alignment horizontal="center"/>
    </xf>
    <xf numFmtId="0" fontId="3" fillId="2" borderId="48" xfId="2" applyFont="1" applyFill="1" applyBorder="1" applyAlignment="1">
      <alignment horizontal="center"/>
    </xf>
    <xf numFmtId="0" fontId="2" fillId="0" borderId="25" xfId="2" applyBorder="1"/>
    <xf numFmtId="0" fontId="3" fillId="2" borderId="25" xfId="2" applyFont="1" applyFill="1" applyBorder="1" applyAlignment="1">
      <alignment horizontal="center"/>
    </xf>
    <xf numFmtId="0" fontId="4" fillId="5" borderId="58" xfId="2" applyFont="1" applyFill="1" applyBorder="1" applyAlignment="1">
      <alignment horizontal="center"/>
    </xf>
    <xf numFmtId="0" fontId="2" fillId="0" borderId="57" xfId="2" applyBorder="1"/>
    <xf numFmtId="0" fontId="0" fillId="0" borderId="57" xfId="0" applyBorder="1"/>
    <xf numFmtId="0" fontId="4" fillId="0" borderId="57" xfId="2" applyFont="1" applyBorder="1" applyAlignment="1">
      <alignment horizontal="center"/>
    </xf>
    <xf numFmtId="0" fontId="15" fillId="0" borderId="58" xfId="0" applyFont="1" applyBorder="1"/>
    <xf numFmtId="0" fontId="4" fillId="0" borderId="61" xfId="2" applyFont="1" applyBorder="1" applyAlignment="1">
      <alignment horizontal="center"/>
    </xf>
    <xf numFmtId="164" fontId="30" fillId="0" borderId="8" xfId="0" applyNumberFormat="1" applyFont="1" applyBorder="1" applyAlignment="1">
      <alignment horizontal="center"/>
    </xf>
    <xf numFmtId="0" fontId="3" fillId="0" borderId="62" xfId="2" applyFont="1" applyBorder="1" applyAlignment="1">
      <alignment horizontal="center" vertical="center"/>
    </xf>
    <xf numFmtId="0" fontId="3" fillId="2" borderId="20" xfId="2" applyFont="1" applyFill="1" applyBorder="1" applyAlignment="1">
      <alignment horizontal="center"/>
    </xf>
    <xf numFmtId="0" fontId="2" fillId="0" borderId="30" xfId="2" applyBorder="1"/>
    <xf numFmtId="165" fontId="4" fillId="5" borderId="24" xfId="4" applyNumberFormat="1" applyFont="1" applyFill="1" applyBorder="1" applyAlignment="1">
      <alignment horizontal="center"/>
    </xf>
    <xf numFmtId="165" fontId="4" fillId="5" borderId="54" xfId="4" applyNumberFormat="1" applyFont="1" applyFill="1" applyBorder="1" applyAlignment="1">
      <alignment horizontal="center"/>
    </xf>
    <xf numFmtId="165" fontId="30" fillId="0" borderId="20" xfId="3" applyNumberFormat="1" applyFont="1" applyBorder="1" applyAlignment="1">
      <alignment horizontal="center"/>
    </xf>
    <xf numFmtId="165" fontId="30" fillId="0" borderId="18" xfId="3" applyNumberFormat="1" applyFont="1" applyBorder="1" applyAlignment="1">
      <alignment horizontal="center"/>
    </xf>
    <xf numFmtId="164" fontId="32" fillId="0" borderId="10" xfId="0" applyNumberFormat="1" applyFont="1" applyBorder="1"/>
    <xf numFmtId="164" fontId="32" fillId="0" borderId="33" xfId="0" applyNumberFormat="1" applyFont="1" applyBorder="1" applyAlignment="1">
      <alignment horizontal="center"/>
    </xf>
    <xf numFmtId="164" fontId="32" fillId="0" borderId="32" xfId="0" applyNumberFormat="1" applyFont="1" applyBorder="1"/>
    <xf numFmtId="164" fontId="32" fillId="0" borderId="18" xfId="0" applyNumberFormat="1" applyFont="1" applyBorder="1" applyAlignment="1">
      <alignment horizontal="center"/>
    </xf>
    <xf numFmtId="164" fontId="32" fillId="0" borderId="7" xfId="0" applyNumberFormat="1" applyFont="1" applyBorder="1"/>
    <xf numFmtId="164" fontId="32" fillId="0" borderId="31" xfId="0" applyNumberFormat="1" applyFont="1" applyBorder="1" applyAlignment="1">
      <alignment horizontal="center"/>
    </xf>
    <xf numFmtId="165" fontId="33" fillId="0" borderId="35" xfId="4" applyNumberFormat="1" applyFont="1" applyFill="1" applyBorder="1" applyAlignment="1">
      <alignment horizontal="center"/>
    </xf>
    <xf numFmtId="164" fontId="30" fillId="0" borderId="33" xfId="0" applyNumberFormat="1" applyFont="1" applyBorder="1" applyAlignment="1">
      <alignment horizontal="center"/>
    </xf>
    <xf numFmtId="165" fontId="30" fillId="0" borderId="0" xfId="2" applyNumberFormat="1" applyFont="1" applyAlignment="1">
      <alignment horizontal="center"/>
    </xf>
    <xf numFmtId="165" fontId="30" fillId="0" borderId="5" xfId="2" applyNumberFormat="1" applyFont="1" applyBorder="1" applyAlignment="1">
      <alignment horizontal="center"/>
    </xf>
    <xf numFmtId="164" fontId="34" fillId="0" borderId="5" xfId="2" applyNumberFormat="1" applyFont="1" applyBorder="1" applyAlignment="1">
      <alignment horizontal="center"/>
    </xf>
    <xf numFmtId="165" fontId="30" fillId="0" borderId="6" xfId="2" applyNumberFormat="1" applyFont="1" applyBorder="1" applyAlignment="1">
      <alignment horizontal="center"/>
    </xf>
    <xf numFmtId="164" fontId="34" fillId="0" borderId="4" xfId="2" applyNumberFormat="1" applyFont="1" applyBorder="1" applyAlignment="1">
      <alignment horizontal="center"/>
    </xf>
    <xf numFmtId="164" fontId="36" fillId="0" borderId="5" xfId="2" applyNumberFormat="1" applyFont="1" applyBorder="1" applyAlignment="1">
      <alignment horizontal="center"/>
    </xf>
    <xf numFmtId="164" fontId="37" fillId="0" borderId="6" xfId="2" applyNumberFormat="1" applyFont="1" applyBorder="1" applyAlignment="1">
      <alignment horizontal="center"/>
    </xf>
    <xf numFmtId="164" fontId="38" fillId="0" borderId="6" xfId="2" applyNumberFormat="1" applyFont="1" applyBorder="1" applyAlignment="1">
      <alignment horizontal="center"/>
    </xf>
    <xf numFmtId="164" fontId="38" fillId="0" borderId="5" xfId="2" applyNumberFormat="1" applyFont="1" applyBorder="1" applyAlignment="1">
      <alignment horizontal="center"/>
    </xf>
    <xf numFmtId="164" fontId="35" fillId="0" borderId="6" xfId="2" applyNumberFormat="1" applyFont="1" applyBorder="1" applyAlignment="1">
      <alignment horizontal="center"/>
    </xf>
    <xf numFmtId="164" fontId="35" fillId="0" borderId="9" xfId="2" applyNumberFormat="1" applyFont="1" applyBorder="1" applyAlignment="1">
      <alignment horizontal="center"/>
    </xf>
    <xf numFmtId="164" fontId="38" fillId="0" borderId="7" xfId="2" applyNumberFormat="1" applyFont="1" applyBorder="1" applyAlignment="1">
      <alignment horizontal="center"/>
    </xf>
    <xf numFmtId="164" fontId="38" fillId="0" borderId="0" xfId="2" applyNumberFormat="1" applyFont="1" applyAlignment="1">
      <alignment horizontal="center"/>
    </xf>
    <xf numFmtId="164" fontId="35" fillId="0" borderId="0" xfId="2" applyNumberFormat="1" applyFont="1" applyAlignment="1">
      <alignment horizontal="center"/>
    </xf>
    <xf numFmtId="166" fontId="15" fillId="0" borderId="11" xfId="0" applyNumberFormat="1" applyFont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2" fillId="0" borderId="9" xfId="2" applyBorder="1"/>
    <xf numFmtId="0" fontId="0" fillId="0" borderId="5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0" borderId="34" xfId="0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0" fontId="2" fillId="0" borderId="21" xfId="2" applyBorder="1"/>
    <xf numFmtId="0" fontId="2" fillId="0" borderId="22" xfId="2" applyBorder="1"/>
    <xf numFmtId="0" fontId="2" fillId="0" borderId="27" xfId="2" applyBorder="1"/>
    <xf numFmtId="164" fontId="36" fillId="0" borderId="0" xfId="2" applyNumberFormat="1" applyFont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164" fontId="2" fillId="0" borderId="8" xfId="1" applyNumberFormat="1" applyFont="1" applyFill="1" applyBorder="1" applyAlignment="1">
      <alignment horizontal="center"/>
    </xf>
    <xf numFmtId="164" fontId="15" fillId="0" borderId="10" xfId="1" applyNumberFormat="1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0" fontId="20" fillId="0" borderId="27" xfId="0" applyFont="1" applyBorder="1" applyAlignment="1">
      <alignment horizontal="center" wrapText="1"/>
    </xf>
    <xf numFmtId="164" fontId="2" fillId="0" borderId="10" xfId="1" applyNumberFormat="1" applyFont="1" applyBorder="1"/>
    <xf numFmtId="164" fontId="2" fillId="0" borderId="12" xfId="1" applyNumberFormat="1" applyFont="1" applyBorder="1" applyAlignment="1">
      <alignment horizontal="center"/>
    </xf>
    <xf numFmtId="165" fontId="30" fillId="0" borderId="11" xfId="2" applyNumberFormat="1" applyFont="1" applyBorder="1" applyAlignment="1">
      <alignment horizontal="center"/>
    </xf>
    <xf numFmtId="165" fontId="30" fillId="0" borderId="12" xfId="2" applyNumberFormat="1" applyFont="1" applyBorder="1" applyAlignment="1">
      <alignment horizontal="center"/>
    </xf>
    <xf numFmtId="164" fontId="34" fillId="0" borderId="33" xfId="2" applyNumberFormat="1" applyFont="1" applyBorder="1" applyAlignment="1">
      <alignment horizontal="center"/>
    </xf>
    <xf numFmtId="164" fontId="35" fillId="0" borderId="11" xfId="2" applyNumberFormat="1" applyFont="1" applyBorder="1" applyAlignment="1">
      <alignment horizontal="center"/>
    </xf>
    <xf numFmtId="164" fontId="38" fillId="0" borderId="12" xfId="2" applyNumberFormat="1" applyFont="1" applyBorder="1" applyAlignment="1">
      <alignment horizontal="center"/>
    </xf>
    <xf numFmtId="164" fontId="37" fillId="0" borderId="12" xfId="2" applyNumberFormat="1" applyFont="1" applyBorder="1" applyAlignment="1">
      <alignment horizontal="center"/>
    </xf>
    <xf numFmtId="164" fontId="34" fillId="0" borderId="10" xfId="2" applyNumberFormat="1" applyFont="1" applyBorder="1" applyAlignment="1">
      <alignment horizontal="center"/>
    </xf>
    <xf numFmtId="164" fontId="36" fillId="0" borderId="10" xfId="2" applyNumberFormat="1" applyFont="1" applyBorder="1" applyAlignment="1">
      <alignment horizontal="center"/>
    </xf>
    <xf numFmtId="164" fontId="15" fillId="0" borderId="10" xfId="1" applyNumberFormat="1" applyFont="1" applyBorder="1"/>
    <xf numFmtId="164" fontId="2" fillId="0" borderId="10" xfId="1" applyNumberFormat="1" applyFont="1" applyFill="1" applyBorder="1" applyAlignment="1">
      <alignment horizontal="center"/>
    </xf>
    <xf numFmtId="165" fontId="30" fillId="0" borderId="10" xfId="2" applyNumberFormat="1" applyFont="1" applyBorder="1" applyAlignment="1">
      <alignment horizontal="center"/>
    </xf>
    <xf numFmtId="164" fontId="38" fillId="0" borderId="10" xfId="2" applyNumberFormat="1" applyFont="1" applyBorder="1" applyAlignment="1">
      <alignment horizontal="center"/>
    </xf>
    <xf numFmtId="0" fontId="2" fillId="0" borderId="33" xfId="2" applyBorder="1" applyAlignment="1">
      <alignment horizontal="center" wrapText="1"/>
    </xf>
    <xf numFmtId="164" fontId="35" fillId="0" borderId="12" xfId="2" applyNumberFormat="1" applyFont="1" applyBorder="1" applyAlignment="1">
      <alignment horizontal="center"/>
    </xf>
    <xf numFmtId="164" fontId="15" fillId="0" borderId="12" xfId="1" applyNumberFormat="1" applyFont="1" applyBorder="1"/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6" borderId="7" xfId="0" applyFill="1" applyBorder="1" applyAlignment="1">
      <alignment horizontal="center"/>
    </xf>
    <xf numFmtId="164" fontId="4" fillId="6" borderId="6" xfId="1" applyNumberFormat="1" applyFont="1" applyFill="1" applyBorder="1"/>
    <xf numFmtId="167" fontId="4" fillId="5" borderId="4" xfId="8" applyNumberFormat="1" applyFont="1" applyFill="1" applyBorder="1" applyAlignment="1"/>
    <xf numFmtId="167" fontId="4" fillId="5" borderId="20" xfId="8" applyNumberFormat="1" applyFont="1" applyFill="1" applyBorder="1" applyAlignment="1">
      <alignment horizontal="center"/>
    </xf>
    <xf numFmtId="167" fontId="4" fillId="5" borderId="19" xfId="8" applyNumberFormat="1" applyFont="1" applyFill="1" applyBorder="1" applyAlignment="1"/>
    <xf numFmtId="10" fontId="4" fillId="5" borderId="60" xfId="4" applyNumberFormat="1" applyFont="1" applyFill="1" applyBorder="1" applyAlignment="1">
      <alignment horizontal="center"/>
    </xf>
    <xf numFmtId="10" fontId="4" fillId="5" borderId="19" xfId="4" applyNumberFormat="1" applyFont="1" applyFill="1" applyBorder="1" applyAlignment="1">
      <alignment horizontal="center"/>
    </xf>
    <xf numFmtId="167" fontId="4" fillId="5" borderId="27" xfId="8" applyNumberFormat="1" applyFont="1" applyFill="1" applyBorder="1" applyAlignment="1">
      <alignment horizontal="center"/>
    </xf>
    <xf numFmtId="167" fontId="15" fillId="0" borderId="66" xfId="8" applyNumberFormat="1" applyFont="1" applyBorder="1" applyAlignment="1"/>
    <xf numFmtId="167" fontId="4" fillId="5" borderId="67" xfId="8" applyNumberFormat="1" applyFont="1" applyFill="1" applyBorder="1" applyAlignment="1">
      <alignment horizontal="center"/>
    </xf>
    <xf numFmtId="167" fontId="15" fillId="0" borderId="67" xfId="8" applyNumberFormat="1" applyFont="1" applyBorder="1" applyAlignment="1"/>
    <xf numFmtId="167" fontId="15" fillId="0" borderId="68" xfId="8" applyNumberFormat="1" applyFont="1" applyBorder="1" applyAlignment="1"/>
    <xf numFmtId="167" fontId="15" fillId="0" borderId="64" xfId="8" applyNumberFormat="1" applyFont="1" applyBorder="1" applyAlignment="1"/>
    <xf numFmtId="167" fontId="15" fillId="0" borderId="63" xfId="8" applyNumberFormat="1" applyFont="1" applyBorder="1" applyAlignment="1"/>
    <xf numFmtId="167" fontId="4" fillId="5" borderId="15" xfId="8" applyNumberFormat="1" applyFont="1" applyFill="1" applyBorder="1" applyAlignment="1">
      <alignment horizontal="center"/>
    </xf>
    <xf numFmtId="164" fontId="15" fillId="0" borderId="9" xfId="1" applyNumberFormat="1" applyFont="1" applyBorder="1"/>
    <xf numFmtId="0" fontId="3" fillId="0" borderId="5" xfId="5" applyFont="1" applyBorder="1" applyAlignment="1">
      <alignment horizontal="center" wrapText="1"/>
    </xf>
    <xf numFmtId="44" fontId="30" fillId="0" borderId="4" xfId="1" applyFont="1" applyFill="1" applyBorder="1" applyAlignment="1">
      <alignment horizontal="center"/>
    </xf>
    <xf numFmtId="164" fontId="4" fillId="5" borderId="41" xfId="6" applyNumberFormat="1" applyFont="1" applyFill="1" applyBorder="1" applyAlignment="1">
      <alignment horizontal="center"/>
    </xf>
    <xf numFmtId="0" fontId="19" fillId="0" borderId="3" xfId="0" applyFont="1" applyBorder="1"/>
    <xf numFmtId="0" fontId="19" fillId="0" borderId="69" xfId="0" applyFont="1" applyBorder="1"/>
    <xf numFmtId="0" fontId="19" fillId="0" borderId="43" xfId="0" applyFont="1" applyBorder="1"/>
    <xf numFmtId="0" fontId="19" fillId="0" borderId="42" xfId="0" applyFont="1" applyBorder="1"/>
    <xf numFmtId="0" fontId="0" fillId="0" borderId="36" xfId="0" applyBorder="1"/>
    <xf numFmtId="0" fontId="0" fillId="0" borderId="29" xfId="0" applyBorder="1"/>
    <xf numFmtId="0" fontId="4" fillId="5" borderId="36" xfId="0" applyFont="1" applyFill="1" applyBorder="1" applyAlignment="1">
      <alignment wrapText="1"/>
    </xf>
    <xf numFmtId="0" fontId="19" fillId="0" borderId="47" xfId="0" applyFont="1" applyBorder="1" applyAlignment="1">
      <alignment horizontal="center" wrapText="1"/>
    </xf>
    <xf numFmtId="0" fontId="19" fillId="0" borderId="47" xfId="0" applyFont="1" applyBorder="1" applyAlignment="1">
      <alignment horizontal="center"/>
    </xf>
    <xf numFmtId="0" fontId="15" fillId="0" borderId="0" xfId="0" applyFont="1" applyAlignment="1">
      <alignment horizontal="center"/>
    </xf>
    <xf numFmtId="165" fontId="21" fillId="0" borderId="0" xfId="4" applyNumberFormat="1" applyFont="1" applyBorder="1" applyAlignment="1">
      <alignment horizontal="center"/>
    </xf>
    <xf numFmtId="165" fontId="2" fillId="0" borderId="0" xfId="4" applyNumberFormat="1" applyFont="1" applyBorder="1" applyAlignment="1">
      <alignment horizontal="center"/>
    </xf>
    <xf numFmtId="165" fontId="4" fillId="0" borderId="34" xfId="4" applyNumberFormat="1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4" fillId="5" borderId="43" xfId="2" applyFont="1" applyFill="1" applyBorder="1" applyAlignment="1">
      <alignment horizontal="center"/>
    </xf>
    <xf numFmtId="164" fontId="4" fillId="5" borderId="13" xfId="1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4" fillId="0" borderId="0" xfId="3" applyFont="1" applyAlignment="1">
      <alignment horizontal="left"/>
    </xf>
    <xf numFmtId="10" fontId="4" fillId="0" borderId="0" xfId="4" applyNumberFormat="1" applyFont="1" applyFill="1" applyBorder="1" applyAlignment="1">
      <alignment horizontal="center"/>
    </xf>
    <xf numFmtId="9" fontId="27" fillId="0" borderId="0" xfId="4" applyFont="1" applyFill="1" applyBorder="1"/>
    <xf numFmtId="0" fontId="4" fillId="5" borderId="14" xfId="0" applyFont="1" applyFill="1" applyBorder="1" applyAlignment="1">
      <alignment wrapText="1"/>
    </xf>
    <xf numFmtId="164" fontId="15" fillId="0" borderId="6" xfId="1" applyNumberFormat="1" applyFont="1" applyFill="1" applyBorder="1" applyAlignment="1">
      <alignment horizontal="center"/>
    </xf>
    <xf numFmtId="0" fontId="3" fillId="0" borderId="5" xfId="5" applyFont="1" applyBorder="1" applyAlignment="1">
      <alignment horizontal="center"/>
    </xf>
    <xf numFmtId="0" fontId="3" fillId="0" borderId="4" xfId="5" applyFont="1" applyBorder="1" applyAlignment="1">
      <alignment horizontal="center"/>
    </xf>
    <xf numFmtId="0" fontId="3" fillId="0" borderId="0" xfId="5" applyFont="1" applyAlignment="1">
      <alignment horizontal="center"/>
    </xf>
    <xf numFmtId="0" fontId="18" fillId="0" borderId="73" xfId="0" applyFont="1" applyBorder="1" applyAlignment="1">
      <alignment horizontal="center" wrapText="1"/>
    </xf>
    <xf numFmtId="0" fontId="18" fillId="0" borderId="61" xfId="0" applyFont="1" applyBorder="1" applyAlignment="1">
      <alignment horizontal="center" wrapText="1"/>
    </xf>
    <xf numFmtId="0" fontId="19" fillId="0" borderId="19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164" fontId="30" fillId="0" borderId="4" xfId="1" applyNumberFormat="1" applyFont="1" applyFill="1" applyBorder="1" applyAlignment="1">
      <alignment horizontal="center"/>
    </xf>
    <xf numFmtId="44" fontId="30" fillId="3" borderId="4" xfId="1" applyFont="1" applyFill="1" applyBorder="1" applyAlignment="1">
      <alignment horizontal="center"/>
    </xf>
    <xf numFmtId="0" fontId="3" fillId="0" borderId="18" xfId="5" applyFont="1" applyBorder="1" applyAlignment="1">
      <alignment horizontal="center" wrapText="1"/>
    </xf>
    <xf numFmtId="167" fontId="4" fillId="5" borderId="1" xfId="0" applyNumberFormat="1" applyFont="1" applyFill="1" applyBorder="1" applyAlignment="1">
      <alignment horizontal="center"/>
    </xf>
    <xf numFmtId="10" fontId="4" fillId="5" borderId="1" xfId="4" applyNumberFormat="1" applyFont="1" applyFill="1" applyBorder="1" applyAlignment="1">
      <alignment horizontal="right"/>
    </xf>
    <xf numFmtId="0" fontId="15" fillId="0" borderId="18" xfId="0" applyFont="1" applyBorder="1"/>
    <xf numFmtId="0" fontId="2" fillId="0" borderId="34" xfId="2" applyBorder="1"/>
    <xf numFmtId="167" fontId="15" fillId="0" borderId="11" xfId="8" applyNumberFormat="1" applyFont="1" applyBorder="1" applyAlignment="1"/>
    <xf numFmtId="167" fontId="15" fillId="0" borderId="28" xfId="8" applyNumberFormat="1" applyFont="1" applyBorder="1" applyAlignment="1"/>
    <xf numFmtId="167" fontId="15" fillId="0" borderId="60" xfId="8" applyNumberFormat="1" applyFont="1" applyBorder="1" applyAlignment="1"/>
    <xf numFmtId="0" fontId="19" fillId="0" borderId="13" xfId="0" applyFont="1" applyBorder="1"/>
    <xf numFmtId="167" fontId="15" fillId="0" borderId="38" xfId="8" applyNumberFormat="1" applyFont="1" applyBorder="1" applyAlignment="1"/>
    <xf numFmtId="167" fontId="15" fillId="0" borderId="74" xfId="8" applyNumberFormat="1" applyFont="1" applyBorder="1" applyAlignment="1"/>
    <xf numFmtId="167" fontId="4" fillId="5" borderId="75" xfId="8" applyNumberFormat="1" applyFont="1" applyFill="1" applyBorder="1" applyAlignment="1">
      <alignment horizontal="center"/>
    </xf>
    <xf numFmtId="10" fontId="4" fillId="5" borderId="74" xfId="4" applyNumberFormat="1" applyFont="1" applyFill="1" applyBorder="1" applyAlignment="1">
      <alignment horizontal="center"/>
    </xf>
    <xf numFmtId="167" fontId="4" fillId="5" borderId="17" xfId="8" applyNumberFormat="1" applyFont="1" applyFill="1" applyBorder="1" applyAlignment="1">
      <alignment horizontal="center"/>
    </xf>
    <xf numFmtId="167" fontId="4" fillId="5" borderId="64" xfId="8" applyNumberFormat="1" applyFont="1" applyFill="1" applyBorder="1" applyAlignment="1">
      <alignment horizontal="center"/>
    </xf>
    <xf numFmtId="10" fontId="4" fillId="5" borderId="50" xfId="4" applyNumberFormat="1" applyFont="1" applyFill="1" applyBorder="1" applyAlignment="1">
      <alignment horizontal="center"/>
    </xf>
    <xf numFmtId="167" fontId="4" fillId="5" borderId="2" xfId="8" applyNumberFormat="1" applyFont="1" applyFill="1" applyBorder="1" applyAlignment="1">
      <alignment horizontal="center"/>
    </xf>
    <xf numFmtId="167" fontId="15" fillId="0" borderId="69" xfId="8" applyNumberFormat="1" applyFont="1" applyBorder="1" applyAlignment="1"/>
    <xf numFmtId="0" fontId="19" fillId="0" borderId="29" xfId="0" applyFont="1" applyBorder="1"/>
    <xf numFmtId="167" fontId="4" fillId="5" borderId="68" xfId="8" applyNumberFormat="1" applyFont="1" applyFill="1" applyBorder="1" applyAlignment="1">
      <alignment horizontal="center"/>
    </xf>
    <xf numFmtId="167" fontId="15" fillId="0" borderId="68" xfId="8" applyNumberFormat="1" applyFont="1" applyFill="1" applyBorder="1" applyAlignment="1"/>
    <xf numFmtId="167" fontId="4" fillId="5" borderId="27" xfId="8" applyNumberFormat="1" applyFont="1" applyFill="1" applyBorder="1" applyAlignment="1"/>
    <xf numFmtId="167" fontId="4" fillId="5" borderId="31" xfId="8" applyNumberFormat="1" applyFont="1" applyFill="1" applyBorder="1" applyAlignment="1"/>
    <xf numFmtId="0" fontId="4" fillId="5" borderId="36" xfId="0" applyFont="1" applyFill="1" applyBorder="1"/>
    <xf numFmtId="167" fontId="4" fillId="5" borderId="78" xfId="8" applyNumberFormat="1" applyFont="1" applyFill="1" applyBorder="1" applyAlignment="1">
      <alignment horizontal="center"/>
    </xf>
    <xf numFmtId="167" fontId="4" fillId="5" borderId="18" xfId="0" applyNumberFormat="1" applyFont="1" applyFill="1" applyBorder="1"/>
    <xf numFmtId="167" fontId="4" fillId="5" borderId="19" xfId="0" applyNumberFormat="1" applyFont="1" applyFill="1" applyBorder="1"/>
    <xf numFmtId="167" fontId="4" fillId="5" borderId="33" xfId="0" applyNumberFormat="1" applyFont="1" applyFill="1" applyBorder="1"/>
    <xf numFmtId="0" fontId="19" fillId="0" borderId="71" xfId="0" applyFont="1" applyBorder="1"/>
    <xf numFmtId="0" fontId="19" fillId="0" borderId="46" xfId="0" applyFont="1" applyBorder="1"/>
    <xf numFmtId="0" fontId="19" fillId="0" borderId="45" xfId="0" applyFont="1" applyBorder="1"/>
    <xf numFmtId="0" fontId="19" fillId="0" borderId="76" xfId="0" applyFont="1" applyBorder="1"/>
    <xf numFmtId="0" fontId="19" fillId="0" borderId="14" xfId="0" applyFont="1" applyBorder="1"/>
    <xf numFmtId="0" fontId="19" fillId="0" borderId="70" xfId="0" applyFont="1" applyBorder="1"/>
    <xf numFmtId="0" fontId="19" fillId="0" borderId="77" xfId="0" applyFont="1" applyBorder="1"/>
    <xf numFmtId="167" fontId="15" fillId="0" borderId="12" xfId="8" applyNumberFormat="1" applyFont="1" applyFill="1" applyBorder="1" applyAlignment="1"/>
    <xf numFmtId="0" fontId="19" fillId="0" borderId="44" xfId="0" applyFont="1" applyBorder="1"/>
    <xf numFmtId="167" fontId="15" fillId="0" borderId="39" xfId="8" applyNumberFormat="1" applyFont="1" applyBorder="1"/>
    <xf numFmtId="167" fontId="15" fillId="0" borderId="63" xfId="8" applyNumberFormat="1" applyFont="1" applyBorder="1"/>
    <xf numFmtId="167" fontId="15" fillId="0" borderId="0" xfId="8" applyNumberFormat="1" applyFont="1" applyBorder="1" applyAlignment="1"/>
    <xf numFmtId="167" fontId="15" fillId="0" borderId="61" xfId="8" applyNumberFormat="1" applyFont="1" applyBorder="1" applyAlignment="1"/>
    <xf numFmtId="167" fontId="15" fillId="0" borderId="73" xfId="8" applyNumberFormat="1" applyFont="1" applyBorder="1" applyAlignment="1"/>
    <xf numFmtId="167" fontId="15" fillId="0" borderId="2" xfId="8" applyNumberFormat="1" applyFont="1" applyBorder="1" applyAlignment="1"/>
    <xf numFmtId="167" fontId="15" fillId="0" borderId="13" xfId="8" applyNumberFormat="1" applyFont="1" applyBorder="1" applyAlignment="1"/>
    <xf numFmtId="167" fontId="15" fillId="0" borderId="48" xfId="8" applyNumberFormat="1" applyFont="1" applyBorder="1" applyAlignment="1"/>
    <xf numFmtId="167" fontId="15" fillId="0" borderId="43" xfId="8" applyNumberFormat="1" applyFont="1" applyBorder="1" applyAlignment="1"/>
    <xf numFmtId="167" fontId="4" fillId="5" borderId="48" xfId="8" applyNumberFormat="1" applyFont="1" applyFill="1" applyBorder="1" applyAlignment="1">
      <alignment horizontal="center"/>
    </xf>
    <xf numFmtId="0" fontId="4" fillId="5" borderId="27" xfId="0" applyFont="1" applyFill="1" applyBorder="1"/>
    <xf numFmtId="167" fontId="4" fillId="5" borderId="33" xfId="8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wrapText="1"/>
    </xf>
    <xf numFmtId="0" fontId="4" fillId="5" borderId="4" xfId="0" applyFont="1" applyFill="1" applyBorder="1" applyAlignment="1">
      <alignment horizontal="center"/>
    </xf>
    <xf numFmtId="167" fontId="0" fillId="0" borderId="0" xfId="8" applyNumberFormat="1" applyFont="1"/>
    <xf numFmtId="167" fontId="15" fillId="0" borderId="28" xfId="8" applyNumberFormat="1" applyFont="1" applyFill="1" applyBorder="1" applyAlignment="1"/>
    <xf numFmtId="167" fontId="15" fillId="0" borderId="23" xfId="8" applyNumberFormat="1" applyFont="1" applyFill="1" applyBorder="1" applyAlignment="1"/>
    <xf numFmtId="0" fontId="19" fillId="0" borderId="47" xfId="0" applyFont="1" applyBorder="1"/>
    <xf numFmtId="167" fontId="15" fillId="0" borderId="22" xfId="8" applyNumberFormat="1" applyFont="1" applyBorder="1" applyAlignment="1"/>
    <xf numFmtId="167" fontId="15" fillId="0" borderId="52" xfId="8" applyNumberFormat="1" applyFont="1" applyBorder="1" applyAlignment="1"/>
    <xf numFmtId="0" fontId="3" fillId="0" borderId="47" xfId="0" applyFont="1" applyBorder="1"/>
    <xf numFmtId="167" fontId="2" fillId="0" borderId="39" xfId="8" applyNumberFormat="1" applyFont="1" applyFill="1" applyBorder="1" applyAlignment="1"/>
    <xf numFmtId="167" fontId="2" fillId="0" borderId="65" xfId="8" applyNumberFormat="1" applyFont="1" applyFill="1" applyBorder="1" applyAlignment="1"/>
    <xf numFmtId="167" fontId="2" fillId="0" borderId="63" xfId="8" applyNumberFormat="1" applyFont="1" applyFill="1" applyBorder="1" applyAlignment="1"/>
    <xf numFmtId="167" fontId="2" fillId="0" borderId="72" xfId="8" applyNumberFormat="1" applyFont="1" applyFill="1" applyBorder="1" applyAlignment="1"/>
    <xf numFmtId="167" fontId="2" fillId="0" borderId="26" xfId="8" applyNumberFormat="1" applyFont="1" applyFill="1" applyBorder="1" applyAlignment="1"/>
    <xf numFmtId="167" fontId="2" fillId="0" borderId="50" xfId="8" applyNumberFormat="1" applyFont="1" applyFill="1" applyBorder="1" applyAlignment="1"/>
    <xf numFmtId="167" fontId="4" fillId="5" borderId="20" xfId="8" applyNumberFormat="1" applyFont="1" applyFill="1" applyBorder="1"/>
    <xf numFmtId="164" fontId="34" fillId="0" borderId="31" xfId="2" applyNumberFormat="1" applyFont="1" applyBorder="1" applyAlignment="1">
      <alignment horizontal="center"/>
    </xf>
    <xf numFmtId="164" fontId="37" fillId="0" borderId="9" xfId="2" applyNumberFormat="1" applyFont="1" applyBorder="1" applyAlignment="1">
      <alignment horizontal="center"/>
    </xf>
    <xf numFmtId="164" fontId="36" fillId="0" borderId="7" xfId="2" applyNumberFormat="1" applyFont="1" applyBorder="1" applyAlignment="1">
      <alignment horizontal="center"/>
    </xf>
    <xf numFmtId="167" fontId="15" fillId="0" borderId="20" xfId="0" applyNumberFormat="1" applyFont="1" applyBorder="1"/>
    <xf numFmtId="167" fontId="15" fillId="0" borderId="18" xfId="0" applyNumberFormat="1" applyFont="1" applyBorder="1"/>
    <xf numFmtId="167" fontId="15" fillId="0" borderId="33" xfId="0" applyNumberFormat="1" applyFont="1" applyBorder="1"/>
    <xf numFmtId="167" fontId="15" fillId="0" borderId="35" xfId="0" applyNumberFormat="1" applyFont="1" applyBorder="1"/>
    <xf numFmtId="0" fontId="19" fillId="0" borderId="35" xfId="0" applyFont="1" applyBorder="1" applyAlignment="1">
      <alignment horizontal="center" wrapText="1"/>
    </xf>
    <xf numFmtId="167" fontId="15" fillId="0" borderId="20" xfId="8" applyNumberFormat="1" applyFont="1" applyFill="1" applyBorder="1" applyAlignment="1"/>
    <xf numFmtId="167" fontId="15" fillId="0" borderId="18" xfId="8" applyNumberFormat="1" applyFont="1" applyBorder="1"/>
    <xf numFmtId="167" fontId="15" fillId="0" borderId="19" xfId="8" applyNumberFormat="1" applyFont="1" applyBorder="1"/>
    <xf numFmtId="9" fontId="4" fillId="5" borderId="54" xfId="4" applyFont="1" applyFill="1" applyBorder="1"/>
    <xf numFmtId="164" fontId="30" fillId="0" borderId="4" xfId="5" applyNumberFormat="1" applyFont="1" applyBorder="1" applyAlignment="1">
      <alignment horizontal="center"/>
    </xf>
    <xf numFmtId="0" fontId="3" fillId="8" borderId="21" xfId="5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14" xfId="0" applyBorder="1" applyAlignment="1">
      <alignment horizontal="center"/>
    </xf>
    <xf numFmtId="164" fontId="30" fillId="8" borderId="27" xfId="5" applyNumberFormat="1" applyFont="1" applyFill="1" applyBorder="1" applyAlignment="1">
      <alignment horizontal="center"/>
    </xf>
    <xf numFmtId="164" fontId="30" fillId="8" borderId="34" xfId="5" applyNumberFormat="1" applyFont="1" applyFill="1" applyBorder="1" applyAlignment="1">
      <alignment horizontal="center"/>
    </xf>
    <xf numFmtId="164" fontId="30" fillId="8" borderId="52" xfId="0" applyNumberFormat="1" applyFont="1" applyFill="1" applyBorder="1" applyAlignment="1">
      <alignment horizontal="center" wrapText="1"/>
    </xf>
    <xf numFmtId="164" fontId="30" fillId="8" borderId="22" xfId="0" applyNumberFormat="1" applyFont="1" applyFill="1" applyBorder="1" applyAlignment="1">
      <alignment horizontal="center" wrapText="1"/>
    </xf>
    <xf numFmtId="167" fontId="4" fillId="5" borderId="4" xfId="8" applyNumberFormat="1" applyFont="1" applyFill="1" applyBorder="1"/>
    <xf numFmtId="164" fontId="30" fillId="0" borderId="6" xfId="0" applyNumberFormat="1" applyFont="1" applyBorder="1" applyAlignment="1">
      <alignment horizontal="center"/>
    </xf>
    <xf numFmtId="0" fontId="4" fillId="9" borderId="20" xfId="3" applyFont="1" applyFill="1" applyBorder="1" applyAlignment="1">
      <alignment horizontal="left"/>
    </xf>
    <xf numFmtId="167" fontId="4" fillId="9" borderId="52" xfId="8" applyNumberFormat="1" applyFont="1" applyFill="1" applyBorder="1" applyAlignment="1">
      <alignment horizontal="center"/>
    </xf>
    <xf numFmtId="167" fontId="4" fillId="9" borderId="20" xfId="8" applyNumberFormat="1" applyFont="1" applyFill="1" applyBorder="1"/>
    <xf numFmtId="0" fontId="4" fillId="9" borderId="19" xfId="3" applyFont="1" applyFill="1" applyBorder="1" applyAlignment="1">
      <alignment horizontal="left"/>
    </xf>
    <xf numFmtId="10" fontId="4" fillId="9" borderId="51" xfId="4" applyNumberFormat="1" applyFont="1" applyFill="1" applyBorder="1" applyAlignment="1">
      <alignment horizontal="center"/>
    </xf>
    <xf numFmtId="9" fontId="4" fillId="9" borderId="54" xfId="4" applyFont="1" applyFill="1" applyBorder="1"/>
    <xf numFmtId="0" fontId="4" fillId="9" borderId="14" xfId="0" applyFont="1" applyFill="1" applyBorder="1" applyAlignment="1">
      <alignment wrapText="1"/>
    </xf>
    <xf numFmtId="167" fontId="4" fillId="9" borderId="12" xfId="8" applyNumberFormat="1" applyFont="1" applyFill="1" applyBorder="1" applyAlignment="1"/>
    <xf numFmtId="167" fontId="4" fillId="9" borderId="22" xfId="8" applyNumberFormat="1" applyFont="1" applyFill="1" applyBorder="1" applyAlignment="1">
      <alignment horizontal="center"/>
    </xf>
    <xf numFmtId="10" fontId="4" fillId="9" borderId="54" xfId="4" applyNumberFormat="1" applyFont="1" applyFill="1" applyBorder="1" applyAlignment="1">
      <alignment horizontal="center"/>
    </xf>
    <xf numFmtId="0" fontId="19" fillId="0" borderId="46" xfId="0" applyFont="1" applyBorder="1" applyAlignment="1">
      <alignment wrapText="1"/>
    </xf>
    <xf numFmtId="0" fontId="19" fillId="0" borderId="77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19" fillId="0" borderId="76" xfId="0" applyFont="1" applyBorder="1" applyAlignment="1">
      <alignment wrapText="1"/>
    </xf>
    <xf numFmtId="167" fontId="4" fillId="9" borderId="55" xfId="8" applyNumberFormat="1" applyFont="1" applyFill="1" applyBorder="1" applyAlignment="1">
      <alignment horizontal="center"/>
    </xf>
    <xf numFmtId="167" fontId="4" fillId="9" borderId="56" xfId="8" applyNumberFormat="1" applyFont="1" applyFill="1" applyBorder="1" applyAlignment="1">
      <alignment horizontal="center"/>
    </xf>
    <xf numFmtId="167" fontId="4" fillId="9" borderId="20" xfId="8" applyNumberFormat="1" applyFont="1" applyFill="1" applyBorder="1" applyAlignment="1">
      <alignment horizontal="center"/>
    </xf>
    <xf numFmtId="167" fontId="4" fillId="9" borderId="2" xfId="8" applyNumberFormat="1" applyFont="1" applyFill="1" applyBorder="1" applyAlignment="1">
      <alignment horizontal="center"/>
    </xf>
    <xf numFmtId="167" fontId="4" fillId="9" borderId="67" xfId="8" applyNumberFormat="1" applyFont="1" applyFill="1" applyBorder="1" applyAlignment="1">
      <alignment horizontal="center"/>
    </xf>
    <xf numFmtId="167" fontId="4" fillId="9" borderId="78" xfId="8" applyNumberFormat="1" applyFont="1" applyFill="1" applyBorder="1" applyAlignment="1">
      <alignment horizontal="center"/>
    </xf>
    <xf numFmtId="167" fontId="4" fillId="9" borderId="75" xfId="8" applyNumberFormat="1" applyFont="1" applyFill="1" applyBorder="1" applyAlignment="1">
      <alignment horizontal="center"/>
    </xf>
    <xf numFmtId="167" fontId="4" fillId="9" borderId="64" xfId="8" applyNumberFormat="1" applyFont="1" applyFill="1" applyBorder="1" applyAlignment="1">
      <alignment horizontal="center"/>
    </xf>
    <xf numFmtId="167" fontId="4" fillId="9" borderId="48" xfId="8" applyNumberFormat="1" applyFont="1" applyFill="1" applyBorder="1" applyAlignment="1">
      <alignment horizontal="center"/>
    </xf>
    <xf numFmtId="167" fontId="4" fillId="9" borderId="15" xfId="8" applyNumberFormat="1" applyFont="1" applyFill="1" applyBorder="1" applyAlignment="1">
      <alignment horizontal="center"/>
    </xf>
    <xf numFmtId="167" fontId="4" fillId="9" borderId="68" xfId="8" applyNumberFormat="1" applyFont="1" applyFill="1" applyBorder="1" applyAlignment="1">
      <alignment horizontal="center"/>
    </xf>
    <xf numFmtId="167" fontId="4" fillId="9" borderId="17" xfId="8" applyNumberFormat="1" applyFont="1" applyFill="1" applyBorder="1" applyAlignment="1">
      <alignment horizontal="center"/>
    </xf>
    <xf numFmtId="165" fontId="4" fillId="9" borderId="53" xfId="4" applyNumberFormat="1" applyFont="1" applyFill="1" applyBorder="1" applyAlignment="1">
      <alignment horizontal="center"/>
    </xf>
    <xf numFmtId="165" fontId="4" fillId="9" borderId="49" xfId="4" applyNumberFormat="1" applyFont="1" applyFill="1" applyBorder="1" applyAlignment="1">
      <alignment horizontal="center"/>
    </xf>
    <xf numFmtId="10" fontId="4" fillId="9" borderId="53" xfId="4" applyNumberFormat="1" applyFont="1" applyFill="1" applyBorder="1" applyAlignment="1">
      <alignment horizontal="center"/>
    </xf>
    <xf numFmtId="10" fontId="4" fillId="9" borderId="60" xfId="4" applyNumberFormat="1" applyFont="1" applyFill="1" applyBorder="1" applyAlignment="1">
      <alignment horizontal="center"/>
    </xf>
    <xf numFmtId="10" fontId="4" fillId="9" borderId="74" xfId="4" applyNumberFormat="1" applyFont="1" applyFill="1" applyBorder="1" applyAlignment="1">
      <alignment horizontal="center"/>
    </xf>
    <xf numFmtId="10" fontId="4" fillId="9" borderId="49" xfId="4" applyNumberFormat="1" applyFont="1" applyFill="1" applyBorder="1" applyAlignment="1">
      <alignment horizontal="center"/>
    </xf>
    <xf numFmtId="10" fontId="4" fillId="9" borderId="50" xfId="4" applyNumberFormat="1" applyFont="1" applyFill="1" applyBorder="1" applyAlignment="1">
      <alignment horizontal="center"/>
    </xf>
    <xf numFmtId="10" fontId="4" fillId="9" borderId="19" xfId="4" applyNumberFormat="1" applyFont="1" applyFill="1" applyBorder="1" applyAlignment="1">
      <alignment horizontal="center"/>
    </xf>
    <xf numFmtId="9" fontId="4" fillId="9" borderId="19" xfId="4" applyFont="1" applyFill="1" applyBorder="1"/>
    <xf numFmtId="0" fontId="4" fillId="9" borderId="1" xfId="0" applyFont="1" applyFill="1" applyBorder="1"/>
    <xf numFmtId="167" fontId="4" fillId="9" borderId="1" xfId="0" applyNumberFormat="1" applyFont="1" applyFill="1" applyBorder="1"/>
    <xf numFmtId="167" fontId="4" fillId="9" borderId="1" xfId="0" applyNumberFormat="1" applyFont="1" applyFill="1" applyBorder="1" applyAlignment="1">
      <alignment horizontal="center"/>
    </xf>
    <xf numFmtId="10" fontId="4" fillId="9" borderId="1" xfId="4" applyNumberFormat="1" applyFont="1" applyFill="1" applyBorder="1"/>
    <xf numFmtId="10" fontId="4" fillId="9" borderId="1" xfId="4" applyNumberFormat="1" applyFont="1" applyFill="1" applyBorder="1" applyAlignment="1">
      <alignment horizontal="right"/>
    </xf>
    <xf numFmtId="0" fontId="4" fillId="9" borderId="27" xfId="0" applyFont="1" applyFill="1" applyBorder="1"/>
    <xf numFmtId="0" fontId="4" fillId="9" borderId="35" xfId="0" applyFont="1" applyFill="1" applyBorder="1"/>
    <xf numFmtId="0" fontId="4" fillId="9" borderId="36" xfId="0" applyFont="1" applyFill="1" applyBorder="1"/>
    <xf numFmtId="167" fontId="4" fillId="9" borderId="17" xfId="8" applyNumberFormat="1" applyFont="1" applyFill="1" applyBorder="1" applyAlignment="1"/>
    <xf numFmtId="0" fontId="4" fillId="9" borderId="14" xfId="0" applyFont="1" applyFill="1" applyBorder="1"/>
    <xf numFmtId="0" fontId="19" fillId="0" borderId="14" xfId="0" applyFont="1" applyBorder="1" applyAlignment="1">
      <alignment wrapText="1"/>
    </xf>
    <xf numFmtId="0" fontId="4" fillId="9" borderId="36" xfId="0" applyFont="1" applyFill="1" applyBorder="1" applyAlignment="1">
      <alignment wrapText="1"/>
    </xf>
    <xf numFmtId="167" fontId="4" fillId="9" borderId="20" xfId="8" applyNumberFormat="1" applyFont="1" applyFill="1" applyBorder="1" applyAlignment="1"/>
    <xf numFmtId="167" fontId="4" fillId="9" borderId="20" xfId="0" applyNumberFormat="1" applyFont="1" applyFill="1" applyBorder="1"/>
    <xf numFmtId="167" fontId="4" fillId="9" borderId="18" xfId="8" applyNumberFormat="1" applyFont="1" applyFill="1" applyBorder="1" applyAlignment="1"/>
    <xf numFmtId="167" fontId="4" fillId="9" borderId="18" xfId="0" applyNumberFormat="1" applyFont="1" applyFill="1" applyBorder="1"/>
    <xf numFmtId="167" fontId="4" fillId="9" borderId="33" xfId="8" applyNumberFormat="1" applyFont="1" applyFill="1" applyBorder="1" applyAlignment="1"/>
    <xf numFmtId="167" fontId="4" fillId="9" borderId="27" xfId="8" applyNumberFormat="1" applyFont="1" applyFill="1" applyBorder="1" applyAlignment="1"/>
    <xf numFmtId="167" fontId="4" fillId="9" borderId="31" xfId="8" applyNumberFormat="1" applyFont="1" applyFill="1" applyBorder="1" applyAlignment="1"/>
    <xf numFmtId="167" fontId="4" fillId="9" borderId="4" xfId="8" applyNumberFormat="1" applyFont="1" applyFill="1" applyBorder="1" applyAlignment="1"/>
    <xf numFmtId="167" fontId="4" fillId="9" borderId="19" xfId="8" applyNumberFormat="1" applyFont="1" applyFill="1" applyBorder="1" applyAlignment="1"/>
    <xf numFmtId="0" fontId="4" fillId="9" borderId="4" xfId="0" applyFont="1" applyFill="1" applyBorder="1" applyAlignment="1">
      <alignment wrapText="1"/>
    </xf>
    <xf numFmtId="0" fontId="4" fillId="9" borderId="4" xfId="0" applyFont="1" applyFill="1" applyBorder="1" applyAlignment="1">
      <alignment horizontal="center"/>
    </xf>
    <xf numFmtId="167" fontId="4" fillId="9" borderId="19" xfId="0" applyNumberFormat="1" applyFont="1" applyFill="1" applyBorder="1"/>
    <xf numFmtId="167" fontId="4" fillId="9" borderId="20" xfId="8" applyNumberFormat="1" applyFont="1" applyFill="1" applyBorder="1" applyAlignment="1">
      <alignment horizontal="center" vertical="center"/>
    </xf>
    <xf numFmtId="165" fontId="4" fillId="9" borderId="24" xfId="4" applyNumberFormat="1" applyFont="1" applyFill="1" applyBorder="1" applyAlignment="1">
      <alignment horizontal="center"/>
    </xf>
    <xf numFmtId="165" fontId="4" fillId="9" borderId="54" xfId="4" applyNumberFormat="1" applyFont="1" applyFill="1" applyBorder="1" applyAlignment="1">
      <alignment horizontal="center"/>
    </xf>
    <xf numFmtId="165" fontId="38" fillId="0" borderId="20" xfId="3" applyNumberFormat="1" applyFont="1" applyBorder="1" applyAlignment="1">
      <alignment horizontal="center"/>
    </xf>
    <xf numFmtId="165" fontId="38" fillId="0" borderId="18" xfId="3" applyNumberFormat="1" applyFont="1" applyBorder="1" applyAlignment="1">
      <alignment horizontal="center"/>
    </xf>
    <xf numFmtId="0" fontId="4" fillId="9" borderId="58" xfId="2" applyFont="1" applyFill="1" applyBorder="1" applyAlignment="1">
      <alignment horizontal="center"/>
    </xf>
    <xf numFmtId="164" fontId="4" fillId="9" borderId="0" xfId="1" applyNumberFormat="1" applyFont="1" applyFill="1" applyBorder="1" applyAlignment="1">
      <alignment horizontal="center"/>
    </xf>
    <xf numFmtId="164" fontId="38" fillId="0" borderId="0" xfId="0" applyNumberFormat="1" applyFont="1" applyAlignment="1">
      <alignment horizontal="center"/>
    </xf>
    <xf numFmtId="0" fontId="4" fillId="9" borderId="36" xfId="0" applyFont="1" applyFill="1" applyBorder="1" applyAlignment="1">
      <alignment horizontal="center"/>
    </xf>
    <xf numFmtId="164" fontId="4" fillId="9" borderId="36" xfId="0" applyNumberFormat="1" applyFont="1" applyFill="1" applyBorder="1" applyAlignment="1">
      <alignment horizontal="center"/>
    </xf>
    <xf numFmtId="164" fontId="4" fillId="9" borderId="1" xfId="0" applyNumberFormat="1" applyFont="1" applyFill="1" applyBorder="1" applyAlignment="1">
      <alignment horizontal="center"/>
    </xf>
    <xf numFmtId="164" fontId="37" fillId="0" borderId="10" xfId="0" applyNumberFormat="1" applyFont="1" applyBorder="1"/>
    <xf numFmtId="164" fontId="37" fillId="0" borderId="33" xfId="0" applyNumberFormat="1" applyFont="1" applyBorder="1" applyAlignment="1">
      <alignment horizontal="center"/>
    </xf>
    <xf numFmtId="164" fontId="38" fillId="0" borderId="33" xfId="0" applyNumberFormat="1" applyFont="1" applyBorder="1" applyAlignment="1">
      <alignment horizontal="center"/>
    </xf>
    <xf numFmtId="164" fontId="37" fillId="0" borderId="32" xfId="0" applyNumberFormat="1" applyFont="1" applyBorder="1"/>
    <xf numFmtId="164" fontId="37" fillId="0" borderId="18" xfId="0" applyNumberFormat="1" applyFont="1" applyBorder="1" applyAlignment="1">
      <alignment horizontal="center"/>
    </xf>
    <xf numFmtId="164" fontId="37" fillId="0" borderId="7" xfId="0" applyNumberFormat="1" applyFont="1" applyBorder="1"/>
    <xf numFmtId="164" fontId="37" fillId="0" borderId="31" xfId="0" applyNumberFormat="1" applyFont="1" applyBorder="1" applyAlignment="1">
      <alignment horizontal="center"/>
    </xf>
    <xf numFmtId="165" fontId="41" fillId="0" borderId="35" xfId="4" applyNumberFormat="1" applyFont="1" applyFill="1" applyBorder="1" applyAlignment="1">
      <alignment horizontal="center"/>
    </xf>
    <xf numFmtId="164" fontId="38" fillId="0" borderId="8" xfId="0" applyNumberFormat="1" applyFont="1" applyBorder="1" applyAlignment="1">
      <alignment horizontal="center"/>
    </xf>
    <xf numFmtId="164" fontId="38" fillId="0" borderId="9" xfId="0" applyNumberFormat="1" applyFont="1" applyBorder="1" applyAlignment="1">
      <alignment horizontal="center"/>
    </xf>
    <xf numFmtId="164" fontId="38" fillId="0" borderId="6" xfId="0" applyNumberFormat="1" applyFont="1" applyBorder="1" applyAlignment="1">
      <alignment horizontal="center"/>
    </xf>
    <xf numFmtId="0" fontId="4" fillId="9" borderId="43" xfId="2" applyFont="1" applyFill="1" applyBorder="1" applyAlignment="1">
      <alignment horizontal="center"/>
    </xf>
    <xf numFmtId="164" fontId="4" fillId="9" borderId="13" xfId="1" applyNumberFormat="1" applyFont="1" applyFill="1" applyBorder="1" applyAlignment="1">
      <alignment horizontal="center"/>
    </xf>
    <xf numFmtId="0" fontId="4" fillId="9" borderId="40" xfId="5" applyFont="1" applyFill="1" applyBorder="1" applyAlignment="1">
      <alignment horizontal="center" wrapText="1"/>
    </xf>
    <xf numFmtId="44" fontId="4" fillId="9" borderId="41" xfId="6" applyFont="1" applyFill="1" applyBorder="1" applyAlignment="1">
      <alignment horizontal="center"/>
    </xf>
    <xf numFmtId="166" fontId="38" fillId="8" borderId="21" xfId="5" applyNumberFormat="1" applyFont="1" applyFill="1" applyBorder="1" applyAlignment="1">
      <alignment horizontal="center"/>
    </xf>
    <xf numFmtId="0" fontId="38" fillId="8" borderId="22" xfId="0" applyFont="1" applyFill="1" applyBorder="1"/>
    <xf numFmtId="164" fontId="38" fillId="8" borderId="21" xfId="5" applyNumberFormat="1" applyFont="1" applyFill="1" applyBorder="1" applyAlignment="1">
      <alignment horizontal="center"/>
    </xf>
    <xf numFmtId="164" fontId="4" fillId="9" borderId="79" xfId="6" applyNumberFormat="1" applyFont="1" applyFill="1" applyBorder="1" applyAlignment="1">
      <alignment horizontal="center"/>
    </xf>
    <xf numFmtId="44" fontId="4" fillId="9" borderId="80" xfId="6" applyFont="1" applyFill="1" applyBorder="1" applyAlignment="1">
      <alignment horizontal="center"/>
    </xf>
    <xf numFmtId="43" fontId="0" fillId="0" borderId="0" xfId="0" applyNumberFormat="1"/>
    <xf numFmtId="0" fontId="15" fillId="0" borderId="33" xfId="0" applyFont="1" applyBorder="1"/>
    <xf numFmtId="0" fontId="27" fillId="5" borderId="19" xfId="0" applyFont="1" applyFill="1" applyBorder="1"/>
    <xf numFmtId="164" fontId="30" fillId="8" borderId="27" xfId="1" applyNumberFormat="1" applyFont="1" applyFill="1" applyBorder="1"/>
    <xf numFmtId="0" fontId="18" fillId="0" borderId="69" xfId="0" applyFont="1" applyBorder="1" applyAlignment="1">
      <alignment horizontal="center" wrapText="1"/>
    </xf>
    <xf numFmtId="0" fontId="42" fillId="8" borderId="0" xfId="0" applyFont="1" applyFill="1"/>
    <xf numFmtId="164" fontId="38" fillId="8" borderId="27" xfId="1" applyNumberFormat="1" applyFont="1" applyFill="1" applyBorder="1"/>
    <xf numFmtId="164" fontId="38" fillId="8" borderId="27" xfId="5" applyNumberFormat="1" applyFont="1" applyFill="1" applyBorder="1" applyAlignment="1">
      <alignment horizontal="center"/>
    </xf>
    <xf numFmtId="164" fontId="38" fillId="8" borderId="34" xfId="5" applyNumberFormat="1" applyFont="1" applyFill="1" applyBorder="1" applyAlignment="1">
      <alignment horizontal="center"/>
    </xf>
    <xf numFmtId="165" fontId="41" fillId="8" borderId="34" xfId="4" applyNumberFormat="1" applyFont="1" applyFill="1" applyBorder="1" applyAlignment="1">
      <alignment horizontal="center"/>
    </xf>
    <xf numFmtId="2" fontId="38" fillId="8" borderId="68" xfId="5" applyNumberFormat="1" applyFont="1" applyFill="1" applyBorder="1" applyAlignment="1">
      <alignment horizontal="center" wrapText="1"/>
    </xf>
    <xf numFmtId="164" fontId="38" fillId="8" borderId="52" xfId="0" applyNumberFormat="1" applyFont="1" applyFill="1" applyBorder="1" applyAlignment="1">
      <alignment horizontal="center" wrapText="1"/>
    </xf>
    <xf numFmtId="164" fontId="38" fillId="8" borderId="22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165" fontId="4" fillId="9" borderId="9" xfId="4" applyNumberFormat="1" applyFont="1" applyFill="1" applyBorder="1" applyAlignment="1">
      <alignment horizontal="center"/>
    </xf>
    <xf numFmtId="164" fontId="15" fillId="0" borderId="0" xfId="1" applyNumberFormat="1" applyFont="1" applyFill="1"/>
    <xf numFmtId="44" fontId="4" fillId="9" borderId="83" xfId="6" applyFont="1" applyFill="1" applyBorder="1" applyAlignment="1">
      <alignment horizontal="center"/>
    </xf>
    <xf numFmtId="164" fontId="4" fillId="6" borderId="7" xfId="1" applyNumberFormat="1" applyFont="1" applyFill="1" applyBorder="1" applyAlignment="1">
      <alignment horizontal="center"/>
    </xf>
    <xf numFmtId="166" fontId="38" fillId="0" borderId="5" xfId="5" applyNumberFormat="1" applyFont="1" applyBorder="1" applyAlignment="1">
      <alignment horizontal="center"/>
    </xf>
    <xf numFmtId="164" fontId="38" fillId="0" borderId="4" xfId="5" applyNumberFormat="1" applyFont="1" applyBorder="1" applyAlignment="1">
      <alignment horizontal="center"/>
    </xf>
    <xf numFmtId="164" fontId="38" fillId="0" borderId="0" xfId="5" applyNumberFormat="1" applyFont="1" applyAlignment="1">
      <alignment horizontal="center"/>
    </xf>
    <xf numFmtId="166" fontId="38" fillId="0" borderId="5" xfId="0" applyNumberFormat="1" applyFont="1" applyBorder="1" applyAlignment="1">
      <alignment horizontal="center"/>
    </xf>
    <xf numFmtId="166" fontId="38" fillId="0" borderId="3" xfId="0" applyNumberFormat="1" applyFont="1" applyBorder="1" applyAlignment="1">
      <alignment horizontal="center"/>
    </xf>
    <xf numFmtId="164" fontId="38" fillId="0" borderId="68" xfId="0" applyNumberFormat="1" applyFont="1" applyBorder="1" applyAlignment="1">
      <alignment horizontal="center" wrapText="1"/>
    </xf>
    <xf numFmtId="164" fontId="38" fillId="0" borderId="6" xfId="0" applyNumberFormat="1" applyFont="1" applyBorder="1" applyAlignment="1">
      <alignment horizontal="center" wrapText="1"/>
    </xf>
    <xf numFmtId="166" fontId="30" fillId="0" borderId="5" xfId="5" applyNumberFormat="1" applyFont="1" applyBorder="1" applyAlignment="1">
      <alignment horizontal="center"/>
    </xf>
    <xf numFmtId="10" fontId="30" fillId="0" borderId="0" xfId="4" applyNumberFormat="1" applyFont="1" applyFill="1"/>
    <xf numFmtId="10" fontId="30" fillId="0" borderId="0" xfId="4" applyNumberFormat="1" applyFont="1"/>
    <xf numFmtId="166" fontId="30" fillId="0" borderId="5" xfId="0" applyNumberFormat="1" applyFont="1" applyBorder="1" applyAlignment="1">
      <alignment horizontal="center"/>
    </xf>
    <xf numFmtId="166" fontId="30" fillId="0" borderId="3" xfId="0" applyNumberFormat="1" applyFont="1" applyBorder="1" applyAlignment="1">
      <alignment horizontal="center"/>
    </xf>
    <xf numFmtId="164" fontId="30" fillId="0" borderId="0" xfId="5" applyNumberFormat="1" applyFont="1" applyAlignment="1">
      <alignment horizontal="center"/>
    </xf>
    <xf numFmtId="164" fontId="30" fillId="0" borderId="68" xfId="0" applyNumberFormat="1" applyFont="1" applyBorder="1" applyAlignment="1">
      <alignment horizontal="center" wrapText="1"/>
    </xf>
    <xf numFmtId="164" fontId="30" fillId="0" borderId="6" xfId="0" applyNumberFormat="1" applyFont="1" applyBorder="1" applyAlignment="1">
      <alignment horizontal="center" wrapText="1"/>
    </xf>
    <xf numFmtId="2" fontId="30" fillId="11" borderId="68" xfId="5" applyNumberFormat="1" applyFont="1" applyFill="1" applyBorder="1" applyAlignment="1">
      <alignment horizontal="center" wrapText="1"/>
    </xf>
    <xf numFmtId="44" fontId="30" fillId="3" borderId="4" xfId="1" applyFont="1" applyFill="1" applyBorder="1" applyAlignment="1"/>
    <xf numFmtId="44" fontId="38" fillId="3" borderId="4" xfId="1" applyFont="1" applyFill="1" applyBorder="1" applyAlignment="1"/>
    <xf numFmtId="44" fontId="38" fillId="3" borderId="4" xfId="1" applyFont="1" applyFill="1" applyBorder="1" applyAlignment="1">
      <alignment horizontal="center"/>
    </xf>
    <xf numFmtId="164" fontId="38" fillId="0" borderId="4" xfId="1" applyNumberFormat="1" applyFont="1" applyFill="1" applyBorder="1" applyAlignment="1">
      <alignment horizontal="center"/>
    </xf>
    <xf numFmtId="44" fontId="38" fillId="0" borderId="4" xfId="1" applyFont="1" applyFill="1" applyBorder="1" applyAlignment="1">
      <alignment horizontal="center"/>
    </xf>
    <xf numFmtId="2" fontId="38" fillId="11" borderId="68" xfId="5" applyNumberFormat="1" applyFont="1" applyFill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166" fontId="4" fillId="9" borderId="44" xfId="0" applyNumberFormat="1" applyFont="1" applyFill="1" applyBorder="1"/>
    <xf numFmtId="0" fontId="4" fillId="9" borderId="44" xfId="0" applyFont="1" applyFill="1" applyBorder="1"/>
    <xf numFmtId="164" fontId="4" fillId="9" borderId="44" xfId="0" applyNumberFormat="1" applyFont="1" applyFill="1" applyBorder="1"/>
    <xf numFmtId="164" fontId="4" fillId="9" borderId="29" xfId="0" applyNumberFormat="1" applyFont="1" applyFill="1" applyBorder="1"/>
    <xf numFmtId="166" fontId="4" fillId="5" borderId="44" xfId="0" applyNumberFormat="1" applyFont="1" applyFill="1" applyBorder="1"/>
    <xf numFmtId="0" fontId="4" fillId="5" borderId="44" xfId="0" applyFont="1" applyFill="1" applyBorder="1"/>
    <xf numFmtId="164" fontId="4" fillId="5" borderId="44" xfId="0" applyNumberFormat="1" applyFont="1" applyFill="1" applyBorder="1"/>
    <xf numFmtId="164" fontId="4" fillId="5" borderId="29" xfId="0" applyNumberFormat="1" applyFont="1" applyFill="1" applyBorder="1"/>
    <xf numFmtId="44" fontId="30" fillId="0" borderId="84" xfId="1" applyFont="1" applyFill="1" applyBorder="1" applyAlignment="1">
      <alignment horizontal="center"/>
    </xf>
    <xf numFmtId="44" fontId="38" fillId="0" borderId="84" xfId="1" applyFont="1" applyFill="1" applyBorder="1" applyAlignment="1">
      <alignment horizontal="center"/>
    </xf>
    <xf numFmtId="0" fontId="4" fillId="9" borderId="20" xfId="5" applyFont="1" applyFill="1" applyBorder="1" applyAlignment="1">
      <alignment horizontal="center" vertical="center" wrapText="1"/>
    </xf>
    <xf numFmtId="0" fontId="4" fillId="5" borderId="19" xfId="3" applyFont="1" applyFill="1" applyBorder="1" applyAlignment="1">
      <alignment horizontal="left" wrapText="1"/>
    </xf>
    <xf numFmtId="165" fontId="4" fillId="5" borderId="19" xfId="3" applyNumberFormat="1" applyFont="1" applyFill="1" applyBorder="1" applyAlignment="1">
      <alignment horizontal="center"/>
    </xf>
    <xf numFmtId="164" fontId="4" fillId="9" borderId="6" xfId="1" applyNumberFormat="1" applyFont="1" applyFill="1" applyBorder="1" applyAlignment="1">
      <alignment horizontal="center"/>
    </xf>
    <xf numFmtId="164" fontId="4" fillId="9" borderId="14" xfId="1" applyNumberFormat="1" applyFont="1" applyFill="1" applyBorder="1" applyAlignment="1">
      <alignment horizontal="center"/>
    </xf>
    <xf numFmtId="44" fontId="4" fillId="9" borderId="27" xfId="1" applyFont="1" applyFill="1" applyBorder="1" applyAlignment="1">
      <alignment horizontal="center"/>
    </xf>
    <xf numFmtId="44" fontId="4" fillId="9" borderId="4" xfId="1" applyFont="1" applyFill="1" applyBorder="1" applyAlignment="1">
      <alignment horizontal="center"/>
    </xf>
    <xf numFmtId="164" fontId="4" fillId="9" borderId="27" xfId="1" applyNumberFormat="1" applyFont="1" applyFill="1" applyBorder="1" applyAlignment="1">
      <alignment horizontal="center"/>
    </xf>
    <xf numFmtId="167" fontId="4" fillId="5" borderId="27" xfId="0" applyNumberFormat="1" applyFont="1" applyFill="1" applyBorder="1"/>
    <xf numFmtId="167" fontId="4" fillId="5" borderId="31" xfId="0" applyNumberFormat="1" applyFont="1" applyFill="1" applyBorder="1"/>
    <xf numFmtId="164" fontId="4" fillId="5" borderId="44" xfId="1" applyNumberFormat="1" applyFont="1" applyFill="1" applyBorder="1"/>
    <xf numFmtId="167" fontId="4" fillId="9" borderId="27" xfId="0" applyNumberFormat="1" applyFont="1" applyFill="1" applyBorder="1"/>
    <xf numFmtId="167" fontId="4" fillId="9" borderId="31" xfId="0" applyNumberFormat="1" applyFont="1" applyFill="1" applyBorder="1"/>
    <xf numFmtId="167" fontId="4" fillId="9" borderId="4" xfId="0" applyNumberFormat="1" applyFont="1" applyFill="1" applyBorder="1"/>
    <xf numFmtId="0" fontId="4" fillId="9" borderId="19" xfId="3" applyFont="1" applyFill="1" applyBorder="1" applyAlignment="1">
      <alignment horizontal="left" wrapText="1"/>
    </xf>
    <xf numFmtId="165" fontId="4" fillId="9" borderId="19" xfId="3" applyNumberFormat="1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/>
    </xf>
    <xf numFmtId="10" fontId="15" fillId="0" borderId="0" xfId="4" applyNumberFormat="1" applyFont="1"/>
    <xf numFmtId="167" fontId="4" fillId="5" borderId="34" xfId="0" applyNumberFormat="1" applyFont="1" applyFill="1" applyBorder="1"/>
    <xf numFmtId="167" fontId="4" fillId="5" borderId="22" xfId="0" applyNumberFormat="1" applyFont="1" applyFill="1" applyBorder="1"/>
    <xf numFmtId="10" fontId="4" fillId="5" borderId="85" xfId="4" applyNumberFormat="1" applyFont="1" applyFill="1" applyBorder="1" applyAlignment="1">
      <alignment horizontal="center"/>
    </xf>
    <xf numFmtId="10" fontId="4" fillId="5" borderId="9" xfId="4" applyNumberFormat="1" applyFont="1" applyFill="1" applyBorder="1" applyAlignment="1">
      <alignment horizontal="center"/>
    </xf>
    <xf numFmtId="3" fontId="2" fillId="12" borderId="23" xfId="3" applyNumberFormat="1" applyFill="1" applyBorder="1" applyAlignment="1">
      <alignment horizontal="center"/>
    </xf>
    <xf numFmtId="165" fontId="4" fillId="5" borderId="85" xfId="4" applyNumberFormat="1" applyFont="1" applyFill="1" applyBorder="1" applyAlignment="1">
      <alignment horizontal="center"/>
    </xf>
    <xf numFmtId="165" fontId="4" fillId="5" borderId="58" xfId="4" applyNumberFormat="1" applyFont="1" applyFill="1" applyBorder="1" applyAlignment="1">
      <alignment horizontal="center"/>
    </xf>
    <xf numFmtId="10" fontId="4" fillId="5" borderId="86" xfId="4" applyNumberFormat="1" applyFont="1" applyFill="1" applyBorder="1" applyAlignment="1">
      <alignment horizontal="center"/>
    </xf>
    <xf numFmtId="10" fontId="4" fillId="5" borderId="8" xfId="4" applyNumberFormat="1" applyFont="1" applyFill="1" applyBorder="1" applyAlignment="1">
      <alignment horizontal="center"/>
    </xf>
    <xf numFmtId="3" fontId="2" fillId="12" borderId="26" xfId="3" applyNumberFormat="1" applyFill="1" applyBorder="1" applyAlignment="1">
      <alignment horizontal="center"/>
    </xf>
    <xf numFmtId="3" fontId="2" fillId="12" borderId="51" xfId="3" applyNumberFormat="1" applyFill="1" applyBorder="1" applyAlignment="1">
      <alignment horizontal="center"/>
    </xf>
    <xf numFmtId="3" fontId="2" fillId="12" borderId="48" xfId="3" applyNumberFormat="1" applyFill="1" applyBorder="1" applyAlignment="1">
      <alignment horizontal="center"/>
    </xf>
    <xf numFmtId="3" fontId="2" fillId="12" borderId="25" xfId="3" applyNumberFormat="1" applyFill="1" applyBorder="1" applyAlignment="1">
      <alignment horizontal="center"/>
    </xf>
    <xf numFmtId="3" fontId="2" fillId="12" borderId="49" xfId="3" applyNumberFormat="1" applyFill="1" applyBorder="1" applyAlignment="1">
      <alignment horizontal="center"/>
    </xf>
    <xf numFmtId="3" fontId="2" fillId="12" borderId="53" xfId="3" applyNumberFormat="1" applyFill="1" applyBorder="1" applyAlignment="1">
      <alignment horizontal="center"/>
    </xf>
    <xf numFmtId="10" fontId="4" fillId="5" borderId="31" xfId="4" applyNumberFormat="1" applyFont="1" applyFill="1" applyBorder="1"/>
    <xf numFmtId="167" fontId="4" fillId="9" borderId="22" xfId="0" applyNumberFormat="1" applyFont="1" applyFill="1" applyBorder="1"/>
    <xf numFmtId="10" fontId="4" fillId="9" borderId="31" xfId="4" applyNumberFormat="1" applyFont="1" applyFill="1" applyBorder="1"/>
    <xf numFmtId="3" fontId="2" fillId="12" borderId="63" xfId="3" applyNumberFormat="1" applyFill="1" applyBorder="1" applyAlignment="1">
      <alignment horizontal="center"/>
    </xf>
    <xf numFmtId="3" fontId="2" fillId="12" borderId="50" xfId="3" applyNumberFormat="1" applyFill="1" applyBorder="1" applyAlignment="1">
      <alignment horizontal="center"/>
    </xf>
    <xf numFmtId="167" fontId="4" fillId="9" borderId="35" xfId="0" applyNumberFormat="1" applyFont="1" applyFill="1" applyBorder="1"/>
    <xf numFmtId="9" fontId="4" fillId="9" borderId="18" xfId="4" applyFont="1" applyFill="1" applyBorder="1"/>
    <xf numFmtId="0" fontId="4" fillId="5" borderId="1" xfId="0" applyFont="1" applyFill="1" applyBorder="1" applyAlignment="1">
      <alignment horizontal="center"/>
    </xf>
    <xf numFmtId="167" fontId="4" fillId="5" borderId="35" xfId="0" applyNumberFormat="1" applyFont="1" applyFill="1" applyBorder="1"/>
    <xf numFmtId="165" fontId="3" fillId="0" borderId="24" xfId="4" applyNumberFormat="1" applyFont="1" applyBorder="1" applyAlignment="1">
      <alignment horizontal="right"/>
    </xf>
    <xf numFmtId="10" fontId="19" fillId="0" borderId="24" xfId="0" applyNumberFormat="1" applyFont="1" applyBorder="1"/>
    <xf numFmtId="164" fontId="2" fillId="0" borderId="7" xfId="1" applyNumberFormat="1" applyFont="1" applyBorder="1" applyAlignment="1">
      <alignment horizontal="center"/>
    </xf>
    <xf numFmtId="0" fontId="27" fillId="9" borderId="19" xfId="0" applyFont="1" applyFill="1" applyBorder="1"/>
    <xf numFmtId="10" fontId="41" fillId="0" borderId="35" xfId="4" applyNumberFormat="1" applyFont="1" applyFill="1" applyBorder="1" applyAlignment="1">
      <alignment horizontal="center"/>
    </xf>
    <xf numFmtId="10" fontId="0" fillId="0" borderId="0" xfId="0" applyNumberFormat="1"/>
    <xf numFmtId="167" fontId="4" fillId="5" borderId="20" xfId="0" applyNumberFormat="1" applyFont="1" applyFill="1" applyBorder="1"/>
    <xf numFmtId="9" fontId="4" fillId="5" borderId="18" xfId="4" applyFont="1" applyFill="1" applyBorder="1"/>
    <xf numFmtId="164" fontId="30" fillId="0" borderId="0" xfId="1" applyNumberFormat="1" applyFont="1" applyAlignment="1">
      <alignment horizontal="center"/>
    </xf>
    <xf numFmtId="10" fontId="3" fillId="0" borderId="24" xfId="4" applyNumberFormat="1" applyFont="1" applyBorder="1" applyAlignment="1">
      <alignment horizontal="right"/>
    </xf>
    <xf numFmtId="3" fontId="2" fillId="12" borderId="38" xfId="3" applyNumberFormat="1" applyFill="1" applyBorder="1" applyAlignment="1">
      <alignment horizontal="center"/>
    </xf>
    <xf numFmtId="44" fontId="4" fillId="5" borderId="27" xfId="1" applyFont="1" applyFill="1" applyBorder="1" applyAlignment="1">
      <alignment horizontal="center"/>
    </xf>
    <xf numFmtId="44" fontId="4" fillId="5" borderId="4" xfId="1" applyFont="1" applyFill="1" applyBorder="1" applyAlignment="1">
      <alignment horizontal="center"/>
    </xf>
    <xf numFmtId="164" fontId="4" fillId="5" borderId="27" xfId="1" applyNumberFormat="1" applyFont="1" applyFill="1" applyBorder="1" applyAlignment="1">
      <alignment horizontal="center"/>
    </xf>
    <xf numFmtId="0" fontId="4" fillId="5" borderId="20" xfId="5" applyFont="1" applyFill="1" applyBorder="1" applyAlignment="1">
      <alignment horizontal="center" wrapText="1"/>
    </xf>
    <xf numFmtId="10" fontId="3" fillId="0" borderId="24" xfId="0" applyNumberFormat="1" applyFont="1" applyBorder="1" applyAlignment="1">
      <alignment horizontal="right"/>
    </xf>
    <xf numFmtId="10" fontId="3" fillId="0" borderId="18" xfId="0" applyNumberFormat="1" applyFont="1" applyBorder="1" applyAlignment="1">
      <alignment horizontal="right"/>
    </xf>
    <xf numFmtId="9" fontId="4" fillId="5" borderId="19" xfId="4" applyFont="1" applyFill="1" applyBorder="1" applyAlignment="1">
      <alignment horizontal="center"/>
    </xf>
    <xf numFmtId="0" fontId="19" fillId="0" borderId="1" xfId="0" applyFont="1" applyBorder="1"/>
    <xf numFmtId="12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64" fontId="4" fillId="9" borderId="44" xfId="1" applyNumberFormat="1" applyFont="1" applyFill="1" applyBorder="1"/>
    <xf numFmtId="10" fontId="38" fillId="0" borderId="0" xfId="4" applyNumberFormat="1" applyFont="1" applyFill="1" applyAlignment="1">
      <alignment horizontal="center"/>
    </xf>
    <xf numFmtId="10" fontId="38" fillId="0" borderId="0" xfId="4" applyNumberFormat="1" applyFont="1" applyAlignment="1">
      <alignment horizontal="center"/>
    </xf>
    <xf numFmtId="0" fontId="3" fillId="0" borderId="36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42" fontId="3" fillId="0" borderId="0" xfId="0" applyNumberFormat="1" applyFont="1" applyAlignment="1">
      <alignment horizontal="center"/>
    </xf>
    <xf numFmtId="166" fontId="2" fillId="0" borderId="10" xfId="0" applyNumberFormat="1" applyFont="1" applyBorder="1" applyAlignment="1">
      <alignment horizontal="left"/>
    </xf>
    <xf numFmtId="166" fontId="38" fillId="0" borderId="69" xfId="0" applyNumberFormat="1" applyFont="1" applyBorder="1" applyAlignment="1">
      <alignment horizontal="center"/>
    </xf>
    <xf numFmtId="166" fontId="38" fillId="0" borderId="43" xfId="0" applyNumberFormat="1" applyFont="1" applyBorder="1" applyAlignment="1">
      <alignment horizontal="center"/>
    </xf>
    <xf numFmtId="3" fontId="37" fillId="0" borderId="4" xfId="0" applyNumberFormat="1" applyFont="1" applyBorder="1" applyAlignment="1">
      <alignment horizontal="center" wrapText="1"/>
    </xf>
    <xf numFmtId="0" fontId="4" fillId="9" borderId="3" xfId="0" applyFont="1" applyFill="1" applyBorder="1" applyAlignment="1">
      <alignment horizontal="center"/>
    </xf>
    <xf numFmtId="3" fontId="4" fillId="9" borderId="35" xfId="0" applyNumberFormat="1" applyFont="1" applyFill="1" applyBorder="1" applyAlignment="1">
      <alignment horizontal="center"/>
    </xf>
    <xf numFmtId="3" fontId="4" fillId="9" borderId="35" xfId="8" applyNumberFormat="1" applyFont="1" applyFill="1" applyBorder="1" applyAlignment="1">
      <alignment horizontal="center"/>
    </xf>
    <xf numFmtId="3" fontId="15" fillId="0" borderId="4" xfId="8" applyNumberFormat="1" applyFont="1" applyBorder="1" applyAlignment="1">
      <alignment horizontal="center"/>
    </xf>
    <xf numFmtId="38" fontId="15" fillId="0" borderId="4" xfId="0" applyNumberFormat="1" applyFont="1" applyBorder="1" applyAlignment="1">
      <alignment horizontal="center"/>
    </xf>
    <xf numFmtId="38" fontId="15" fillId="0" borderId="33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42" fontId="37" fillId="0" borderId="0" xfId="0" applyNumberFormat="1" applyFont="1" applyAlignment="1">
      <alignment horizontal="left"/>
    </xf>
    <xf numFmtId="168" fontId="38" fillId="0" borderId="0" xfId="0" applyNumberFormat="1" applyFont="1" applyAlignment="1">
      <alignment horizontal="center"/>
    </xf>
    <xf numFmtId="166" fontId="38" fillId="0" borderId="0" xfId="0" applyNumberFormat="1" applyFont="1" applyAlignment="1">
      <alignment horizontal="center"/>
    </xf>
    <xf numFmtId="168" fontId="38" fillId="0" borderId="6" xfId="0" applyNumberFormat="1" applyFont="1" applyBorder="1" applyAlignment="1">
      <alignment horizontal="center"/>
    </xf>
    <xf numFmtId="42" fontId="37" fillId="0" borderId="11" xfId="0" applyNumberFormat="1" applyFont="1" applyBorder="1" applyAlignment="1">
      <alignment horizontal="left"/>
    </xf>
    <xf numFmtId="168" fontId="38" fillId="0" borderId="11" xfId="0" applyNumberFormat="1" applyFont="1" applyBorder="1" applyAlignment="1">
      <alignment horizontal="center"/>
    </xf>
    <xf numFmtId="166" fontId="38" fillId="0" borderId="11" xfId="0" applyNumberFormat="1" applyFont="1" applyBorder="1" applyAlignment="1">
      <alignment horizontal="center"/>
    </xf>
    <xf numFmtId="168" fontId="38" fillId="0" borderId="12" xfId="0" applyNumberFormat="1" applyFont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42" fontId="4" fillId="9" borderId="0" xfId="0" applyNumberFormat="1" applyFont="1" applyFill="1" applyAlignment="1">
      <alignment horizontal="center"/>
    </xf>
    <xf numFmtId="0" fontId="27" fillId="9" borderId="0" xfId="0" applyFont="1" applyFill="1" applyAlignment="1">
      <alignment horizontal="center"/>
    </xf>
    <xf numFmtId="166" fontId="27" fillId="9" borderId="0" xfId="0" applyNumberFormat="1" applyFont="1" applyFill="1" applyAlignment="1">
      <alignment horizontal="center"/>
    </xf>
    <xf numFmtId="166" fontId="4" fillId="9" borderId="6" xfId="0" applyNumberFormat="1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4" fillId="9" borderId="0" xfId="0" applyFont="1" applyFill="1"/>
    <xf numFmtId="0" fontId="27" fillId="9" borderId="0" xfId="0" applyFont="1" applyFill="1"/>
    <xf numFmtId="0" fontId="44" fillId="9" borderId="13" xfId="0" applyFont="1" applyFill="1" applyBorder="1"/>
    <xf numFmtId="0" fontId="27" fillId="9" borderId="13" xfId="0" applyFont="1" applyFill="1" applyBorder="1"/>
    <xf numFmtId="166" fontId="4" fillId="9" borderId="14" xfId="0" applyNumberFormat="1" applyFont="1" applyFill="1" applyBorder="1" applyAlignment="1">
      <alignment horizontal="center"/>
    </xf>
    <xf numFmtId="166" fontId="38" fillId="0" borderId="12" xfId="0" applyNumberFormat="1" applyFont="1" applyBorder="1" applyAlignment="1">
      <alignment horizontal="center"/>
    </xf>
    <xf numFmtId="168" fontId="15" fillId="0" borderId="29" xfId="1" applyNumberFormat="1" applyFont="1" applyBorder="1"/>
    <xf numFmtId="0" fontId="2" fillId="0" borderId="44" xfId="0" applyFont="1" applyBorder="1" applyAlignment="1">
      <alignment horizontal="center" wrapText="1"/>
    </xf>
    <xf numFmtId="164" fontId="2" fillId="0" borderId="5" xfId="1" applyNumberFormat="1" applyFont="1" applyFill="1" applyBorder="1"/>
    <xf numFmtId="164" fontId="4" fillId="6" borderId="9" xfId="1" applyNumberFormat="1" applyFont="1" applyFill="1" applyBorder="1" applyAlignment="1">
      <alignment horizontal="center"/>
    </xf>
    <xf numFmtId="165" fontId="6" fillId="0" borderId="10" xfId="2" applyNumberFormat="1" applyFont="1" applyBorder="1" applyAlignment="1">
      <alignment horizontal="center"/>
    </xf>
    <xf numFmtId="165" fontId="6" fillId="0" borderId="12" xfId="2" applyNumberFormat="1" applyFont="1" applyBorder="1" applyAlignment="1">
      <alignment horizontal="center"/>
    </xf>
    <xf numFmtId="165" fontId="3" fillId="0" borderId="19" xfId="4" applyNumberFormat="1" applyFont="1" applyBorder="1" applyAlignment="1">
      <alignment horizontal="right"/>
    </xf>
    <xf numFmtId="164" fontId="30" fillId="0" borderId="35" xfId="5" applyNumberFormat="1" applyFont="1" applyBorder="1" applyAlignment="1">
      <alignment horizontal="center"/>
    </xf>
    <xf numFmtId="164" fontId="4" fillId="5" borderId="6" xfId="5" applyNumberFormat="1" applyFont="1" applyFill="1" applyBorder="1" applyAlignment="1">
      <alignment horizontal="center"/>
    </xf>
    <xf numFmtId="10" fontId="4" fillId="5" borderId="44" xfId="4" applyNumberFormat="1" applyFont="1" applyFill="1" applyBorder="1"/>
    <xf numFmtId="10" fontId="4" fillId="9" borderId="44" xfId="4" applyNumberFormat="1" applyFont="1" applyFill="1" applyBorder="1"/>
    <xf numFmtId="167" fontId="4" fillId="13" borderId="22" xfId="0" applyNumberFormat="1" applyFont="1" applyFill="1" applyBorder="1"/>
    <xf numFmtId="167" fontId="4" fillId="13" borderId="31" xfId="0" applyNumberFormat="1" applyFont="1" applyFill="1" applyBorder="1"/>
    <xf numFmtId="10" fontId="4" fillId="13" borderId="31" xfId="4" applyNumberFormat="1" applyFont="1" applyFill="1" applyBorder="1"/>
    <xf numFmtId="167" fontId="4" fillId="13" borderId="19" xfId="0" applyNumberFormat="1" applyFont="1" applyFill="1" applyBorder="1"/>
    <xf numFmtId="3" fontId="32" fillId="0" borderId="20" xfId="3" applyNumberFormat="1" applyFont="1" applyBorder="1" applyAlignment="1">
      <alignment horizontal="center"/>
    </xf>
    <xf numFmtId="3" fontId="30" fillId="0" borderId="20" xfId="3" applyNumberFormat="1" applyFont="1" applyBorder="1" applyAlignment="1">
      <alignment horizontal="center"/>
    </xf>
    <xf numFmtId="3" fontId="32" fillId="0" borderId="19" xfId="3" applyNumberFormat="1" applyFont="1" applyBorder="1" applyAlignment="1">
      <alignment horizontal="center"/>
    </xf>
    <xf numFmtId="3" fontId="30" fillId="0" borderId="35" xfId="3" applyNumberFormat="1" applyFont="1" applyBorder="1" applyAlignment="1">
      <alignment horizontal="center"/>
    </xf>
    <xf numFmtId="164" fontId="30" fillId="0" borderId="11" xfId="0" applyNumberFormat="1" applyFont="1" applyBorder="1" applyAlignment="1">
      <alignment horizontal="center"/>
    </xf>
    <xf numFmtId="164" fontId="30" fillId="0" borderId="12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" fontId="37" fillId="0" borderId="20" xfId="3" applyNumberFormat="1" applyFont="1" applyBorder="1" applyAlignment="1">
      <alignment horizontal="center"/>
    </xf>
    <xf numFmtId="3" fontId="38" fillId="0" borderId="20" xfId="3" applyNumberFormat="1" applyFont="1" applyBorder="1" applyAlignment="1">
      <alignment horizontal="center"/>
    </xf>
    <xf numFmtId="3" fontId="37" fillId="0" borderId="19" xfId="3" applyNumberFormat="1" applyFont="1" applyBorder="1" applyAlignment="1">
      <alignment horizontal="center"/>
    </xf>
    <xf numFmtId="3" fontId="38" fillId="0" borderId="35" xfId="3" applyNumberFormat="1" applyFont="1" applyBorder="1" applyAlignment="1">
      <alignment horizontal="center"/>
    </xf>
    <xf numFmtId="164" fontId="38" fillId="0" borderId="11" xfId="0" applyNumberFormat="1" applyFont="1" applyBorder="1" applyAlignment="1">
      <alignment horizontal="center"/>
    </xf>
    <xf numFmtId="164" fontId="38" fillId="0" borderId="12" xfId="0" applyNumberFormat="1" applyFont="1" applyBorder="1" applyAlignment="1">
      <alignment horizontal="center"/>
    </xf>
    <xf numFmtId="10" fontId="19" fillId="10" borderId="6" xfId="4" applyNumberFormat="1" applyFont="1" applyFill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2" fillId="0" borderId="4" xfId="2" applyBorder="1" applyAlignment="1">
      <alignment horizontal="center"/>
    </xf>
    <xf numFmtId="0" fontId="15" fillId="6" borderId="31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7" borderId="14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11" xfId="0" applyFont="1" applyBorder="1"/>
    <xf numFmtId="0" fontId="18" fillId="0" borderId="0" xfId="0" applyFont="1"/>
    <xf numFmtId="44" fontId="0" fillId="0" borderId="0" xfId="1" applyFont="1"/>
    <xf numFmtId="0" fontId="15" fillId="0" borderId="6" xfId="0" applyFont="1" applyBorder="1" applyAlignment="1">
      <alignment horizontal="center" wrapText="1"/>
    </xf>
    <xf numFmtId="0" fontId="0" fillId="0" borderId="0" xfId="0" applyAlignment="1">
      <alignment horizontal="right"/>
    </xf>
    <xf numFmtId="167" fontId="18" fillId="0" borderId="0" xfId="8" applyNumberFormat="1" applyFont="1"/>
    <xf numFmtId="167" fontId="0" fillId="0" borderId="11" xfId="8" applyNumberFormat="1" applyFont="1" applyBorder="1"/>
    <xf numFmtId="164" fontId="0" fillId="0" borderId="11" xfId="1" applyNumberFormat="1" applyFont="1" applyBorder="1"/>
    <xf numFmtId="164" fontId="0" fillId="0" borderId="28" xfId="1" applyNumberFormat="1" applyFont="1" applyBorder="1"/>
    <xf numFmtId="167" fontId="0" fillId="0" borderId="28" xfId="8" applyNumberFormat="1" applyFont="1" applyBorder="1"/>
    <xf numFmtId="167" fontId="0" fillId="0" borderId="0" xfId="8" applyNumberFormat="1" applyFont="1" applyAlignment="1">
      <alignment horizontal="center"/>
    </xf>
    <xf numFmtId="167" fontId="18" fillId="0" borderId="0" xfId="8" applyNumberFormat="1" applyFont="1" applyAlignment="1">
      <alignment horizontal="center"/>
    </xf>
    <xf numFmtId="0" fontId="47" fillId="0" borderId="0" xfId="0" applyFont="1" applyAlignment="1">
      <alignment horizontal="left"/>
    </xf>
    <xf numFmtId="167" fontId="0" fillId="0" borderId="11" xfId="8" applyNumberFormat="1" applyFont="1" applyFill="1" applyBorder="1"/>
    <xf numFmtId="0" fontId="2" fillId="0" borderId="28" xfId="2" applyBorder="1"/>
    <xf numFmtId="167" fontId="18" fillId="0" borderId="28" xfId="8" applyNumberFormat="1" applyFont="1" applyBorder="1"/>
    <xf numFmtId="167" fontId="0" fillId="0" borderId="0" xfId="0" applyNumberFormat="1"/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9" fontId="0" fillId="0" borderId="0" xfId="4" applyNumberFormat="1" applyFont="1" applyAlignment="1">
      <alignment horizontal="center"/>
    </xf>
    <xf numFmtId="0" fontId="0" fillId="0" borderId="11" xfId="0" applyBorder="1" applyAlignment="1">
      <alignment horizontal="center"/>
    </xf>
    <xf numFmtId="167" fontId="0" fillId="0" borderId="11" xfId="8" applyNumberFormat="1" applyFont="1" applyBorder="1" applyAlignment="1">
      <alignment horizontal="center"/>
    </xf>
    <xf numFmtId="164" fontId="0" fillId="0" borderId="0" xfId="1" applyNumberFormat="1" applyFont="1" applyBorder="1"/>
    <xf numFmtId="167" fontId="0" fillId="0" borderId="0" xfId="8" applyNumberFormat="1" applyFont="1" applyFill="1"/>
    <xf numFmtId="0" fontId="0" fillId="0" borderId="0" xfId="0" applyAlignment="1">
      <alignment wrapText="1"/>
    </xf>
    <xf numFmtId="164" fontId="15" fillId="0" borderId="6" xfId="1" applyNumberFormat="1" applyFont="1" applyFill="1" applyBorder="1" applyAlignment="1">
      <alignment horizontal="left"/>
    </xf>
    <xf numFmtId="164" fontId="15" fillId="0" borderId="9" xfId="1" applyNumberFormat="1" applyFont="1" applyFill="1" applyBorder="1" applyAlignment="1">
      <alignment horizontal="center"/>
    </xf>
    <xf numFmtId="164" fontId="15" fillId="0" borderId="12" xfId="1" applyNumberFormat="1" applyFont="1" applyFill="1" applyBorder="1" applyAlignment="1">
      <alignment horizontal="center"/>
    </xf>
    <xf numFmtId="164" fontId="2" fillId="0" borderId="7" xfId="1" applyNumberFormat="1" applyFont="1" applyFill="1" applyBorder="1"/>
    <xf numFmtId="164" fontId="2" fillId="0" borderId="9" xfId="1" applyNumberFormat="1" applyFont="1" applyFill="1" applyBorder="1" applyAlignment="1">
      <alignment horizontal="center"/>
    </xf>
    <xf numFmtId="164" fontId="2" fillId="0" borderId="10" xfId="1" applyNumberFormat="1" applyFont="1" applyFill="1" applyBorder="1"/>
    <xf numFmtId="0" fontId="15" fillId="0" borderId="4" xfId="0" applyFont="1" applyBorder="1" applyAlignment="1">
      <alignment horizontal="center" wrapText="1"/>
    </xf>
    <xf numFmtId="10" fontId="45" fillId="0" borderId="54" xfId="4" applyNumberFormat="1" applyFont="1" applyFill="1" applyBorder="1" applyAlignment="1">
      <alignment horizontal="right"/>
    </xf>
    <xf numFmtId="164" fontId="48" fillId="0" borderId="6" xfId="2" applyNumberFormat="1" applyFont="1" applyBorder="1" applyAlignment="1">
      <alignment horizontal="center"/>
    </xf>
    <xf numFmtId="10" fontId="18" fillId="0" borderId="0" xfId="4" applyNumberFormat="1" applyFont="1"/>
    <xf numFmtId="164" fontId="18" fillId="0" borderId="11" xfId="1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45" fillId="0" borderId="69" xfId="0" applyFont="1" applyBorder="1" applyAlignment="1">
      <alignment horizontal="center" wrapText="1"/>
    </xf>
    <xf numFmtId="0" fontId="45" fillId="0" borderId="73" xfId="0" applyFont="1" applyBorder="1" applyAlignment="1">
      <alignment horizontal="center" wrapText="1"/>
    </xf>
    <xf numFmtId="0" fontId="45" fillId="0" borderId="61" xfId="0" applyFont="1" applyBorder="1" applyAlignment="1">
      <alignment horizontal="center" wrapText="1"/>
    </xf>
    <xf numFmtId="167" fontId="49" fillId="0" borderId="0" xfId="8" applyNumberFormat="1" applyFont="1"/>
    <xf numFmtId="43" fontId="0" fillId="0" borderId="0" xfId="0" applyNumberFormat="1" applyAlignment="1">
      <alignment horizontal="center"/>
    </xf>
    <xf numFmtId="167" fontId="50" fillId="0" borderId="0" xfId="8" applyNumberFormat="1" applyFont="1"/>
    <xf numFmtId="0" fontId="4" fillId="5" borderId="1" xfId="0" applyFont="1" applyFill="1" applyBorder="1" applyAlignment="1">
      <alignment wrapText="1"/>
    </xf>
    <xf numFmtId="166" fontId="0" fillId="0" borderId="0" xfId="0" applyNumberFormat="1"/>
    <xf numFmtId="0" fontId="4" fillId="9" borderId="31" xfId="3" applyFont="1" applyFill="1" applyBorder="1" applyAlignment="1">
      <alignment horizontal="left"/>
    </xf>
    <xf numFmtId="167" fontId="4" fillId="9" borderId="31" xfId="8" applyNumberFormat="1" applyFont="1" applyFill="1" applyBorder="1" applyAlignment="1">
      <alignment horizontal="center" vertical="center"/>
    </xf>
    <xf numFmtId="167" fontId="4" fillId="9" borderId="63" xfId="8" applyNumberFormat="1" applyFont="1" applyFill="1" applyBorder="1" applyAlignment="1">
      <alignment horizontal="center" vertical="center"/>
    </xf>
    <xf numFmtId="10" fontId="51" fillId="0" borderId="24" xfId="0" applyNumberFormat="1" applyFont="1" applyBorder="1" applyAlignment="1">
      <alignment horizontal="right"/>
    </xf>
    <xf numFmtId="10" fontId="51" fillId="0" borderId="18" xfId="0" applyNumberFormat="1" applyFont="1" applyBorder="1" applyAlignment="1">
      <alignment horizontal="right"/>
    </xf>
    <xf numFmtId="10" fontId="19" fillId="0" borderId="54" xfId="0" applyNumberFormat="1" applyFont="1" applyBorder="1"/>
    <xf numFmtId="2" fontId="2" fillId="8" borderId="55" xfId="5" applyNumberFormat="1" applyFont="1" applyFill="1" applyBorder="1" applyAlignment="1">
      <alignment horizontal="center" wrapText="1"/>
    </xf>
    <xf numFmtId="2" fontId="15" fillId="0" borderId="62" xfId="5" applyNumberFormat="1" applyFont="1" applyBorder="1" applyAlignment="1">
      <alignment horizontal="center" wrapText="1"/>
    </xf>
    <xf numFmtId="164" fontId="30" fillId="8" borderId="27" xfId="4" applyNumberFormat="1" applyFont="1" applyFill="1" applyBorder="1" applyAlignment="1">
      <alignment horizontal="center"/>
    </xf>
    <xf numFmtId="164" fontId="30" fillId="0" borderId="4" xfId="4" applyNumberFormat="1" applyFont="1" applyFill="1" applyBorder="1" applyAlignment="1">
      <alignment horizontal="center"/>
    </xf>
    <xf numFmtId="164" fontId="4" fillId="5" borderId="1" xfId="1" applyNumberFormat="1" applyFont="1" applyFill="1" applyBorder="1"/>
    <xf numFmtId="0" fontId="20" fillId="0" borderId="0" xfId="0" applyFont="1" applyAlignment="1">
      <alignment horizontal="left"/>
    </xf>
    <xf numFmtId="0" fontId="0" fillId="0" borderId="21" xfId="0" applyBorder="1"/>
    <xf numFmtId="17" fontId="2" fillId="0" borderId="20" xfId="3" applyNumberFormat="1" applyBorder="1" applyAlignment="1">
      <alignment horizontal="center" wrapText="1"/>
    </xf>
    <xf numFmtId="0" fontId="2" fillId="0" borderId="18" xfId="3" applyBorder="1" applyAlignment="1">
      <alignment horizontal="center" wrapText="1"/>
    </xf>
    <xf numFmtId="17" fontId="2" fillId="0" borderId="18" xfId="3" applyNumberFormat="1" applyBorder="1" applyAlignment="1">
      <alignment horizontal="center" wrapText="1"/>
    </xf>
    <xf numFmtId="0" fontId="2" fillId="0" borderId="19" xfId="3" applyBorder="1" applyAlignment="1">
      <alignment horizontal="center" wrapText="1"/>
    </xf>
    <xf numFmtId="167" fontId="4" fillId="5" borderId="39" xfId="8" applyNumberFormat="1" applyFont="1" applyFill="1" applyBorder="1" applyAlignment="1">
      <alignment horizontal="center"/>
    </xf>
    <xf numFmtId="10" fontId="4" fillId="5" borderId="65" xfId="4" applyNumberFormat="1" applyFont="1" applyFill="1" applyBorder="1" applyAlignment="1">
      <alignment horizontal="center"/>
    </xf>
    <xf numFmtId="167" fontId="4" fillId="5" borderId="9" xfId="0" applyNumberFormat="1" applyFont="1" applyFill="1" applyBorder="1"/>
    <xf numFmtId="10" fontId="4" fillId="5" borderId="9" xfId="4" applyNumberFormat="1" applyFont="1" applyFill="1" applyBorder="1"/>
    <xf numFmtId="167" fontId="4" fillId="5" borderId="54" xfId="0" applyNumberFormat="1" applyFont="1" applyFill="1" applyBorder="1"/>
    <xf numFmtId="3" fontId="2" fillId="12" borderId="67" xfId="3" applyNumberFormat="1" applyFill="1" applyBorder="1" applyAlignment="1">
      <alignment horizontal="center"/>
    </xf>
    <xf numFmtId="0" fontId="18" fillId="0" borderId="44" xfId="0" applyFont="1" applyBorder="1"/>
    <xf numFmtId="3" fontId="2" fillId="12" borderId="86" xfId="3" applyNumberFormat="1" applyFill="1" applyBorder="1" applyAlignment="1">
      <alignment horizontal="center"/>
    </xf>
    <xf numFmtId="0" fontId="4" fillId="9" borderId="1" xfId="0" applyFont="1" applyFill="1" applyBorder="1" applyAlignment="1">
      <alignment wrapText="1"/>
    </xf>
    <xf numFmtId="167" fontId="15" fillId="0" borderId="67" xfId="8" applyNumberFormat="1" applyFont="1" applyFill="1" applyBorder="1" applyAlignment="1"/>
    <xf numFmtId="0" fontId="18" fillId="0" borderId="1" xfId="0" applyFont="1" applyBorder="1"/>
    <xf numFmtId="165" fontId="4" fillId="5" borderId="19" xfId="4" applyNumberFormat="1" applyFont="1" applyFill="1" applyBorder="1" applyAlignment="1">
      <alignment horizontal="center"/>
    </xf>
    <xf numFmtId="0" fontId="4" fillId="9" borderId="18" xfId="3" applyFont="1" applyFill="1" applyBorder="1" applyAlignment="1">
      <alignment horizontal="left"/>
    </xf>
    <xf numFmtId="0" fontId="0" fillId="0" borderId="6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0" borderId="23" xfId="0" applyBorder="1"/>
    <xf numFmtId="0" fontId="0" fillId="0" borderId="35" xfId="0" applyBorder="1"/>
    <xf numFmtId="0" fontId="0" fillId="0" borderId="27" xfId="0" applyBorder="1"/>
    <xf numFmtId="0" fontId="0" fillId="9" borderId="23" xfId="0" applyFill="1" applyBorder="1" applyAlignment="1">
      <alignment horizontal="center"/>
    </xf>
    <xf numFmtId="0" fontId="19" fillId="0" borderId="21" xfId="0" applyFont="1" applyBorder="1" applyAlignment="1">
      <alignment horizontal="center" wrapText="1"/>
    </xf>
    <xf numFmtId="0" fontId="19" fillId="0" borderId="27" xfId="0" applyFont="1" applyBorder="1" applyAlignment="1">
      <alignment horizontal="center" wrapText="1"/>
    </xf>
    <xf numFmtId="10" fontId="19" fillId="0" borderId="6" xfId="4" applyNumberFormat="1" applyFont="1" applyFill="1" applyBorder="1" applyAlignment="1">
      <alignment horizontal="center"/>
    </xf>
    <xf numFmtId="0" fontId="45" fillId="0" borderId="27" xfId="0" applyFont="1" applyBorder="1" applyAlignment="1">
      <alignment horizontal="center" wrapText="1"/>
    </xf>
    <xf numFmtId="164" fontId="38" fillId="8" borderId="22" xfId="4" applyNumberFormat="1" applyFont="1" applyFill="1" applyBorder="1" applyAlignment="1">
      <alignment horizontal="center"/>
    </xf>
    <xf numFmtId="164" fontId="38" fillId="0" borderId="6" xfId="4" applyNumberFormat="1" applyFont="1" applyFill="1" applyBorder="1" applyAlignment="1">
      <alignment horizontal="center"/>
    </xf>
    <xf numFmtId="0" fontId="52" fillId="0" borderId="6" xfId="0" applyFont="1" applyBorder="1" applyAlignment="1">
      <alignment horizontal="center"/>
    </xf>
    <xf numFmtId="3" fontId="53" fillId="0" borderId="0" xfId="0" applyNumberFormat="1" applyFont="1"/>
    <xf numFmtId="0" fontId="2" fillId="0" borderId="9" xfId="2" applyBorder="1" applyAlignment="1">
      <alignment horizontal="left" wrapText="1"/>
    </xf>
    <xf numFmtId="0" fontId="15" fillId="0" borderId="24" xfId="0" applyFont="1" applyBorder="1" applyAlignment="1">
      <alignment wrapText="1"/>
    </xf>
    <xf numFmtId="10" fontId="4" fillId="9" borderId="18" xfId="4" applyNumberFormat="1" applyFont="1" applyFill="1" applyBorder="1"/>
    <xf numFmtId="0" fontId="15" fillId="0" borderId="58" xfId="0" applyFont="1" applyBorder="1" applyAlignment="1">
      <alignment wrapText="1"/>
    </xf>
    <xf numFmtId="10" fontId="3" fillId="0" borderId="54" xfId="4" applyNumberFormat="1" applyFont="1" applyBorder="1" applyAlignment="1">
      <alignment horizontal="right"/>
    </xf>
    <xf numFmtId="10" fontId="3" fillId="0" borderId="19" xfId="4" applyNumberFormat="1" applyFont="1" applyBorder="1" applyAlignment="1">
      <alignment horizontal="right"/>
    </xf>
    <xf numFmtId="164" fontId="24" fillId="6" borderId="6" xfId="1" applyNumberFormat="1" applyFont="1" applyFill="1" applyBorder="1"/>
    <xf numFmtId="0" fontId="3" fillId="0" borderId="1" xfId="2" applyFont="1" applyBorder="1" applyAlignment="1">
      <alignment horizontal="center" vertical="center" wrapText="1"/>
    </xf>
    <xf numFmtId="0" fontId="2" fillId="0" borderId="11" xfId="2" applyBorder="1" applyAlignment="1">
      <alignment horizontal="center"/>
    </xf>
    <xf numFmtId="0" fontId="2" fillId="0" borderId="12" xfId="2" applyBorder="1" applyAlignment="1">
      <alignment horizontal="center"/>
    </xf>
    <xf numFmtId="44" fontId="5" fillId="0" borderId="29" xfId="2" applyNumberFormat="1" applyFont="1" applyBorder="1" applyAlignment="1">
      <alignment horizontal="center" vertical="center" wrapText="1"/>
    </xf>
    <xf numFmtId="164" fontId="3" fillId="0" borderId="21" xfId="2" applyNumberFormat="1" applyFont="1" applyBorder="1" applyAlignment="1">
      <alignment horizontal="center" vertical="center" wrapText="1"/>
    </xf>
    <xf numFmtId="164" fontId="3" fillId="0" borderId="22" xfId="2" applyNumberFormat="1" applyFont="1" applyBorder="1" applyAlignment="1">
      <alignment horizontal="center" vertical="center" wrapText="1"/>
    </xf>
    <xf numFmtId="164" fontId="3" fillId="0" borderId="5" xfId="2" applyNumberFormat="1" applyFont="1" applyBorder="1" applyAlignment="1">
      <alignment horizontal="center" vertical="center" wrapText="1"/>
    </xf>
    <xf numFmtId="164" fontId="3" fillId="0" borderId="6" xfId="2" applyNumberFormat="1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0" fontId="2" fillId="0" borderId="16" xfId="2" applyBorder="1" applyAlignment="1">
      <alignment horizontal="center"/>
    </xf>
    <xf numFmtId="0" fontId="2" fillId="0" borderId="17" xfId="2" applyBorder="1" applyAlignment="1">
      <alignment horizontal="center"/>
    </xf>
    <xf numFmtId="44" fontId="5" fillId="0" borderId="1" xfId="2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4" fillId="5" borderId="21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0" fontId="4" fillId="5" borderId="44" xfId="0" applyFont="1" applyFill="1" applyBorder="1" applyAlignment="1">
      <alignment horizontal="center"/>
    </xf>
    <xf numFmtId="0" fontId="40" fillId="0" borderId="36" xfId="0" applyFont="1" applyBorder="1" applyAlignment="1">
      <alignment horizontal="center"/>
    </xf>
    <xf numFmtId="0" fontId="40" fillId="0" borderId="44" xfId="0" applyFont="1" applyBorder="1" applyAlignment="1">
      <alignment horizontal="center"/>
    </xf>
    <xf numFmtId="0" fontId="40" fillId="0" borderId="29" xfId="0" applyFont="1" applyBorder="1" applyAlignment="1">
      <alignment horizontal="center"/>
    </xf>
    <xf numFmtId="0" fontId="40" fillId="0" borderId="34" xfId="0" applyFont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16" fillId="0" borderId="27" xfId="3" applyFont="1" applyBorder="1" applyAlignment="1">
      <alignment horizontal="center" vertical="center" wrapText="1"/>
    </xf>
    <xf numFmtId="0" fontId="16" fillId="0" borderId="35" xfId="3" applyFont="1" applyBorder="1" applyAlignment="1">
      <alignment horizontal="center" vertical="center" wrapText="1"/>
    </xf>
    <xf numFmtId="0" fontId="16" fillId="0" borderId="22" xfId="3" applyFont="1" applyBorder="1" applyAlignment="1">
      <alignment horizontal="center" vertical="center" wrapText="1"/>
    </xf>
    <xf numFmtId="0" fontId="16" fillId="0" borderId="14" xfId="3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2" fillId="0" borderId="59" xfId="3" applyBorder="1" applyAlignment="1">
      <alignment horizontal="center"/>
    </xf>
    <xf numFmtId="0" fontId="2" fillId="0" borderId="60" xfId="3" applyBorder="1" applyAlignment="1">
      <alignment horizontal="center"/>
    </xf>
    <xf numFmtId="0" fontId="3" fillId="0" borderId="36" xfId="3" applyFont="1" applyBorder="1" applyAlignment="1">
      <alignment horizontal="center"/>
    </xf>
    <xf numFmtId="0" fontId="3" fillId="0" borderId="29" xfId="3" applyFont="1" applyBorder="1" applyAlignment="1">
      <alignment horizontal="center"/>
    </xf>
    <xf numFmtId="0" fontId="2" fillId="0" borderId="16" xfId="3" applyBorder="1" applyAlignment="1">
      <alignment horizontal="center"/>
    </xf>
    <xf numFmtId="0" fontId="2" fillId="0" borderId="17" xfId="3" applyBorder="1" applyAlignment="1">
      <alignment horizontal="center"/>
    </xf>
    <xf numFmtId="0" fontId="2" fillId="0" borderId="54" xfId="3" applyBorder="1" applyAlignment="1">
      <alignment horizontal="center"/>
    </xf>
    <xf numFmtId="0" fontId="3" fillId="0" borderId="36" xfId="3" applyFont="1" applyBorder="1" applyAlignment="1">
      <alignment horizontal="center" vertical="center" wrapText="1"/>
    </xf>
    <xf numFmtId="0" fontId="3" fillId="0" borderId="29" xfId="3" applyFont="1" applyBorder="1" applyAlignment="1">
      <alignment horizontal="center" vertical="center" wrapText="1"/>
    </xf>
    <xf numFmtId="0" fontId="2" fillId="0" borderId="32" xfId="3" applyBorder="1" applyAlignment="1">
      <alignment horizontal="center"/>
    </xf>
    <xf numFmtId="0" fontId="2" fillId="0" borderId="24" xfId="3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24" fillId="5" borderId="27" xfId="0" applyFont="1" applyFill="1" applyBorder="1" applyAlignment="1">
      <alignment horizontal="center" vertical="center" wrapText="1"/>
    </xf>
    <xf numFmtId="0" fontId="24" fillId="5" borderId="33" xfId="0" applyFont="1" applyFill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44" fontId="3" fillId="0" borderId="21" xfId="2" applyNumberFormat="1" applyFont="1" applyBorder="1" applyAlignment="1">
      <alignment horizontal="center" vertical="center" wrapText="1"/>
    </xf>
    <xf numFmtId="44" fontId="3" fillId="0" borderId="22" xfId="2" applyNumberFormat="1" applyFont="1" applyBorder="1" applyAlignment="1">
      <alignment horizontal="center" vertical="center" wrapText="1"/>
    </xf>
    <xf numFmtId="44" fontId="3" fillId="0" borderId="3" xfId="2" applyNumberFormat="1" applyFont="1" applyBorder="1" applyAlignment="1">
      <alignment horizontal="center" vertical="center" wrapText="1"/>
    </xf>
    <xf numFmtId="44" fontId="3" fillId="0" borderId="14" xfId="2" applyNumberFormat="1" applyFont="1" applyBorder="1" applyAlignment="1">
      <alignment horizontal="center" vertical="center" wrapText="1"/>
    </xf>
    <xf numFmtId="164" fontId="3" fillId="0" borderId="27" xfId="2" applyNumberFormat="1" applyFont="1" applyBorder="1" applyAlignment="1">
      <alignment horizontal="center" vertical="center" wrapText="1"/>
    </xf>
    <xf numFmtId="164" fontId="3" fillId="0" borderId="4" xfId="2" applyNumberFormat="1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164" fontId="3" fillId="0" borderId="35" xfId="2" applyNumberFormat="1" applyFont="1" applyBorder="1" applyAlignment="1">
      <alignment horizontal="center" vertical="center" wrapText="1"/>
    </xf>
    <xf numFmtId="44" fontId="3" fillId="0" borderId="27" xfId="2" applyNumberFormat="1" applyFont="1" applyBorder="1" applyAlignment="1">
      <alignment horizontal="center" vertical="center" wrapText="1"/>
    </xf>
    <xf numFmtId="44" fontId="3" fillId="0" borderId="4" xfId="2" applyNumberFormat="1" applyFont="1" applyBorder="1" applyAlignment="1">
      <alignment horizontal="center" vertical="center" wrapText="1"/>
    </xf>
    <xf numFmtId="44" fontId="3" fillId="0" borderId="35" xfId="2" applyNumberFormat="1" applyFont="1" applyBorder="1" applyAlignment="1">
      <alignment horizontal="center" vertical="center" wrapText="1"/>
    </xf>
    <xf numFmtId="44" fontId="3" fillId="0" borderId="27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44" fontId="3" fillId="0" borderId="35" xfId="0" applyNumberFormat="1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44" fontId="3" fillId="0" borderId="16" xfId="0" applyNumberFormat="1" applyFont="1" applyBorder="1" applyAlignment="1">
      <alignment horizontal="center" vertical="center" wrapText="1"/>
    </xf>
    <xf numFmtId="44" fontId="3" fillId="0" borderId="7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64" fontId="30" fillId="0" borderId="5" xfId="1" applyNumberFormat="1" applyFont="1" applyBorder="1" applyAlignment="1">
      <alignment horizontal="center"/>
    </xf>
    <xf numFmtId="164" fontId="30" fillId="0" borderId="6" xfId="1" applyNumberFormat="1" applyFont="1" applyBorder="1" applyAlignment="1">
      <alignment horizontal="center"/>
    </xf>
    <xf numFmtId="164" fontId="39" fillId="5" borderId="81" xfId="1" applyNumberFormat="1" applyFont="1" applyFill="1" applyBorder="1" applyAlignment="1">
      <alignment horizontal="center"/>
    </xf>
    <xf numFmtId="164" fontId="39" fillId="5" borderId="82" xfId="1" applyNumberFormat="1" applyFont="1" applyFill="1" applyBorder="1" applyAlignment="1">
      <alignment horizontal="center"/>
    </xf>
    <xf numFmtId="164" fontId="30" fillId="0" borderId="0" xfId="1" applyNumberFormat="1" applyFont="1" applyBorder="1" applyAlignment="1">
      <alignment horizontal="center"/>
    </xf>
    <xf numFmtId="164" fontId="4" fillId="5" borderId="21" xfId="1" applyNumberFormat="1" applyFont="1" applyFill="1" applyBorder="1" applyAlignment="1">
      <alignment horizontal="center"/>
    </xf>
    <xf numFmtId="164" fontId="4" fillId="5" borderId="22" xfId="1" applyNumberFormat="1" applyFont="1" applyFill="1" applyBorder="1" applyAlignment="1">
      <alignment horizontal="center"/>
    </xf>
    <xf numFmtId="0" fontId="3" fillId="0" borderId="27" xfId="5" applyFont="1" applyBorder="1" applyAlignment="1">
      <alignment horizontal="center" vertical="center" wrapText="1"/>
    </xf>
    <xf numFmtId="0" fontId="3" fillId="0" borderId="35" xfId="5" applyFont="1" applyBorder="1" applyAlignment="1">
      <alignment horizontal="center" vertical="center" wrapText="1"/>
    </xf>
    <xf numFmtId="0" fontId="3" fillId="0" borderId="21" xfId="5" applyFont="1" applyBorder="1" applyAlignment="1">
      <alignment horizontal="center" vertical="center" wrapText="1"/>
    </xf>
    <xf numFmtId="0" fontId="3" fillId="0" borderId="22" xfId="5" applyFont="1" applyBorder="1" applyAlignment="1">
      <alignment horizontal="center" vertical="center" wrapText="1"/>
    </xf>
    <xf numFmtId="0" fontId="3" fillId="0" borderId="3" xfId="5" applyFont="1" applyBorder="1" applyAlignment="1">
      <alignment horizontal="center"/>
    </xf>
    <xf numFmtId="0" fontId="3" fillId="0" borderId="14" xfId="5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36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9" borderId="21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0" fontId="4" fillId="9" borderId="36" xfId="0" applyFont="1" applyFill="1" applyBorder="1" applyAlignment="1">
      <alignment horizontal="center"/>
    </xf>
    <xf numFmtId="0" fontId="4" fillId="9" borderId="29" xfId="0" applyFont="1" applyFill="1" applyBorder="1" applyAlignment="1">
      <alignment horizontal="center"/>
    </xf>
    <xf numFmtId="0" fontId="18" fillId="0" borderId="29" xfId="0" applyFont="1" applyBorder="1" applyAlignment="1">
      <alignment horizontal="center"/>
    </xf>
    <xf numFmtId="164" fontId="39" fillId="9" borderId="81" xfId="1" applyNumberFormat="1" applyFont="1" applyFill="1" applyBorder="1" applyAlignment="1">
      <alignment horizontal="center"/>
    </xf>
    <xf numFmtId="164" fontId="39" fillId="9" borderId="82" xfId="1" applyNumberFormat="1" applyFont="1" applyFill="1" applyBorder="1" applyAlignment="1">
      <alignment horizontal="center"/>
    </xf>
    <xf numFmtId="0" fontId="45" fillId="0" borderId="5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164" fontId="38" fillId="0" borderId="5" xfId="1" applyNumberFormat="1" applyFont="1" applyBorder="1" applyAlignment="1">
      <alignment horizontal="center"/>
    </xf>
    <xf numFmtId="164" fontId="38" fillId="0" borderId="6" xfId="1" applyNumberFormat="1" applyFont="1" applyBorder="1" applyAlignment="1">
      <alignment horizontal="center"/>
    </xf>
    <xf numFmtId="164" fontId="38" fillId="0" borderId="0" xfId="1" applyNumberFormat="1" applyFont="1" applyBorder="1" applyAlignment="1">
      <alignment horizontal="center"/>
    </xf>
    <xf numFmtId="164" fontId="4" fillId="9" borderId="21" xfId="1" applyNumberFormat="1" applyFont="1" applyFill="1" applyBorder="1" applyAlignment="1">
      <alignment horizontal="center"/>
    </xf>
    <xf numFmtId="164" fontId="4" fillId="9" borderId="22" xfId="1" applyNumberFormat="1" applyFont="1" applyFill="1" applyBorder="1" applyAlignment="1">
      <alignment horizontal="center"/>
    </xf>
    <xf numFmtId="0" fontId="45" fillId="0" borderId="21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24" fillId="9" borderId="27" xfId="0" applyFont="1" applyFill="1" applyBorder="1" applyAlignment="1">
      <alignment horizontal="center" vertical="center" wrapText="1"/>
    </xf>
    <xf numFmtId="0" fontId="24" fillId="9" borderId="33" xfId="0" applyFont="1" applyFill="1" applyBorder="1" applyAlignment="1">
      <alignment horizontal="center" vertical="center" wrapText="1"/>
    </xf>
    <xf numFmtId="0" fontId="15" fillId="0" borderId="54" xfId="0" applyFont="1" applyBorder="1" applyAlignment="1">
      <alignment horizontal="center"/>
    </xf>
    <xf numFmtId="44" fontId="3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1">
    <cellStyle name="Comma" xfId="8" builtinId="3"/>
    <cellStyle name="Currency" xfId="1" builtinId="4"/>
    <cellStyle name="Currency (0)" xfId="7" xr:uid="{1176685A-6AB9-4A1D-8266-1F266F5CF744}"/>
    <cellStyle name="Currency 2" xfId="6" xr:uid="{53F552DA-46A3-47DC-B592-139FD36C478A}"/>
    <cellStyle name="Normal" xfId="0" builtinId="0"/>
    <cellStyle name="Normal 2 3" xfId="2" xr:uid="{15954B53-A9DB-460C-9CB3-0FAA15BC9B77}"/>
    <cellStyle name="Normal 3" xfId="5" xr:uid="{6F6CC560-0ACD-4BDD-92D0-6B7FA07B3697}"/>
    <cellStyle name="Normal 5" xfId="3" xr:uid="{0E6B56C6-ED30-4C9E-81D0-B848DF043C0F}"/>
    <cellStyle name="Percent" xfId="4" builtinId="5"/>
    <cellStyle name="STYLE1" xfId="9" xr:uid="{9AFD30D0-D151-406C-A9E1-3D0EE4D4E791}"/>
    <cellStyle name="STYLE4" xfId="10" xr:uid="{BD0120CE-37CD-4B6C-9B20-4CB94AB7A437}"/>
  </cellStyles>
  <dxfs count="0"/>
  <tableStyles count="0" defaultTableStyle="TableStyleMedium2" defaultPivotStyle="PivotStyleLight16"/>
  <colors>
    <mruColors>
      <color rgb="FF4A7729"/>
      <color rgb="FFFFC600"/>
      <color rgb="FF4298B5"/>
      <color rgb="FFE87722"/>
      <color rgb="FF5D3754"/>
      <color rgb="FF5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8</xdr:row>
      <xdr:rowOff>571500</xdr:rowOff>
    </xdr:from>
    <xdr:to>
      <xdr:col>17</xdr:col>
      <xdr:colOff>638175</xdr:colOff>
      <xdr:row>30</xdr:row>
      <xdr:rowOff>44872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67382A-78A5-6903-11AF-38CF31AE07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17" r="5698"/>
        <a:stretch/>
      </xdr:blipFill>
      <xdr:spPr>
        <a:xfrm>
          <a:off x="8229600" y="2447925"/>
          <a:ext cx="5133975" cy="39691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544657</xdr:colOff>
      <xdr:row>8</xdr:row>
      <xdr:rowOff>220807</xdr:rowOff>
    </xdr:from>
    <xdr:to>
      <xdr:col>18</xdr:col>
      <xdr:colOff>634192</xdr:colOff>
      <xdr:row>31</xdr:row>
      <xdr:rowOff>158047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B2FFA3-DF8A-4595-A4F1-9861EFFE84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17" r="5698"/>
        <a:stretch/>
      </xdr:blipFill>
      <xdr:spPr>
        <a:xfrm>
          <a:off x="8212282" y="2268682"/>
          <a:ext cx="5156835" cy="474736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uffey, Ross" id="{C06882EF-99AF-4713-9920-B49CEEB48EDD}" userId="Guffey, Ross" providerId="None"/>
  <person displayName="abbey.osborne@hdrinc.com" id="{E2500F66-6B42-4E73-A5DA-B240E4A4A376}" userId="abbey.osborne@hdrinc.com" providerId="None"/>
</personList>
</file>

<file path=xl/theme/theme1.xml><?xml version="1.0" encoding="utf-8"?>
<a:theme xmlns:a="http://schemas.openxmlformats.org/drawingml/2006/main" name="Office 2013 - 2022 Theme">
  <a:themeElements>
    <a:clrScheme name="HDR_2024-Branding">
      <a:dk1>
        <a:sysClr val="windowText" lastClr="000000"/>
      </a:dk1>
      <a:lt1>
        <a:sysClr val="window" lastClr="FFFFFF"/>
      </a:lt1>
      <a:dk2>
        <a:srgbClr val="54585A"/>
      </a:dk2>
      <a:lt2>
        <a:sysClr val="window" lastClr="FFFFFF"/>
      </a:lt2>
      <a:accent1>
        <a:srgbClr val="377F99"/>
      </a:accent1>
      <a:accent2>
        <a:srgbClr val="C8102E"/>
      </a:accent2>
      <a:accent3>
        <a:srgbClr val="CE0058"/>
      </a:accent3>
      <a:accent4>
        <a:srgbClr val="FF8200"/>
      </a:accent4>
      <a:accent5>
        <a:srgbClr val="FFC600"/>
      </a:accent5>
      <a:accent6>
        <a:srgbClr val="4A7729"/>
      </a:accent6>
      <a:hlink>
        <a:srgbClr val="01426A"/>
      </a:hlink>
      <a:folHlink>
        <a:srgbClr val="772583"/>
      </a:folHlink>
    </a:clrScheme>
    <a:fontScheme name="Office 2013 - 2022">
      <a:majorFont>
        <a:latin typeface="Arial" panose="020F0302020204030204"/>
        <a:ea typeface="Simhei"/>
        <a:cs typeface="Atrissi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rial" panose="020F0502020204030204"/>
        <a:ea typeface="Simhei"/>
        <a:cs typeface="Atrissi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0" dT="2024-03-01T16:18:54.82" personId="{E2500F66-6B42-4E73-A5DA-B240E4A4A376}" id="{850EC09C-22E1-4736-940F-E36DBDC3093A}">
    <text>Was 176,559 in '22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97" dT="2024-02-05T20:58:53.41" personId="{E2500F66-6B42-4E73-A5DA-B240E4A4A376}" id="{0D5A7374-F15A-47AB-9DEF-79034E10D06E}">
    <text>No line item name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F1" dT="2024-04-02T14:47:07.34" personId="{E2500F66-6B42-4E73-A5DA-B240E4A4A376}" id="{769CF2C0-E24E-4DF9-89ED-10C5689800E2}">
    <text>Source: Statistics by Metering Location, monthly sales data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197" dT="2024-02-05T20:58:53.41" personId="{E2500F66-6B42-4E73-A5DA-B240E4A4A376}" id="{E5E6762A-EB71-45CB-A06A-4CEA473946A1}">
    <text>No line item name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8" dT="2024-05-09T14:39:28.43" personId="{E2500F66-6B42-4E73-A5DA-B240E4A4A376}" id="{D6B1504F-5446-49A0-841A-3DEF6B8382C2}">
    <text>When would the plant open &amp; begin using water?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F1" dT="2024-04-02T14:47:07.34" personId="{E2500F66-6B42-4E73-A5DA-B240E4A4A376}" id="{00C4CC70-2F7D-4731-9175-0032E8E59807}">
    <text>Source: Statistics by Metering Location, monthly sales data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M2" dT="2024-05-23T17:55:23.28" personId="{C06882EF-99AF-4713-9920-B49CEEB48EDD}" id="{459B7782-D60D-4F35-A5C1-40D5D113AC07}">
    <text>Flow Adjustments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15" dT="2024-06-17T21:24:33.81" personId="{E2500F66-6B42-4E73-A5DA-B240E4A4A376}" id="{DA8199A0-223B-46A1-94E7-9C88D15E2064}">
    <text>3.241% COLA</text>
  </threadedComment>
  <threadedComment ref="C16" dT="2024-06-17T21:25:35.96" personId="{E2500F66-6B42-4E73-A5DA-B240E4A4A376}" id="{D9886142-E7E2-47A9-BDE0-9E7765951E0A}">
    <text>2% Merit Increase</text>
  </threadedComment>
  <threadedComment ref="C21" dT="2024-06-17T21:26:13.19" personId="{E2500F66-6B42-4E73-A5DA-B240E4A4A376}" id="{5497DBB2-AA9C-484E-9076-C42EC94C6777}">
    <text>WC Known and Measurables.xlsx 
New Employees &amp; CSR Wages tabs</text>
  </threadedComment>
  <threadedComment ref="C22" dT="2024-06-17T21:26:25.19" personId="{E2500F66-6B42-4E73-A5DA-B240E4A4A376}" id="{931CBA28-A6BF-405B-8B31-E60C8B0DF659}">
    <text>WC Known and Measurables.xlsx 
New Employees &amp; CSR Wages tabs</text>
  </threadedComment>
  <threadedComment ref="C23" dT="2024-06-17T21:26:33.36" personId="{E2500F66-6B42-4E73-A5DA-B240E4A4A376}" id="{BD40BFF0-9418-4BF5-BD81-81884140B31E}">
    <text>WC Known and Measurables.xlsx 
New Employees &amp; CSR Wages tabs</text>
  </threadedComment>
  <threadedComment ref="C24" dT="2024-06-17T21:26:42.43" personId="{E2500F66-6B42-4E73-A5DA-B240E4A4A376}" id="{631D2989-A69C-4E7F-BDEB-991447A1603D}">
    <text>WC Known and Measurables.xlsx 
New Employees &amp; CSR Wages tabs</text>
  </threadedComment>
  <threadedComment ref="C25" dT="2024-06-17T21:26:58.55" personId="{E2500F66-6B42-4E73-A5DA-B240E4A4A376}" id="{640D5BC1-8088-43D9-A13A-9F2CEAD3E96B}">
    <text>3.241% COLA</text>
  </threadedComment>
  <threadedComment ref="C26" dT="2024-06-17T21:27:15.26" personId="{E2500F66-6B42-4E73-A5DA-B240E4A4A376}" id="{0B52F8CC-B28C-4AEE-B530-A2BAA0AE2D82}">
    <text>2% Merit Increase</text>
  </threadedComment>
  <threadedComment ref="C44" dT="2024-06-17T21:24:23.27" personId="{E2500F66-6B42-4E73-A5DA-B240E4A4A376}" id="{D7FB0802-5F0A-4E36-83AB-84DC8A25BF1D}">
    <text xml:space="preserve">WC Known and Measurables.xlsx 
Developments-S
</text>
  </threadedComment>
  <threadedComment ref="C45" dT="2024-06-17T21:27:48.10" personId="{E2500F66-6B42-4E73-A5DA-B240E4A4A376}" id="{9638CA81-F5AA-44A8-A55A-64B9C298CA2A}">
    <text>WC Known and Measurables.xlsx 
Developments-S</text>
  </threadedComment>
  <threadedComment ref="C46" dT="2024-06-17T21:28:09.44" personId="{E2500F66-6B42-4E73-A5DA-B240E4A4A376}" id="{0C9C38A8-BA04-41A3-9B9E-6ADE01961389}">
    <text>WC Known and Measurables.xlsx 
Transpark 2 upgrade</text>
  </threadedComment>
  <threadedComment ref="C47" dT="2024-06-17T21:28:34.09" personId="{E2500F66-6B42-4E73-A5DA-B240E4A4A376}" id="{689F7184-D21A-4C44-A99E-0A20696F975C}">
    <text>WC Known and Measurables.xlsx 
Transpark 2 Upgrade</text>
  </threadedComment>
  <threadedComment ref="C48" dT="2024-06-17T21:28:54.06" personId="{E2500F66-6B42-4E73-A5DA-B240E4A4A376}" id="{EB93696C-EAC6-4CB2-B54E-3B2C5E3060AC}">
    <text xml:space="preserve">WC Known and Measurables.xlsx 
Transpark 2 Tank
</text>
  </threadedComment>
  <threadedComment ref="C49" dT="2024-06-17T21:29:16.15" personId="{E2500F66-6B42-4E73-A5DA-B240E4A4A376}" id="{8BFA828A-D439-4121-B7F0-7492CA2FCC0A}">
    <text>WC Known and Measurables.xlsx 
SCADA Upgrade</text>
  </threadedComment>
  <threadedComment ref="C50" dT="2024-06-17T21:29:35.83" personId="{E2500F66-6B42-4E73-A5DA-B240E4A4A376}" id="{4BAB86F3-F28E-4495-A1E4-49ABBE2A2881}">
    <text>WC Known and Measurables.xlsx 
CIS Infinity Upgrade</text>
  </threadedComment>
  <threadedComment ref="C51" dT="2024-06-17T21:30:04.61" personId="{E2500F66-6B42-4E73-A5DA-B240E4A4A376}" id="{5DD4E52B-AAEB-46E0-AF30-3134ED0DF2C4}">
    <text xml:space="preserve">WC Known and Measurables.xlsx 
MCO Program
</text>
  </threadedComment>
  <threadedComment ref="C52" dT="2024-06-12T12:52:33.29" personId="{E2500F66-6B42-4E73-A5DA-B240E4A4A376}" id="{B1A802C9-4D1B-4456-A6A6-AD3986F3537E}">
    <text>Cola and merit increase of Commissioner SS &amp; Medicare ($120) (See Expenses tab of WCWD COS Study- Water.xlsx)
Payroll Taxes- WC Known and Measurables.xlsx  
New Employees
CSR Wages</text>
  </threadedComment>
  <threadedComment ref="E58" dT="2024-06-18T14:34:38.36" personId="{E2500F66-6B42-4E73-A5DA-B240E4A4A376}" id="{CC371A1E-E556-4AFA-A01E-34BF5CDB8B21}">
    <text>Principal- $696,263 (DSC Included)
Principal DSC- $101,223
Interest- $334,993 (DSC Included)
Interest DSC- $33,279 
Total DSC- $134,502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5.bin"/><Relationship Id="rId4" Type="http://schemas.microsoft.com/office/2017/10/relationships/threadedComment" Target="../threadedComments/threadedComment7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0.bin"/><Relationship Id="rId5" Type="http://schemas.microsoft.com/office/2017/10/relationships/threadedComment" Target="../threadedComments/threadedComment8.xml"/><Relationship Id="rId4" Type="http://schemas.openxmlformats.org/officeDocument/2006/relationships/comments" Target="../comments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3B29-816E-480A-B227-A1E4751CE1DA}">
  <sheetPr>
    <tabColor rgb="FFE87722"/>
  </sheetPr>
  <dimension ref="A1:J36"/>
  <sheetViews>
    <sheetView tabSelected="1" workbookViewId="0">
      <selection activeCell="A7" sqref="A7"/>
    </sheetView>
  </sheetViews>
  <sheetFormatPr defaultRowHeight="14"/>
  <cols>
    <col min="1" max="1" width="28" customWidth="1"/>
    <col min="2" max="3" width="12.58203125" customWidth="1"/>
    <col min="6" max="6" width="12.5" customWidth="1"/>
    <col min="7" max="7" width="11.25" customWidth="1"/>
    <col min="8" max="8" width="12.25" customWidth="1"/>
    <col min="9" max="9" width="10.5" customWidth="1"/>
  </cols>
  <sheetData>
    <row r="1" spans="1:10" ht="14.5" thickBot="1">
      <c r="A1" s="879" t="s">
        <v>853</v>
      </c>
      <c r="B1" s="880" t="s">
        <v>0</v>
      </c>
      <c r="C1" s="881"/>
      <c r="D1" s="884" t="s">
        <v>1</v>
      </c>
      <c r="E1" s="884"/>
      <c r="F1" s="885" t="s">
        <v>2</v>
      </c>
      <c r="G1" s="885" t="s">
        <v>3</v>
      </c>
      <c r="H1" s="885"/>
      <c r="I1" s="876" t="s">
        <v>4</v>
      </c>
    </row>
    <row r="2" spans="1:10" ht="14.5" thickBot="1">
      <c r="A2" s="879"/>
      <c r="B2" s="882"/>
      <c r="C2" s="883"/>
      <c r="D2" s="884"/>
      <c r="E2" s="884"/>
      <c r="F2" s="885"/>
      <c r="G2" s="885"/>
      <c r="H2" s="885"/>
      <c r="I2" s="876"/>
    </row>
    <row r="3" spans="1:10" ht="14.5" thickBot="1">
      <c r="A3" s="64" t="s">
        <v>5</v>
      </c>
      <c r="B3" s="25" t="s">
        <v>6</v>
      </c>
      <c r="C3" s="25" t="s">
        <v>7</v>
      </c>
      <c r="D3" s="1" t="s">
        <v>6</v>
      </c>
      <c r="E3" s="1" t="s">
        <v>7</v>
      </c>
      <c r="F3" s="2" t="s">
        <v>8</v>
      </c>
      <c r="G3" s="2" t="s">
        <v>6</v>
      </c>
      <c r="H3" s="2" t="s">
        <v>7</v>
      </c>
      <c r="I3" s="876"/>
    </row>
    <row r="4" spans="1:10">
      <c r="A4" s="65" t="s">
        <v>9</v>
      </c>
      <c r="B4" s="26"/>
      <c r="C4" s="51"/>
      <c r="D4" s="21"/>
      <c r="E4" s="20"/>
      <c r="F4" s="21"/>
      <c r="G4" s="886"/>
      <c r="H4" s="887"/>
      <c r="I4" s="19"/>
    </row>
    <row r="5" spans="1:10">
      <c r="A5" s="80" t="s">
        <v>10</v>
      </c>
      <c r="B5" s="85">
        <v>317555</v>
      </c>
      <c r="C5" s="86">
        <v>1761749</v>
      </c>
      <c r="D5" s="286">
        <f>B5/(C5+B5)</f>
        <v>0.1527217761327829</v>
      </c>
      <c r="E5" s="288">
        <f>C5/(B5+C5)</f>
        <v>0.84727822386721707</v>
      </c>
      <c r="F5" s="287">
        <f>SUM(B5:C5)</f>
        <v>2079304</v>
      </c>
      <c r="G5" s="293">
        <f>B5</f>
        <v>317555</v>
      </c>
      <c r="H5" s="298">
        <f>C5</f>
        <v>1761749</v>
      </c>
      <c r="I5" s="81"/>
      <c r="J5" s="7"/>
    </row>
    <row r="6" spans="1:10">
      <c r="A6" s="82" t="s">
        <v>11</v>
      </c>
      <c r="B6" s="87">
        <v>15000</v>
      </c>
      <c r="C6" s="88">
        <v>15000</v>
      </c>
      <c r="D6" s="286">
        <f>B6/(C6+B6)</f>
        <v>0.5</v>
      </c>
      <c r="E6" s="288">
        <f>C6/(B6+C6)</f>
        <v>0.5</v>
      </c>
      <c r="F6" s="287">
        <f t="shared" ref="F6:F23" si="0">SUM(B6:C6)</f>
        <v>30000</v>
      </c>
      <c r="G6" s="293">
        <f t="shared" ref="G6:G23" si="1">B6</f>
        <v>15000</v>
      </c>
      <c r="H6" s="298">
        <f t="shared" ref="H6:H23" si="2">C6</f>
        <v>15000</v>
      </c>
      <c r="I6" s="83"/>
      <c r="J6" s="7"/>
    </row>
    <row r="7" spans="1:10">
      <c r="A7" s="80" t="s">
        <v>12</v>
      </c>
      <c r="B7" s="87">
        <v>179639</v>
      </c>
      <c r="C7" s="88">
        <v>999812</v>
      </c>
      <c r="D7" s="286">
        <f t="shared" ref="D7:D23" si="3">B7/(C7+B7)</f>
        <v>0.15230730229572911</v>
      </c>
      <c r="E7" s="288">
        <f t="shared" ref="E7:E23" si="4">C7/(B7+C7)</f>
        <v>0.84769269770427091</v>
      </c>
      <c r="F7" s="287">
        <f t="shared" si="0"/>
        <v>1179451</v>
      </c>
      <c r="G7" s="293">
        <f t="shared" si="1"/>
        <v>179639</v>
      </c>
      <c r="H7" s="298">
        <f t="shared" si="2"/>
        <v>999812</v>
      </c>
      <c r="I7" s="83"/>
      <c r="J7" s="7"/>
    </row>
    <row r="8" spans="1:10">
      <c r="A8" s="84" t="s">
        <v>13</v>
      </c>
      <c r="B8" s="7"/>
      <c r="C8" s="88">
        <v>8215807</v>
      </c>
      <c r="D8" s="286">
        <f t="shared" si="3"/>
        <v>0</v>
      </c>
      <c r="E8" s="288">
        <f t="shared" si="4"/>
        <v>1</v>
      </c>
      <c r="F8" s="287">
        <f t="shared" si="0"/>
        <v>8215807</v>
      </c>
      <c r="G8" s="293">
        <f t="shared" si="1"/>
        <v>0</v>
      </c>
      <c r="H8" s="298">
        <f t="shared" si="2"/>
        <v>8215807</v>
      </c>
      <c r="I8" s="83"/>
      <c r="J8" s="7"/>
    </row>
    <row r="9" spans="1:10">
      <c r="A9" s="84" t="s">
        <v>14</v>
      </c>
      <c r="B9" s="87">
        <v>3378674</v>
      </c>
      <c r="C9" s="88"/>
      <c r="D9" s="286">
        <f t="shared" si="3"/>
        <v>1</v>
      </c>
      <c r="E9" s="288">
        <f t="shared" si="4"/>
        <v>0</v>
      </c>
      <c r="F9" s="287">
        <f t="shared" si="0"/>
        <v>3378674</v>
      </c>
      <c r="G9" s="293">
        <f t="shared" si="1"/>
        <v>3378674</v>
      </c>
      <c r="H9" s="298">
        <f t="shared" si="2"/>
        <v>0</v>
      </c>
      <c r="I9" s="83"/>
      <c r="J9" s="7"/>
    </row>
    <row r="10" spans="1:10">
      <c r="A10" s="84" t="s">
        <v>15</v>
      </c>
      <c r="B10" s="87">
        <v>157890</v>
      </c>
      <c r="C10" s="88">
        <v>542510</v>
      </c>
      <c r="D10" s="286">
        <f t="shared" si="3"/>
        <v>0.22542832667047402</v>
      </c>
      <c r="E10" s="288">
        <f t="shared" si="4"/>
        <v>0.77457167332952603</v>
      </c>
      <c r="F10" s="287">
        <f t="shared" si="0"/>
        <v>700400</v>
      </c>
      <c r="G10" s="293">
        <f t="shared" si="1"/>
        <v>157890</v>
      </c>
      <c r="H10" s="298">
        <f t="shared" si="2"/>
        <v>542510</v>
      </c>
      <c r="I10" s="83"/>
      <c r="J10" s="7"/>
    </row>
    <row r="11" spans="1:10">
      <c r="A11" s="84" t="s">
        <v>16</v>
      </c>
      <c r="B11" s="87">
        <v>30983</v>
      </c>
      <c r="C11" s="88">
        <v>0</v>
      </c>
      <c r="D11" s="286">
        <f t="shared" si="3"/>
        <v>1</v>
      </c>
      <c r="E11" s="288">
        <f t="shared" si="4"/>
        <v>0</v>
      </c>
      <c r="F11" s="287">
        <f t="shared" si="0"/>
        <v>30983</v>
      </c>
      <c r="G11" s="293">
        <f t="shared" si="1"/>
        <v>30983</v>
      </c>
      <c r="H11" s="298">
        <f t="shared" si="2"/>
        <v>0</v>
      </c>
      <c r="I11" s="83"/>
      <c r="J11" s="7"/>
    </row>
    <row r="12" spans="1:10">
      <c r="A12" s="84" t="s">
        <v>17</v>
      </c>
      <c r="B12" s="87">
        <v>59515</v>
      </c>
      <c r="C12" s="88">
        <v>344145</v>
      </c>
      <c r="D12" s="286">
        <f t="shared" si="3"/>
        <v>0.1474384382896497</v>
      </c>
      <c r="E12" s="288">
        <f t="shared" si="4"/>
        <v>0.85256156171035025</v>
      </c>
      <c r="F12" s="287">
        <f t="shared" si="0"/>
        <v>403660</v>
      </c>
      <c r="G12" s="293">
        <f t="shared" si="1"/>
        <v>59515</v>
      </c>
      <c r="H12" s="298">
        <f t="shared" si="2"/>
        <v>344145</v>
      </c>
      <c r="I12" s="83"/>
      <c r="J12" s="7"/>
    </row>
    <row r="13" spans="1:10">
      <c r="A13" s="84" t="s">
        <v>18</v>
      </c>
      <c r="B13" s="87">
        <v>0</v>
      </c>
      <c r="C13" s="88">
        <v>0</v>
      </c>
      <c r="D13" s="286"/>
      <c r="E13" s="288"/>
      <c r="F13" s="287">
        <f t="shared" si="0"/>
        <v>0</v>
      </c>
      <c r="G13" s="293">
        <f t="shared" si="1"/>
        <v>0</v>
      </c>
      <c r="H13" s="298">
        <f t="shared" si="2"/>
        <v>0</v>
      </c>
      <c r="I13" s="83"/>
      <c r="J13" s="7"/>
    </row>
    <row r="14" spans="1:10">
      <c r="A14" s="84" t="s">
        <v>19</v>
      </c>
      <c r="B14" s="87">
        <v>14000</v>
      </c>
      <c r="C14" s="88">
        <v>14533</v>
      </c>
      <c r="D14" s="286">
        <f t="shared" si="3"/>
        <v>0.49065993761609367</v>
      </c>
      <c r="E14" s="288">
        <f t="shared" si="4"/>
        <v>0.50934006238390639</v>
      </c>
      <c r="F14" s="287">
        <f t="shared" si="0"/>
        <v>28533</v>
      </c>
      <c r="G14" s="293">
        <f t="shared" si="1"/>
        <v>14000</v>
      </c>
      <c r="H14" s="298">
        <f t="shared" si="2"/>
        <v>14533</v>
      </c>
      <c r="I14" s="83"/>
      <c r="J14" s="7"/>
    </row>
    <row r="15" spans="1:10">
      <c r="A15" s="84" t="s">
        <v>20</v>
      </c>
      <c r="B15" s="87">
        <v>5136</v>
      </c>
      <c r="C15" s="88">
        <v>16922</v>
      </c>
      <c r="D15" s="286">
        <f t="shared" si="3"/>
        <v>0.23284069271919486</v>
      </c>
      <c r="E15" s="288">
        <f t="shared" si="4"/>
        <v>0.76715930728080517</v>
      </c>
      <c r="F15" s="287">
        <f t="shared" si="0"/>
        <v>22058</v>
      </c>
      <c r="G15" s="293">
        <f t="shared" si="1"/>
        <v>5136</v>
      </c>
      <c r="H15" s="298">
        <f t="shared" si="2"/>
        <v>16922</v>
      </c>
      <c r="I15" s="83"/>
      <c r="J15" s="7"/>
    </row>
    <row r="16" spans="1:10">
      <c r="A16" s="84" t="s">
        <v>21</v>
      </c>
      <c r="B16" s="87">
        <v>202915</v>
      </c>
      <c r="C16" s="88">
        <v>740331</v>
      </c>
      <c r="D16" s="286">
        <f t="shared" si="3"/>
        <v>0.21512415637066046</v>
      </c>
      <c r="E16" s="288">
        <f t="shared" si="4"/>
        <v>0.78487584362933949</v>
      </c>
      <c r="F16" s="287">
        <f t="shared" si="0"/>
        <v>943246</v>
      </c>
      <c r="G16" s="293">
        <f t="shared" si="1"/>
        <v>202915</v>
      </c>
      <c r="H16" s="298">
        <f t="shared" si="2"/>
        <v>740331</v>
      </c>
      <c r="I16" s="83"/>
      <c r="J16" s="7"/>
    </row>
    <row r="17" spans="1:10">
      <c r="A17" s="84" t="s">
        <v>22</v>
      </c>
      <c r="B17" s="87">
        <v>0</v>
      </c>
      <c r="C17" s="88">
        <v>57450</v>
      </c>
      <c r="D17" s="286">
        <f t="shared" si="3"/>
        <v>0</v>
      </c>
      <c r="E17" s="288">
        <f t="shared" si="4"/>
        <v>1</v>
      </c>
      <c r="F17" s="287">
        <f t="shared" si="0"/>
        <v>57450</v>
      </c>
      <c r="G17" s="293">
        <f t="shared" si="1"/>
        <v>0</v>
      </c>
      <c r="H17" s="298">
        <f t="shared" si="2"/>
        <v>57450</v>
      </c>
      <c r="I17" s="83"/>
      <c r="J17" s="7"/>
    </row>
    <row r="18" spans="1:10">
      <c r="A18" s="84" t="s">
        <v>23</v>
      </c>
      <c r="B18" s="87">
        <v>37618</v>
      </c>
      <c r="C18" s="88">
        <v>296880</v>
      </c>
      <c r="D18" s="286">
        <f t="shared" si="3"/>
        <v>0.11246106105268193</v>
      </c>
      <c r="E18" s="288">
        <f t="shared" si="4"/>
        <v>0.88753893894731806</v>
      </c>
      <c r="F18" s="287">
        <f t="shared" si="0"/>
        <v>334498</v>
      </c>
      <c r="G18" s="293">
        <f t="shared" si="1"/>
        <v>37618</v>
      </c>
      <c r="H18" s="298">
        <f t="shared" si="2"/>
        <v>296880</v>
      </c>
      <c r="I18" s="83"/>
      <c r="J18" s="7"/>
    </row>
    <row r="19" spans="1:10">
      <c r="A19" s="84" t="s">
        <v>24</v>
      </c>
      <c r="B19" s="87">
        <v>15775</v>
      </c>
      <c r="C19" s="88">
        <v>72306</v>
      </c>
      <c r="D19" s="286">
        <f t="shared" si="3"/>
        <v>0.17909651343649596</v>
      </c>
      <c r="E19" s="288">
        <f t="shared" si="4"/>
        <v>0.82090348656350409</v>
      </c>
      <c r="F19" s="287">
        <f t="shared" si="0"/>
        <v>88081</v>
      </c>
      <c r="G19" s="293">
        <f t="shared" si="1"/>
        <v>15775</v>
      </c>
      <c r="H19" s="298">
        <f t="shared" si="2"/>
        <v>72306</v>
      </c>
      <c r="I19" s="83"/>
      <c r="J19" s="7"/>
    </row>
    <row r="20" spans="1:10">
      <c r="A20" s="84" t="s">
        <v>25</v>
      </c>
      <c r="B20" s="87">
        <v>2545</v>
      </c>
      <c r="C20" s="88">
        <v>2737</v>
      </c>
      <c r="D20" s="286">
        <f t="shared" si="3"/>
        <v>0.48182506626277927</v>
      </c>
      <c r="E20" s="288">
        <f t="shared" si="4"/>
        <v>0.51817493373722079</v>
      </c>
      <c r="F20" s="287">
        <f t="shared" si="0"/>
        <v>5282</v>
      </c>
      <c r="G20" s="293">
        <f t="shared" si="1"/>
        <v>2545</v>
      </c>
      <c r="H20" s="298">
        <f t="shared" si="2"/>
        <v>2737</v>
      </c>
      <c r="I20" s="83"/>
      <c r="J20" s="7"/>
    </row>
    <row r="21" spans="1:10">
      <c r="A21" s="84" t="s">
        <v>26</v>
      </c>
      <c r="B21" s="87">
        <v>8006</v>
      </c>
      <c r="C21" s="88">
        <v>20980</v>
      </c>
      <c r="D21" s="286">
        <f t="shared" si="3"/>
        <v>0.27620230456082245</v>
      </c>
      <c r="E21" s="288">
        <f t="shared" si="4"/>
        <v>0.72379769543917749</v>
      </c>
      <c r="F21" s="287">
        <f t="shared" si="0"/>
        <v>28986</v>
      </c>
      <c r="G21" s="293">
        <f t="shared" si="1"/>
        <v>8006</v>
      </c>
      <c r="H21" s="298">
        <f t="shared" si="2"/>
        <v>20980</v>
      </c>
      <c r="I21" s="83"/>
      <c r="J21" s="7"/>
    </row>
    <row r="22" spans="1:10">
      <c r="A22" s="84" t="s">
        <v>27</v>
      </c>
      <c r="B22" s="87">
        <v>4466</v>
      </c>
      <c r="C22" s="88">
        <v>20990</v>
      </c>
      <c r="D22" s="286">
        <f t="shared" si="3"/>
        <v>0.17543997485857951</v>
      </c>
      <c r="E22" s="288">
        <f t="shared" si="4"/>
        <v>0.82456002514142046</v>
      </c>
      <c r="F22" s="287">
        <f t="shared" si="0"/>
        <v>25456</v>
      </c>
      <c r="G22" s="293">
        <f t="shared" si="1"/>
        <v>4466</v>
      </c>
      <c r="H22" s="298">
        <f t="shared" si="2"/>
        <v>20990</v>
      </c>
      <c r="I22" s="83"/>
      <c r="J22" s="7"/>
    </row>
    <row r="23" spans="1:10">
      <c r="A23" s="79" t="s">
        <v>28</v>
      </c>
      <c r="B23" s="323">
        <v>18031</v>
      </c>
      <c r="C23" s="321">
        <v>55055</v>
      </c>
      <c r="D23" s="335">
        <f t="shared" si="3"/>
        <v>0.24670935610103167</v>
      </c>
      <c r="E23" s="326">
        <f t="shared" si="4"/>
        <v>0.75329064389896838</v>
      </c>
      <c r="F23" s="331">
        <f t="shared" si="0"/>
        <v>73086</v>
      </c>
      <c r="G23" s="336">
        <f t="shared" si="1"/>
        <v>18031</v>
      </c>
      <c r="H23" s="328">
        <f t="shared" si="2"/>
        <v>55055</v>
      </c>
      <c r="I23" s="337"/>
      <c r="J23" s="7"/>
    </row>
    <row r="24" spans="1:10">
      <c r="A24" s="120" t="s">
        <v>29</v>
      </c>
      <c r="B24" s="117">
        <f>SUM(B5:B23)</f>
        <v>4447748</v>
      </c>
      <c r="C24" s="118">
        <f>SUM(C5:C23)</f>
        <v>13177207</v>
      </c>
      <c r="D24" s="121"/>
      <c r="E24" s="122"/>
      <c r="F24" s="123">
        <f>SUM(F5:F23)</f>
        <v>17624955</v>
      </c>
      <c r="G24" s="117">
        <f>SUM(G5:G23)</f>
        <v>4447748</v>
      </c>
      <c r="H24" s="118">
        <f>SUM(H5:H23)</f>
        <v>13177207</v>
      </c>
      <c r="I24" s="124"/>
      <c r="J24" s="7"/>
    </row>
    <row r="25" spans="1:10">
      <c r="B25" s="90"/>
      <c r="C25" s="15"/>
      <c r="D25" s="90"/>
      <c r="E25" s="92"/>
      <c r="F25" s="5"/>
      <c r="G25" s="7"/>
      <c r="H25" s="15"/>
      <c r="I25" s="5"/>
    </row>
    <row r="26" spans="1:10">
      <c r="A26" s="65" t="s">
        <v>30</v>
      </c>
      <c r="B26" s="26"/>
      <c r="C26" s="91"/>
      <c r="D26" s="89"/>
      <c r="E26" s="93"/>
      <c r="F26" s="78"/>
      <c r="G26" s="877"/>
      <c r="H26" s="878"/>
      <c r="I26" s="36"/>
    </row>
    <row r="27" spans="1:10">
      <c r="A27" s="80" t="s">
        <v>31</v>
      </c>
      <c r="B27" s="85">
        <v>1926133</v>
      </c>
      <c r="C27" s="357">
        <v>3849703</v>
      </c>
      <c r="D27" s="286">
        <f>B27/(C27+B27)</f>
        <v>0.33348124842879889</v>
      </c>
      <c r="E27" s="288">
        <f>C27/(B27+C27)</f>
        <v>0.66651875157120111</v>
      </c>
      <c r="F27" s="289">
        <f t="shared" ref="F27:F32" si="5">SUM(B27:C27)</f>
        <v>5775836</v>
      </c>
      <c r="G27" s="297">
        <f t="shared" ref="G27:H32" si="6">B27</f>
        <v>1926133</v>
      </c>
      <c r="H27" s="298">
        <f t="shared" si="6"/>
        <v>3849703</v>
      </c>
      <c r="I27" s="5"/>
    </row>
    <row r="28" spans="1:10">
      <c r="A28" s="82" t="s">
        <v>32</v>
      </c>
      <c r="B28" s="87">
        <v>-4</v>
      </c>
      <c r="C28" s="69">
        <v>-11001</v>
      </c>
      <c r="D28" s="286">
        <f>B28/(C28+B28)</f>
        <v>3.6347114947751021E-4</v>
      </c>
      <c r="E28" s="288">
        <f>C28/(B28+C28)</f>
        <v>0.99963652885052245</v>
      </c>
      <c r="F28" s="289">
        <f t="shared" si="5"/>
        <v>-11005</v>
      </c>
      <c r="G28" s="297">
        <f t="shared" si="6"/>
        <v>-4</v>
      </c>
      <c r="H28" s="298">
        <f t="shared" si="6"/>
        <v>-11001</v>
      </c>
      <c r="I28" s="5"/>
    </row>
    <row r="29" spans="1:10">
      <c r="A29" s="80" t="s">
        <v>33</v>
      </c>
      <c r="B29" s="87">
        <v>0</v>
      </c>
      <c r="C29" s="76">
        <v>0</v>
      </c>
      <c r="D29" s="286"/>
      <c r="E29" s="288"/>
      <c r="F29" s="289">
        <f t="shared" si="5"/>
        <v>0</v>
      </c>
      <c r="G29" s="297">
        <f t="shared" si="6"/>
        <v>0</v>
      </c>
      <c r="H29" s="298">
        <f t="shared" si="6"/>
        <v>0</v>
      </c>
      <c r="I29" s="5"/>
    </row>
    <row r="30" spans="1:10">
      <c r="A30" s="80" t="s">
        <v>34</v>
      </c>
      <c r="B30" s="87">
        <v>369324</v>
      </c>
      <c r="C30" s="88">
        <v>294851</v>
      </c>
      <c r="D30" s="286">
        <f>B30/(C30+B30)</f>
        <v>0.55606429028493998</v>
      </c>
      <c r="E30" s="288">
        <f>C30/(B30+C30)</f>
        <v>0.44393570971506002</v>
      </c>
      <c r="F30" s="289">
        <f t="shared" si="5"/>
        <v>664175</v>
      </c>
      <c r="G30" s="297">
        <f t="shared" si="6"/>
        <v>369324</v>
      </c>
      <c r="H30" s="298">
        <f t="shared" si="6"/>
        <v>294851</v>
      </c>
      <c r="I30" s="5"/>
    </row>
    <row r="31" spans="1:10">
      <c r="A31" s="80" t="s">
        <v>35</v>
      </c>
      <c r="B31" s="87">
        <v>0</v>
      </c>
      <c r="C31" s="88">
        <v>3247</v>
      </c>
      <c r="D31" s="286">
        <f>B31/(C31+B31)</f>
        <v>0</v>
      </c>
      <c r="E31" s="288">
        <f>C31/(B31+C31)</f>
        <v>1</v>
      </c>
      <c r="F31" s="289">
        <f t="shared" si="5"/>
        <v>3247</v>
      </c>
      <c r="G31" s="297">
        <f t="shared" si="6"/>
        <v>0</v>
      </c>
      <c r="H31" s="298">
        <f t="shared" si="6"/>
        <v>3247</v>
      </c>
      <c r="I31" s="5"/>
    </row>
    <row r="32" spans="1:10">
      <c r="A32" s="79" t="s">
        <v>36</v>
      </c>
      <c r="B32" s="28">
        <v>8618</v>
      </c>
      <c r="C32" s="69">
        <v>29230</v>
      </c>
      <c r="D32" s="286">
        <f>B32/(C32+B32)</f>
        <v>0.2277002747833439</v>
      </c>
      <c r="E32" s="288">
        <f>C32/(B32+C32)</f>
        <v>0.77229972521665613</v>
      </c>
      <c r="F32" s="289">
        <f t="shared" si="5"/>
        <v>37848</v>
      </c>
      <c r="G32" s="297">
        <f t="shared" si="6"/>
        <v>8618</v>
      </c>
      <c r="H32" s="298">
        <f t="shared" si="6"/>
        <v>29230</v>
      </c>
      <c r="I32" s="17"/>
    </row>
    <row r="33" spans="1:9">
      <c r="A33" s="120" t="s">
        <v>29</v>
      </c>
      <c r="B33" s="117">
        <f>SUM(B27:B32)</f>
        <v>2304071</v>
      </c>
      <c r="C33" s="118">
        <f>SUM(C27:C32)</f>
        <v>4166030</v>
      </c>
      <c r="D33" s="121"/>
      <c r="E33" s="122"/>
      <c r="F33" s="119">
        <f>SUM(F27:F32)</f>
        <v>6470101</v>
      </c>
      <c r="G33" s="118">
        <f>SUM(G27:G32)</f>
        <v>2304071</v>
      </c>
      <c r="H33" s="118">
        <f>SUM(H27:H32)</f>
        <v>4166030</v>
      </c>
      <c r="I33" s="124"/>
    </row>
    <row r="34" spans="1:9">
      <c r="A34" s="77"/>
      <c r="B34" s="7"/>
      <c r="C34" s="15"/>
      <c r="D34" s="7"/>
      <c r="E34" s="15"/>
      <c r="F34" s="5"/>
      <c r="G34" s="7"/>
      <c r="H34" s="15"/>
      <c r="I34" s="5"/>
    </row>
    <row r="35" spans="1:9" ht="14.5" thickBot="1">
      <c r="A35" s="205" t="s">
        <v>37</v>
      </c>
      <c r="B35" s="206">
        <f>SUM(B24,B33)</f>
        <v>6751819</v>
      </c>
      <c r="C35" s="207">
        <f>SUM(C24,C33)</f>
        <v>17343237</v>
      </c>
      <c r="D35" s="208"/>
      <c r="E35" s="209"/>
      <c r="F35" s="210">
        <f>SUM(F24,F33)</f>
        <v>24095056</v>
      </c>
      <c r="G35" s="206">
        <f>SUM(G24,G33)</f>
        <v>6751819</v>
      </c>
      <c r="H35" s="206">
        <f>SUM(H24,H33)</f>
        <v>17343237</v>
      </c>
      <c r="I35" s="211"/>
    </row>
    <row r="36" spans="1:9">
      <c r="F36" s="94"/>
      <c r="G36" s="94"/>
    </row>
  </sheetData>
  <mergeCells count="8">
    <mergeCell ref="I1:I3"/>
    <mergeCell ref="G26:H26"/>
    <mergeCell ref="A1:A2"/>
    <mergeCell ref="B1:C2"/>
    <mergeCell ref="D1:E2"/>
    <mergeCell ref="F1:F2"/>
    <mergeCell ref="G1:H2"/>
    <mergeCell ref="G4:H4"/>
  </mergeCells>
  <pageMargins left="0.7" right="0.7" top="0.75" bottom="0.75" header="0.3" footer="0.3"/>
  <pageSetup paperSize="256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6334F-8B15-4545-BD5C-B064BDBA1C09}">
  <sheetPr>
    <tabColor rgb="FF4298B5"/>
  </sheetPr>
  <dimension ref="A1:M13"/>
  <sheetViews>
    <sheetView workbookViewId="0">
      <selection sqref="A1:A2"/>
    </sheetView>
  </sheetViews>
  <sheetFormatPr defaultRowHeight="14"/>
  <cols>
    <col min="1" max="1" width="15.5" customWidth="1"/>
    <col min="2" max="2" width="12.33203125" customWidth="1"/>
    <col min="3" max="3" width="12.75" customWidth="1"/>
    <col min="4" max="5" width="12.33203125" customWidth="1"/>
    <col min="6" max="6" width="11.58203125" customWidth="1"/>
    <col min="7" max="7" width="12.25" customWidth="1"/>
    <col min="8" max="9" width="11.58203125" customWidth="1"/>
    <col min="10" max="10" width="12.75" customWidth="1"/>
    <col min="11" max="13" width="12.58203125" customWidth="1"/>
  </cols>
  <sheetData>
    <row r="1" spans="1:13" ht="25.5" customHeight="1">
      <c r="A1" s="956" t="s">
        <v>705</v>
      </c>
      <c r="B1" s="950" t="s">
        <v>129</v>
      </c>
      <c r="C1" s="950" t="s">
        <v>204</v>
      </c>
      <c r="D1" s="950" t="s">
        <v>281</v>
      </c>
      <c r="E1" s="950" t="s">
        <v>710</v>
      </c>
      <c r="F1" s="950" t="s">
        <v>102</v>
      </c>
      <c r="G1" s="950" t="s">
        <v>388</v>
      </c>
      <c r="H1" s="950" t="s">
        <v>34</v>
      </c>
      <c r="I1" s="950" t="s">
        <v>35</v>
      </c>
      <c r="J1" s="958" t="s">
        <v>711</v>
      </c>
      <c r="K1" s="953" t="s">
        <v>596</v>
      </c>
      <c r="L1" s="961" t="s">
        <v>712</v>
      </c>
      <c r="M1" s="953" t="s">
        <v>598</v>
      </c>
    </row>
    <row r="2" spans="1:13" ht="30" customHeight="1" thickBot="1">
      <c r="A2" s="957"/>
      <c r="B2" s="951"/>
      <c r="C2" s="951"/>
      <c r="D2" s="951"/>
      <c r="E2" s="951"/>
      <c r="F2" s="951"/>
      <c r="G2" s="951"/>
      <c r="H2" s="951"/>
      <c r="I2" s="951"/>
      <c r="J2" s="959"/>
      <c r="K2" s="954"/>
      <c r="L2" s="962"/>
      <c r="M2" s="954"/>
    </row>
    <row r="3" spans="1:13" ht="14.5" thickBot="1">
      <c r="A3" s="148" t="s">
        <v>5</v>
      </c>
      <c r="B3" s="952"/>
      <c r="C3" s="952"/>
      <c r="D3" s="952"/>
      <c r="E3" s="952"/>
      <c r="F3" s="952"/>
      <c r="G3" s="952"/>
      <c r="H3" s="952"/>
      <c r="I3" s="952"/>
      <c r="J3" s="960"/>
      <c r="K3" s="955"/>
      <c r="L3" s="963"/>
      <c r="M3" s="955"/>
    </row>
    <row r="4" spans="1:13">
      <c r="A4" s="149" t="s">
        <v>687</v>
      </c>
      <c r="B4" s="277">
        <f>'W Exp Alloc-TY'!E36</f>
        <v>7677111.4635122111</v>
      </c>
      <c r="C4" s="277">
        <f>'W Exp Alloc-TY'!E73</f>
        <v>1990483.99</v>
      </c>
      <c r="D4" s="277">
        <f>'W Exp Alloc-TY'!E94</f>
        <v>1192529.01</v>
      </c>
      <c r="E4" s="277">
        <f>'W Exp Alloc-TY'!E116</f>
        <v>1217538</v>
      </c>
      <c r="F4" s="277">
        <f>'W Exp Alloc-TY'!E138</f>
        <v>41638.338246298925</v>
      </c>
      <c r="G4" s="277">
        <f>'W Exp Alloc-TY'!E173</f>
        <v>3763349</v>
      </c>
      <c r="H4" s="277">
        <f>'W Exp Alloc-TY'!E222</f>
        <v>301714</v>
      </c>
      <c r="I4" s="277">
        <f>'W Exp Alloc-TY'!E244</f>
        <v>595040.18999999994</v>
      </c>
      <c r="J4" s="278">
        <f>'W Exp Alloc-TY'!E246</f>
        <v>16779403.99175851</v>
      </c>
      <c r="K4" s="284">
        <f>($B$4*'W-Alloc Met-TY'!C22)+($C$4*'W-Alloc Met-TY'!C22)+($D$4*'W-Alloc Met-TY'!C22)+($E$4*'W-Alloc Met-TY'!C22)+($F$4*'W-Alloc Met-TY'!C22)+($G$4*'W-Alloc Met-TY'!C22)+($H$4*'W-Alloc Met-TY'!C22)+($I$4*'W-Alloc Met-TY'!C22)</f>
        <v>4426579.8200340196</v>
      </c>
      <c r="L4" s="284">
        <f>($B$4*'W-Alloc Met-TY'!D22)+($C$4*'W-Alloc Met-TY'!D22)+($D$4*'W-Alloc Met-TY'!D22)+($E$4*'W-Alloc Met-TY'!D22)+($F$4*'W-Alloc Met-TY'!D22)+($G$4*'W-Alloc Met-TY'!D22)+($H$4*'W-Alloc Met-TY'!D22)+($I$4*'W-Alloc Met-TY'!D22)</f>
        <v>3162338.6459655203</v>
      </c>
      <c r="M4" s="284">
        <f>($B$4*'W-Alloc Met-TY'!E22)+($C$4*'W-Alloc Met-TY'!E22)+($D$4*'W-Alloc Met-TY'!E22)+($E$4*'W-Alloc Met-TY'!E22)+($F$4*'W-Alloc Met-TY'!E22)+($G$4*'W-Alloc Met-TY'!E22)+($H$4*'W-Alloc Met-TY'!E22)+($I$4*'W-Alloc Met-TY'!E22)</f>
        <v>9190485.5257589705</v>
      </c>
    </row>
    <row r="5" spans="1:13">
      <c r="A5" s="150" t="s">
        <v>668</v>
      </c>
      <c r="B5" s="279">
        <f>'W Exp Alloc-TY'!F36</f>
        <v>1020321.5364877892</v>
      </c>
      <c r="C5" s="279">
        <f>'W Exp Alloc-TY'!F73</f>
        <v>0</v>
      </c>
      <c r="D5" s="279">
        <f>'W Exp Alloc-TY'!F94</f>
        <v>0</v>
      </c>
      <c r="E5" s="279">
        <f>'W Exp Alloc-TY'!F116</f>
        <v>0</v>
      </c>
      <c r="F5" s="279">
        <f>'W Exp Alloc-TY'!F138</f>
        <v>571.66175370107305</v>
      </c>
      <c r="G5" s="279">
        <f>'W Exp Alloc-TY'!F173</f>
        <v>0</v>
      </c>
      <c r="H5" s="279">
        <f>'W Exp Alloc-TY'!F222</f>
        <v>0</v>
      </c>
      <c r="I5" s="279">
        <f>'W Exp Alloc-TY'!F244</f>
        <v>0</v>
      </c>
      <c r="J5" s="280">
        <f>'W Exp Alloc-TY'!F246</f>
        <v>1020893.1982414903</v>
      </c>
      <c r="K5" s="284">
        <f>($B$5*'W-Alloc Met-TY'!C23)+($C$5*'W-Alloc Met-TY'!C23)+($D$5*'W-Alloc Met-TY'!C23)+($E$5*'W-Alloc Met-TY'!C23)+($F$5*'W-Alloc Met-TY'!C23)+($G$5*'W-Alloc Met-TY'!C23)+($H$5*'W-Alloc Met-TY'!C23)+($I$5*'W-Alloc Met-TY'!C23)</f>
        <v>244776.56123994061</v>
      </c>
      <c r="L5" s="284">
        <f>($B$5*'W-Alloc Met-TY'!D23)+($C$5*'W-Alloc Met-TY'!D23)+($D$5*'W-Alloc Met-TY'!D23)+($E$5*'W-Alloc Met-TY'!D23)+($F$5*'W-Alloc Met-TY'!D23)+($G$5*'W-Alloc Met-TY'!D23)+($H$5*'W-Alloc Met-TY'!D23)+($I$5*'W-Alloc Met-TY'!D23)</f>
        <v>227913.72843879947</v>
      </c>
      <c r="M5" s="284">
        <f>($B$5*'W-Alloc Met-TY'!E23)+($C$5*'W-Alloc Met-TY'!E23)+($D$5*'W-Alloc Met-TY'!E23)+($E$5*'W-Alloc Met-TY'!E23)+($F$5*'W-Alloc Met-TY'!E23)+($G$5*'W-Alloc Met-TY'!E23)+($H$5*'W-Alloc Met-TY'!E23)+($I$5*'W-Alloc Met-TY'!E23)</f>
        <v>548202.90856275021</v>
      </c>
    </row>
    <row r="6" spans="1:13" ht="14.5" thickBot="1">
      <c r="A6" s="151" t="s">
        <v>689</v>
      </c>
      <c r="B6" s="281">
        <f>'W Exp Alloc-TY'!G36</f>
        <v>0</v>
      </c>
      <c r="C6" s="281">
        <f>'W Exp Alloc-TY'!G73</f>
        <v>0</v>
      </c>
      <c r="D6" s="281">
        <f>'W Exp Alloc-TY'!G94</f>
        <v>0</v>
      </c>
      <c r="E6" s="281">
        <f>'W Exp Alloc-TY'!G116</f>
        <v>0</v>
      </c>
      <c r="F6" s="281">
        <f>'W Exp Alloc-TY'!G138</f>
        <v>0</v>
      </c>
      <c r="G6" s="281">
        <f>'W Exp Alloc-TY'!G173</f>
        <v>0</v>
      </c>
      <c r="H6" s="281">
        <f>'W Exp Alloc-TY'!G222</f>
        <v>0</v>
      </c>
      <c r="I6" s="281">
        <f>'W Exp Alloc-TY'!G244</f>
        <v>0</v>
      </c>
      <c r="J6" s="282">
        <f>'W Exp Alloc-TY'!G246</f>
        <v>0</v>
      </c>
      <c r="K6" s="284">
        <f>($B$6*'W-Alloc Met-TY'!C24)+($C$6*'W-Alloc Met-TY'!C24)+($D$6*'W-Alloc Met-TY'!C24)+($E$6*'W-Alloc Met-TY'!C24)+($F$6*'W-Alloc Met-TY'!C24)+($G$6*'W-Alloc Met-TY'!C24)+($H$6*'W-Alloc Met-TY'!C24)+($I$6*'W-Alloc Met-TY'!C24)</f>
        <v>0</v>
      </c>
      <c r="L6" s="284">
        <f>($B$6*'W-Alloc Met-TY'!D24)+($C$6*'W-Alloc Met-TY'!D24)+($D$6*'W-Alloc Met-TY'!D24)+($E$6*'W-Alloc Met-TY'!D24)+($F$6*'W-Alloc Met-TY'!D24)+($G$6*'W-Alloc Met-TY'!D24)+($H$6*'W-Alloc Met-TY'!D24)+($I$6*'W-Alloc Met-TY'!D24)</f>
        <v>0</v>
      </c>
      <c r="M6" s="284">
        <f>($B$6*'W-Alloc Met-TY'!E24)+($C$6*'W-Alloc Met-TY'!E24)+($D$6*'W-Alloc Met-TY'!E24)+($E$6*'W-Alloc Met-TY'!E24)+($F$6*'W-Alloc Met-TY'!E24)+($G$6*'W-Alloc Met-TY'!E24)+($H$6*'W-Alloc Met-TY'!E24)+($I$6*'W-Alloc Met-TY'!E24)</f>
        <v>0</v>
      </c>
    </row>
    <row r="7" spans="1:13" ht="14.5" thickBot="1">
      <c r="A7" s="176" t="s">
        <v>37</v>
      </c>
      <c r="B7" s="177">
        <f>SUM(B4:B6)</f>
        <v>8697433</v>
      </c>
      <c r="C7" s="177">
        <f t="shared" ref="C7:I7" si="0">SUM(C4:C6)</f>
        <v>1990483.99</v>
      </c>
      <c r="D7" s="177">
        <f t="shared" si="0"/>
        <v>1192529.01</v>
      </c>
      <c r="E7" s="177">
        <f t="shared" si="0"/>
        <v>1217538</v>
      </c>
      <c r="F7" s="177">
        <f t="shared" si="0"/>
        <v>42210</v>
      </c>
      <c r="G7" s="177">
        <f t="shared" si="0"/>
        <v>3763349</v>
      </c>
      <c r="H7" s="177">
        <f t="shared" si="0"/>
        <v>301714</v>
      </c>
      <c r="I7" s="177">
        <f t="shared" si="0"/>
        <v>595040.18999999994</v>
      </c>
      <c r="J7" s="178">
        <f>SUM(J4:J6)</f>
        <v>17800297.190000001</v>
      </c>
      <c r="K7" s="178">
        <f>SUM(K4:K6)</f>
        <v>4671356.3812739607</v>
      </c>
      <c r="L7" s="178">
        <f>SUM(L4:L6)</f>
        <v>3390252.3744043196</v>
      </c>
      <c r="M7" s="178">
        <f>SUM(M4:M6)</f>
        <v>9738688.4343217202</v>
      </c>
    </row>
    <row r="8" spans="1:13" ht="14.5" thickBot="1">
      <c r="A8" s="152" t="s">
        <v>713</v>
      </c>
      <c r="B8" s="152"/>
      <c r="C8" s="152"/>
      <c r="D8" s="152"/>
      <c r="E8" s="152"/>
      <c r="F8" s="152"/>
      <c r="G8" s="152"/>
      <c r="H8" s="152"/>
      <c r="I8" s="152"/>
      <c r="J8" s="283">
        <f>SUM(K8:M8)</f>
        <v>0.99999999999999989</v>
      </c>
      <c r="K8" s="283">
        <f>K7/$J$7</f>
        <v>0.26243137018511548</v>
      </c>
      <c r="L8" s="283">
        <f>L7/$J$7</f>
        <v>0.190460436599279</v>
      </c>
      <c r="M8" s="283">
        <f>M7/$J$7</f>
        <v>0.54710819321560544</v>
      </c>
    </row>
    <row r="12" spans="1:13">
      <c r="A12" t="s">
        <v>123</v>
      </c>
    </row>
    <row r="13" spans="1:13">
      <c r="A13" s="116" t="s">
        <v>714</v>
      </c>
    </row>
  </sheetData>
  <mergeCells count="13">
    <mergeCell ref="G1:G3"/>
    <mergeCell ref="I1:I3"/>
    <mergeCell ref="H1:H3"/>
    <mergeCell ref="M1:M3"/>
    <mergeCell ref="A1:A2"/>
    <mergeCell ref="J1:J3"/>
    <mergeCell ref="L1:L3"/>
    <mergeCell ref="B1:B3"/>
    <mergeCell ref="C1:C3"/>
    <mergeCell ref="D1:D3"/>
    <mergeCell ref="E1:E3"/>
    <mergeCell ref="F1:F3"/>
    <mergeCell ref="K1:K3"/>
  </mergeCells>
  <pageMargins left="0.7" right="0.7" top="0.75" bottom="0.75" header="0.3" footer="0.3"/>
  <pageSetup paperSize="3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1123-877B-44EE-B8FD-3FD3C7C82C26}">
  <sheetPr>
    <tabColor rgb="FF4298B5"/>
  </sheetPr>
  <dimension ref="A1:Q19"/>
  <sheetViews>
    <sheetView topLeftCell="A2" workbookViewId="0">
      <selection sqref="A1:A2"/>
    </sheetView>
  </sheetViews>
  <sheetFormatPr defaultRowHeight="14"/>
  <cols>
    <col min="1" max="1" width="19.33203125" customWidth="1"/>
    <col min="2" max="2" width="12.58203125" customWidth="1"/>
    <col min="3" max="3" width="11.08203125" bestFit="1" customWidth="1"/>
    <col min="4" max="4" width="12.75" customWidth="1"/>
    <col min="5" max="5" width="10.5" bestFit="1" customWidth="1"/>
    <col min="6" max="6" width="11.75" customWidth="1"/>
    <col min="7" max="7" width="12.33203125" bestFit="1" customWidth="1"/>
    <col min="8" max="8" width="12.08203125" customWidth="1"/>
    <col min="9" max="9" width="13.83203125" customWidth="1"/>
    <col min="10" max="10" width="13.33203125" customWidth="1"/>
    <col min="11" max="11" width="15.75" customWidth="1"/>
    <col min="12" max="12" width="12.33203125" customWidth="1"/>
    <col min="13" max="14" width="12.25" hidden="1" customWidth="1"/>
    <col min="15" max="15" width="15.83203125" hidden="1" customWidth="1"/>
    <col min="16" max="16" width="12.25" hidden="1" customWidth="1"/>
  </cols>
  <sheetData>
    <row r="1" spans="1:17" ht="29.25" customHeight="1">
      <c r="A1" s="974" t="s">
        <v>715</v>
      </c>
      <c r="B1" s="976" t="s">
        <v>716</v>
      </c>
      <c r="C1" s="977"/>
      <c r="D1" s="976" t="s">
        <v>717</v>
      </c>
      <c r="E1" s="977"/>
      <c r="F1" s="111" t="s">
        <v>718</v>
      </c>
      <c r="G1" s="111" t="s">
        <v>719</v>
      </c>
      <c r="H1" s="110" t="s">
        <v>720</v>
      </c>
      <c r="I1" s="922" t="s">
        <v>721</v>
      </c>
      <c r="J1" s="923"/>
      <c r="K1" s="861" t="s">
        <v>722</v>
      </c>
      <c r="L1" s="862" t="s">
        <v>720</v>
      </c>
      <c r="M1" s="964" t="s">
        <v>723</v>
      </c>
      <c r="N1" s="965"/>
      <c r="O1" s="965"/>
      <c r="P1" s="966"/>
      <c r="Q1" s="7"/>
    </row>
    <row r="2" spans="1:17" ht="28.5" thickBot="1">
      <c r="A2" s="975"/>
      <c r="B2" s="383" t="s">
        <v>724</v>
      </c>
      <c r="C2" s="22" t="s">
        <v>725</v>
      </c>
      <c r="D2" s="112" t="s">
        <v>724</v>
      </c>
      <c r="E2" s="473" t="s">
        <v>725</v>
      </c>
      <c r="F2" s="383" t="s">
        <v>724</v>
      </c>
      <c r="G2" s="383" t="s">
        <v>724</v>
      </c>
      <c r="H2" s="384" t="s">
        <v>724</v>
      </c>
      <c r="I2" s="383" t="s">
        <v>724</v>
      </c>
      <c r="J2" s="385" t="s">
        <v>725</v>
      </c>
      <c r="K2" s="383" t="s">
        <v>724</v>
      </c>
      <c r="L2" s="384" t="s">
        <v>724</v>
      </c>
      <c r="M2" s="114" t="s">
        <v>726</v>
      </c>
      <c r="N2" s="574" t="s">
        <v>727</v>
      </c>
      <c r="O2" s="386" t="s">
        <v>719</v>
      </c>
      <c r="P2" s="387" t="s">
        <v>728</v>
      </c>
    </row>
    <row r="3" spans="1:17">
      <c r="A3" s="471" t="s">
        <v>729</v>
      </c>
      <c r="B3" s="565"/>
      <c r="C3" s="566"/>
      <c r="D3" s="567"/>
      <c r="E3" s="575"/>
      <c r="F3" s="573"/>
      <c r="G3" s="474"/>
      <c r="H3" s="474"/>
      <c r="I3" s="475"/>
      <c r="J3" s="579"/>
      <c r="K3" s="474"/>
      <c r="L3" s="832"/>
      <c r="M3" s="830"/>
      <c r="N3" s="580"/>
      <c r="O3" s="476"/>
      <c r="P3" s="477"/>
    </row>
    <row r="4" spans="1:17">
      <c r="A4" s="389" t="s">
        <v>596</v>
      </c>
      <c r="B4" s="598">
        <f>'W-Alloc %-TY'!K7</f>
        <v>4671356.3812739607</v>
      </c>
      <c r="C4" s="596">
        <f>'W-Alloc %-TY'!K8</f>
        <v>0.26243137018511548</v>
      </c>
      <c r="D4" s="595">
        <f>Revenues!E8+Revenues!E12+Revenues!E15</f>
        <v>3153740</v>
      </c>
      <c r="E4" s="597">
        <f>D4/$D$7</f>
        <v>0.19609273227510385</v>
      </c>
      <c r="F4" s="470">
        <f>(Revenues!$E$30+Revenues!$E$42)*E4</f>
        <v>191178.45231155748</v>
      </c>
      <c r="G4" s="470">
        <f>SUM(D4,F4)</f>
        <v>3344918.4523115577</v>
      </c>
      <c r="H4" s="470">
        <f>G4-B4</f>
        <v>-1326437.928962403</v>
      </c>
      <c r="I4" s="673">
        <f>D4*J4</f>
        <v>145590.45898439625</v>
      </c>
      <c r="J4" s="863">
        <v>4.6164382284017147E-2</v>
      </c>
      <c r="K4" s="470">
        <f>SUM(G4,I4)</f>
        <v>3490508.9112959541</v>
      </c>
      <c r="L4" s="833">
        <f>K4-B4</f>
        <v>-1180847.4699780066</v>
      </c>
      <c r="M4" s="831">
        <v>3.92</v>
      </c>
      <c r="N4" s="603">
        <f>M4*(1+J4)</f>
        <v>4.1009643785533472</v>
      </c>
      <c r="O4" s="601">
        <f>((N4*'W-Sales By Meter-TY'!P15)/1000)+F4</f>
        <v>3490379.9515331741</v>
      </c>
      <c r="P4" s="602">
        <f>O4-B4</f>
        <v>-1180976.4297407866</v>
      </c>
    </row>
    <row r="5" spans="1:17">
      <c r="A5" s="390" t="s">
        <v>597</v>
      </c>
      <c r="B5" s="598">
        <f>'W-Alloc %-TY'!L7</f>
        <v>3390252.3744043196</v>
      </c>
      <c r="C5" s="596">
        <f>'W-Alloc %-TY'!L8</f>
        <v>0.190460436599279</v>
      </c>
      <c r="D5" s="595">
        <f>Revenues!E7+Revenues!E5+Revenues!E9+Revenues!E11+Revenues!E14+Revenues!E16</f>
        <v>2805185</v>
      </c>
      <c r="E5" s="597">
        <f>D5/$D$7</f>
        <v>0.17442033623162886</v>
      </c>
      <c r="F5" s="470">
        <f>(Revenues!$E$30+Revenues!$E$42)*E5</f>
        <v>170049.18818532801</v>
      </c>
      <c r="G5" s="470">
        <f>SUM(D5,F5)</f>
        <v>2975234.1881853282</v>
      </c>
      <c r="H5" s="470">
        <f>G5-B5</f>
        <v>-415018.18621899141</v>
      </c>
      <c r="I5" s="600">
        <f>D5*J5</f>
        <v>129499.63271739065</v>
      </c>
      <c r="J5" s="863">
        <v>4.6164382284017147E-2</v>
      </c>
      <c r="K5" s="470">
        <f>SUM(G5,I5)</f>
        <v>3104733.8209027187</v>
      </c>
      <c r="L5" s="833">
        <f>K5-B5</f>
        <v>-285518.55350160087</v>
      </c>
      <c r="M5" s="831">
        <v>4.88</v>
      </c>
      <c r="N5" s="603">
        <f>M5*(1+J5)</f>
        <v>5.1052821855460042</v>
      </c>
      <c r="O5" s="601">
        <f>((N5*'W-Sales By Meter-TY'!BP15)/1000)+F5</f>
        <v>3104201.6166603225</v>
      </c>
      <c r="P5" s="602">
        <f>O5-B5</f>
        <v>-286050.75774399703</v>
      </c>
    </row>
    <row r="6" spans="1:17" ht="14.5" thickBot="1">
      <c r="A6" s="388" t="s">
        <v>598</v>
      </c>
      <c r="B6" s="599">
        <f>'W-Alloc %-TY'!M7</f>
        <v>9738688.4343217202</v>
      </c>
      <c r="C6" s="596">
        <f>'W-Alloc %-TY'!M8</f>
        <v>0.54710819321560544</v>
      </c>
      <c r="D6" s="595">
        <f>Revenues!E6+Revenues!E10+Revenues!E13+Revenues!E17</f>
        <v>10123976</v>
      </c>
      <c r="E6" s="597">
        <f>D6/$D$7</f>
        <v>0.62948693149326729</v>
      </c>
      <c r="F6" s="470">
        <f>(Revenues!$E$30+Revenues!$E$42)*E6</f>
        <v>613711.35950311448</v>
      </c>
      <c r="G6" s="470">
        <f>SUM(D6,F6)</f>
        <v>10737687.359503115</v>
      </c>
      <c r="H6" s="470">
        <f>G6-B6</f>
        <v>998998.92518139444</v>
      </c>
      <c r="I6" s="600">
        <f>D6*J6</f>
        <v>467367.09829821478</v>
      </c>
      <c r="J6" s="863">
        <v>4.6164382284017147E-2</v>
      </c>
      <c r="K6" s="749">
        <f>SUM(G6,I6)</f>
        <v>11205054.457801329</v>
      </c>
      <c r="L6" s="833">
        <f>K6-B6</f>
        <v>1466366.0234796088</v>
      </c>
      <c r="M6" s="831">
        <v>6.06</v>
      </c>
      <c r="N6" s="603">
        <f>M6*(1+J6)</f>
        <v>6.339756156641144</v>
      </c>
      <c r="O6" s="601">
        <f>((N6*'W-Sales By Meter-TY'!BZ15)/1000)+F6</f>
        <v>11202969.944010237</v>
      </c>
      <c r="P6" s="602">
        <f>O6-B6</f>
        <v>1464281.5096885171</v>
      </c>
    </row>
    <row r="7" spans="1:17" ht="14.5" thickBot="1">
      <c r="A7" s="663" t="s">
        <v>37</v>
      </c>
      <c r="B7" s="617">
        <f>SUM(B4:B6)</f>
        <v>17800297.190000001</v>
      </c>
      <c r="C7" s="618"/>
      <c r="D7" s="617">
        <f>SUM(D4:D6)</f>
        <v>16082901</v>
      </c>
      <c r="E7" s="618"/>
      <c r="F7" s="619">
        <f>SUM(F4:F6)</f>
        <v>974939</v>
      </c>
      <c r="G7" s="617">
        <f>SUM(G3:G6)</f>
        <v>17057840</v>
      </c>
      <c r="H7" s="633">
        <f>G7-B7</f>
        <v>-742457.19000000134</v>
      </c>
      <c r="I7" s="633">
        <f>D7*J7</f>
        <v>742457.19000000169</v>
      </c>
      <c r="J7" s="751">
        <v>4.6164382284017147E-2</v>
      </c>
      <c r="K7" s="750">
        <f>SUM(G7,I7)</f>
        <v>17800297.190000001</v>
      </c>
      <c r="L7" s="834">
        <f>K7-B7</f>
        <v>0</v>
      </c>
      <c r="M7" s="618"/>
      <c r="N7" s="618"/>
      <c r="O7" s="619">
        <f>SUM(O3:O6)</f>
        <v>17797551.512203734</v>
      </c>
      <c r="P7" s="620">
        <f>SUM(P3:P6)</f>
        <v>-2745.6777962665074</v>
      </c>
    </row>
    <row r="8" spans="1:17" ht="14.5" thickBot="1">
      <c r="K8" s="94"/>
    </row>
    <row r="9" spans="1:17" ht="51" customHeight="1">
      <c r="A9" s="974" t="s">
        <v>730</v>
      </c>
      <c r="B9" s="111" t="s">
        <v>731</v>
      </c>
      <c r="C9" s="111" t="s">
        <v>732</v>
      </c>
      <c r="D9" s="110" t="s">
        <v>733</v>
      </c>
      <c r="E9" s="110" t="s">
        <v>734</v>
      </c>
      <c r="F9" s="110" t="s">
        <v>735</v>
      </c>
      <c r="G9" s="976" t="s">
        <v>736</v>
      </c>
      <c r="H9" s="977"/>
    </row>
    <row r="10" spans="1:17" ht="16.5" customHeight="1" thickBot="1">
      <c r="A10" s="975"/>
      <c r="B10" s="112" t="s">
        <v>724</v>
      </c>
      <c r="C10" s="112" t="s">
        <v>724</v>
      </c>
      <c r="D10" s="113" t="s">
        <v>724</v>
      </c>
      <c r="E10" s="113" t="s">
        <v>724</v>
      </c>
      <c r="F10" s="113" t="s">
        <v>724</v>
      </c>
      <c r="G10" s="978" t="s">
        <v>724</v>
      </c>
      <c r="H10" s="979"/>
    </row>
    <row r="11" spans="1:17">
      <c r="A11" s="679" t="s">
        <v>729</v>
      </c>
      <c r="B11" s="676">
        <f>B7/'W-Sales By Meter-TY'!CA15*1000</f>
        <v>5.8370871637201036</v>
      </c>
      <c r="C11" s="676">
        <f>D7/'W-Sales By Meter-TY'!CA15*1000</f>
        <v>5.2739172824159581</v>
      </c>
      <c r="D11" s="677">
        <f>C11-B11</f>
        <v>-0.56316988130414547</v>
      </c>
      <c r="E11" s="676">
        <v>5.5</v>
      </c>
      <c r="F11" s="678">
        <f>(E11*'W-Sales By Meter-TY'!CA15)/1000</f>
        <v>16772344.116</v>
      </c>
      <c r="G11" s="972">
        <f>F11-B7</f>
        <v>-1027953.074000001</v>
      </c>
      <c r="H11" s="973"/>
    </row>
    <row r="12" spans="1:17">
      <c r="A12" s="389" t="s">
        <v>596</v>
      </c>
      <c r="B12" s="604">
        <f>B4/'W-Sales By Meter-TY'!P15*1000</f>
        <v>5.806576568194493</v>
      </c>
      <c r="C12" s="392">
        <f>D4/'W-Sales By Meter-TY'!P15*1000</f>
        <v>3.9201532256426939</v>
      </c>
      <c r="D12" s="359">
        <f>C12-B12</f>
        <v>-1.8864233425517991</v>
      </c>
      <c r="E12" s="359">
        <f>M4</f>
        <v>3.92</v>
      </c>
      <c r="F12" s="391">
        <f>(E12*'W-Sales By Meter-TY'!P15)/1000</f>
        <v>3153616.7308800002</v>
      </c>
      <c r="G12" s="967">
        <f>F12-B4</f>
        <v>-1517739.6503939605</v>
      </c>
      <c r="H12" s="968"/>
    </row>
    <row r="13" spans="1:17">
      <c r="A13" s="390" t="s">
        <v>597</v>
      </c>
      <c r="B13" s="604">
        <f>B5/'W-Sales By Meter-TY'!BP15*1000</f>
        <v>5.898873856579848</v>
      </c>
      <c r="C13" s="392">
        <f>D5/'W-Sales By Meter-TY'!BP15*1000</f>
        <v>4.8808851471647117</v>
      </c>
      <c r="D13" s="359">
        <f>C13-B13</f>
        <v>-1.0179887094151363</v>
      </c>
      <c r="E13" s="359">
        <f>M5</f>
        <v>4.88</v>
      </c>
      <c r="F13" s="391">
        <f>(E13*'W-Sales By Meter-TY'!BP15)/1000</f>
        <v>2804676.2804800002</v>
      </c>
      <c r="G13" s="971">
        <f>F13-B5</f>
        <v>-585576.09392431937</v>
      </c>
      <c r="H13" s="968"/>
    </row>
    <row r="14" spans="1:17" ht="14.5" thickBot="1">
      <c r="A14" s="388" t="s">
        <v>598</v>
      </c>
      <c r="B14" s="604">
        <f>B6/'W-Sales By Meter-TY'!BZ15*1000</f>
        <v>5.8305224550312333</v>
      </c>
      <c r="C14" s="392">
        <f>D6/'W-Sales By Meter-TY'!BZ15*1000</f>
        <v>6.0611929214376259</v>
      </c>
      <c r="D14" s="359">
        <f>C14-B14</f>
        <v>0.23067046640639255</v>
      </c>
      <c r="E14" s="621">
        <f>M6</f>
        <v>6.06</v>
      </c>
      <c r="F14" s="391">
        <f>(E14*'W-Sales By Meter-TY'!BZ15)/1000</f>
        <v>10121983.47012</v>
      </c>
      <c r="G14" s="967">
        <f>F14-B6</f>
        <v>383295.03579827957</v>
      </c>
      <c r="H14" s="968"/>
    </row>
    <row r="15" spans="1:17" ht="14.5" thickBot="1">
      <c r="A15" s="179"/>
      <c r="B15" s="180"/>
      <c r="C15" s="180"/>
      <c r="D15" s="180"/>
      <c r="E15" s="180"/>
      <c r="F15" s="360"/>
      <c r="G15" s="969"/>
      <c r="H15" s="970"/>
    </row>
    <row r="18" spans="2:2">
      <c r="B18" s="570"/>
    </row>
    <row r="19" spans="2:2">
      <c r="B19" s="472"/>
    </row>
  </sheetData>
  <mergeCells count="13">
    <mergeCell ref="A9:A10"/>
    <mergeCell ref="A1:A2"/>
    <mergeCell ref="G9:H9"/>
    <mergeCell ref="G10:H10"/>
    <mergeCell ref="B1:C1"/>
    <mergeCell ref="D1:E1"/>
    <mergeCell ref="M1:P1"/>
    <mergeCell ref="G14:H14"/>
    <mergeCell ref="G15:H15"/>
    <mergeCell ref="G12:H12"/>
    <mergeCell ref="G13:H13"/>
    <mergeCell ref="G11:H11"/>
    <mergeCell ref="I1:J1"/>
  </mergeCells>
  <pageMargins left="0.7" right="0.7" top="0.75" bottom="0.75" header="0.3" footer="0.3"/>
  <pageSetup paperSize="3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8EF68-CB53-4B5F-9786-3A4AD919EC66}">
  <sheetPr>
    <tabColor rgb="FF4A7729"/>
  </sheetPr>
  <dimension ref="A1:I42"/>
  <sheetViews>
    <sheetView workbookViewId="0">
      <selection activeCell="H36" sqref="H36"/>
    </sheetView>
  </sheetViews>
  <sheetFormatPr defaultRowHeight="14"/>
  <cols>
    <col min="1" max="1" width="24.58203125" customWidth="1"/>
    <col min="2" max="2" width="11.75" customWidth="1"/>
    <col min="3" max="3" width="16.5" customWidth="1"/>
    <col min="4" max="4" width="18.25" customWidth="1"/>
    <col min="5" max="5" width="13.33203125" customWidth="1"/>
    <col min="8" max="8" width="12.83203125" customWidth="1"/>
  </cols>
  <sheetData>
    <row r="1" spans="1:9" ht="14.5" thickBot="1"/>
    <row r="2" spans="1:9" ht="14.5" thickBot="1">
      <c r="A2" s="981" t="s">
        <v>737</v>
      </c>
      <c r="B2" s="982"/>
      <c r="C2" s="982"/>
      <c r="D2" s="982"/>
      <c r="E2" s="983"/>
    </row>
    <row r="3" spans="1:9" ht="64.5" customHeight="1" thickBot="1">
      <c r="A3" s="691"/>
      <c r="B3" s="692" t="s">
        <v>738</v>
      </c>
      <c r="C3" s="692" t="s">
        <v>739</v>
      </c>
      <c r="D3" s="692" t="s">
        <v>740</v>
      </c>
      <c r="E3" s="692" t="s">
        <v>741</v>
      </c>
      <c r="G3" s="690" t="s">
        <v>742</v>
      </c>
      <c r="H3" s="743" t="s">
        <v>743</v>
      </c>
      <c r="I3" s="742">
        <v>3.45</v>
      </c>
    </row>
    <row r="4" spans="1:9" ht="14.5" thickBot="1">
      <c r="A4" s="693" t="s">
        <v>744</v>
      </c>
      <c r="B4" s="712">
        <f>(B9*I3)/1000</f>
        <v>0</v>
      </c>
      <c r="C4" s="712">
        <f>(C9*I3)/1000</f>
        <v>0</v>
      </c>
      <c r="D4" s="712">
        <f>B4*12</f>
        <v>0</v>
      </c>
      <c r="E4" s="713">
        <f>(D22*I3)/1000</f>
        <v>0</v>
      </c>
    </row>
    <row r="5" spans="1:9">
      <c r="A5" s="694"/>
      <c r="B5" s="694"/>
      <c r="C5" s="694"/>
      <c r="D5" s="694"/>
      <c r="E5" s="694"/>
    </row>
    <row r="6" spans="1:9" ht="14.5" thickBot="1">
      <c r="A6" s="225"/>
      <c r="B6" s="695"/>
      <c r="C6" s="225"/>
      <c r="D6" s="225"/>
      <c r="E6" s="694"/>
    </row>
    <row r="7" spans="1:9" ht="14.5" thickBot="1">
      <c r="A7" s="981" t="s">
        <v>745</v>
      </c>
      <c r="B7" s="982"/>
      <c r="C7" s="982"/>
      <c r="D7" s="983"/>
      <c r="E7" s="225"/>
    </row>
    <row r="8" spans="1:9" ht="39.5" thickBot="1">
      <c r="A8" s="696"/>
      <c r="B8" s="697" t="s">
        <v>746</v>
      </c>
      <c r="C8" s="697" t="s">
        <v>747</v>
      </c>
      <c r="D8" s="697" t="s">
        <v>748</v>
      </c>
      <c r="E8" s="225"/>
    </row>
    <row r="9" spans="1:9" ht="14.5" thickBot="1">
      <c r="A9" s="698" t="s">
        <v>749</v>
      </c>
      <c r="B9" s="699">
        <f>AVERAGE(B10:B21)</f>
        <v>0</v>
      </c>
      <c r="C9" s="699">
        <v>0</v>
      </c>
      <c r="D9" s="700" t="s">
        <v>93</v>
      </c>
      <c r="E9" s="225"/>
    </row>
    <row r="10" spans="1:9">
      <c r="A10" s="134" t="s">
        <v>750</v>
      </c>
      <c r="B10" s="714">
        <v>0</v>
      </c>
      <c r="C10" s="718">
        <f>$C$9</f>
        <v>0</v>
      </c>
      <c r="D10" s="719">
        <f>C10-B10</f>
        <v>0</v>
      </c>
      <c r="E10" s="225"/>
    </row>
    <row r="11" spans="1:9">
      <c r="A11" s="135" t="s">
        <v>751</v>
      </c>
      <c r="B11" s="714">
        <v>0</v>
      </c>
      <c r="C11" s="718">
        <f t="shared" ref="C11:C21" si="0">$C$9</f>
        <v>0</v>
      </c>
      <c r="D11" s="719">
        <f t="shared" ref="D11:D21" si="1">C11-B11</f>
        <v>0</v>
      </c>
      <c r="E11" s="701"/>
    </row>
    <row r="12" spans="1:9">
      <c r="A12" s="136" t="s">
        <v>752</v>
      </c>
      <c r="B12" s="714">
        <v>0</v>
      </c>
      <c r="C12" s="718">
        <f t="shared" si="0"/>
        <v>0</v>
      </c>
      <c r="D12" s="719">
        <f>C12-B12</f>
        <v>0</v>
      </c>
      <c r="E12" s="701"/>
    </row>
    <row r="13" spans="1:9">
      <c r="A13" s="135" t="s">
        <v>753</v>
      </c>
      <c r="B13" s="714">
        <v>0</v>
      </c>
      <c r="C13" s="718">
        <f t="shared" si="0"/>
        <v>0</v>
      </c>
      <c r="D13" s="719">
        <f t="shared" si="1"/>
        <v>0</v>
      </c>
      <c r="E13" s="701"/>
    </row>
    <row r="14" spans="1:9">
      <c r="A14" s="136" t="s">
        <v>754</v>
      </c>
      <c r="B14" s="714">
        <v>0</v>
      </c>
      <c r="C14" s="718">
        <f t="shared" si="0"/>
        <v>0</v>
      </c>
      <c r="D14" s="719">
        <f t="shared" si="1"/>
        <v>0</v>
      </c>
      <c r="E14" s="701"/>
    </row>
    <row r="15" spans="1:9">
      <c r="A15" s="135" t="s">
        <v>755</v>
      </c>
      <c r="B15" s="714">
        <v>0</v>
      </c>
      <c r="C15" s="718">
        <f t="shared" si="0"/>
        <v>0</v>
      </c>
      <c r="D15" s="719">
        <f t="shared" si="1"/>
        <v>0</v>
      </c>
      <c r="E15" s="701"/>
    </row>
    <row r="16" spans="1:9">
      <c r="A16" s="136" t="s">
        <v>756</v>
      </c>
      <c r="B16" s="714">
        <v>0</v>
      </c>
      <c r="C16" s="718">
        <f t="shared" si="0"/>
        <v>0</v>
      </c>
      <c r="D16" s="719">
        <f t="shared" si="1"/>
        <v>0</v>
      </c>
      <c r="E16" s="701"/>
    </row>
    <row r="17" spans="1:5">
      <c r="A17" s="135" t="s">
        <v>757</v>
      </c>
      <c r="B17" s="714">
        <v>0</v>
      </c>
      <c r="C17" s="718">
        <f t="shared" si="0"/>
        <v>0</v>
      </c>
      <c r="D17" s="719">
        <f t="shared" si="1"/>
        <v>0</v>
      </c>
      <c r="E17" s="701"/>
    </row>
    <row r="18" spans="1:5">
      <c r="A18" s="136" t="s">
        <v>758</v>
      </c>
      <c r="B18" s="714">
        <v>0</v>
      </c>
      <c r="C18" s="718">
        <f t="shared" si="0"/>
        <v>0</v>
      </c>
      <c r="D18" s="719">
        <f t="shared" si="1"/>
        <v>0</v>
      </c>
      <c r="E18" s="701"/>
    </row>
    <row r="19" spans="1:5">
      <c r="A19" s="135" t="s">
        <v>759</v>
      </c>
      <c r="B19" s="714">
        <v>0</v>
      </c>
      <c r="C19" s="718">
        <f t="shared" si="0"/>
        <v>0</v>
      </c>
      <c r="D19" s="719">
        <f t="shared" si="1"/>
        <v>0</v>
      </c>
      <c r="E19" s="701"/>
    </row>
    <row r="20" spans="1:5">
      <c r="A20" s="136" t="s">
        <v>760</v>
      </c>
      <c r="B20" s="714">
        <v>0</v>
      </c>
      <c r="C20" s="718">
        <f t="shared" si="0"/>
        <v>0</v>
      </c>
      <c r="D20" s="719">
        <f t="shared" si="1"/>
        <v>0</v>
      </c>
      <c r="E20" s="701"/>
    </row>
    <row r="21" spans="1:5" ht="14.5" thickBot="1">
      <c r="A21" s="137" t="s">
        <v>761</v>
      </c>
      <c r="B21" s="714">
        <v>0</v>
      </c>
      <c r="C21" s="718">
        <f t="shared" si="0"/>
        <v>0</v>
      </c>
      <c r="D21" s="720">
        <f t="shared" si="1"/>
        <v>0</v>
      </c>
      <c r="E21" s="701"/>
    </row>
    <row r="22" spans="1:5" ht="14.5" thickBot="1">
      <c r="A22" s="715" t="s">
        <v>762</v>
      </c>
      <c r="B22" s="716">
        <f>SUM(B10:B21)</f>
        <v>0</v>
      </c>
      <c r="C22" s="717">
        <f>SUM(C10:C21)</f>
        <v>0</v>
      </c>
      <c r="D22" s="717">
        <f>SUM(D10:D21)</f>
        <v>0</v>
      </c>
      <c r="E22" s="701"/>
    </row>
    <row r="23" spans="1:5" ht="14.5" thickBot="1">
      <c r="A23" s="702"/>
      <c r="B23" s="702"/>
      <c r="C23" s="702"/>
      <c r="D23" s="702"/>
      <c r="E23" s="703"/>
    </row>
    <row r="24" spans="1:5" ht="41.5" thickBot="1">
      <c r="A24" s="704"/>
      <c r="B24" s="697" t="s">
        <v>746</v>
      </c>
      <c r="C24" s="697" t="s">
        <v>763</v>
      </c>
      <c r="D24" s="697" t="s">
        <v>764</v>
      </c>
      <c r="E24" s="697" t="s">
        <v>765</v>
      </c>
    </row>
    <row r="25" spans="1:5">
      <c r="A25" s="705" t="s">
        <v>766</v>
      </c>
      <c r="B25" s="694"/>
      <c r="C25" s="701"/>
      <c r="D25" s="701"/>
      <c r="E25" s="706"/>
    </row>
    <row r="26" spans="1:5">
      <c r="A26" s="707" t="s">
        <v>13</v>
      </c>
      <c r="B26" s="722">
        <f>Expenses!E27</f>
        <v>8221642</v>
      </c>
      <c r="C26" s="723">
        <f>(B26/'W-Purchased-TY Adj'!B14)*1000</f>
        <v>2.3398227907424234</v>
      </c>
      <c r="D26" s="724">
        <f>E26/12</f>
        <v>0</v>
      </c>
      <c r="E26" s="725">
        <f>C26*($D$22/1000)</f>
        <v>0</v>
      </c>
    </row>
    <row r="27" spans="1:5">
      <c r="A27" s="708" t="s">
        <v>15</v>
      </c>
      <c r="B27" s="726">
        <f>Expenses!E8</f>
        <v>535575</v>
      </c>
      <c r="C27" s="727">
        <f>(B27/'W-Purchased-TY Adj'!B14)*1000</f>
        <v>0.15242096300859045</v>
      </c>
      <c r="D27" s="728">
        <f>E27/12</f>
        <v>0</v>
      </c>
      <c r="E27" s="729">
        <f>C27*($D$22/1000)</f>
        <v>0</v>
      </c>
    </row>
    <row r="28" spans="1:5">
      <c r="A28" s="730" t="s">
        <v>37</v>
      </c>
      <c r="B28" s="731"/>
      <c r="C28" s="732"/>
      <c r="D28" s="733"/>
      <c r="E28" s="734">
        <f>SUM(E26:E27)</f>
        <v>0</v>
      </c>
    </row>
    <row r="29" spans="1:5">
      <c r="A29" s="709"/>
      <c r="B29" s="710"/>
      <c r="C29" s="370"/>
      <c r="D29" s="300"/>
      <c r="E29" s="721"/>
    </row>
    <row r="30" spans="1:5">
      <c r="A30" s="705" t="s">
        <v>767</v>
      </c>
      <c r="B30" s="710"/>
      <c r="C30" s="370"/>
      <c r="D30" s="300"/>
      <c r="E30" s="721"/>
    </row>
    <row r="31" spans="1:5">
      <c r="A31" s="707" t="s">
        <v>15</v>
      </c>
      <c r="B31" s="722">
        <f>Expenses!E43</f>
        <v>7616</v>
      </c>
      <c r="C31" s="723">
        <f>(B31/'W-Sales By Meter-TY Adj'!P15)*1000</f>
        <v>9.4668193847605563E-3</v>
      </c>
      <c r="D31" s="724">
        <f>E31/12</f>
        <v>0</v>
      </c>
      <c r="E31" s="725">
        <f>C31*($D$22/1000)</f>
        <v>0</v>
      </c>
    </row>
    <row r="32" spans="1:5">
      <c r="A32" s="711" t="s">
        <v>768</v>
      </c>
      <c r="B32" s="726">
        <f>Expenses!E61</f>
        <v>0</v>
      </c>
      <c r="C32" s="727">
        <f>(B32/'W-Sales By Meter-TY Adj'!P15)*1000</f>
        <v>0</v>
      </c>
      <c r="D32" s="728">
        <f>E32/12</f>
        <v>0</v>
      </c>
      <c r="E32" s="741">
        <f>C32*($D$22/1000)</f>
        <v>0</v>
      </c>
    </row>
    <row r="33" spans="1:5">
      <c r="A33" s="730" t="s">
        <v>37</v>
      </c>
      <c r="B33" s="735"/>
      <c r="C33" s="736"/>
      <c r="D33" s="737"/>
      <c r="E33" s="734">
        <f>SUM(E31:E32)</f>
        <v>0</v>
      </c>
    </row>
    <row r="34" spans="1:5" ht="14.5" thickBot="1">
      <c r="A34" s="715" t="s">
        <v>769</v>
      </c>
      <c r="B34" s="738"/>
      <c r="C34" s="739"/>
      <c r="D34" s="738"/>
      <c r="E34" s="740">
        <f>SUM(E33,E28)</f>
        <v>0</v>
      </c>
    </row>
    <row r="35" spans="1:5">
      <c r="A35" s="225"/>
      <c r="B35" s="225"/>
      <c r="C35" s="225"/>
      <c r="D35" s="225"/>
      <c r="E35" s="225"/>
    </row>
    <row r="36" spans="1:5">
      <c r="A36" s="703" t="s">
        <v>587</v>
      </c>
    </row>
    <row r="37" spans="1:5" ht="15">
      <c r="A37" s="980" t="s">
        <v>770</v>
      </c>
      <c r="B37" s="980"/>
      <c r="C37" s="980"/>
      <c r="D37" s="980"/>
    </row>
    <row r="38" spans="1:5" ht="15">
      <c r="A38" s="980" t="s">
        <v>771</v>
      </c>
      <c r="B38" s="980"/>
    </row>
    <row r="39" spans="1:5" ht="15">
      <c r="A39" s="980" t="s">
        <v>772</v>
      </c>
      <c r="B39" s="980"/>
      <c r="C39" s="980"/>
      <c r="D39" s="980"/>
      <c r="E39" s="980"/>
    </row>
    <row r="40" spans="1:5" ht="15">
      <c r="A40" s="980" t="s">
        <v>773</v>
      </c>
      <c r="B40" s="980"/>
      <c r="C40" s="980"/>
      <c r="D40" s="980"/>
    </row>
    <row r="41" spans="1:5" ht="15">
      <c r="A41" s="980" t="s">
        <v>774</v>
      </c>
      <c r="B41" s="980"/>
      <c r="C41" s="980"/>
      <c r="D41" s="980"/>
    </row>
    <row r="42" spans="1:5" ht="15">
      <c r="A42" s="980" t="s">
        <v>775</v>
      </c>
      <c r="B42" s="980"/>
      <c r="C42" s="980"/>
      <c r="D42" s="980"/>
    </row>
  </sheetData>
  <mergeCells count="8">
    <mergeCell ref="A42:D42"/>
    <mergeCell ref="A41:D41"/>
    <mergeCell ref="A39:E39"/>
    <mergeCell ref="A2:E2"/>
    <mergeCell ref="A7:D7"/>
    <mergeCell ref="A37:D37"/>
    <mergeCell ref="A38:B38"/>
    <mergeCell ref="A40:D40"/>
  </mergeCells>
  <phoneticPr fontId="14" type="noConversion"/>
  <pageMargins left="0.7" right="0.7" top="0.75" bottom="0.75" header="0.3" footer="0.3"/>
  <pageSetup paperSize="256" orientation="portrait" horizontalDpi="1200" verticalDpi="12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E65-1D5B-4C39-AEB8-53CD826A2865}">
  <sheetPr>
    <tabColor rgb="FF4A7729"/>
  </sheetPr>
  <dimension ref="A1:G21"/>
  <sheetViews>
    <sheetView workbookViewId="0">
      <selection sqref="A1:A2"/>
    </sheetView>
  </sheetViews>
  <sheetFormatPr defaultRowHeight="14"/>
  <cols>
    <col min="1" max="1" width="14.5" customWidth="1"/>
    <col min="2" max="3" width="12.75" customWidth="1"/>
    <col min="4" max="5" width="14.5" customWidth="1"/>
    <col min="6" max="6" width="14.33203125" customWidth="1"/>
  </cols>
  <sheetData>
    <row r="1" spans="1:7" ht="42.5" thickBot="1">
      <c r="A1" s="95" t="s">
        <v>776</v>
      </c>
      <c r="B1" s="369" t="s">
        <v>569</v>
      </c>
      <c r="C1" s="368" t="s">
        <v>570</v>
      </c>
      <c r="D1" s="369" t="s">
        <v>571</v>
      </c>
      <c r="E1" s="465" t="s">
        <v>572</v>
      </c>
      <c r="F1" s="465" t="s">
        <v>573</v>
      </c>
    </row>
    <row r="2" spans="1:7">
      <c r="A2" s="134" t="s">
        <v>574</v>
      </c>
      <c r="B2" s="125">
        <f>'W-Sales By Meter-TY Adj'!P3</f>
        <v>61284618</v>
      </c>
      <c r="C2" s="125">
        <f>'W-Sales By Meter-TY Adj'!BP3</f>
        <v>41581309</v>
      </c>
      <c r="D2" s="125">
        <f>'W-Sales By Meter-TY Adj'!BZ3</f>
        <v>132601202</v>
      </c>
      <c r="E2" s="461">
        <f t="shared" ref="E2:E13" si="0">SUM(B2:D2)</f>
        <v>235467129</v>
      </c>
      <c r="F2" s="466">
        <v>235407025</v>
      </c>
      <c r="G2" s="444"/>
    </row>
    <row r="3" spans="1:7">
      <c r="A3" s="135" t="s">
        <v>575</v>
      </c>
      <c r="B3" s="125">
        <f>'W-Sales By Meter-TY Adj'!P4</f>
        <v>58217612</v>
      </c>
      <c r="C3" s="125">
        <f>'W-Sales By Meter-TY Adj'!BP4</f>
        <v>40724375</v>
      </c>
      <c r="D3" s="125">
        <f>'W-Sales By Meter-TY Adj'!BZ4</f>
        <v>125453895</v>
      </c>
      <c r="E3" s="462">
        <f t="shared" si="0"/>
        <v>224395882</v>
      </c>
      <c r="F3" s="467">
        <v>224198932</v>
      </c>
      <c r="G3" s="444"/>
    </row>
    <row r="4" spans="1:7">
      <c r="A4" s="136" t="s">
        <v>576</v>
      </c>
      <c r="B4" s="125">
        <f>'W-Sales By Meter-TY Adj'!P5</f>
        <v>64876730</v>
      </c>
      <c r="C4" s="125">
        <f>'W-Sales By Meter-TY Adj'!BP5</f>
        <v>36220274</v>
      </c>
      <c r="D4" s="125">
        <f>'W-Sales By Meter-TY Adj'!BZ5</f>
        <v>114424418</v>
      </c>
      <c r="E4" s="462">
        <f t="shared" si="0"/>
        <v>215521422</v>
      </c>
      <c r="F4" s="467">
        <v>215372358</v>
      </c>
      <c r="G4" s="444"/>
    </row>
    <row r="5" spans="1:7">
      <c r="A5" s="135" t="s">
        <v>577</v>
      </c>
      <c r="B5" s="125">
        <f>'W-Sales By Meter-TY Adj'!P6</f>
        <v>63508076</v>
      </c>
      <c r="C5" s="125">
        <f>'W-Sales By Meter-TY Adj'!BP6</f>
        <v>36121686</v>
      </c>
      <c r="D5" s="125">
        <f>'W-Sales By Meter-TY Adj'!BZ6</f>
        <v>113376010</v>
      </c>
      <c r="E5" s="462">
        <f t="shared" si="0"/>
        <v>213005772</v>
      </c>
      <c r="F5" s="467">
        <v>212841806</v>
      </c>
      <c r="G5" s="444"/>
    </row>
    <row r="6" spans="1:7">
      <c r="A6" s="136" t="s">
        <v>578</v>
      </c>
      <c r="B6" s="125">
        <f>'W-Sales By Meter-TY Adj'!P7</f>
        <v>65604088</v>
      </c>
      <c r="C6" s="125">
        <f>'W-Sales By Meter-TY Adj'!BP7</f>
        <v>41011549</v>
      </c>
      <c r="D6" s="125">
        <f>'W-Sales By Meter-TY Adj'!BZ7</f>
        <v>128800242</v>
      </c>
      <c r="E6" s="462">
        <f t="shared" si="0"/>
        <v>235415879</v>
      </c>
      <c r="F6" s="467">
        <v>235332191</v>
      </c>
      <c r="G6" s="444"/>
    </row>
    <row r="7" spans="1:7">
      <c r="A7" s="135" t="s">
        <v>579</v>
      </c>
      <c r="B7" s="125">
        <f>'W-Sales By Meter-TY Adj'!P8</f>
        <v>72698892</v>
      </c>
      <c r="C7" s="125">
        <f>'W-Sales By Meter-TY Adj'!BP8</f>
        <v>50377245</v>
      </c>
      <c r="D7" s="125">
        <f>'W-Sales By Meter-TY Adj'!BZ8</f>
        <v>158446169</v>
      </c>
      <c r="E7" s="462">
        <f t="shared" si="0"/>
        <v>281522306</v>
      </c>
      <c r="F7" s="467">
        <v>281712444</v>
      </c>
      <c r="G7" s="444"/>
    </row>
    <row r="8" spans="1:7">
      <c r="A8" s="136" t="s">
        <v>580</v>
      </c>
      <c r="B8" s="125">
        <f>'W-Sales By Meter-TY Adj'!P9</f>
        <v>65092763</v>
      </c>
      <c r="C8" s="125">
        <f>'W-Sales By Meter-TY Adj'!BP9</f>
        <v>58573221</v>
      </c>
      <c r="D8" s="125">
        <f>'W-Sales By Meter-TY Adj'!BZ9</f>
        <v>169525526</v>
      </c>
      <c r="E8" s="463">
        <f t="shared" si="0"/>
        <v>293191510</v>
      </c>
      <c r="F8" s="467">
        <v>293370737</v>
      </c>
      <c r="G8" s="444"/>
    </row>
    <row r="9" spans="1:7">
      <c r="A9" s="135" t="s">
        <v>581</v>
      </c>
      <c r="B9" s="125">
        <f>'W-Sales By Meter-TY Adj'!P10</f>
        <v>72168870</v>
      </c>
      <c r="C9" s="125">
        <f>'W-Sales By Meter-TY Adj'!BP10</f>
        <v>56996869</v>
      </c>
      <c r="D9" s="125">
        <f>'W-Sales By Meter-TY Adj'!BZ10</f>
        <v>154460395</v>
      </c>
      <c r="E9" s="462">
        <f t="shared" si="0"/>
        <v>283626134</v>
      </c>
      <c r="F9" s="467">
        <v>283648438</v>
      </c>
      <c r="G9" s="444"/>
    </row>
    <row r="10" spans="1:7">
      <c r="A10" s="136" t="s">
        <v>582</v>
      </c>
      <c r="B10" s="125">
        <f>'W-Sales By Meter-TY Adj'!P11</f>
        <v>73832515</v>
      </c>
      <c r="C10" s="125">
        <f>'W-Sales By Meter-TY Adj'!BP11</f>
        <v>58950184</v>
      </c>
      <c r="D10" s="125">
        <f>'W-Sales By Meter-TY Adj'!BZ11</f>
        <v>157623081</v>
      </c>
      <c r="E10" s="462">
        <f t="shared" si="0"/>
        <v>290405780</v>
      </c>
      <c r="F10" s="467">
        <v>290533648</v>
      </c>
      <c r="G10" s="444"/>
    </row>
    <row r="11" spans="1:7">
      <c r="A11" s="135" t="s">
        <v>583</v>
      </c>
      <c r="B11" s="125">
        <f>'W-Sales By Meter-TY Adj'!P12</f>
        <v>73118908</v>
      </c>
      <c r="C11" s="125">
        <f>'W-Sales By Meter-TY Adj'!BP12</f>
        <v>61805860</v>
      </c>
      <c r="D11" s="125">
        <f>'W-Sales By Meter-TY Adj'!BZ12</f>
        <v>157505941</v>
      </c>
      <c r="E11" s="462">
        <f t="shared" si="0"/>
        <v>292430709</v>
      </c>
      <c r="F11" s="467">
        <v>292573497</v>
      </c>
      <c r="G11" s="444"/>
    </row>
    <row r="12" spans="1:7">
      <c r="A12" s="136" t="s">
        <v>584</v>
      </c>
      <c r="B12" s="125">
        <f>'W-Sales By Meter-TY Adj'!P13</f>
        <v>72175793</v>
      </c>
      <c r="C12" s="125">
        <f>'W-Sales By Meter-TY Adj'!BP13</f>
        <v>52561346</v>
      </c>
      <c r="D12" s="125">
        <f>'W-Sales By Meter-TY Adj'!BZ13</f>
        <v>135103313</v>
      </c>
      <c r="E12" s="462">
        <f t="shared" si="0"/>
        <v>259840452</v>
      </c>
      <c r="F12" s="467">
        <v>259791352</v>
      </c>
      <c r="G12" s="444"/>
    </row>
    <row r="13" spans="1:7" ht="14.5" thickBot="1">
      <c r="A13" s="137" t="s">
        <v>585</v>
      </c>
      <c r="B13" s="125">
        <f>'W-Sales By Meter-TY Adj'!P14</f>
        <v>61915199</v>
      </c>
      <c r="C13" s="125">
        <f>'W-Sales By Meter-TY Adj'!BP14</f>
        <v>39804828</v>
      </c>
      <c r="D13" s="125">
        <f>'W-Sales By Meter-TY Adj'!BZ14</f>
        <v>122974110</v>
      </c>
      <c r="E13" s="464">
        <f t="shared" si="0"/>
        <v>224694137</v>
      </c>
      <c r="F13" s="468">
        <v>224521197</v>
      </c>
      <c r="G13" s="444"/>
    </row>
    <row r="14" spans="1:7">
      <c r="A14" s="480" t="s">
        <v>37</v>
      </c>
      <c r="B14" s="481">
        <f>SUM(B2:B13)</f>
        <v>804494064</v>
      </c>
      <c r="C14" s="481">
        <f>SUM(C2:C13)</f>
        <v>574728746</v>
      </c>
      <c r="D14" s="481">
        <f>SUM(D2:D13)</f>
        <v>1670294302</v>
      </c>
      <c r="E14" s="482">
        <f>SUM(E2:E13)</f>
        <v>3049517112</v>
      </c>
      <c r="F14" s="482">
        <f>SUM(F2:F13)</f>
        <v>3049303625</v>
      </c>
      <c r="G14" s="444"/>
    </row>
    <row r="15" spans="1:7" ht="14.5" thickBot="1">
      <c r="A15" s="483" t="s">
        <v>586</v>
      </c>
      <c r="B15" s="484">
        <f>B14/$E$14</f>
        <v>0.26381031306047642</v>
      </c>
      <c r="C15" s="484">
        <f>C14/$E$14</f>
        <v>0.18846549302458873</v>
      </c>
      <c r="D15" s="511">
        <f>D14/$E$14</f>
        <v>0.54772419391493476</v>
      </c>
      <c r="E15" s="485">
        <f>SUM(B15:D15)</f>
        <v>0.99999999999999989</v>
      </c>
      <c r="F15" s="668"/>
    </row>
    <row r="16" spans="1:7">
      <c r="A16" s="378"/>
      <c r="B16" s="379"/>
      <c r="C16" s="379"/>
      <c r="D16" s="379"/>
      <c r="E16" s="380"/>
    </row>
    <row r="17" spans="1:1">
      <c r="A17" s="116" t="s">
        <v>587</v>
      </c>
    </row>
    <row r="18" spans="1:1" ht="15">
      <c r="A18" s="116" t="s">
        <v>588</v>
      </c>
    </row>
    <row r="19" spans="1:1" ht="15">
      <c r="A19" s="116" t="s">
        <v>589</v>
      </c>
    </row>
    <row r="20" spans="1:1" ht="15">
      <c r="A20" s="116" t="s">
        <v>590</v>
      </c>
    </row>
    <row r="21" spans="1:1">
      <c r="A21" s="116"/>
    </row>
  </sheetData>
  <pageMargins left="0.7" right="0.7" top="0.75" bottom="0.75" header="0.3" footer="0.3"/>
  <pageSetup paperSize="256" orientation="portrait" horizontalDpi="1200" verticalDpi="12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8C3D3-83F3-4425-B2CB-8017AA10EE53}">
  <sheetPr>
    <tabColor rgb="FF4A7729"/>
  </sheetPr>
  <dimension ref="A1:D23"/>
  <sheetViews>
    <sheetView workbookViewId="0">
      <selection sqref="A1:A2"/>
    </sheetView>
  </sheetViews>
  <sheetFormatPr defaultRowHeight="14"/>
  <cols>
    <col min="1" max="1" width="15.33203125" customWidth="1"/>
    <col min="2" max="2" width="13.83203125" customWidth="1"/>
  </cols>
  <sheetData>
    <row r="1" spans="1:2" ht="56.5" thickBot="1">
      <c r="A1" s="95" t="s">
        <v>777</v>
      </c>
      <c r="B1" s="95" t="s">
        <v>592</v>
      </c>
    </row>
    <row r="2" spans="1:2">
      <c r="A2" s="134" t="s">
        <v>574</v>
      </c>
      <c r="B2" s="254">
        <v>282257869</v>
      </c>
    </row>
    <row r="3" spans="1:2">
      <c r="A3" s="135" t="s">
        <v>575</v>
      </c>
      <c r="B3" s="255">
        <v>274928998</v>
      </c>
    </row>
    <row r="4" spans="1:2">
      <c r="A4" s="136" t="s">
        <v>576</v>
      </c>
      <c r="B4" s="255">
        <v>259949706</v>
      </c>
    </row>
    <row r="5" spans="1:2">
      <c r="A5" s="135" t="s">
        <v>577</v>
      </c>
      <c r="B5" s="255">
        <v>250502037</v>
      </c>
    </row>
    <row r="6" spans="1:2">
      <c r="A6" s="136" t="s">
        <v>578</v>
      </c>
      <c r="B6" s="255">
        <v>272661441</v>
      </c>
    </row>
    <row r="7" spans="1:2">
      <c r="A7" s="135" t="s">
        <v>579</v>
      </c>
      <c r="B7" s="255">
        <v>316121110</v>
      </c>
    </row>
    <row r="8" spans="1:2">
      <c r="A8" s="136" t="s">
        <v>580</v>
      </c>
      <c r="B8" s="255">
        <v>331175224</v>
      </c>
    </row>
    <row r="9" spans="1:2">
      <c r="A9" s="135" t="s">
        <v>581</v>
      </c>
      <c r="B9" s="255">
        <v>321499789</v>
      </c>
    </row>
    <row r="10" spans="1:2">
      <c r="A10" s="136" t="s">
        <v>582</v>
      </c>
      <c r="B10" s="255">
        <v>325691941</v>
      </c>
    </row>
    <row r="11" spans="1:2">
      <c r="A11" s="135" t="s">
        <v>583</v>
      </c>
      <c r="B11" s="255">
        <v>325940106</v>
      </c>
    </row>
    <row r="12" spans="1:2">
      <c r="A12" s="136" t="s">
        <v>584</v>
      </c>
      <c r="B12" s="255">
        <v>291389457</v>
      </c>
    </row>
    <row r="13" spans="1:2" ht="14.5" thickBot="1">
      <c r="A13" s="137" t="s">
        <v>585</v>
      </c>
      <c r="B13" s="256">
        <v>261670645</v>
      </c>
    </row>
    <row r="14" spans="1:2">
      <c r="A14" s="480" t="s">
        <v>37</v>
      </c>
      <c r="B14" s="539">
        <f>SUM(B2:B13)</f>
        <v>3513788323</v>
      </c>
    </row>
    <row r="15" spans="1:2">
      <c r="A15" s="824" t="s">
        <v>778</v>
      </c>
      <c r="B15" s="825">
        <f>B14/365</f>
        <v>9626817.3232876714</v>
      </c>
    </row>
    <row r="16" spans="1:2">
      <c r="A16" s="853" t="s">
        <v>779</v>
      </c>
      <c r="B16" s="826">
        <f>LARGE(B2:B13,1)/31</f>
        <v>10683071.741935484</v>
      </c>
    </row>
    <row r="17" spans="1:4" ht="26.5" thickBot="1">
      <c r="A17" s="637" t="s">
        <v>780</v>
      </c>
      <c r="B17" s="638">
        <f>1-('W-Sales-TY'!F14/B14)</f>
        <v>0.13218915179370638</v>
      </c>
    </row>
    <row r="18" spans="1:4">
      <c r="A18" s="94"/>
    </row>
    <row r="19" spans="1:4">
      <c r="A19" s="116" t="s">
        <v>587</v>
      </c>
      <c r="B19" s="116"/>
    </row>
    <row r="20" spans="1:4" ht="15">
      <c r="A20" s="116" t="s">
        <v>588</v>
      </c>
      <c r="B20" s="116"/>
      <c r="C20" s="116"/>
      <c r="D20" s="116"/>
    </row>
    <row r="21" spans="1:4" ht="15">
      <c r="A21" s="116" t="s">
        <v>594</v>
      </c>
      <c r="B21" s="116"/>
      <c r="C21" s="116"/>
      <c r="D21" s="116"/>
    </row>
    <row r="22" spans="1:4">
      <c r="A22" s="116"/>
      <c r="B22" s="116"/>
      <c r="C22" s="116"/>
      <c r="D22" s="116"/>
    </row>
    <row r="23" spans="1:4">
      <c r="A23" s="116"/>
      <c r="B23" s="116"/>
      <c r="C23" s="116"/>
      <c r="D23" s="116"/>
    </row>
  </sheetData>
  <pageMargins left="0.7" right="0.7" top="0.75" bottom="0.75" header="0.3" footer="0.3"/>
  <pageSetup paperSize="25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41C6E-E36C-48B0-88E1-793347D6A9A1}">
  <sheetPr>
    <tabColor rgb="FF4A7729"/>
  </sheetPr>
  <dimension ref="A1:CM32"/>
  <sheetViews>
    <sheetView workbookViewId="0">
      <selection sqref="A1:A2"/>
    </sheetView>
  </sheetViews>
  <sheetFormatPr defaultRowHeight="14"/>
  <cols>
    <col min="1" max="1" width="15.33203125" customWidth="1"/>
    <col min="2" max="2" width="14.5" customWidth="1"/>
    <col min="3" max="3" width="12.75" customWidth="1"/>
    <col min="4" max="4" width="11.75" customWidth="1"/>
    <col min="5" max="5" width="12.75" customWidth="1"/>
    <col min="6" max="6" width="11.75" customWidth="1"/>
    <col min="7" max="8" width="12.75" customWidth="1"/>
    <col min="9" max="9" width="12.25" customWidth="1"/>
    <col min="10" max="10" width="12.75" customWidth="1"/>
    <col min="11" max="11" width="12.25" customWidth="1"/>
    <col min="12" max="14" width="12.75" customWidth="1"/>
    <col min="15" max="16" width="13.83203125" customWidth="1"/>
    <col min="17" max="17" width="14.25" customWidth="1"/>
    <col min="18" max="18" width="11.25" customWidth="1"/>
    <col min="20" max="20" width="10.25" customWidth="1"/>
    <col min="21" max="26" width="12.25" customWidth="1"/>
    <col min="27" max="27" width="10.25" customWidth="1"/>
    <col min="28" max="38" width="11.25" customWidth="1"/>
    <col min="40" max="42" width="10.25" customWidth="1"/>
    <col min="43" max="43" width="12.25" customWidth="1"/>
    <col min="45" max="45" width="10.33203125" customWidth="1"/>
    <col min="47" max="47" width="12.5" customWidth="1"/>
    <col min="48" max="48" width="12.25" customWidth="1"/>
    <col min="49" max="49" width="11.25" customWidth="1"/>
    <col min="50" max="50" width="10.25" customWidth="1"/>
    <col min="52" max="52" width="11.25" customWidth="1"/>
    <col min="53" max="53" width="10.25" customWidth="1"/>
    <col min="54" max="54" width="11.25" customWidth="1"/>
    <col min="55" max="55" width="10.25" customWidth="1"/>
    <col min="56" max="56" width="11.25" customWidth="1"/>
    <col min="57" max="57" width="10.25" customWidth="1"/>
    <col min="58" max="60" width="11.25" customWidth="1"/>
    <col min="61" max="61" width="12.25" customWidth="1"/>
    <col min="62" max="62" width="10.25" customWidth="1"/>
    <col min="63" max="65" width="11.25" customWidth="1"/>
    <col min="66" max="66" width="12.25" customWidth="1"/>
    <col min="67" max="67" width="11.25" customWidth="1"/>
    <col min="68" max="68" width="12.25" customWidth="1"/>
    <col min="69" max="69" width="13.83203125" customWidth="1"/>
    <col min="70" max="70" width="11.25" customWidth="1"/>
    <col min="71" max="71" width="10.25" customWidth="1"/>
    <col min="72" max="72" width="11.25" customWidth="1"/>
    <col min="73" max="74" width="13.83203125" customWidth="1"/>
    <col min="75" max="75" width="11.25" customWidth="1"/>
    <col min="77" max="77" width="11.25" customWidth="1"/>
    <col min="78" max="79" width="13.83203125" customWidth="1"/>
    <col min="80" max="80" width="10.25" customWidth="1"/>
    <col min="82" max="82" width="11.25" customWidth="1"/>
    <col min="83" max="84" width="13.83203125" customWidth="1"/>
  </cols>
  <sheetData>
    <row r="1" spans="1:91" s="94" customFormat="1" ht="14.5" thickBot="1">
      <c r="A1" s="365"/>
      <c r="B1" s="366"/>
      <c r="C1" s="897" t="s">
        <v>596</v>
      </c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  <c r="P1" s="899"/>
      <c r="Q1" s="906" t="s">
        <v>597</v>
      </c>
      <c r="R1" s="907"/>
      <c r="S1" s="907"/>
      <c r="T1" s="907"/>
      <c r="U1" s="907"/>
      <c r="V1" s="907"/>
      <c r="W1" s="907"/>
      <c r="X1" s="907"/>
      <c r="Y1" s="907"/>
      <c r="Z1" s="907"/>
      <c r="AA1" s="907"/>
      <c r="AB1" s="907"/>
      <c r="AC1" s="907"/>
      <c r="AD1" s="907" t="s">
        <v>597</v>
      </c>
      <c r="AE1" s="907"/>
      <c r="AF1" s="907"/>
      <c r="AG1" s="907"/>
      <c r="AH1" s="907"/>
      <c r="AI1" s="907"/>
      <c r="AJ1" s="907"/>
      <c r="AK1" s="907"/>
      <c r="AL1" s="907"/>
      <c r="AM1" s="907"/>
      <c r="AN1" s="907"/>
      <c r="AO1" s="907"/>
      <c r="AP1" s="907"/>
      <c r="AQ1" s="907"/>
      <c r="AR1" s="907"/>
      <c r="AS1" s="907"/>
      <c r="AT1" s="907"/>
      <c r="AU1" s="907" t="s">
        <v>597</v>
      </c>
      <c r="AV1" s="907"/>
      <c r="AW1" s="907"/>
      <c r="AX1" s="907"/>
      <c r="AY1" s="907"/>
      <c r="AZ1" s="907"/>
      <c r="BA1" s="907"/>
      <c r="BB1" s="907"/>
      <c r="BC1" s="907"/>
      <c r="BD1" s="907"/>
      <c r="BE1" s="907"/>
      <c r="BF1" s="907"/>
      <c r="BG1" s="907"/>
      <c r="BH1" s="907"/>
      <c r="BI1" s="907"/>
      <c r="BJ1" s="907"/>
      <c r="BK1" s="907" t="s">
        <v>597</v>
      </c>
      <c r="BL1" s="907"/>
      <c r="BM1" s="907"/>
      <c r="BN1" s="907"/>
      <c r="BO1" s="907"/>
      <c r="BP1" s="988"/>
      <c r="BQ1" s="897" t="s">
        <v>598</v>
      </c>
      <c r="BR1" s="898"/>
      <c r="BS1" s="898"/>
      <c r="BT1" s="898"/>
      <c r="BU1" s="898"/>
      <c r="BV1" s="898"/>
      <c r="BW1" s="898"/>
      <c r="BX1" s="898"/>
      <c r="BY1" s="898"/>
      <c r="BZ1" s="899"/>
      <c r="CA1" s="851"/>
      <c r="CB1" s="7"/>
      <c r="CC1"/>
      <c r="CD1"/>
      <c r="CE1"/>
      <c r="CF1"/>
      <c r="CG1"/>
      <c r="CH1"/>
      <c r="CI1"/>
      <c r="CJ1"/>
      <c r="CK1"/>
      <c r="CL1"/>
      <c r="CM1"/>
    </row>
    <row r="2" spans="1:91" ht="42.5" thickBot="1">
      <c r="A2" s="95" t="s">
        <v>776</v>
      </c>
      <c r="B2" s="95" t="s">
        <v>595</v>
      </c>
      <c r="C2" s="423" t="s">
        <v>599</v>
      </c>
      <c r="D2" s="362" t="s">
        <v>600</v>
      </c>
      <c r="E2" s="362" t="s">
        <v>601</v>
      </c>
      <c r="F2" s="362" t="s">
        <v>602</v>
      </c>
      <c r="G2" s="362" t="s">
        <v>603</v>
      </c>
      <c r="H2" s="362" t="s">
        <v>604</v>
      </c>
      <c r="I2" s="424" t="s">
        <v>605</v>
      </c>
      <c r="J2" s="401" t="s">
        <v>606</v>
      </c>
      <c r="K2" s="424" t="s">
        <v>607</v>
      </c>
      <c r="L2" s="424" t="s">
        <v>608</v>
      </c>
      <c r="M2" s="447" t="s">
        <v>609</v>
      </c>
      <c r="N2" s="424" t="s">
        <v>610</v>
      </c>
      <c r="O2" s="425" t="s">
        <v>611</v>
      </c>
      <c r="P2" s="486" t="s">
        <v>612</v>
      </c>
      <c r="Q2" s="361" t="s">
        <v>613</v>
      </c>
      <c r="R2" s="362" t="s">
        <v>614</v>
      </c>
      <c r="S2" s="364" t="s">
        <v>615</v>
      </c>
      <c r="T2" s="363" t="s">
        <v>616</v>
      </c>
      <c r="U2" s="486" t="s">
        <v>781</v>
      </c>
      <c r="V2" s="426" t="s">
        <v>617</v>
      </c>
      <c r="W2" s="424" t="s">
        <v>618</v>
      </c>
      <c r="X2" s="401" t="s">
        <v>619</v>
      </c>
      <c r="Y2" s="424" t="s">
        <v>620</v>
      </c>
      <c r="Z2" s="429" t="s">
        <v>621</v>
      </c>
      <c r="AA2" s="522" t="s">
        <v>29</v>
      </c>
      <c r="AB2" s="423" t="s">
        <v>622</v>
      </c>
      <c r="AC2" s="362" t="s">
        <v>623</v>
      </c>
      <c r="AD2" s="421" t="s">
        <v>624</v>
      </c>
      <c r="AE2" s="421" t="s">
        <v>625</v>
      </c>
      <c r="AF2" s="421" t="s">
        <v>626</v>
      </c>
      <c r="AG2" s="424" t="s">
        <v>627</v>
      </c>
      <c r="AH2" s="424" t="s">
        <v>628</v>
      </c>
      <c r="AI2" s="401" t="s">
        <v>629</v>
      </c>
      <c r="AJ2" s="424" t="s">
        <v>630</v>
      </c>
      <c r="AK2" s="493" t="s">
        <v>631</v>
      </c>
      <c r="AL2" s="492" t="s">
        <v>632</v>
      </c>
      <c r="AM2" s="491" t="s">
        <v>633</v>
      </c>
      <c r="AN2" s="491" t="s">
        <v>634</v>
      </c>
      <c r="AO2" s="491" t="s">
        <v>635</v>
      </c>
      <c r="AP2" s="490" t="s">
        <v>636</v>
      </c>
      <c r="AQ2" s="524" t="s">
        <v>29</v>
      </c>
      <c r="AR2" s="421" t="s">
        <v>637</v>
      </c>
      <c r="AS2" s="362" t="s">
        <v>638</v>
      </c>
      <c r="AT2" s="364" t="s">
        <v>639</v>
      </c>
      <c r="AU2" s="364" t="s">
        <v>640</v>
      </c>
      <c r="AV2" s="424" t="s">
        <v>641</v>
      </c>
      <c r="AW2" s="401" t="s">
        <v>642</v>
      </c>
      <c r="AX2" s="424" t="s">
        <v>643</v>
      </c>
      <c r="AY2" s="493" t="s">
        <v>644</v>
      </c>
      <c r="AZ2" s="493" t="s">
        <v>645</v>
      </c>
      <c r="BA2" s="525" t="s">
        <v>646</v>
      </c>
      <c r="BB2" s="524" t="s">
        <v>29</v>
      </c>
      <c r="BC2" s="421" t="s">
        <v>647</v>
      </c>
      <c r="BD2" s="424" t="s">
        <v>648</v>
      </c>
      <c r="BE2" s="401" t="s">
        <v>649</v>
      </c>
      <c r="BF2" s="424" t="s">
        <v>650</v>
      </c>
      <c r="BG2" s="401" t="s">
        <v>651</v>
      </c>
      <c r="BH2" s="422" t="s">
        <v>652</v>
      </c>
      <c r="BI2" s="524" t="s">
        <v>29</v>
      </c>
      <c r="BJ2" s="423" t="s">
        <v>653</v>
      </c>
      <c r="BK2" s="424" t="s">
        <v>654</v>
      </c>
      <c r="BL2" s="401" t="s">
        <v>655</v>
      </c>
      <c r="BM2" s="422" t="s">
        <v>656</v>
      </c>
      <c r="BN2" s="425" t="s">
        <v>657</v>
      </c>
      <c r="BO2" s="521" t="s">
        <v>29</v>
      </c>
      <c r="BP2" s="526" t="s">
        <v>658</v>
      </c>
      <c r="BQ2" s="423" t="s">
        <v>659</v>
      </c>
      <c r="BR2" s="424" t="s">
        <v>660</v>
      </c>
      <c r="BS2" s="424" t="s">
        <v>661</v>
      </c>
      <c r="BT2" s="411" t="s">
        <v>662</v>
      </c>
      <c r="BU2" s="515" t="s">
        <v>29</v>
      </c>
      <c r="BV2" s="450" t="s">
        <v>663</v>
      </c>
      <c r="BW2" s="424" t="s">
        <v>664</v>
      </c>
      <c r="BX2" s="422" t="s">
        <v>665</v>
      </c>
      <c r="BY2" s="520" t="s">
        <v>29</v>
      </c>
      <c r="BZ2" s="536" t="s">
        <v>666</v>
      </c>
      <c r="CA2" s="537" t="s">
        <v>37</v>
      </c>
    </row>
    <row r="3" spans="1:91">
      <c r="A3" s="837" t="s">
        <v>574</v>
      </c>
      <c r="B3" s="241">
        <v>31</v>
      </c>
      <c r="C3" s="125">
        <v>3930</v>
      </c>
      <c r="D3" s="126">
        <v>387034</v>
      </c>
      <c r="E3" s="126">
        <v>3612</v>
      </c>
      <c r="F3" s="126">
        <v>3591814</v>
      </c>
      <c r="G3" s="126">
        <v>1763200</v>
      </c>
      <c r="H3" s="126">
        <v>9405414</v>
      </c>
      <c r="I3" s="126">
        <v>29914589</v>
      </c>
      <c r="J3" s="398">
        <v>2819728</v>
      </c>
      <c r="K3" s="352">
        <v>13209300</v>
      </c>
      <c r="L3" s="352">
        <v>400</v>
      </c>
      <c r="M3" s="850">
        <f>'Flow Adjustments'!D10</f>
        <v>0</v>
      </c>
      <c r="N3" s="126">
        <v>184759</v>
      </c>
      <c r="O3" s="437">
        <v>838</v>
      </c>
      <c r="P3" s="487">
        <f>SUM(C3:O3)</f>
        <v>61284618</v>
      </c>
      <c r="Q3" s="125">
        <v>3679523</v>
      </c>
      <c r="R3" s="125">
        <v>2635969</v>
      </c>
      <c r="S3" s="398">
        <v>12891</v>
      </c>
      <c r="T3" s="143">
        <v>425813</v>
      </c>
      <c r="U3" s="487">
        <f t="shared" ref="U3:U14" si="0">SUM(Q3:T3)</f>
        <v>6754196</v>
      </c>
      <c r="V3" s="125">
        <v>507343</v>
      </c>
      <c r="W3" s="126">
        <v>206743</v>
      </c>
      <c r="X3" s="352">
        <v>40653</v>
      </c>
      <c r="Y3" s="352">
        <v>52348</v>
      </c>
      <c r="Z3" s="140">
        <v>1</v>
      </c>
      <c r="AA3" s="523">
        <f>SUM(V3:Z3)</f>
        <v>807088</v>
      </c>
      <c r="AB3" s="430">
        <v>3083560</v>
      </c>
      <c r="AC3" s="125">
        <v>2144273</v>
      </c>
      <c r="AD3" s="125">
        <v>1197211</v>
      </c>
      <c r="AE3" s="125">
        <v>5562640</v>
      </c>
      <c r="AF3" s="125">
        <v>315397</v>
      </c>
      <c r="AG3" s="126">
        <v>3723714</v>
      </c>
      <c r="AH3" s="126">
        <v>316617</v>
      </c>
      <c r="AI3" s="398">
        <v>315094</v>
      </c>
      <c r="AJ3" s="126">
        <v>58714</v>
      </c>
      <c r="AK3" s="126">
        <v>3996</v>
      </c>
      <c r="AL3" s="398">
        <v>0</v>
      </c>
      <c r="AM3" s="350">
        <v>30617</v>
      </c>
      <c r="AN3" s="350">
        <v>183113</v>
      </c>
      <c r="AO3" s="350">
        <v>60558</v>
      </c>
      <c r="AP3" s="143">
        <v>640500</v>
      </c>
      <c r="AQ3" s="487">
        <f>SUM(AB3:AP3)</f>
        <v>17636004</v>
      </c>
      <c r="AR3" s="125">
        <v>38745</v>
      </c>
      <c r="AS3" s="126">
        <v>170502</v>
      </c>
      <c r="AT3" s="350">
        <v>595</v>
      </c>
      <c r="AU3" s="350">
        <v>158312</v>
      </c>
      <c r="AV3" s="126">
        <v>309500</v>
      </c>
      <c r="AW3" s="352">
        <v>2688128</v>
      </c>
      <c r="AX3" s="126">
        <v>581830</v>
      </c>
      <c r="AY3" s="126">
        <v>0</v>
      </c>
      <c r="AZ3" s="126">
        <v>6977</v>
      </c>
      <c r="BA3" s="140">
        <v>559</v>
      </c>
      <c r="BB3" s="487">
        <f t="shared" ref="BB3:BB14" si="1">SUM(AR3:BA3)</f>
        <v>3955148</v>
      </c>
      <c r="BC3" s="125">
        <v>135555</v>
      </c>
      <c r="BD3" s="126">
        <v>2386345</v>
      </c>
      <c r="BE3" s="398">
        <v>702644</v>
      </c>
      <c r="BF3" s="126">
        <v>2149514</v>
      </c>
      <c r="BG3" s="398">
        <v>4947315</v>
      </c>
      <c r="BH3" s="143">
        <v>2107500</v>
      </c>
      <c r="BI3" s="487">
        <f t="shared" ref="BI3:BI14" si="2">SUM(BC3:BH3)</f>
        <v>12428873</v>
      </c>
      <c r="BJ3" s="354">
        <v>0</v>
      </c>
      <c r="BK3" s="352">
        <v>0</v>
      </c>
      <c r="BL3" s="435">
        <v>0</v>
      </c>
      <c r="BM3" s="437">
        <v>0</v>
      </c>
      <c r="BN3" s="138">
        <v>0</v>
      </c>
      <c r="BO3" s="527">
        <f t="shared" ref="BO3:BO14" si="3">SUM(BJ3:BN3)</f>
        <v>0</v>
      </c>
      <c r="BP3" s="634">
        <f>SUM(U3,AA3,AQ3,BB3,BI3,BO3)</f>
        <v>41581309</v>
      </c>
      <c r="BQ3" s="354">
        <v>128100530</v>
      </c>
      <c r="BR3" s="352">
        <v>4405604</v>
      </c>
      <c r="BS3" s="449">
        <v>7708</v>
      </c>
      <c r="BT3" s="448">
        <v>87360</v>
      </c>
      <c r="BU3" s="532">
        <f>SUM(BQ3:BT3)</f>
        <v>132601202</v>
      </c>
      <c r="BV3" s="451">
        <v>0</v>
      </c>
      <c r="BW3" s="352">
        <v>0</v>
      </c>
      <c r="BX3" s="140">
        <v>0</v>
      </c>
      <c r="BY3" s="529">
        <f>SUM(BV3:BX3)</f>
        <v>0</v>
      </c>
      <c r="BZ3" s="529">
        <f t="shared" ref="BZ3:BZ14" si="4">SUM(BU3,BY3)</f>
        <v>132601202</v>
      </c>
      <c r="CA3" s="530">
        <f>SUM(BP3,BZ3,P3)</f>
        <v>235467129</v>
      </c>
    </row>
    <row r="4" spans="1:91">
      <c r="A4" s="838" t="s">
        <v>575</v>
      </c>
      <c r="B4" s="242">
        <v>28</v>
      </c>
      <c r="C4" s="127">
        <v>5679</v>
      </c>
      <c r="D4" s="128">
        <v>333891</v>
      </c>
      <c r="E4" s="128">
        <v>4205</v>
      </c>
      <c r="F4" s="128">
        <v>4400515</v>
      </c>
      <c r="G4" s="128">
        <v>1912100</v>
      </c>
      <c r="H4" s="128">
        <v>8658489</v>
      </c>
      <c r="I4" s="128">
        <v>28464583</v>
      </c>
      <c r="J4" s="398">
        <v>3359507</v>
      </c>
      <c r="K4" s="128">
        <v>11005000</v>
      </c>
      <c r="L4" s="128">
        <v>0</v>
      </c>
      <c r="M4" s="446">
        <f>'Flow Adjustments'!D11</f>
        <v>0</v>
      </c>
      <c r="N4" s="128">
        <v>73636</v>
      </c>
      <c r="O4" s="140">
        <v>7</v>
      </c>
      <c r="P4" s="487">
        <f t="shared" ref="P4:P13" si="5">SUM(C4:O4)</f>
        <v>58217612</v>
      </c>
      <c r="Q4" s="127">
        <v>3203580</v>
      </c>
      <c r="R4" s="127">
        <v>2562252</v>
      </c>
      <c r="S4" s="399">
        <v>8983</v>
      </c>
      <c r="T4" s="129">
        <v>440358</v>
      </c>
      <c r="U4" s="487">
        <f t="shared" si="0"/>
        <v>6215173</v>
      </c>
      <c r="V4" s="127">
        <v>406524</v>
      </c>
      <c r="W4" s="128">
        <v>168526</v>
      </c>
      <c r="X4" s="126">
        <v>9325</v>
      </c>
      <c r="Y4" s="126">
        <v>52471</v>
      </c>
      <c r="Z4" s="140">
        <v>3</v>
      </c>
      <c r="AA4" s="487">
        <f t="shared" ref="AA4:AA14" si="6">SUM(V4:Z4)</f>
        <v>636849</v>
      </c>
      <c r="AB4" s="431">
        <v>2961973</v>
      </c>
      <c r="AC4" s="127">
        <v>2094122</v>
      </c>
      <c r="AD4" s="127">
        <v>1158829</v>
      </c>
      <c r="AE4" s="127">
        <v>5335985</v>
      </c>
      <c r="AF4" s="127">
        <v>1067666</v>
      </c>
      <c r="AG4" s="128">
        <v>3329018</v>
      </c>
      <c r="AH4" s="126">
        <v>422334</v>
      </c>
      <c r="AI4" s="398">
        <v>350515</v>
      </c>
      <c r="AJ4" s="126">
        <v>55266</v>
      </c>
      <c r="AK4" s="126">
        <v>10</v>
      </c>
      <c r="AL4" s="398">
        <v>0</v>
      </c>
      <c r="AM4" s="350">
        <v>150315</v>
      </c>
      <c r="AN4" s="350">
        <v>157813</v>
      </c>
      <c r="AO4" s="350">
        <v>70907</v>
      </c>
      <c r="AP4" s="143">
        <v>0</v>
      </c>
      <c r="AQ4" s="487">
        <f t="shared" ref="AQ4:AQ14" si="7">SUM(AB4:AP4)</f>
        <v>17154753</v>
      </c>
      <c r="AR4" s="127">
        <v>56705</v>
      </c>
      <c r="AS4" s="128">
        <v>165288</v>
      </c>
      <c r="AT4" s="402">
        <v>841</v>
      </c>
      <c r="AU4" s="402">
        <v>115946</v>
      </c>
      <c r="AV4" s="128">
        <v>428900</v>
      </c>
      <c r="AW4" s="126">
        <v>1872078</v>
      </c>
      <c r="AX4" s="126">
        <v>968356</v>
      </c>
      <c r="AY4" s="126">
        <v>0</v>
      </c>
      <c r="AZ4" s="126">
        <v>1052</v>
      </c>
      <c r="BA4" s="140">
        <v>5072</v>
      </c>
      <c r="BB4" s="487">
        <f t="shared" si="1"/>
        <v>3614238</v>
      </c>
      <c r="BC4" s="127">
        <v>248982</v>
      </c>
      <c r="BD4" s="128">
        <v>2427235</v>
      </c>
      <c r="BE4" s="399">
        <v>555022</v>
      </c>
      <c r="BF4" s="128">
        <v>3487234</v>
      </c>
      <c r="BG4" s="398">
        <v>4809089</v>
      </c>
      <c r="BH4" s="143">
        <v>1575800</v>
      </c>
      <c r="BI4" s="487">
        <f t="shared" si="2"/>
        <v>13103362</v>
      </c>
      <c r="BJ4" s="355">
        <v>0</v>
      </c>
      <c r="BK4" s="128">
        <v>0</v>
      </c>
      <c r="BL4" s="399">
        <v>0</v>
      </c>
      <c r="BM4" s="129">
        <v>0</v>
      </c>
      <c r="BN4" s="139">
        <v>0</v>
      </c>
      <c r="BO4" s="529">
        <f t="shared" si="3"/>
        <v>0</v>
      </c>
      <c r="BP4" s="635">
        <f t="shared" ref="BP4:BP14" si="8">SUM(U4,AA4,AQ4,BB4,BI4,BO4)</f>
        <v>40724375</v>
      </c>
      <c r="BQ4" s="355">
        <v>121267137</v>
      </c>
      <c r="BR4" s="128">
        <v>4124149</v>
      </c>
      <c r="BS4" s="128">
        <v>35421</v>
      </c>
      <c r="BT4" s="139">
        <v>25401</v>
      </c>
      <c r="BU4" s="533">
        <f>SUM(BQ4:BT4)</f>
        <v>125452108</v>
      </c>
      <c r="BV4" s="452">
        <v>1787</v>
      </c>
      <c r="BW4" s="128">
        <v>0</v>
      </c>
      <c r="BX4" s="139">
        <v>0</v>
      </c>
      <c r="BY4" s="529">
        <f t="shared" ref="BY4:BY14" si="9">SUM(BV4:BX4)</f>
        <v>1787</v>
      </c>
      <c r="BZ4" s="529">
        <f t="shared" si="4"/>
        <v>125453895</v>
      </c>
      <c r="CA4" s="530">
        <f t="shared" ref="CA4:CA14" si="10">SUM(BP4,BZ4,P4)</f>
        <v>224395882</v>
      </c>
    </row>
    <row r="5" spans="1:91">
      <c r="A5" s="839" t="s">
        <v>576</v>
      </c>
      <c r="B5" s="243">
        <v>31</v>
      </c>
      <c r="C5" s="127">
        <v>4869</v>
      </c>
      <c r="D5" s="128">
        <v>334035</v>
      </c>
      <c r="E5" s="128">
        <v>8752</v>
      </c>
      <c r="F5" s="128">
        <v>4756431</v>
      </c>
      <c r="G5" s="128">
        <v>2118300</v>
      </c>
      <c r="H5" s="128">
        <v>9238662</v>
      </c>
      <c r="I5" s="128">
        <v>29412502</v>
      </c>
      <c r="J5" s="398">
        <v>3949401</v>
      </c>
      <c r="K5" s="128">
        <v>15034000</v>
      </c>
      <c r="L5" s="128">
        <v>0</v>
      </c>
      <c r="M5" s="446">
        <f>'Flow Adjustments'!D12</f>
        <v>0</v>
      </c>
      <c r="N5" s="128">
        <v>19129</v>
      </c>
      <c r="O5" s="140">
        <v>649</v>
      </c>
      <c r="P5" s="487">
        <f t="shared" si="5"/>
        <v>64876730</v>
      </c>
      <c r="Q5" s="127">
        <v>2888630</v>
      </c>
      <c r="R5" s="127">
        <v>2332301</v>
      </c>
      <c r="S5" s="399">
        <v>75</v>
      </c>
      <c r="T5" s="129">
        <v>466554</v>
      </c>
      <c r="U5" s="487">
        <f t="shared" si="0"/>
        <v>5687560</v>
      </c>
      <c r="V5" s="127">
        <v>269362</v>
      </c>
      <c r="W5" s="128">
        <v>133280</v>
      </c>
      <c r="X5" s="126">
        <v>11401</v>
      </c>
      <c r="Y5" s="126">
        <v>22726</v>
      </c>
      <c r="Z5" s="140">
        <v>2</v>
      </c>
      <c r="AA5" s="487">
        <f t="shared" si="6"/>
        <v>436771</v>
      </c>
      <c r="AB5" s="127">
        <v>2686637</v>
      </c>
      <c r="AC5" s="127">
        <v>1951461</v>
      </c>
      <c r="AD5" s="127">
        <v>1091666</v>
      </c>
      <c r="AE5" s="127">
        <v>5281145</v>
      </c>
      <c r="AF5" s="127">
        <v>495250</v>
      </c>
      <c r="AG5" s="128">
        <v>2604529</v>
      </c>
      <c r="AH5" s="126">
        <v>281478</v>
      </c>
      <c r="AI5" s="398">
        <v>331012</v>
      </c>
      <c r="AJ5" s="126">
        <v>76229</v>
      </c>
      <c r="AK5" s="126">
        <v>23</v>
      </c>
      <c r="AL5" s="398">
        <v>0</v>
      </c>
      <c r="AM5" s="350">
        <v>2202</v>
      </c>
      <c r="AN5" s="350">
        <v>62253</v>
      </c>
      <c r="AO5" s="350">
        <v>92207</v>
      </c>
      <c r="AP5" s="143">
        <v>0</v>
      </c>
      <c r="AQ5" s="487">
        <f t="shared" si="7"/>
        <v>14956092</v>
      </c>
      <c r="AR5" s="127">
        <v>46462</v>
      </c>
      <c r="AS5" s="128">
        <v>143365</v>
      </c>
      <c r="AT5" s="402">
        <v>2963</v>
      </c>
      <c r="AU5" s="402">
        <v>202365</v>
      </c>
      <c r="AV5" s="128">
        <v>394900</v>
      </c>
      <c r="AW5" s="126">
        <v>2006462</v>
      </c>
      <c r="AX5" s="126">
        <v>182340</v>
      </c>
      <c r="AY5" s="126">
        <v>0</v>
      </c>
      <c r="AZ5" s="126">
        <v>930</v>
      </c>
      <c r="BA5" s="140">
        <v>7589</v>
      </c>
      <c r="BB5" s="487">
        <f t="shared" si="1"/>
        <v>2987376</v>
      </c>
      <c r="BC5" s="127">
        <v>297897</v>
      </c>
      <c r="BD5" s="128">
        <v>2200264</v>
      </c>
      <c r="BE5" s="399">
        <v>537059</v>
      </c>
      <c r="BF5" s="128">
        <v>3129526</v>
      </c>
      <c r="BG5" s="398">
        <v>4542729</v>
      </c>
      <c r="BH5" s="143">
        <v>1445000</v>
      </c>
      <c r="BI5" s="487">
        <f t="shared" si="2"/>
        <v>12152475</v>
      </c>
      <c r="BJ5" s="355">
        <v>0</v>
      </c>
      <c r="BK5" s="128">
        <v>0</v>
      </c>
      <c r="BL5" s="399">
        <v>0</v>
      </c>
      <c r="BM5" s="129">
        <v>0</v>
      </c>
      <c r="BN5" s="139">
        <v>0</v>
      </c>
      <c r="BO5" s="529">
        <f t="shared" si="3"/>
        <v>0</v>
      </c>
      <c r="BP5" s="530">
        <f t="shared" si="8"/>
        <v>36220274</v>
      </c>
      <c r="BQ5" s="355">
        <v>110186052</v>
      </c>
      <c r="BR5" s="128">
        <v>3706206</v>
      </c>
      <c r="BS5" s="128">
        <v>6759</v>
      </c>
      <c r="BT5" s="139">
        <v>33287</v>
      </c>
      <c r="BU5" s="533">
        <f t="shared" ref="BU5:BU14" si="11">SUM(BQ5:BT5)</f>
        <v>113932304</v>
      </c>
      <c r="BV5" s="452">
        <v>483200</v>
      </c>
      <c r="BW5" s="128">
        <v>8914</v>
      </c>
      <c r="BX5" s="139">
        <v>0</v>
      </c>
      <c r="BY5" s="529">
        <f t="shared" si="9"/>
        <v>492114</v>
      </c>
      <c r="BZ5" s="529">
        <f t="shared" si="4"/>
        <v>114424418</v>
      </c>
      <c r="CA5" s="530">
        <f t="shared" si="10"/>
        <v>215521422</v>
      </c>
    </row>
    <row r="6" spans="1:91">
      <c r="A6" s="838" t="s">
        <v>577</v>
      </c>
      <c r="B6" s="242">
        <v>30</v>
      </c>
      <c r="C6" s="127">
        <v>4548</v>
      </c>
      <c r="D6" s="128">
        <v>318570</v>
      </c>
      <c r="E6" s="128">
        <v>7014</v>
      </c>
      <c r="F6" s="128">
        <v>4702924</v>
      </c>
      <c r="G6" s="128">
        <v>2264800</v>
      </c>
      <c r="H6" s="413">
        <v>8586284</v>
      </c>
      <c r="I6" s="128">
        <v>29665055</v>
      </c>
      <c r="J6" s="398">
        <v>3757015</v>
      </c>
      <c r="K6" s="128">
        <v>14109400</v>
      </c>
      <c r="L6" s="128">
        <v>0</v>
      </c>
      <c r="M6" s="446">
        <f>'Flow Adjustments'!D13</f>
        <v>0</v>
      </c>
      <c r="N6" s="128">
        <v>91734</v>
      </c>
      <c r="O6" s="140">
        <v>732</v>
      </c>
      <c r="P6" s="487">
        <f t="shared" si="5"/>
        <v>63508076</v>
      </c>
      <c r="Q6" s="127">
        <v>2985571</v>
      </c>
      <c r="R6" s="127">
        <v>2437784</v>
      </c>
      <c r="S6" s="399">
        <v>621</v>
      </c>
      <c r="T6" s="129">
        <v>401033</v>
      </c>
      <c r="U6" s="487">
        <f t="shared" si="0"/>
        <v>5825009</v>
      </c>
      <c r="V6" s="127">
        <v>269765</v>
      </c>
      <c r="W6" s="128">
        <v>126255</v>
      </c>
      <c r="X6" s="126">
        <v>8723</v>
      </c>
      <c r="Y6" s="126">
        <v>43645</v>
      </c>
      <c r="Z6" s="140">
        <v>2</v>
      </c>
      <c r="AA6" s="487">
        <f t="shared" si="6"/>
        <v>448390</v>
      </c>
      <c r="AB6" s="127">
        <v>2736765</v>
      </c>
      <c r="AC6" s="127">
        <v>2030140</v>
      </c>
      <c r="AD6" s="127">
        <v>1302351</v>
      </c>
      <c r="AE6" s="127">
        <v>5034993</v>
      </c>
      <c r="AF6" s="127">
        <v>673091</v>
      </c>
      <c r="AG6" s="128">
        <v>2376704</v>
      </c>
      <c r="AH6" s="126">
        <v>370901</v>
      </c>
      <c r="AI6" s="398">
        <v>351083</v>
      </c>
      <c r="AJ6" s="126">
        <v>63535</v>
      </c>
      <c r="AK6" s="126">
        <v>50</v>
      </c>
      <c r="AL6" s="398">
        <v>1</v>
      </c>
      <c r="AM6" s="350">
        <v>2149</v>
      </c>
      <c r="AN6" s="350">
        <v>21898</v>
      </c>
      <c r="AO6" s="350">
        <v>73089</v>
      </c>
      <c r="AP6" s="143">
        <v>500</v>
      </c>
      <c r="AQ6" s="487">
        <f t="shared" si="7"/>
        <v>15037250</v>
      </c>
      <c r="AR6" s="127">
        <v>51633</v>
      </c>
      <c r="AS6" s="128">
        <v>155357</v>
      </c>
      <c r="AT6" s="402">
        <v>3458</v>
      </c>
      <c r="AU6" s="402">
        <v>179685</v>
      </c>
      <c r="AV6" s="128">
        <v>366600</v>
      </c>
      <c r="AW6" s="126">
        <v>2057582</v>
      </c>
      <c r="AX6" s="126">
        <v>206305</v>
      </c>
      <c r="AY6" s="126">
        <v>0</v>
      </c>
      <c r="AZ6" s="126">
        <v>5232</v>
      </c>
      <c r="BA6" s="140">
        <v>3969</v>
      </c>
      <c r="BB6" s="487">
        <f t="shared" si="1"/>
        <v>3029821</v>
      </c>
      <c r="BC6" s="127">
        <v>232616</v>
      </c>
      <c r="BD6" s="128">
        <v>2271969</v>
      </c>
      <c r="BE6" s="399">
        <v>541724</v>
      </c>
      <c r="BF6" s="128">
        <v>3027703</v>
      </c>
      <c r="BG6" s="398">
        <v>4241229</v>
      </c>
      <c r="BH6" s="143">
        <v>1459100</v>
      </c>
      <c r="BI6" s="487">
        <f t="shared" si="2"/>
        <v>11774341</v>
      </c>
      <c r="BJ6" s="355">
        <v>6875</v>
      </c>
      <c r="BK6" s="128">
        <v>0</v>
      </c>
      <c r="BL6" s="399">
        <v>0</v>
      </c>
      <c r="BM6" s="129">
        <v>0</v>
      </c>
      <c r="BN6" s="139">
        <v>0</v>
      </c>
      <c r="BO6" s="529">
        <f t="shared" si="3"/>
        <v>6875</v>
      </c>
      <c r="BP6" s="530">
        <f t="shared" si="8"/>
        <v>36121686</v>
      </c>
      <c r="BQ6" s="355">
        <v>108328707</v>
      </c>
      <c r="BR6" s="128">
        <v>3822499</v>
      </c>
      <c r="BS6" s="128">
        <v>6347</v>
      </c>
      <c r="BT6" s="139">
        <v>31924</v>
      </c>
      <c r="BU6" s="533">
        <f t="shared" si="11"/>
        <v>112189477</v>
      </c>
      <c r="BV6" s="452">
        <v>1148677</v>
      </c>
      <c r="BW6" s="128">
        <v>37856</v>
      </c>
      <c r="BX6" s="139">
        <v>0</v>
      </c>
      <c r="BY6" s="529">
        <f t="shared" si="9"/>
        <v>1186533</v>
      </c>
      <c r="BZ6" s="529">
        <f t="shared" si="4"/>
        <v>113376010</v>
      </c>
      <c r="CA6" s="530">
        <f t="shared" si="10"/>
        <v>213005772</v>
      </c>
    </row>
    <row r="7" spans="1:91">
      <c r="A7" s="839" t="s">
        <v>578</v>
      </c>
      <c r="B7" s="243">
        <v>31</v>
      </c>
      <c r="C7" s="127">
        <v>4916</v>
      </c>
      <c r="D7" s="128">
        <v>286170</v>
      </c>
      <c r="E7" s="128">
        <v>4579</v>
      </c>
      <c r="F7" s="128">
        <v>4975526</v>
      </c>
      <c r="G7" s="128">
        <v>2436200</v>
      </c>
      <c r="H7" s="128">
        <v>9422917</v>
      </c>
      <c r="I7" s="413">
        <v>31668993</v>
      </c>
      <c r="J7" s="445">
        <v>3028856</v>
      </c>
      <c r="K7" s="446">
        <v>13762000</v>
      </c>
      <c r="L7" s="446">
        <v>400</v>
      </c>
      <c r="M7" s="446">
        <f>'Flow Adjustments'!D14</f>
        <v>0</v>
      </c>
      <c r="N7" s="446">
        <v>13528</v>
      </c>
      <c r="O7" s="428">
        <v>3</v>
      </c>
      <c r="P7" s="487">
        <f t="shared" si="5"/>
        <v>65604088</v>
      </c>
      <c r="Q7" s="127">
        <v>3084852</v>
      </c>
      <c r="R7" s="127">
        <v>2691981</v>
      </c>
      <c r="S7" s="399">
        <v>1225</v>
      </c>
      <c r="T7" s="129">
        <v>490691</v>
      </c>
      <c r="U7" s="487">
        <f t="shared" si="0"/>
        <v>6268749</v>
      </c>
      <c r="V7" s="127">
        <v>310320</v>
      </c>
      <c r="W7" s="128">
        <v>140288</v>
      </c>
      <c r="X7" s="126">
        <v>11416</v>
      </c>
      <c r="Y7" s="126">
        <v>49348</v>
      </c>
      <c r="Z7" s="140">
        <v>3</v>
      </c>
      <c r="AA7" s="487">
        <f t="shared" si="6"/>
        <v>511375</v>
      </c>
      <c r="AB7" s="127">
        <v>3143507</v>
      </c>
      <c r="AC7" s="127">
        <v>3427910</v>
      </c>
      <c r="AD7" s="127">
        <v>1414663</v>
      </c>
      <c r="AE7" s="127">
        <v>5920954</v>
      </c>
      <c r="AF7" s="127">
        <v>754002</v>
      </c>
      <c r="AG7" s="128">
        <v>2704668</v>
      </c>
      <c r="AH7" s="126">
        <v>454318</v>
      </c>
      <c r="AI7" s="398">
        <v>337368</v>
      </c>
      <c r="AJ7" s="126">
        <v>89457</v>
      </c>
      <c r="AK7" s="126">
        <v>6</v>
      </c>
      <c r="AL7" s="398">
        <v>94</v>
      </c>
      <c r="AM7" s="350">
        <v>3429</v>
      </c>
      <c r="AN7" s="350">
        <v>259119</v>
      </c>
      <c r="AO7" s="350">
        <v>61920</v>
      </c>
      <c r="AP7" s="143">
        <v>0</v>
      </c>
      <c r="AQ7" s="487">
        <f t="shared" si="7"/>
        <v>18571415</v>
      </c>
      <c r="AR7" s="127">
        <v>71111</v>
      </c>
      <c r="AS7" s="128">
        <v>268664</v>
      </c>
      <c r="AT7" s="402">
        <v>4038</v>
      </c>
      <c r="AU7" s="402">
        <v>952035</v>
      </c>
      <c r="AV7" s="128">
        <v>288800</v>
      </c>
      <c r="AW7" s="126">
        <v>2391142</v>
      </c>
      <c r="AX7" s="126">
        <v>276206</v>
      </c>
      <c r="AY7" s="126">
        <v>0</v>
      </c>
      <c r="AZ7" s="126">
        <v>6129</v>
      </c>
      <c r="BA7" s="140">
        <v>1085</v>
      </c>
      <c r="BB7" s="487">
        <f t="shared" si="1"/>
        <v>4259210</v>
      </c>
      <c r="BC7" s="127">
        <v>128990</v>
      </c>
      <c r="BD7" s="128">
        <v>2486176</v>
      </c>
      <c r="BE7" s="399">
        <v>535515</v>
      </c>
      <c r="BF7" s="128">
        <v>2367150</v>
      </c>
      <c r="BG7" s="398">
        <v>4412234</v>
      </c>
      <c r="BH7" s="143">
        <v>1462100</v>
      </c>
      <c r="BI7" s="487">
        <f t="shared" si="2"/>
        <v>11392165</v>
      </c>
      <c r="BJ7" s="355">
        <v>8635</v>
      </c>
      <c r="BK7" s="128">
        <v>0</v>
      </c>
      <c r="BL7" s="399">
        <v>0</v>
      </c>
      <c r="BM7" s="129">
        <v>0</v>
      </c>
      <c r="BN7" s="139">
        <v>0</v>
      </c>
      <c r="BO7" s="529">
        <f t="shared" si="3"/>
        <v>8635</v>
      </c>
      <c r="BP7" s="636">
        <f t="shared" si="8"/>
        <v>41011549</v>
      </c>
      <c r="BQ7" s="355">
        <v>117537778</v>
      </c>
      <c r="BR7" s="128">
        <v>5215933</v>
      </c>
      <c r="BS7" s="128">
        <v>7679</v>
      </c>
      <c r="BT7" s="139">
        <v>25751</v>
      </c>
      <c r="BU7" s="529">
        <f t="shared" si="11"/>
        <v>122787141</v>
      </c>
      <c r="BV7" s="453">
        <v>5666486</v>
      </c>
      <c r="BW7" s="128">
        <v>346615</v>
      </c>
      <c r="BX7" s="139">
        <v>0</v>
      </c>
      <c r="BY7" s="529">
        <f t="shared" si="9"/>
        <v>6013101</v>
      </c>
      <c r="BZ7" s="529">
        <f t="shared" si="4"/>
        <v>128800242</v>
      </c>
      <c r="CA7" s="530">
        <f t="shared" si="10"/>
        <v>235415879</v>
      </c>
    </row>
    <row r="8" spans="1:91">
      <c r="A8" s="838" t="s">
        <v>579</v>
      </c>
      <c r="B8" s="242">
        <v>30</v>
      </c>
      <c r="C8" s="127">
        <v>6928</v>
      </c>
      <c r="D8" s="128">
        <v>379440</v>
      </c>
      <c r="E8" s="128">
        <v>238065</v>
      </c>
      <c r="F8" s="128">
        <v>6182575</v>
      </c>
      <c r="G8" s="128">
        <v>1999300</v>
      </c>
      <c r="H8" s="128">
        <v>9604965</v>
      </c>
      <c r="I8" s="128">
        <v>31609680</v>
      </c>
      <c r="J8" s="398">
        <v>4265192</v>
      </c>
      <c r="K8" s="128">
        <v>18340200</v>
      </c>
      <c r="L8" s="128">
        <v>0</v>
      </c>
      <c r="M8" s="446">
        <f>'Flow Adjustments'!D15</f>
        <v>0</v>
      </c>
      <c r="N8" s="128">
        <v>71714</v>
      </c>
      <c r="O8" s="140">
        <v>833</v>
      </c>
      <c r="P8" s="487">
        <f t="shared" si="5"/>
        <v>72698892</v>
      </c>
      <c r="Q8" s="127">
        <v>3534017</v>
      </c>
      <c r="R8" s="127">
        <v>2734810</v>
      </c>
      <c r="S8" s="399">
        <v>15240</v>
      </c>
      <c r="T8" s="129">
        <v>489791</v>
      </c>
      <c r="U8" s="487">
        <f t="shared" si="0"/>
        <v>6773858</v>
      </c>
      <c r="V8" s="127">
        <v>232617</v>
      </c>
      <c r="W8" s="128">
        <v>140085</v>
      </c>
      <c r="X8" s="126">
        <v>29839</v>
      </c>
      <c r="Y8" s="126">
        <v>47187</v>
      </c>
      <c r="Z8" s="140">
        <v>2</v>
      </c>
      <c r="AA8" s="487">
        <f t="shared" si="6"/>
        <v>449730</v>
      </c>
      <c r="AB8" s="127">
        <v>4595257</v>
      </c>
      <c r="AC8" s="127">
        <v>6318540</v>
      </c>
      <c r="AD8" s="127">
        <v>1571109</v>
      </c>
      <c r="AE8" s="127">
        <v>7201263</v>
      </c>
      <c r="AF8" s="127">
        <v>769823</v>
      </c>
      <c r="AG8" s="128">
        <v>4634376</v>
      </c>
      <c r="AH8" s="126">
        <v>444761</v>
      </c>
      <c r="AI8" s="398">
        <v>278473</v>
      </c>
      <c r="AJ8" s="126">
        <v>84288</v>
      </c>
      <c r="AK8" s="126">
        <v>5</v>
      </c>
      <c r="AL8" s="398">
        <v>84</v>
      </c>
      <c r="AM8" s="350">
        <v>3416</v>
      </c>
      <c r="AN8" s="350">
        <v>720396</v>
      </c>
      <c r="AO8" s="350">
        <v>42929</v>
      </c>
      <c r="AP8" s="143">
        <v>0</v>
      </c>
      <c r="AQ8" s="487">
        <f t="shared" si="7"/>
        <v>26664720</v>
      </c>
      <c r="AR8" s="127">
        <v>42691</v>
      </c>
      <c r="AS8" s="128">
        <v>295055</v>
      </c>
      <c r="AT8" s="402">
        <v>8213</v>
      </c>
      <c r="AU8" s="402">
        <v>1286516</v>
      </c>
      <c r="AV8" s="128">
        <v>305600</v>
      </c>
      <c r="AW8" s="126">
        <v>2902041</v>
      </c>
      <c r="AX8" s="126">
        <v>194566</v>
      </c>
      <c r="AY8" s="126">
        <v>0</v>
      </c>
      <c r="AZ8" s="126">
        <v>1126</v>
      </c>
      <c r="BA8" s="140">
        <v>34</v>
      </c>
      <c r="BB8" s="487">
        <f t="shared" si="1"/>
        <v>5035842</v>
      </c>
      <c r="BC8" s="127">
        <v>123765</v>
      </c>
      <c r="BD8" s="128">
        <v>2307903</v>
      </c>
      <c r="BE8" s="399">
        <v>585188</v>
      </c>
      <c r="BF8" s="128">
        <v>2346945</v>
      </c>
      <c r="BG8" s="398">
        <v>4511346</v>
      </c>
      <c r="BH8" s="143">
        <v>1523300</v>
      </c>
      <c r="BI8" s="487">
        <f t="shared" si="2"/>
        <v>11398447</v>
      </c>
      <c r="BJ8" s="355">
        <v>54648</v>
      </c>
      <c r="BK8" s="128">
        <v>0</v>
      </c>
      <c r="BL8" s="399">
        <v>0</v>
      </c>
      <c r="BM8" s="129">
        <v>0</v>
      </c>
      <c r="BN8" s="139">
        <v>0</v>
      </c>
      <c r="BO8" s="529">
        <f t="shared" si="3"/>
        <v>54648</v>
      </c>
      <c r="BP8" s="530">
        <f t="shared" si="8"/>
        <v>50377245</v>
      </c>
      <c r="BQ8" s="355">
        <v>138253315</v>
      </c>
      <c r="BR8" s="128">
        <v>8051828</v>
      </c>
      <c r="BS8" s="126">
        <v>9732</v>
      </c>
      <c r="BT8" s="140">
        <v>166358</v>
      </c>
      <c r="BU8" s="534">
        <f t="shared" si="11"/>
        <v>146481233</v>
      </c>
      <c r="BV8" s="454">
        <v>11129149</v>
      </c>
      <c r="BW8" s="128">
        <v>835787</v>
      </c>
      <c r="BX8" s="139">
        <v>0</v>
      </c>
      <c r="BY8" s="529">
        <f t="shared" si="9"/>
        <v>11964936</v>
      </c>
      <c r="BZ8" s="529">
        <f t="shared" si="4"/>
        <v>158446169</v>
      </c>
      <c r="CA8" s="530">
        <f t="shared" si="10"/>
        <v>281522306</v>
      </c>
    </row>
    <row r="9" spans="1:91">
      <c r="A9" s="839" t="s">
        <v>580</v>
      </c>
      <c r="B9" s="242">
        <v>31</v>
      </c>
      <c r="C9" s="127">
        <v>5154</v>
      </c>
      <c r="D9" s="128">
        <v>341846</v>
      </c>
      <c r="E9" s="128">
        <v>208013</v>
      </c>
      <c r="F9" s="128">
        <v>5973732</v>
      </c>
      <c r="G9" s="128">
        <v>1759000</v>
      </c>
      <c r="H9" s="128">
        <v>9467241</v>
      </c>
      <c r="I9" s="128">
        <v>27912803</v>
      </c>
      <c r="J9" s="398">
        <v>3995373</v>
      </c>
      <c r="K9" s="128">
        <v>15405600</v>
      </c>
      <c r="L9" s="128">
        <v>0</v>
      </c>
      <c r="M9" s="446">
        <f>'Flow Adjustments'!D16</f>
        <v>0</v>
      </c>
      <c r="N9" s="128">
        <v>21709</v>
      </c>
      <c r="O9" s="140">
        <v>2292</v>
      </c>
      <c r="P9" s="487">
        <f t="shared" si="5"/>
        <v>65092763</v>
      </c>
      <c r="Q9" s="127">
        <v>4225817</v>
      </c>
      <c r="R9" s="127">
        <v>3346724</v>
      </c>
      <c r="S9" s="399">
        <v>5655</v>
      </c>
      <c r="T9" s="129">
        <v>497651</v>
      </c>
      <c r="U9" s="487">
        <f t="shared" si="0"/>
        <v>8075847</v>
      </c>
      <c r="V9" s="127">
        <v>227159</v>
      </c>
      <c r="W9" s="128">
        <v>163289</v>
      </c>
      <c r="X9" s="126">
        <v>33159</v>
      </c>
      <c r="Y9" s="126">
        <v>50350</v>
      </c>
      <c r="Z9" s="140">
        <v>6</v>
      </c>
      <c r="AA9" s="487">
        <f>SUM(V9:Z9)</f>
        <v>473963</v>
      </c>
      <c r="AB9" s="127">
        <v>6486913</v>
      </c>
      <c r="AC9" s="127">
        <v>8698787</v>
      </c>
      <c r="AD9" s="127">
        <v>1797582</v>
      </c>
      <c r="AE9" s="127">
        <v>7920067</v>
      </c>
      <c r="AF9" s="127">
        <v>816064</v>
      </c>
      <c r="AG9" s="128">
        <v>5920392</v>
      </c>
      <c r="AH9" s="126">
        <v>411691</v>
      </c>
      <c r="AI9" s="398">
        <v>279800</v>
      </c>
      <c r="AJ9" s="126">
        <v>124838</v>
      </c>
      <c r="AK9" s="126">
        <v>29</v>
      </c>
      <c r="AL9" s="398">
        <v>63</v>
      </c>
      <c r="AM9" s="350">
        <v>2653</v>
      </c>
      <c r="AN9" s="350">
        <v>339593</v>
      </c>
      <c r="AO9" s="350">
        <v>45595</v>
      </c>
      <c r="AP9" s="143">
        <v>0</v>
      </c>
      <c r="AQ9" s="487">
        <f t="shared" si="7"/>
        <v>32844067</v>
      </c>
      <c r="AR9" s="127">
        <v>49177</v>
      </c>
      <c r="AS9" s="128">
        <v>389285</v>
      </c>
      <c r="AT9" s="402">
        <v>242</v>
      </c>
      <c r="AU9" s="402">
        <v>2369628</v>
      </c>
      <c r="AV9" s="128">
        <v>255500</v>
      </c>
      <c r="AW9" s="126">
        <v>2660997</v>
      </c>
      <c r="AX9" s="126">
        <v>84096</v>
      </c>
      <c r="AY9" s="126">
        <v>5500</v>
      </c>
      <c r="AZ9" s="126">
        <v>75</v>
      </c>
      <c r="BA9" s="140">
        <v>511</v>
      </c>
      <c r="BB9" s="487">
        <f t="shared" si="1"/>
        <v>5815011</v>
      </c>
      <c r="BC9" s="127">
        <v>120621</v>
      </c>
      <c r="BD9" s="128">
        <v>2268582</v>
      </c>
      <c r="BE9" s="399">
        <v>530428</v>
      </c>
      <c r="BF9" s="128">
        <v>2411459</v>
      </c>
      <c r="BG9" s="398">
        <v>4162413</v>
      </c>
      <c r="BH9" s="143">
        <v>1815900</v>
      </c>
      <c r="BI9" s="487">
        <f t="shared" si="2"/>
        <v>11309403</v>
      </c>
      <c r="BJ9" s="355">
        <v>54930</v>
      </c>
      <c r="BK9" s="128">
        <v>0</v>
      </c>
      <c r="BL9" s="399">
        <v>0</v>
      </c>
      <c r="BM9" s="129">
        <v>0</v>
      </c>
      <c r="BN9" s="139">
        <v>0</v>
      </c>
      <c r="BO9" s="529">
        <f t="shared" si="3"/>
        <v>54930</v>
      </c>
      <c r="BP9" s="636">
        <f t="shared" si="8"/>
        <v>58573221</v>
      </c>
      <c r="BQ9" s="355">
        <v>143152159</v>
      </c>
      <c r="BR9" s="126">
        <v>11675888</v>
      </c>
      <c r="BS9" s="126">
        <v>12654</v>
      </c>
      <c r="BT9" s="140">
        <v>540186</v>
      </c>
      <c r="BU9" s="533">
        <f t="shared" si="11"/>
        <v>155380887</v>
      </c>
      <c r="BV9" s="452">
        <v>12336961</v>
      </c>
      <c r="BW9" s="128">
        <v>1807678</v>
      </c>
      <c r="BX9" s="139">
        <v>0</v>
      </c>
      <c r="BY9" s="529">
        <f t="shared" si="9"/>
        <v>14144639</v>
      </c>
      <c r="BZ9" s="529">
        <f t="shared" si="4"/>
        <v>169525526</v>
      </c>
      <c r="CA9" s="530">
        <f t="shared" si="10"/>
        <v>293191510</v>
      </c>
    </row>
    <row r="10" spans="1:91">
      <c r="A10" s="838" t="s">
        <v>581</v>
      </c>
      <c r="B10" s="242">
        <v>31</v>
      </c>
      <c r="C10" s="127">
        <v>4408</v>
      </c>
      <c r="D10" s="128">
        <v>382780</v>
      </c>
      <c r="E10" s="128">
        <v>227176</v>
      </c>
      <c r="F10" s="128">
        <v>6010178</v>
      </c>
      <c r="G10" s="128">
        <v>1638900</v>
      </c>
      <c r="H10" s="128">
        <v>12385659</v>
      </c>
      <c r="I10" s="128">
        <v>32410747</v>
      </c>
      <c r="J10" s="398">
        <v>4056288</v>
      </c>
      <c r="K10" s="128">
        <v>14999600</v>
      </c>
      <c r="L10" s="128">
        <v>0</v>
      </c>
      <c r="M10" s="446">
        <f>'Flow Adjustments'!D17</f>
        <v>0</v>
      </c>
      <c r="N10" s="128">
        <v>52860</v>
      </c>
      <c r="O10" s="140">
        <v>274</v>
      </c>
      <c r="P10" s="487">
        <f t="shared" si="5"/>
        <v>72168870</v>
      </c>
      <c r="Q10" s="127">
        <v>4172494</v>
      </c>
      <c r="R10" s="127">
        <v>2793471</v>
      </c>
      <c r="S10" s="399">
        <v>13420</v>
      </c>
      <c r="T10" s="129">
        <v>472514</v>
      </c>
      <c r="U10" s="487">
        <f t="shared" si="0"/>
        <v>7451899</v>
      </c>
      <c r="V10" s="127">
        <v>294740</v>
      </c>
      <c r="W10" s="128">
        <v>133096</v>
      </c>
      <c r="X10" s="126">
        <v>26026</v>
      </c>
      <c r="Y10" s="126">
        <v>51936</v>
      </c>
      <c r="Z10" s="140">
        <v>3</v>
      </c>
      <c r="AA10" s="487">
        <f t="shared" si="6"/>
        <v>505801</v>
      </c>
      <c r="AB10" s="127">
        <v>6503292</v>
      </c>
      <c r="AC10" s="127">
        <v>7883860</v>
      </c>
      <c r="AD10" s="127">
        <v>1603248</v>
      </c>
      <c r="AE10" s="127">
        <v>7449508</v>
      </c>
      <c r="AF10" s="127">
        <v>1089867</v>
      </c>
      <c r="AG10" s="128">
        <v>5701893</v>
      </c>
      <c r="AH10" s="126">
        <v>423168</v>
      </c>
      <c r="AI10" s="398">
        <v>240136</v>
      </c>
      <c r="AJ10" s="126">
        <v>1056595</v>
      </c>
      <c r="AK10" s="126">
        <v>0</v>
      </c>
      <c r="AL10" s="398">
        <v>18</v>
      </c>
      <c r="AM10" s="350">
        <v>2385</v>
      </c>
      <c r="AN10" s="350">
        <v>305091</v>
      </c>
      <c r="AO10" s="350">
        <v>45546</v>
      </c>
      <c r="AP10" s="143">
        <v>0</v>
      </c>
      <c r="AQ10" s="487">
        <f t="shared" si="7"/>
        <v>32304607</v>
      </c>
      <c r="AR10" s="127">
        <v>50083</v>
      </c>
      <c r="AS10" s="128">
        <v>368618</v>
      </c>
      <c r="AT10" s="402">
        <v>1542</v>
      </c>
      <c r="AU10" s="402">
        <v>1073086</v>
      </c>
      <c r="AV10" s="128">
        <v>345500</v>
      </c>
      <c r="AW10" s="126">
        <v>2602908</v>
      </c>
      <c r="AX10" s="126">
        <v>64874</v>
      </c>
      <c r="AY10" s="126">
        <v>1500</v>
      </c>
      <c r="AZ10" s="126">
        <v>11153</v>
      </c>
      <c r="BA10" s="140">
        <v>1541</v>
      </c>
      <c r="BB10" s="487">
        <f t="shared" si="1"/>
        <v>4520805</v>
      </c>
      <c r="BC10" s="127">
        <v>137562</v>
      </c>
      <c r="BD10" s="128">
        <v>2173278</v>
      </c>
      <c r="BE10" s="399">
        <v>551204</v>
      </c>
      <c r="BF10" s="128">
        <v>2521096</v>
      </c>
      <c r="BG10" s="398">
        <v>2398771</v>
      </c>
      <c r="BH10" s="143">
        <v>681837</v>
      </c>
      <c r="BI10" s="487">
        <f t="shared" si="2"/>
        <v>8463748</v>
      </c>
      <c r="BJ10" s="355">
        <v>62575</v>
      </c>
      <c r="BK10" s="128">
        <v>68735</v>
      </c>
      <c r="BL10" s="399">
        <v>595299</v>
      </c>
      <c r="BM10" s="129">
        <v>1970400</v>
      </c>
      <c r="BN10" s="139">
        <v>1053000</v>
      </c>
      <c r="BO10" s="529">
        <f t="shared" si="3"/>
        <v>3750009</v>
      </c>
      <c r="BP10" s="635">
        <f t="shared" si="8"/>
        <v>56996869</v>
      </c>
      <c r="BQ10" s="355">
        <v>131014289</v>
      </c>
      <c r="BR10" s="128">
        <v>9774930</v>
      </c>
      <c r="BS10" s="128">
        <v>16961</v>
      </c>
      <c r="BT10" s="139">
        <v>49867</v>
      </c>
      <c r="BU10" s="529">
        <f t="shared" si="11"/>
        <v>140856047</v>
      </c>
      <c r="BV10" s="454">
        <v>12035768</v>
      </c>
      <c r="BW10" s="128">
        <v>1568580</v>
      </c>
      <c r="BX10" s="139">
        <v>0</v>
      </c>
      <c r="BY10" s="529">
        <f t="shared" si="9"/>
        <v>13604348</v>
      </c>
      <c r="BZ10" s="529">
        <f t="shared" si="4"/>
        <v>154460395</v>
      </c>
      <c r="CA10" s="530">
        <f t="shared" si="10"/>
        <v>283626134</v>
      </c>
    </row>
    <row r="11" spans="1:91">
      <c r="A11" s="839" t="s">
        <v>582</v>
      </c>
      <c r="B11" s="242">
        <v>30</v>
      </c>
      <c r="C11" s="127">
        <v>4696</v>
      </c>
      <c r="D11" s="128">
        <v>411273</v>
      </c>
      <c r="E11" s="128">
        <v>193000</v>
      </c>
      <c r="F11" s="128">
        <v>5736761</v>
      </c>
      <c r="G11" s="128">
        <v>2152000</v>
      </c>
      <c r="H11" s="128">
        <v>10458094</v>
      </c>
      <c r="I11" s="128">
        <v>31780510</v>
      </c>
      <c r="J11" s="398">
        <v>4009208</v>
      </c>
      <c r="K11" s="128">
        <v>19000600</v>
      </c>
      <c r="L11" s="128">
        <v>0</v>
      </c>
      <c r="M11" s="446">
        <f>'Flow Adjustments'!D18</f>
        <v>0</v>
      </c>
      <c r="N11" s="128">
        <v>85230</v>
      </c>
      <c r="O11" s="140">
        <v>1143</v>
      </c>
      <c r="P11" s="487">
        <f t="shared" si="5"/>
        <v>73832515</v>
      </c>
      <c r="Q11" s="127">
        <v>4555842</v>
      </c>
      <c r="R11" s="127">
        <v>3420274</v>
      </c>
      <c r="S11" s="399">
        <v>3523</v>
      </c>
      <c r="T11" s="129">
        <v>555645</v>
      </c>
      <c r="U11" s="487">
        <f t="shared" si="0"/>
        <v>8535284</v>
      </c>
      <c r="V11" s="127">
        <v>277940</v>
      </c>
      <c r="W11" s="128">
        <v>133591</v>
      </c>
      <c r="X11" s="126">
        <v>22971</v>
      </c>
      <c r="Y11" s="126">
        <v>39314</v>
      </c>
      <c r="Z11" s="140">
        <v>3</v>
      </c>
      <c r="AA11" s="487">
        <f t="shared" si="6"/>
        <v>473819</v>
      </c>
      <c r="AB11" s="127">
        <v>6585706</v>
      </c>
      <c r="AC11" s="127">
        <v>7319420</v>
      </c>
      <c r="AD11" s="127">
        <v>1594028</v>
      </c>
      <c r="AE11" s="127">
        <v>7541972</v>
      </c>
      <c r="AF11" s="127">
        <v>1103623</v>
      </c>
      <c r="AG11" s="128">
        <v>5319206</v>
      </c>
      <c r="AH11" s="126">
        <v>286311</v>
      </c>
      <c r="AI11" s="398">
        <v>245869</v>
      </c>
      <c r="AJ11" s="126">
        <v>1128075</v>
      </c>
      <c r="AK11" s="126">
        <v>0</v>
      </c>
      <c r="AL11" s="398">
        <v>98</v>
      </c>
      <c r="AM11" s="350">
        <v>616</v>
      </c>
      <c r="AN11" s="350">
        <v>348777</v>
      </c>
      <c r="AO11" s="350">
        <v>31936</v>
      </c>
      <c r="AP11" s="143">
        <v>0</v>
      </c>
      <c r="AQ11" s="487">
        <f t="shared" si="7"/>
        <v>31505637</v>
      </c>
      <c r="AR11" s="127">
        <v>41117</v>
      </c>
      <c r="AS11" s="128">
        <v>407796</v>
      </c>
      <c r="AT11" s="402">
        <v>2350</v>
      </c>
      <c r="AU11" s="402">
        <v>1206731</v>
      </c>
      <c r="AV11" s="128">
        <v>400700</v>
      </c>
      <c r="AW11" s="126">
        <v>3566460</v>
      </c>
      <c r="AX11" s="126">
        <v>193832</v>
      </c>
      <c r="AY11" s="126">
        <v>2</v>
      </c>
      <c r="AZ11" s="126">
        <v>558</v>
      </c>
      <c r="BA11" s="140">
        <v>86</v>
      </c>
      <c r="BB11" s="487">
        <f t="shared" si="1"/>
        <v>5819632</v>
      </c>
      <c r="BC11" s="127">
        <v>104110</v>
      </c>
      <c r="BD11" s="128">
        <v>1965230</v>
      </c>
      <c r="BE11" s="399">
        <v>549318</v>
      </c>
      <c r="BF11" s="128">
        <v>2218793</v>
      </c>
      <c r="BG11" s="398">
        <v>1296781</v>
      </c>
      <c r="BH11" s="143">
        <v>742843</v>
      </c>
      <c r="BI11" s="487">
        <f t="shared" si="2"/>
        <v>6877075</v>
      </c>
      <c r="BJ11" s="355">
        <v>81660</v>
      </c>
      <c r="BK11" s="128">
        <v>381628</v>
      </c>
      <c r="BL11" s="399">
        <v>1365390</v>
      </c>
      <c r="BM11" s="129">
        <v>2929059</v>
      </c>
      <c r="BN11" s="139">
        <v>981000</v>
      </c>
      <c r="BO11" s="529">
        <f t="shared" si="3"/>
        <v>5738737</v>
      </c>
      <c r="BP11" s="635">
        <f t="shared" si="8"/>
        <v>58950184</v>
      </c>
      <c r="BQ11" s="355">
        <v>132752557</v>
      </c>
      <c r="BR11" s="128">
        <v>10113143</v>
      </c>
      <c r="BS11" s="126">
        <v>18485</v>
      </c>
      <c r="BT11" s="140">
        <v>215772</v>
      </c>
      <c r="BU11" s="533">
        <f>SUM(BQ11:BT11)</f>
        <v>143099957</v>
      </c>
      <c r="BV11" s="455">
        <v>13046370</v>
      </c>
      <c r="BW11" s="128">
        <v>1476754</v>
      </c>
      <c r="BX11" s="139">
        <v>0</v>
      </c>
      <c r="BY11" s="529">
        <f>SUM(BV11:BX11)</f>
        <v>14523124</v>
      </c>
      <c r="BZ11" s="529">
        <f t="shared" si="4"/>
        <v>157623081</v>
      </c>
      <c r="CA11" s="530">
        <f t="shared" si="10"/>
        <v>290405780</v>
      </c>
    </row>
    <row r="12" spans="1:91">
      <c r="A12" s="838" t="s">
        <v>583</v>
      </c>
      <c r="B12" s="242">
        <v>31</v>
      </c>
      <c r="C12" s="127">
        <v>5009</v>
      </c>
      <c r="D12" s="128">
        <v>404423</v>
      </c>
      <c r="E12" s="128">
        <v>130198</v>
      </c>
      <c r="F12" s="128">
        <v>5553415</v>
      </c>
      <c r="G12" s="128">
        <v>2094300</v>
      </c>
      <c r="H12" s="128">
        <v>9667207</v>
      </c>
      <c r="I12" s="128">
        <v>32280881</v>
      </c>
      <c r="J12" s="398">
        <v>4103315</v>
      </c>
      <c r="K12" s="128">
        <v>18773100</v>
      </c>
      <c r="L12" s="128">
        <v>600</v>
      </c>
      <c r="M12" s="446">
        <f>'Flow Adjustments'!D19</f>
        <v>0</v>
      </c>
      <c r="N12" s="128">
        <v>105233</v>
      </c>
      <c r="O12" s="140">
        <v>1227</v>
      </c>
      <c r="P12" s="487">
        <f>SUM(C12:O12)</f>
        <v>73118908</v>
      </c>
      <c r="Q12" s="127">
        <v>4088573</v>
      </c>
      <c r="R12" s="127">
        <v>3116440</v>
      </c>
      <c r="S12" s="399">
        <v>55561</v>
      </c>
      <c r="T12" s="129">
        <v>447193</v>
      </c>
      <c r="U12" s="487">
        <f t="shared" si="0"/>
        <v>7707767</v>
      </c>
      <c r="V12" s="127">
        <v>250067</v>
      </c>
      <c r="W12" s="128">
        <v>130679</v>
      </c>
      <c r="X12" s="126">
        <v>47863</v>
      </c>
      <c r="Y12" s="126">
        <v>35186</v>
      </c>
      <c r="Z12" s="140">
        <v>3</v>
      </c>
      <c r="AA12" s="487">
        <f t="shared" si="6"/>
        <v>463798</v>
      </c>
      <c r="AB12" s="127">
        <v>6750923</v>
      </c>
      <c r="AC12" s="127">
        <v>8126876</v>
      </c>
      <c r="AD12" s="127">
        <v>1725156</v>
      </c>
      <c r="AE12" s="127">
        <v>8218082</v>
      </c>
      <c r="AF12" s="127">
        <v>1179335</v>
      </c>
      <c r="AG12" s="128">
        <v>6106037</v>
      </c>
      <c r="AH12" s="126">
        <v>378458</v>
      </c>
      <c r="AI12" s="398">
        <v>237159</v>
      </c>
      <c r="AJ12" s="126">
        <v>1529443</v>
      </c>
      <c r="AK12" s="126">
        <v>0</v>
      </c>
      <c r="AL12" s="398">
        <v>69</v>
      </c>
      <c r="AM12" s="350">
        <v>2210</v>
      </c>
      <c r="AN12" s="350">
        <v>223782</v>
      </c>
      <c r="AO12" s="350">
        <v>41751</v>
      </c>
      <c r="AP12" s="143">
        <v>0</v>
      </c>
      <c r="AQ12" s="487">
        <f t="shared" si="7"/>
        <v>34519281</v>
      </c>
      <c r="AR12" s="127">
        <v>37571</v>
      </c>
      <c r="AS12" s="128">
        <v>471219</v>
      </c>
      <c r="AT12" s="402">
        <v>8089</v>
      </c>
      <c r="AU12" s="402">
        <v>1916708</v>
      </c>
      <c r="AV12" s="128">
        <v>437100</v>
      </c>
      <c r="AW12" s="126">
        <v>3329535</v>
      </c>
      <c r="AX12" s="126">
        <v>193066</v>
      </c>
      <c r="AY12" s="126">
        <v>0</v>
      </c>
      <c r="AZ12" s="126">
        <v>12</v>
      </c>
      <c r="BA12" s="140">
        <v>40</v>
      </c>
      <c r="BB12" s="487">
        <f t="shared" si="1"/>
        <v>6393340</v>
      </c>
      <c r="BC12" s="127">
        <v>88726</v>
      </c>
      <c r="BD12" s="128">
        <v>1892719</v>
      </c>
      <c r="BE12" s="399">
        <v>585949</v>
      </c>
      <c r="BF12" s="128">
        <v>1968200</v>
      </c>
      <c r="BG12" s="398">
        <v>1468408</v>
      </c>
      <c r="BH12" s="143">
        <v>726790</v>
      </c>
      <c r="BI12" s="487">
        <f t="shared" si="2"/>
        <v>6730792</v>
      </c>
      <c r="BJ12" s="355">
        <v>76899</v>
      </c>
      <c r="BK12" s="128">
        <v>393439</v>
      </c>
      <c r="BL12" s="399">
        <v>1716664</v>
      </c>
      <c r="BM12" s="129">
        <v>2888880</v>
      </c>
      <c r="BN12" s="139">
        <v>915000</v>
      </c>
      <c r="BO12" s="529">
        <f t="shared" si="3"/>
        <v>5990882</v>
      </c>
      <c r="BP12" s="635">
        <f t="shared" si="8"/>
        <v>61805860</v>
      </c>
      <c r="BQ12" s="355">
        <v>131078727</v>
      </c>
      <c r="BR12" s="128">
        <v>10708395</v>
      </c>
      <c r="BS12" s="126">
        <v>39458</v>
      </c>
      <c r="BT12" s="140">
        <v>192692</v>
      </c>
      <c r="BU12" s="533">
        <f t="shared" si="11"/>
        <v>142019272</v>
      </c>
      <c r="BV12" s="455">
        <v>13651856</v>
      </c>
      <c r="BW12" s="128">
        <v>1834490</v>
      </c>
      <c r="BX12" s="139">
        <v>323</v>
      </c>
      <c r="BY12" s="529">
        <f t="shared" si="9"/>
        <v>15486669</v>
      </c>
      <c r="BZ12" s="529">
        <f t="shared" si="4"/>
        <v>157505941</v>
      </c>
      <c r="CA12" s="530">
        <f t="shared" si="10"/>
        <v>292430709</v>
      </c>
    </row>
    <row r="13" spans="1:91">
      <c r="A13" s="839" t="s">
        <v>584</v>
      </c>
      <c r="B13" s="242">
        <v>30</v>
      </c>
      <c r="C13" s="127">
        <v>4670</v>
      </c>
      <c r="D13" s="128">
        <v>379441</v>
      </c>
      <c r="E13" s="128">
        <v>52856</v>
      </c>
      <c r="F13" s="128">
        <v>5776928</v>
      </c>
      <c r="G13" s="128">
        <v>2384500</v>
      </c>
      <c r="H13" s="128">
        <v>7484674</v>
      </c>
      <c r="I13" s="128">
        <v>35335202</v>
      </c>
      <c r="J13" s="398">
        <v>5063102</v>
      </c>
      <c r="K13" s="128">
        <v>15612500</v>
      </c>
      <c r="L13" s="128">
        <v>0</v>
      </c>
      <c r="M13" s="446">
        <f>'Flow Adjustments'!D20</f>
        <v>0</v>
      </c>
      <c r="N13" s="128">
        <v>73329</v>
      </c>
      <c r="O13" s="140">
        <v>8591</v>
      </c>
      <c r="P13" s="487">
        <f t="shared" si="5"/>
        <v>72175793</v>
      </c>
      <c r="Q13" s="127">
        <v>3420381</v>
      </c>
      <c r="R13" s="127">
        <v>2629738</v>
      </c>
      <c r="S13" s="399">
        <v>34672</v>
      </c>
      <c r="T13" s="129">
        <v>465333</v>
      </c>
      <c r="U13" s="487">
        <f t="shared" si="0"/>
        <v>6550124</v>
      </c>
      <c r="V13" s="127">
        <v>287408</v>
      </c>
      <c r="W13" s="128">
        <v>184119</v>
      </c>
      <c r="X13" s="126">
        <v>33310</v>
      </c>
      <c r="Y13" s="126">
        <v>29728</v>
      </c>
      <c r="Z13" s="140">
        <v>16</v>
      </c>
      <c r="AA13" s="487">
        <f t="shared" si="6"/>
        <v>534581</v>
      </c>
      <c r="AB13" s="127">
        <v>5096896</v>
      </c>
      <c r="AC13" s="127">
        <v>5717962</v>
      </c>
      <c r="AD13" s="127">
        <v>1805546</v>
      </c>
      <c r="AE13" s="127">
        <v>7135603</v>
      </c>
      <c r="AF13" s="127">
        <v>1036503</v>
      </c>
      <c r="AG13" s="128">
        <v>5149421</v>
      </c>
      <c r="AH13" s="126">
        <v>325878</v>
      </c>
      <c r="AI13" s="398">
        <v>287589</v>
      </c>
      <c r="AJ13" s="126">
        <v>522124</v>
      </c>
      <c r="AK13" s="126">
        <v>1</v>
      </c>
      <c r="AL13" s="398">
        <v>68</v>
      </c>
      <c r="AM13" s="350">
        <v>1493</v>
      </c>
      <c r="AN13" s="350">
        <v>360984</v>
      </c>
      <c r="AO13" s="350">
        <v>66794</v>
      </c>
      <c r="AP13" s="143">
        <v>0</v>
      </c>
      <c r="AQ13" s="487">
        <f t="shared" si="7"/>
        <v>27506862</v>
      </c>
      <c r="AR13" s="127">
        <v>105194</v>
      </c>
      <c r="AS13" s="128">
        <v>311248</v>
      </c>
      <c r="AT13" s="402">
        <v>1742</v>
      </c>
      <c r="AU13" s="402">
        <v>1286365</v>
      </c>
      <c r="AV13" s="128">
        <v>292500</v>
      </c>
      <c r="AW13" s="126">
        <v>2760800</v>
      </c>
      <c r="AX13" s="126">
        <v>182534</v>
      </c>
      <c r="AY13" s="126">
        <v>0</v>
      </c>
      <c r="AZ13" s="126">
        <v>513</v>
      </c>
      <c r="BA13" s="140">
        <v>53</v>
      </c>
      <c r="BB13" s="487">
        <f t="shared" si="1"/>
        <v>4940949</v>
      </c>
      <c r="BC13" s="127">
        <v>85570</v>
      </c>
      <c r="BD13" s="128">
        <v>1849923</v>
      </c>
      <c r="BE13" s="399">
        <v>571711</v>
      </c>
      <c r="BF13" s="128">
        <v>2195900</v>
      </c>
      <c r="BG13" s="398">
        <v>1536012</v>
      </c>
      <c r="BH13" s="143">
        <v>804165</v>
      </c>
      <c r="BI13" s="487">
        <f t="shared" si="2"/>
        <v>7043281</v>
      </c>
      <c r="BJ13" s="355">
        <v>72939</v>
      </c>
      <c r="BK13" s="128">
        <v>438683</v>
      </c>
      <c r="BL13" s="399">
        <v>1674873</v>
      </c>
      <c r="BM13" s="129">
        <v>2907054</v>
      </c>
      <c r="BN13" s="139">
        <v>892000</v>
      </c>
      <c r="BO13" s="529">
        <f t="shared" si="3"/>
        <v>5985549</v>
      </c>
      <c r="BP13" s="635">
        <f t="shared" si="8"/>
        <v>52561346</v>
      </c>
      <c r="BQ13" s="355">
        <v>116331158</v>
      </c>
      <c r="BR13" s="128">
        <v>7013719</v>
      </c>
      <c r="BS13" s="128">
        <v>66305</v>
      </c>
      <c r="BT13" s="139">
        <v>107208</v>
      </c>
      <c r="BU13" s="533">
        <f t="shared" si="11"/>
        <v>123518390</v>
      </c>
      <c r="BV13" s="455">
        <v>10699173</v>
      </c>
      <c r="BW13" s="128">
        <v>884974</v>
      </c>
      <c r="BX13" s="139">
        <v>776</v>
      </c>
      <c r="BY13" s="529">
        <f t="shared" si="9"/>
        <v>11584923</v>
      </c>
      <c r="BZ13" s="529">
        <f t="shared" si="4"/>
        <v>135103313</v>
      </c>
      <c r="CA13" s="530">
        <f t="shared" si="10"/>
        <v>259840452</v>
      </c>
    </row>
    <row r="14" spans="1:91" ht="14.5" thickBot="1">
      <c r="A14" s="840" t="s">
        <v>585</v>
      </c>
      <c r="B14" s="243">
        <v>31</v>
      </c>
      <c r="C14" s="133">
        <v>6164</v>
      </c>
      <c r="D14" s="131">
        <v>274898</v>
      </c>
      <c r="E14" s="131">
        <v>4027</v>
      </c>
      <c r="F14" s="131">
        <v>4811319</v>
      </c>
      <c r="G14" s="131">
        <v>1669200</v>
      </c>
      <c r="H14" s="131">
        <v>7036965</v>
      </c>
      <c r="I14" s="128">
        <v>30821500</v>
      </c>
      <c r="J14" s="128">
        <v>4427126</v>
      </c>
      <c r="K14" s="127">
        <v>12828000</v>
      </c>
      <c r="L14" s="128">
        <v>0</v>
      </c>
      <c r="M14" s="446">
        <f>'Flow Adjustments'!D21</f>
        <v>0</v>
      </c>
      <c r="N14" s="128">
        <v>35118</v>
      </c>
      <c r="O14" s="140">
        <v>882</v>
      </c>
      <c r="P14" s="487">
        <f>SUM(C14:O14)</f>
        <v>61915199</v>
      </c>
      <c r="Q14" s="130">
        <v>3477782</v>
      </c>
      <c r="R14" s="133">
        <v>2153782</v>
      </c>
      <c r="S14" s="400">
        <v>15127</v>
      </c>
      <c r="T14" s="132">
        <v>427120</v>
      </c>
      <c r="U14" s="487">
        <f t="shared" si="0"/>
        <v>6073811</v>
      </c>
      <c r="V14" s="133">
        <v>263430</v>
      </c>
      <c r="W14" s="131">
        <v>176645</v>
      </c>
      <c r="X14" s="353">
        <v>38619</v>
      </c>
      <c r="Y14" s="353">
        <v>27682</v>
      </c>
      <c r="Z14" s="144">
        <v>2</v>
      </c>
      <c r="AA14" s="487">
        <f t="shared" si="6"/>
        <v>506378</v>
      </c>
      <c r="AB14" s="133">
        <v>3194651</v>
      </c>
      <c r="AC14" s="133">
        <v>2436150</v>
      </c>
      <c r="AD14" s="133">
        <v>1376073</v>
      </c>
      <c r="AE14" s="133">
        <v>5637501</v>
      </c>
      <c r="AF14" s="133">
        <v>760550</v>
      </c>
      <c r="AG14" s="131">
        <v>2588565</v>
      </c>
      <c r="AH14" s="353">
        <v>290435</v>
      </c>
      <c r="AI14" s="432">
        <v>294237</v>
      </c>
      <c r="AJ14" s="353">
        <v>66565</v>
      </c>
      <c r="AK14" s="353">
        <v>0</v>
      </c>
      <c r="AL14" s="432">
        <v>3</v>
      </c>
      <c r="AM14" s="434">
        <v>2650</v>
      </c>
      <c r="AN14" s="434">
        <v>214884</v>
      </c>
      <c r="AO14" s="434">
        <v>42518</v>
      </c>
      <c r="AP14" s="433">
        <v>0</v>
      </c>
      <c r="AQ14" s="487">
        <f t="shared" si="7"/>
        <v>16904782</v>
      </c>
      <c r="AR14" s="133">
        <v>92443</v>
      </c>
      <c r="AS14" s="131">
        <v>187836</v>
      </c>
      <c r="AT14" s="403">
        <v>4365</v>
      </c>
      <c r="AU14" s="403">
        <v>420958</v>
      </c>
      <c r="AV14" s="131">
        <v>244800</v>
      </c>
      <c r="AW14" s="353">
        <v>2268273</v>
      </c>
      <c r="AX14" s="353">
        <v>289665</v>
      </c>
      <c r="AY14" s="353">
        <v>0</v>
      </c>
      <c r="AZ14" s="353">
        <v>9</v>
      </c>
      <c r="BA14" s="144">
        <v>42</v>
      </c>
      <c r="BB14" s="487">
        <f t="shared" si="1"/>
        <v>3508391</v>
      </c>
      <c r="BC14" s="133">
        <v>80946</v>
      </c>
      <c r="BD14" s="131">
        <v>1935516</v>
      </c>
      <c r="BE14" s="400">
        <v>518937</v>
      </c>
      <c r="BF14" s="131">
        <v>2159000</v>
      </c>
      <c r="BG14" s="432">
        <v>1551404</v>
      </c>
      <c r="BH14" s="433">
        <v>815200</v>
      </c>
      <c r="BI14" s="487">
        <f t="shared" si="2"/>
        <v>7061003</v>
      </c>
      <c r="BJ14" s="130">
        <v>71711</v>
      </c>
      <c r="BK14" s="410">
        <v>439422</v>
      </c>
      <c r="BL14" s="436">
        <v>1388639</v>
      </c>
      <c r="BM14" s="438">
        <v>2925691</v>
      </c>
      <c r="BN14" s="144">
        <v>925000</v>
      </c>
      <c r="BO14" s="531">
        <f t="shared" si="3"/>
        <v>5750463</v>
      </c>
      <c r="BP14" s="538">
        <f t="shared" si="8"/>
        <v>39804828</v>
      </c>
      <c r="BQ14" s="130">
        <v>108098837</v>
      </c>
      <c r="BR14" s="410">
        <v>4091076</v>
      </c>
      <c r="BS14" s="410">
        <v>27351</v>
      </c>
      <c r="BT14" s="142">
        <v>94455</v>
      </c>
      <c r="BU14" s="535">
        <f t="shared" si="11"/>
        <v>112311719</v>
      </c>
      <c r="BV14" s="456">
        <v>10127123</v>
      </c>
      <c r="BW14" s="410">
        <v>535268</v>
      </c>
      <c r="BX14" s="141">
        <v>0</v>
      </c>
      <c r="BY14" s="533">
        <f t="shared" si="9"/>
        <v>10662391</v>
      </c>
      <c r="BZ14" s="535">
        <f t="shared" si="4"/>
        <v>122974110</v>
      </c>
      <c r="CA14" s="635">
        <f t="shared" si="10"/>
        <v>224694137</v>
      </c>
    </row>
    <row r="15" spans="1:91">
      <c r="A15" s="480" t="s">
        <v>37</v>
      </c>
      <c r="B15" s="639">
        <f>SUM(B3:B14)</f>
        <v>365</v>
      </c>
      <c r="C15" s="494">
        <f t="shared" ref="C15:L15" si="12">SUM(C3:C14)</f>
        <v>60971</v>
      </c>
      <c r="D15" s="481">
        <f t="shared" si="12"/>
        <v>4233801</v>
      </c>
      <c r="E15" s="481">
        <f t="shared" si="12"/>
        <v>1081497</v>
      </c>
      <c r="F15" s="481">
        <f t="shared" si="12"/>
        <v>62472118</v>
      </c>
      <c r="G15" s="481">
        <f t="shared" si="12"/>
        <v>24191800</v>
      </c>
      <c r="H15" s="481">
        <f t="shared" si="12"/>
        <v>111416571</v>
      </c>
      <c r="I15" s="481">
        <f t="shared" si="12"/>
        <v>371277045</v>
      </c>
      <c r="J15" s="481">
        <f t="shared" si="12"/>
        <v>46834111</v>
      </c>
      <c r="K15" s="494">
        <f t="shared" si="12"/>
        <v>182079300</v>
      </c>
      <c r="L15" s="481">
        <f t="shared" si="12"/>
        <v>1400</v>
      </c>
      <c r="M15" s="481">
        <f t="shared" ref="M15:BY15" si="13">SUM(M3:M14)</f>
        <v>0</v>
      </c>
      <c r="N15" s="481">
        <f t="shared" si="13"/>
        <v>827979</v>
      </c>
      <c r="O15" s="488">
        <f t="shared" si="13"/>
        <v>17471</v>
      </c>
      <c r="P15" s="488">
        <f t="shared" si="13"/>
        <v>804494064</v>
      </c>
      <c r="Q15" s="494">
        <f>SUM(Q3:Q14)</f>
        <v>43317062</v>
      </c>
      <c r="R15" s="481">
        <f>SUM(R3:R14)</f>
        <v>32855526</v>
      </c>
      <c r="S15" s="481">
        <f>SUM(S3:S14)</f>
        <v>166993</v>
      </c>
      <c r="T15" s="495">
        <f>SUM(T3:T14)</f>
        <v>5579696</v>
      </c>
      <c r="U15" s="488">
        <f>SUM(U3:U14)</f>
        <v>81919277</v>
      </c>
      <c r="V15" s="494">
        <f t="shared" si="13"/>
        <v>3596675</v>
      </c>
      <c r="W15" s="481">
        <f t="shared" si="13"/>
        <v>1836596</v>
      </c>
      <c r="X15" s="481">
        <f t="shared" si="13"/>
        <v>313305</v>
      </c>
      <c r="Y15" s="481">
        <f t="shared" si="13"/>
        <v>501921</v>
      </c>
      <c r="Z15" s="481">
        <f t="shared" si="13"/>
        <v>46</v>
      </c>
      <c r="AA15" s="496">
        <f t="shared" si="13"/>
        <v>6248543</v>
      </c>
      <c r="AB15" s="494">
        <f t="shared" si="13"/>
        <v>53826080</v>
      </c>
      <c r="AC15" s="481">
        <f>SUM(AC3:AC14)</f>
        <v>58149501</v>
      </c>
      <c r="AD15" s="481">
        <f>SUM(AD3:AD14)</f>
        <v>17637462</v>
      </c>
      <c r="AE15" s="481">
        <f>SUM(AE3:AE14)</f>
        <v>78239713</v>
      </c>
      <c r="AF15" s="481">
        <f t="shared" ref="AF15:AQ15" si="14">SUM(AF3:AF14)</f>
        <v>10061171</v>
      </c>
      <c r="AG15" s="481">
        <f t="shared" si="14"/>
        <v>50158523</v>
      </c>
      <c r="AH15" s="481">
        <f t="shared" si="14"/>
        <v>4406350</v>
      </c>
      <c r="AI15" s="497">
        <f t="shared" si="14"/>
        <v>3548335</v>
      </c>
      <c r="AJ15" s="498">
        <f t="shared" si="14"/>
        <v>4855129</v>
      </c>
      <c r="AK15" s="498">
        <f t="shared" si="14"/>
        <v>4120</v>
      </c>
      <c r="AL15" s="497">
        <f t="shared" si="14"/>
        <v>498</v>
      </c>
      <c r="AM15" s="499">
        <f t="shared" si="14"/>
        <v>204135</v>
      </c>
      <c r="AN15" s="499">
        <f t="shared" si="14"/>
        <v>3197703</v>
      </c>
      <c r="AO15" s="499">
        <f t="shared" si="14"/>
        <v>675750</v>
      </c>
      <c r="AP15" s="499">
        <f t="shared" si="14"/>
        <v>641000</v>
      </c>
      <c r="AQ15" s="496">
        <f t="shared" si="14"/>
        <v>285605470</v>
      </c>
      <c r="AR15" s="494">
        <f t="shared" si="13"/>
        <v>682932</v>
      </c>
      <c r="AS15" s="481">
        <f t="shared" si="13"/>
        <v>3334233</v>
      </c>
      <c r="AT15" s="481">
        <f t="shared" si="13"/>
        <v>38438</v>
      </c>
      <c r="AU15" s="481">
        <f t="shared" si="13"/>
        <v>11168335</v>
      </c>
      <c r="AV15" s="481">
        <f t="shared" si="13"/>
        <v>4070400</v>
      </c>
      <c r="AW15" s="481">
        <f t="shared" si="13"/>
        <v>31106406</v>
      </c>
      <c r="AX15" s="481">
        <f t="shared" si="13"/>
        <v>3417670</v>
      </c>
      <c r="AY15" s="481">
        <f t="shared" si="13"/>
        <v>7002</v>
      </c>
      <c r="AZ15" s="481">
        <f t="shared" si="13"/>
        <v>33766</v>
      </c>
      <c r="BA15" s="481">
        <f t="shared" si="13"/>
        <v>20581</v>
      </c>
      <c r="BB15" s="496">
        <f t="shared" si="13"/>
        <v>53879763</v>
      </c>
      <c r="BC15" s="494">
        <f t="shared" si="13"/>
        <v>1785340</v>
      </c>
      <c r="BD15" s="500">
        <f t="shared" si="13"/>
        <v>26165140</v>
      </c>
      <c r="BE15" s="500">
        <f t="shared" si="13"/>
        <v>6764699</v>
      </c>
      <c r="BF15" s="498">
        <f t="shared" si="13"/>
        <v>29982520</v>
      </c>
      <c r="BG15" s="499">
        <f t="shared" si="13"/>
        <v>39877731</v>
      </c>
      <c r="BH15" s="499">
        <f t="shared" si="13"/>
        <v>15159535</v>
      </c>
      <c r="BI15" s="496">
        <f t="shared" si="13"/>
        <v>119734965</v>
      </c>
      <c r="BJ15" s="501">
        <f t="shared" si="13"/>
        <v>490872</v>
      </c>
      <c r="BK15" s="498">
        <f t="shared" si="13"/>
        <v>1721907</v>
      </c>
      <c r="BL15" s="497">
        <f t="shared" si="13"/>
        <v>6740865</v>
      </c>
      <c r="BM15" s="502">
        <f t="shared" si="13"/>
        <v>13621084</v>
      </c>
      <c r="BN15" s="502">
        <f t="shared" si="13"/>
        <v>4766000</v>
      </c>
      <c r="BO15" s="496">
        <f t="shared" si="13"/>
        <v>27340728</v>
      </c>
      <c r="BP15" s="496">
        <f t="shared" si="13"/>
        <v>574728746</v>
      </c>
      <c r="BQ15" s="503">
        <f t="shared" si="13"/>
        <v>1486101246</v>
      </c>
      <c r="BR15" s="504">
        <f t="shared" si="13"/>
        <v>82703370</v>
      </c>
      <c r="BS15" s="504">
        <f t="shared" si="13"/>
        <v>254860</v>
      </c>
      <c r="BT15" s="504">
        <f t="shared" si="13"/>
        <v>1570261</v>
      </c>
      <c r="BU15" s="496">
        <f t="shared" si="13"/>
        <v>1570629737</v>
      </c>
      <c r="BV15" s="501">
        <f t="shared" si="13"/>
        <v>90326550</v>
      </c>
      <c r="BW15" s="498">
        <f t="shared" si="13"/>
        <v>9336916</v>
      </c>
      <c r="BX15" s="505">
        <f t="shared" si="13"/>
        <v>1099</v>
      </c>
      <c r="BY15" s="496">
        <f t="shared" si="13"/>
        <v>99664565</v>
      </c>
      <c r="BZ15" s="496">
        <f>SUM(BZ3:BZ14)</f>
        <v>1670294302</v>
      </c>
      <c r="CA15" s="528">
        <f>SUM(CA3:CA14)</f>
        <v>3049517112</v>
      </c>
    </row>
    <row r="16" spans="1:91" ht="14.5" thickBot="1">
      <c r="A16" s="483" t="s">
        <v>586</v>
      </c>
      <c r="B16" s="483"/>
      <c r="C16" s="508"/>
      <c r="D16" s="508"/>
      <c r="E16" s="508"/>
      <c r="F16" s="508"/>
      <c r="G16" s="508"/>
      <c r="H16" s="508"/>
      <c r="I16" s="508"/>
      <c r="J16" s="508"/>
      <c r="K16" s="508"/>
      <c r="L16" s="508"/>
      <c r="M16" s="508"/>
      <c r="N16" s="484"/>
      <c r="O16" s="489"/>
      <c r="P16" s="489">
        <f>P15/$CA$15</f>
        <v>0.26381031306047642</v>
      </c>
      <c r="Q16" s="506"/>
      <c r="R16" s="506"/>
      <c r="S16" s="506"/>
      <c r="T16" s="507"/>
      <c r="U16" s="489">
        <f>U15/$CA$15</f>
        <v>2.6863032405243313E-2</v>
      </c>
      <c r="V16" s="508"/>
      <c r="W16" s="484"/>
      <c r="X16" s="484"/>
      <c r="Y16" s="484"/>
      <c r="Z16" s="489"/>
      <c r="AA16" s="489">
        <f>AA15/$CA$15</f>
        <v>2.0490270329724257E-3</v>
      </c>
      <c r="AB16" s="508"/>
      <c r="AC16" s="484"/>
      <c r="AD16" s="484"/>
      <c r="AE16" s="484"/>
      <c r="AF16" s="484"/>
      <c r="AG16" s="484"/>
      <c r="AH16" s="484"/>
      <c r="AI16" s="509"/>
      <c r="AJ16" s="484"/>
      <c r="AK16" s="484"/>
      <c r="AL16" s="509"/>
      <c r="AM16" s="510"/>
      <c r="AN16" s="510"/>
      <c r="AO16" s="510"/>
      <c r="AP16" s="511"/>
      <c r="AQ16" s="489">
        <f>AQ15/$CA$15</f>
        <v>9.365596568588791E-2</v>
      </c>
      <c r="AR16" s="508"/>
      <c r="AS16" s="484"/>
      <c r="AT16" s="510"/>
      <c r="AU16" s="510"/>
      <c r="AV16" s="484"/>
      <c r="AW16" s="484"/>
      <c r="AX16" s="484"/>
      <c r="AY16" s="484"/>
      <c r="AZ16" s="484"/>
      <c r="BA16" s="489"/>
      <c r="BB16" s="489">
        <f>BB15/$CA$15</f>
        <v>1.7668293379296176E-2</v>
      </c>
      <c r="BC16" s="508"/>
      <c r="BD16" s="509"/>
      <c r="BE16" s="484"/>
      <c r="BF16" s="484"/>
      <c r="BG16" s="509"/>
      <c r="BH16" s="511"/>
      <c r="BI16" s="489">
        <f>BI15/$CA$15</f>
        <v>3.9263581938542666E-2</v>
      </c>
      <c r="BJ16" s="512"/>
      <c r="BK16" s="484"/>
      <c r="BL16" s="509"/>
      <c r="BM16" s="511"/>
      <c r="BN16" s="489"/>
      <c r="BO16" s="513">
        <f>BO15/$CA$15</f>
        <v>8.9655925826462451E-3</v>
      </c>
      <c r="BP16" s="513">
        <f>SUM(U16,BO16,BI16,BB16,AQ16,AA16)</f>
        <v>0.18846549302458876</v>
      </c>
      <c r="BQ16" s="508"/>
      <c r="BR16" s="484"/>
      <c r="BS16" s="484"/>
      <c r="BT16" s="489"/>
      <c r="BU16" s="489">
        <f>BU15/$CA$15</f>
        <v>0.51504211300192237</v>
      </c>
      <c r="BV16" s="508"/>
      <c r="BW16" s="484"/>
      <c r="BX16" s="489"/>
      <c r="BY16" s="513">
        <f>BY15/$CA$15</f>
        <v>3.2682080913012432E-2</v>
      </c>
      <c r="BZ16" s="513">
        <f>SUM(BU16,BY16)</f>
        <v>0.54772419391493476</v>
      </c>
      <c r="CA16" s="514">
        <f>SUM(U16,AA16,AQ16,BB16,P16,BI16,BU16,BY16,BO16)</f>
        <v>0.99999999999999989</v>
      </c>
    </row>
    <row r="17" spans="1:85" ht="14.5" thickBot="1">
      <c r="A17" s="986" t="s">
        <v>667</v>
      </c>
      <c r="B17" s="987"/>
      <c r="C17" s="650"/>
      <c r="D17" s="645"/>
      <c r="E17" s="645"/>
      <c r="F17" s="645"/>
      <c r="G17" s="645"/>
      <c r="H17" s="645"/>
      <c r="I17" s="645"/>
      <c r="J17" s="645"/>
      <c r="K17" s="645"/>
      <c r="L17" s="645"/>
      <c r="M17" s="645"/>
      <c r="N17" s="846"/>
      <c r="O17" s="653"/>
      <c r="P17" s="657">
        <f>MAX(P3:P14)</f>
        <v>73832515</v>
      </c>
      <c r="Q17" s="650"/>
      <c r="R17" s="645"/>
      <c r="S17" s="645"/>
      <c r="T17" s="675"/>
      <c r="U17" s="528">
        <f>MAX(U3:U14)</f>
        <v>8535284</v>
      </c>
      <c r="V17" s="645"/>
      <c r="W17" s="645"/>
      <c r="X17" s="645"/>
      <c r="Y17" s="645"/>
      <c r="Z17" s="675"/>
      <c r="AA17" s="528">
        <f>MAX(AA3:AA14)</f>
        <v>807088</v>
      </c>
      <c r="AB17" s="645"/>
      <c r="AC17" s="645"/>
      <c r="AD17" s="645"/>
      <c r="AE17" s="645"/>
      <c r="AF17" s="645"/>
      <c r="AG17" s="645"/>
      <c r="AH17" s="645"/>
      <c r="AI17" s="645"/>
      <c r="AJ17" s="645"/>
      <c r="AK17" s="645"/>
      <c r="AL17" s="645"/>
      <c r="AM17" s="645"/>
      <c r="AN17" s="645"/>
      <c r="AO17" s="645"/>
      <c r="AP17" s="652"/>
      <c r="AQ17" s="657">
        <f>MAX(AQ3:AQ14)</f>
        <v>34519281</v>
      </c>
      <c r="AR17" s="645"/>
      <c r="AS17" s="645"/>
      <c r="AT17" s="645"/>
      <c r="AU17" s="645"/>
      <c r="AV17" s="645"/>
      <c r="AW17" s="645"/>
      <c r="AX17" s="645"/>
      <c r="AY17" s="645"/>
      <c r="AZ17" s="645"/>
      <c r="BA17" s="652"/>
      <c r="BB17" s="657">
        <f>MAX(BB3:BB14)</f>
        <v>6393340</v>
      </c>
      <c r="BC17" s="645"/>
      <c r="BD17" s="645"/>
      <c r="BE17" s="645"/>
      <c r="BF17" s="645"/>
      <c r="BG17" s="645"/>
      <c r="BH17" s="652"/>
      <c r="BI17" s="657">
        <f>MAX(BI3:BI14)</f>
        <v>13103362</v>
      </c>
      <c r="BJ17" s="645"/>
      <c r="BK17" s="645"/>
      <c r="BL17" s="645"/>
      <c r="BM17" s="645"/>
      <c r="BN17" s="652"/>
      <c r="BO17" s="657">
        <f>MAX(BO3:BO14)</f>
        <v>5990882</v>
      </c>
      <c r="BP17" s="634">
        <f>SUM(BO17,BI17,BB17,AQ17,AA17,U17)</f>
        <v>69349237</v>
      </c>
      <c r="BQ17" s="650"/>
      <c r="BR17" s="645"/>
      <c r="BS17" s="645"/>
      <c r="BT17" s="652"/>
      <c r="BU17" s="657">
        <f>MAX(BU3:BU14)</f>
        <v>155380887</v>
      </c>
      <c r="BV17" s="645"/>
      <c r="BW17" s="645"/>
      <c r="BX17" s="675"/>
      <c r="BY17" s="528">
        <f>MAX(BY3:BY14)</f>
        <v>15486669</v>
      </c>
      <c r="BZ17" s="528">
        <f>SUM(BY17,BU17)</f>
        <v>170867556</v>
      </c>
      <c r="CA17" s="528">
        <f>SUM(BZ17,BP17,P17)</f>
        <v>314049308</v>
      </c>
      <c r="CG17" s="116"/>
    </row>
    <row r="18" spans="1:85" ht="14.5" thickBot="1">
      <c r="A18" s="986" t="s">
        <v>668</v>
      </c>
      <c r="B18" s="987"/>
      <c r="C18" s="650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53"/>
      <c r="P18" s="635">
        <f>P17/B11</f>
        <v>2461083.8333333335</v>
      </c>
      <c r="Q18" s="650"/>
      <c r="R18" s="645"/>
      <c r="S18" s="645"/>
      <c r="T18" s="645"/>
      <c r="U18" s="635">
        <f>U17/B11</f>
        <v>284509.46666666667</v>
      </c>
      <c r="V18" s="645"/>
      <c r="W18" s="645"/>
      <c r="X18" s="645"/>
      <c r="Y18" s="645"/>
      <c r="Z18" s="645"/>
      <c r="AA18" s="635">
        <f>AA17/B3</f>
        <v>26035.096774193549</v>
      </c>
      <c r="AB18" s="645"/>
      <c r="AC18" s="645"/>
      <c r="AD18" s="645"/>
      <c r="AE18" s="645"/>
      <c r="AF18" s="645"/>
      <c r="AG18" s="645"/>
      <c r="AH18" s="645"/>
      <c r="AI18" s="645"/>
      <c r="AJ18" s="645"/>
      <c r="AK18" s="645"/>
      <c r="AL18" s="645"/>
      <c r="AM18" s="645"/>
      <c r="AN18" s="645"/>
      <c r="AO18" s="645"/>
      <c r="AP18" s="645"/>
      <c r="AQ18" s="635">
        <f>AQ17/B12</f>
        <v>1113525.1935483871</v>
      </c>
      <c r="AR18" s="645"/>
      <c r="AS18" s="645"/>
      <c r="AT18" s="645"/>
      <c r="AU18" s="645"/>
      <c r="AV18" s="645"/>
      <c r="AW18" s="645"/>
      <c r="AX18" s="645"/>
      <c r="AY18" s="645"/>
      <c r="AZ18" s="645"/>
      <c r="BA18" s="645"/>
      <c r="BB18" s="635">
        <f>BB17/B12</f>
        <v>206236.77419354839</v>
      </c>
      <c r="BC18" s="645"/>
      <c r="BD18" s="645"/>
      <c r="BE18" s="645"/>
      <c r="BF18" s="645"/>
      <c r="BG18" s="645"/>
      <c r="BH18" s="645"/>
      <c r="BI18" s="635">
        <f>BI17/B4</f>
        <v>467977.21428571426</v>
      </c>
      <c r="BJ18" s="645"/>
      <c r="BK18" s="645"/>
      <c r="BL18" s="645"/>
      <c r="BM18" s="645"/>
      <c r="BN18" s="645"/>
      <c r="BO18" s="635">
        <f>BO17/B12</f>
        <v>193254.25806451612</v>
      </c>
      <c r="BP18" s="635">
        <f>SUM(BO18,BI18,BB18,AQ18,AA18,U18)</f>
        <v>2291538.0035330262</v>
      </c>
      <c r="BQ18" s="650"/>
      <c r="BR18" s="645"/>
      <c r="BS18" s="645"/>
      <c r="BT18" s="645"/>
      <c r="BU18" s="635">
        <f>BU17/B9</f>
        <v>5012286.6774193551</v>
      </c>
      <c r="BV18" s="645"/>
      <c r="BW18" s="645"/>
      <c r="BX18" s="645"/>
      <c r="BY18" s="530">
        <f>BY17/B12</f>
        <v>499569.96774193546</v>
      </c>
      <c r="BZ18" s="635">
        <f>SUM(BY18,BU18)</f>
        <v>5511856.6451612907</v>
      </c>
      <c r="CA18" s="530">
        <f>BZ18+BP18+P18</f>
        <v>10264478.48202765</v>
      </c>
      <c r="CG18" s="116"/>
    </row>
    <row r="19" spans="1:85" ht="14.5" thickBot="1">
      <c r="A19" s="984" t="s">
        <v>669</v>
      </c>
      <c r="B19" s="985"/>
      <c r="C19" s="659"/>
      <c r="D19" s="645"/>
      <c r="E19" s="645"/>
      <c r="F19" s="645"/>
      <c r="G19" s="645"/>
      <c r="H19" s="645"/>
      <c r="I19" s="645"/>
      <c r="J19" s="645"/>
      <c r="K19" s="645"/>
      <c r="L19" s="645"/>
      <c r="M19" s="645"/>
      <c r="N19" s="645"/>
      <c r="O19" s="653"/>
      <c r="P19" s="658">
        <f>P18/CA18</f>
        <v>0.23976706051286589</v>
      </c>
      <c r="Q19" s="650"/>
      <c r="R19" s="645"/>
      <c r="S19" s="645"/>
      <c r="T19" s="645"/>
      <c r="U19" s="658">
        <f>U18/CA18</f>
        <v>2.7717868683228467E-2</v>
      </c>
      <c r="V19" s="645"/>
      <c r="W19" s="645"/>
      <c r="X19" s="645"/>
      <c r="Y19" s="645"/>
      <c r="Z19" s="645"/>
      <c r="AA19" s="658">
        <f>AA18/CA18</f>
        <v>2.5364266503923307E-3</v>
      </c>
      <c r="AB19" s="645"/>
      <c r="AC19" s="645"/>
      <c r="AD19" s="645"/>
      <c r="AE19" s="645"/>
      <c r="AF19" s="645"/>
      <c r="AG19" s="645"/>
      <c r="AH19" s="645"/>
      <c r="AI19" s="645"/>
      <c r="AJ19" s="645"/>
      <c r="AK19" s="645"/>
      <c r="AL19" s="645"/>
      <c r="AM19" s="645"/>
      <c r="AN19" s="645"/>
      <c r="AO19" s="645"/>
      <c r="AP19" s="645"/>
      <c r="AQ19" s="658">
        <f>AQ18/CA18</f>
        <v>0.10848336771303951</v>
      </c>
      <c r="AR19" s="645"/>
      <c r="AS19" s="645"/>
      <c r="AT19" s="645"/>
      <c r="AU19" s="645"/>
      <c r="AV19" s="645"/>
      <c r="AW19" s="645"/>
      <c r="AX19" s="645"/>
      <c r="AY19" s="645"/>
      <c r="AZ19" s="645"/>
      <c r="BA19" s="645"/>
      <c r="BB19" s="658">
        <f>BB18/CA18</f>
        <v>2.0092279851787295E-2</v>
      </c>
      <c r="BC19" s="645"/>
      <c r="BD19" s="645"/>
      <c r="BE19" s="645"/>
      <c r="BF19" s="645"/>
      <c r="BG19" s="645"/>
      <c r="BH19" s="645"/>
      <c r="BI19" s="658">
        <f>BI18/CA18</f>
        <v>4.5591913423084093E-2</v>
      </c>
      <c r="BJ19" s="645"/>
      <c r="BK19" s="645"/>
      <c r="BL19" s="645"/>
      <c r="BM19" s="645"/>
      <c r="BN19" s="645"/>
      <c r="BO19" s="658">
        <f>BO18/CA18</f>
        <v>1.8827479486940343E-2</v>
      </c>
      <c r="BP19" s="658">
        <f>BP18/CA18</f>
        <v>0.22324933580847203</v>
      </c>
      <c r="BQ19" s="650"/>
      <c r="BR19" s="645"/>
      <c r="BS19" s="645"/>
      <c r="BT19" s="645"/>
      <c r="BU19" s="658">
        <f>BU18/CA18</f>
        <v>0.48831381800794865</v>
      </c>
      <c r="BV19" s="645"/>
      <c r="BW19" s="645"/>
      <c r="BX19" s="645"/>
      <c r="BY19" s="658">
        <f>BY18/CA18</f>
        <v>4.8669785670713409E-2</v>
      </c>
      <c r="BZ19" s="871">
        <f>BZ18/CA18</f>
        <v>0.53698360367866205</v>
      </c>
      <c r="CA19" s="662">
        <f>SUM(BZ19,BP19,P19)</f>
        <v>1</v>
      </c>
      <c r="CG19" s="116"/>
    </row>
    <row r="20" spans="1:85" ht="14.5" thickBot="1">
      <c r="A20" s="986" t="s">
        <v>670</v>
      </c>
      <c r="B20" s="987"/>
      <c r="C20" s="660"/>
      <c r="D20" s="651"/>
      <c r="E20" s="651"/>
      <c r="F20" s="651"/>
      <c r="G20" s="651"/>
      <c r="H20" s="651"/>
      <c r="I20" s="651"/>
      <c r="J20" s="651"/>
      <c r="K20" s="651"/>
      <c r="L20" s="651"/>
      <c r="M20" s="651"/>
      <c r="N20" s="651"/>
      <c r="O20" s="654"/>
      <c r="P20" s="538">
        <f>P15/$B$15</f>
        <v>2204093.3260273971</v>
      </c>
      <c r="Q20" s="655"/>
      <c r="R20" s="651"/>
      <c r="S20" s="651"/>
      <c r="T20" s="651"/>
      <c r="U20" s="538">
        <f>U15/$B$15</f>
        <v>224436.37534246576</v>
      </c>
      <c r="V20" s="651"/>
      <c r="W20" s="651"/>
      <c r="X20" s="651"/>
      <c r="Y20" s="651"/>
      <c r="Z20" s="651"/>
      <c r="AA20" s="538">
        <f>AA15/$B$15</f>
        <v>17119.295890410958</v>
      </c>
      <c r="AB20" s="651"/>
      <c r="AC20" s="651"/>
      <c r="AD20" s="651"/>
      <c r="AE20" s="651"/>
      <c r="AF20" s="651"/>
      <c r="AG20" s="651"/>
      <c r="AH20" s="651"/>
      <c r="AI20" s="651"/>
      <c r="AJ20" s="651"/>
      <c r="AK20" s="651"/>
      <c r="AL20" s="651"/>
      <c r="AM20" s="651"/>
      <c r="AN20" s="651"/>
      <c r="AO20" s="651"/>
      <c r="AP20" s="651"/>
      <c r="AQ20" s="538">
        <f>AQ15/$B$15</f>
        <v>782480.73972602736</v>
      </c>
      <c r="AR20" s="651"/>
      <c r="AS20" s="651"/>
      <c r="AT20" s="651"/>
      <c r="AU20" s="651"/>
      <c r="AV20" s="651"/>
      <c r="AW20" s="651"/>
      <c r="AX20" s="651"/>
      <c r="AY20" s="651"/>
      <c r="AZ20" s="651"/>
      <c r="BA20" s="651"/>
      <c r="BB20" s="538">
        <f>BB15/$B$15</f>
        <v>147615.78904109588</v>
      </c>
      <c r="BC20" s="651"/>
      <c r="BD20" s="651"/>
      <c r="BE20" s="651"/>
      <c r="BF20" s="651"/>
      <c r="BG20" s="651"/>
      <c r="BH20" s="651"/>
      <c r="BI20" s="538">
        <f>BI15/$B$15</f>
        <v>328041</v>
      </c>
      <c r="BJ20" s="651"/>
      <c r="BK20" s="651"/>
      <c r="BL20" s="651"/>
      <c r="BM20" s="651"/>
      <c r="BN20" s="651"/>
      <c r="BO20" s="538">
        <f>BO15/$B$15</f>
        <v>74906.10410958904</v>
      </c>
      <c r="BP20" s="538">
        <f>BP15/$B$15</f>
        <v>1574599.304109589</v>
      </c>
      <c r="BQ20" s="655"/>
      <c r="BR20" s="651"/>
      <c r="BS20" s="651"/>
      <c r="BT20" s="651"/>
      <c r="BU20" s="538">
        <f>BU15/$B$15</f>
        <v>4303095.1698630136</v>
      </c>
      <c r="BV20" s="651"/>
      <c r="BW20" s="651"/>
      <c r="BX20" s="651"/>
      <c r="BY20" s="538">
        <f>BY15/$B$15</f>
        <v>273053.60273972602</v>
      </c>
      <c r="BZ20" s="538">
        <f>BZ15/$B$15</f>
        <v>4576148.7726027397</v>
      </c>
      <c r="CA20" s="661">
        <f>SUM(BZ20,BP20,P20)</f>
        <v>8354841.402739726</v>
      </c>
      <c r="CG20" s="116"/>
    </row>
    <row r="21" spans="1:85" ht="14.5" thickBot="1"/>
    <row r="22" spans="1:85" ht="14.5" thickBot="1">
      <c r="A22" s="683" t="s">
        <v>671</v>
      </c>
      <c r="B22" s="684">
        <v>0.625</v>
      </c>
      <c r="C22" s="685">
        <v>1</v>
      </c>
      <c r="D22" s="685">
        <v>1.5</v>
      </c>
      <c r="E22" s="685">
        <v>2</v>
      </c>
      <c r="F22" s="685">
        <v>3</v>
      </c>
      <c r="G22" s="685">
        <v>4</v>
      </c>
      <c r="H22" s="685">
        <v>6</v>
      </c>
      <c r="I22" s="685">
        <v>8</v>
      </c>
      <c r="J22" s="685">
        <v>10</v>
      </c>
      <c r="K22" s="685" t="s">
        <v>672</v>
      </c>
      <c r="L22" s="685" t="s">
        <v>673</v>
      </c>
      <c r="M22" s="685" t="s">
        <v>674</v>
      </c>
      <c r="N22" s="685" t="s">
        <v>675</v>
      </c>
      <c r="O22" s="685" t="s">
        <v>676</v>
      </c>
      <c r="P22" s="685" t="s">
        <v>677</v>
      </c>
      <c r="Q22" s="686" t="s">
        <v>37</v>
      </c>
      <c r="AK22" s="116"/>
    </row>
    <row r="23" spans="1:85" ht="14.5" thickBot="1">
      <c r="A23" s="515" t="s">
        <v>678</v>
      </c>
      <c r="B23" s="516">
        <f>SUM(Q15,V15,AB15,AR15,C15,BC15,BJ15,BQ15,BV15)</f>
        <v>1680187728</v>
      </c>
      <c r="C23" s="516">
        <f>SUM(R15,W15,AC15,AS15,BD15,D15,BR15, BK15,BW15)</f>
        <v>220336990</v>
      </c>
      <c r="D23" s="516">
        <f>SUM(S15,AD15,E15,AT15,BE15,BS15)</f>
        <v>25943949</v>
      </c>
      <c r="E23" s="516">
        <f>SUM(T15,AE15,F15,BF15,X15,AU15,BL15,BT15,BX15)</f>
        <v>196067912</v>
      </c>
      <c r="F23" s="516">
        <f>SUM(AF15,AV15,G15,BG15,BM15)</f>
        <v>91822186</v>
      </c>
      <c r="G23" s="516">
        <f>SUM(AG15,Y15,H15,AW15, BH15,BN15)</f>
        <v>213108956</v>
      </c>
      <c r="H23" s="516">
        <f>SUM(I15,AH15,AX15)</f>
        <v>379101065</v>
      </c>
      <c r="I23" s="516">
        <f>SUM(AI15,J15)</f>
        <v>50382446</v>
      </c>
      <c r="J23" s="516">
        <f>SUM(K15,AJ15)</f>
        <v>186934429</v>
      </c>
      <c r="K23" s="516">
        <f>SUM(AK15)</f>
        <v>4120</v>
      </c>
      <c r="L23" s="516">
        <f>SUM(AL15)</f>
        <v>498</v>
      </c>
      <c r="M23" s="516">
        <f>SUM(L15,Z15,AM15,AY15)</f>
        <v>212583</v>
      </c>
      <c r="N23" s="516">
        <f>SUM(M15,AN15,AZ15)</f>
        <v>3231469</v>
      </c>
      <c r="O23" s="516">
        <f>SUM(N15,AO15,BA15)</f>
        <v>1524310</v>
      </c>
      <c r="P23" s="516">
        <f>SUM(O15,AP15)</f>
        <v>658471</v>
      </c>
      <c r="Q23" s="517">
        <f>SUM(B23:P23)</f>
        <v>3049517112</v>
      </c>
      <c r="AK23" s="116"/>
    </row>
    <row r="24" spans="1:85" ht="31.5" customHeight="1" thickBot="1">
      <c r="A24" s="849" t="s">
        <v>679</v>
      </c>
      <c r="B24" s="516">
        <v>4418</v>
      </c>
      <c r="C24" s="516">
        <v>13052</v>
      </c>
      <c r="D24" s="516">
        <v>35983</v>
      </c>
      <c r="E24" s="516">
        <v>98725</v>
      </c>
      <c r="F24" s="516">
        <v>238499</v>
      </c>
      <c r="G24" s="516">
        <v>266720</v>
      </c>
      <c r="H24" s="516">
        <v>853831</v>
      </c>
      <c r="I24" s="516">
        <v>259704</v>
      </c>
      <c r="J24" s="516">
        <v>3814991</v>
      </c>
      <c r="K24" s="516">
        <v>25</v>
      </c>
      <c r="L24" s="516">
        <v>10</v>
      </c>
      <c r="M24" s="516">
        <v>388</v>
      </c>
      <c r="N24" s="516">
        <v>12673</v>
      </c>
      <c r="O24" s="516">
        <v>4691</v>
      </c>
      <c r="P24" s="516">
        <v>17799</v>
      </c>
      <c r="Q24" s="517" t="s">
        <v>93</v>
      </c>
      <c r="AK24" s="116"/>
    </row>
    <row r="25" spans="1:85" ht="14.5" thickBot="1">
      <c r="A25" s="515" t="s">
        <v>586</v>
      </c>
      <c r="B25" s="518">
        <f t="shared" ref="B25:P25" si="15">B23/$Q$23</f>
        <v>0.55096845378843051</v>
      </c>
      <c r="C25" s="518">
        <f t="shared" si="15"/>
        <v>7.2253075456754481E-2</v>
      </c>
      <c r="D25" s="518">
        <f t="shared" si="15"/>
        <v>8.5075597372152086E-3</v>
      </c>
      <c r="E25" s="518">
        <f t="shared" si="15"/>
        <v>6.4294740707787179E-2</v>
      </c>
      <c r="F25" s="518">
        <f t="shared" si="15"/>
        <v>3.0110401951402462E-2</v>
      </c>
      <c r="G25" s="518">
        <f t="shared" si="15"/>
        <v>6.9882852980691842E-2</v>
      </c>
      <c r="H25" s="518">
        <f t="shared" si="15"/>
        <v>0.12431511320537229</v>
      </c>
      <c r="I25" s="518">
        <f t="shared" si="15"/>
        <v>1.652145049514318E-2</v>
      </c>
      <c r="J25" s="518">
        <f t="shared" si="15"/>
        <v>6.1299681928133412E-2</v>
      </c>
      <c r="K25" s="518">
        <f t="shared" si="15"/>
        <v>1.3510335730819799E-6</v>
      </c>
      <c r="L25" s="518">
        <f t="shared" si="15"/>
        <v>1.6330454354243347E-7</v>
      </c>
      <c r="M25" s="518">
        <f t="shared" si="15"/>
        <v>6.9710381084098666E-5</v>
      </c>
      <c r="N25" s="518">
        <f t="shared" si="15"/>
        <v>1.0596658032460322E-3</v>
      </c>
      <c r="O25" s="518">
        <f t="shared" si="15"/>
        <v>4.9985290917101762E-4</v>
      </c>
      <c r="P25" s="518">
        <f t="shared" si="15"/>
        <v>2.159263174516661E-4</v>
      </c>
      <c r="Q25" s="519">
        <f>SUM(B25:P25)</f>
        <v>1</v>
      </c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</row>
    <row r="26" spans="1:85">
      <c r="A26" s="116"/>
      <c r="B26" s="116"/>
      <c r="C26" s="116"/>
      <c r="D26" s="116"/>
      <c r="E26" s="116"/>
      <c r="F26" s="145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</row>
    <row r="27" spans="1:85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</row>
    <row r="28" spans="1:85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</row>
    <row r="29" spans="1:85">
      <c r="A29" s="116" t="s">
        <v>680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</row>
    <row r="30" spans="1:85">
      <c r="A30" s="116" t="s">
        <v>681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D30" s="116"/>
      <c r="AE30" s="116"/>
      <c r="AF30" s="116"/>
      <c r="AG30" s="116"/>
      <c r="AH30" s="116"/>
      <c r="AI30" s="116"/>
      <c r="AJ30" s="116"/>
      <c r="AK30" s="116"/>
    </row>
    <row r="31" spans="1:85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</row>
    <row r="32" spans="1:85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</sheetData>
  <mergeCells count="10">
    <mergeCell ref="A19:B19"/>
    <mergeCell ref="A20:B20"/>
    <mergeCell ref="C1:P1"/>
    <mergeCell ref="BQ1:BZ1"/>
    <mergeCell ref="A17:B17"/>
    <mergeCell ref="A18:B18"/>
    <mergeCell ref="Q1:AC1"/>
    <mergeCell ref="AD1:AT1"/>
    <mergeCell ref="AU1:BJ1"/>
    <mergeCell ref="BK1:BP1"/>
  </mergeCells>
  <pageMargins left="0.7" right="0.7" top="0.75" bottom="0.75" header="0.3" footer="0.3"/>
  <pageSetup paperSize="3" orientation="landscape" horizontalDpi="1200" verticalDpi="12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3B6BD-7FB4-459D-8F4C-BC40258A3D74}">
  <sheetPr>
    <tabColor rgb="FF4A7729"/>
  </sheetPr>
  <dimension ref="A1:R19"/>
  <sheetViews>
    <sheetView workbookViewId="0">
      <selection sqref="A1:A2"/>
    </sheetView>
  </sheetViews>
  <sheetFormatPr defaultRowHeight="14"/>
  <cols>
    <col min="1" max="1" width="15.08203125" customWidth="1"/>
    <col min="2" max="2" width="14.25" customWidth="1"/>
    <col min="3" max="3" width="11.33203125" customWidth="1"/>
    <col min="4" max="4" width="12.5" customWidth="1"/>
    <col min="6" max="6" width="12.5" customWidth="1"/>
    <col min="7" max="7" width="12.75" customWidth="1"/>
    <col min="8" max="8" width="15.25" customWidth="1"/>
    <col min="9" max="9" width="12.75" customWidth="1"/>
    <col min="10" max="10" width="9.25" customWidth="1"/>
    <col min="11" max="11" width="14.08203125" customWidth="1"/>
    <col min="12" max="12" width="12.33203125" customWidth="1"/>
    <col min="13" max="14" width="9.25" hidden="1" customWidth="1"/>
    <col min="15" max="15" width="13.83203125" hidden="1" customWidth="1"/>
    <col min="16" max="16" width="13" hidden="1" customWidth="1"/>
  </cols>
  <sheetData>
    <row r="1" spans="1:18" ht="34.5" customHeight="1">
      <c r="A1" s="974" t="s">
        <v>786</v>
      </c>
      <c r="B1" s="976" t="s">
        <v>716</v>
      </c>
      <c r="C1" s="977"/>
      <c r="D1" s="976" t="s">
        <v>717</v>
      </c>
      <c r="E1" s="977"/>
      <c r="F1" s="111" t="s">
        <v>718</v>
      </c>
      <c r="G1" s="111" t="s">
        <v>719</v>
      </c>
      <c r="H1" s="110" t="s">
        <v>720</v>
      </c>
      <c r="I1" s="999" t="s">
        <v>721</v>
      </c>
      <c r="J1" s="1000"/>
      <c r="K1" s="864" t="s">
        <v>722</v>
      </c>
      <c r="L1" s="864" t="s">
        <v>720</v>
      </c>
      <c r="M1" s="991" t="s">
        <v>723</v>
      </c>
      <c r="N1" s="992"/>
      <c r="O1" s="992"/>
      <c r="P1" s="993"/>
    </row>
    <row r="2" spans="1:18" ht="39.5" thickBot="1">
      <c r="A2" s="975"/>
      <c r="B2" s="383" t="s">
        <v>724</v>
      </c>
      <c r="C2" s="22" t="s">
        <v>725</v>
      </c>
      <c r="D2" s="112" t="s">
        <v>724</v>
      </c>
      <c r="E2" s="473" t="s">
        <v>725</v>
      </c>
      <c r="F2" s="383" t="s">
        <v>724</v>
      </c>
      <c r="G2" s="383" t="s">
        <v>724</v>
      </c>
      <c r="H2" s="384" t="s">
        <v>724</v>
      </c>
      <c r="I2" s="383" t="s">
        <v>724</v>
      </c>
      <c r="J2" s="385" t="s">
        <v>725</v>
      </c>
      <c r="K2" s="383" t="s">
        <v>724</v>
      </c>
      <c r="L2" s="384" t="s">
        <v>724</v>
      </c>
      <c r="M2" s="114" t="s">
        <v>726</v>
      </c>
      <c r="N2" s="816" t="s">
        <v>727</v>
      </c>
      <c r="O2" s="817" t="s">
        <v>719</v>
      </c>
      <c r="P2" s="818" t="s">
        <v>728</v>
      </c>
    </row>
    <row r="3" spans="1:18">
      <c r="A3" s="471" t="s">
        <v>729</v>
      </c>
      <c r="B3" s="565"/>
      <c r="C3" s="566"/>
      <c r="D3" s="567"/>
      <c r="E3" s="575"/>
      <c r="F3" s="576"/>
      <c r="G3" s="577"/>
      <c r="H3" s="577"/>
      <c r="I3" s="578"/>
      <c r="J3" s="579"/>
      <c r="K3" s="577"/>
      <c r="L3" s="865"/>
      <c r="M3" s="830"/>
      <c r="N3" s="580"/>
      <c r="O3" s="581"/>
      <c r="P3" s="582"/>
    </row>
    <row r="4" spans="1:18">
      <c r="A4" s="389" t="s">
        <v>596</v>
      </c>
      <c r="B4" s="591">
        <f>'W-Alloc %-TY Adj'!K7</f>
        <v>5041690.7458434328</v>
      </c>
      <c r="C4" s="688">
        <f>'W-Alloc %-TY'!K8</f>
        <v>0.26243137018511548</v>
      </c>
      <c r="D4" s="588">
        <f>Revenues!J8+Revenues!J12+Revenues!J15</f>
        <v>3153740</v>
      </c>
      <c r="E4" s="689">
        <f>D4/$D$7</f>
        <v>0.19609273227510385</v>
      </c>
      <c r="F4" s="589">
        <f>(Revenues!$J$30+Revenues!$J$42)*E4</f>
        <v>191178.45231155748</v>
      </c>
      <c r="G4" s="589">
        <f>SUM(D4,F4)</f>
        <v>3344918.4523115577</v>
      </c>
      <c r="H4" s="589">
        <f>G4-B4</f>
        <v>-1696772.2935318751</v>
      </c>
      <c r="I4" s="590">
        <f>D4*J4</f>
        <v>420863.5389535806</v>
      </c>
      <c r="J4" s="770">
        <v>0.13344902844038525</v>
      </c>
      <c r="K4" s="589">
        <f>SUM(G4,I4)</f>
        <v>3765781.9912651381</v>
      </c>
      <c r="L4" s="866">
        <f>K4-B4</f>
        <v>-1275908.7545782947</v>
      </c>
      <c r="M4" s="831">
        <v>3.92</v>
      </c>
      <c r="N4" s="609">
        <f>M4*(1+J4)</f>
        <v>4.4431201914863108</v>
      </c>
      <c r="O4" s="593">
        <f>((N4*'W-Sales By Meter-TY Adj'!P15)/1000)+F4</f>
        <v>3765642.2720008381</v>
      </c>
      <c r="P4" s="594">
        <f>O4-B4</f>
        <v>-1276048.4738425948</v>
      </c>
    </row>
    <row r="5" spans="1:18">
      <c r="A5" s="390" t="s">
        <v>597</v>
      </c>
      <c r="B5" s="591">
        <f>'W-Alloc %-TY Adj'!L7</f>
        <v>3654818.4097227845</v>
      </c>
      <c r="C5" s="688">
        <f>'W-Alloc %-TY'!L8</f>
        <v>0.190460436599279</v>
      </c>
      <c r="D5" s="588">
        <f>Revenues!J7+Revenues!J5+Revenues!J9+Revenues!J11+Revenues!J14+Revenues!J16</f>
        <v>2805185</v>
      </c>
      <c r="E5" s="689">
        <f>D5/$D$7</f>
        <v>0.17442033623162886</v>
      </c>
      <c r="F5" s="589">
        <f>(Revenues!$J$30+Revenues!$J$42)*E5</f>
        <v>170049.18818532801</v>
      </c>
      <c r="G5" s="589">
        <f>SUM(D5,F5)</f>
        <v>2975234.1881853282</v>
      </c>
      <c r="H5" s="589">
        <f>G5-B5</f>
        <v>-679584.22153745638</v>
      </c>
      <c r="I5" s="590">
        <f>D5*J5</f>
        <v>374349.21284554212</v>
      </c>
      <c r="J5" s="770">
        <v>0.13344902844038525</v>
      </c>
      <c r="K5" s="589">
        <f>SUM(G5,I5)</f>
        <v>3349583.4010308702</v>
      </c>
      <c r="L5" s="866">
        <f>K5-B5</f>
        <v>-305235.00869191438</v>
      </c>
      <c r="M5" s="831">
        <v>4.88</v>
      </c>
      <c r="N5" s="609">
        <f>M5*(1+J5)</f>
        <v>5.53123125878908</v>
      </c>
      <c r="O5" s="593">
        <f>((N5*'W-Sales By Meter-TY Adj'!BP15)/1000)+F5</f>
        <v>3349006.7933851779</v>
      </c>
      <c r="P5" s="594">
        <f>O5-B5</f>
        <v>-305811.61633760668</v>
      </c>
    </row>
    <row r="6" spans="1:18" ht="14.5" thickBot="1">
      <c r="A6" s="388" t="s">
        <v>598</v>
      </c>
      <c r="B6" s="592">
        <f>'W-Alloc %-TY Adj'!M7</f>
        <v>10507578.357386682</v>
      </c>
      <c r="C6" s="688">
        <f>'W-Alloc %-TY'!M8</f>
        <v>0.54710819321560544</v>
      </c>
      <c r="D6" s="588">
        <f>Revenues!J6+Revenues!J10+Revenues!J13+Revenues!J17</f>
        <v>10123976</v>
      </c>
      <c r="E6" s="689">
        <f>D6/$D$7</f>
        <v>0.62948693149326729</v>
      </c>
      <c r="F6" s="589">
        <f>(Revenues!$J$30+Revenues!$J$42)*E6</f>
        <v>613711.35950311448</v>
      </c>
      <c r="G6" s="589">
        <f>SUM(D6,F6)</f>
        <v>10737687.359503115</v>
      </c>
      <c r="H6" s="589">
        <f>G6-B6</f>
        <v>230109.00211643241</v>
      </c>
      <c r="I6" s="590">
        <f>D6*J6</f>
        <v>1351034.7611537778</v>
      </c>
      <c r="J6" s="770">
        <v>0.13344902844038525</v>
      </c>
      <c r="K6" s="589">
        <f>SUM(G6,I6)</f>
        <v>12088722.120656893</v>
      </c>
      <c r="L6" s="866">
        <f>K6-B6</f>
        <v>1581143.7632702105</v>
      </c>
      <c r="M6" s="831">
        <v>6.06</v>
      </c>
      <c r="N6" s="609">
        <f>M6*(1+J6)</f>
        <v>6.8687011123487345</v>
      </c>
      <c r="O6" s="593">
        <f>((N6*'W-Sales By Meter-TY Adj'!BZ15)/1000)+F6</f>
        <v>12086463.689600267</v>
      </c>
      <c r="P6" s="594">
        <f>O6-B6</f>
        <v>1578885.3322135843</v>
      </c>
    </row>
    <row r="7" spans="1:18" ht="14.5" thickBot="1">
      <c r="A7" s="612" t="s">
        <v>37</v>
      </c>
      <c r="B7" s="613">
        <f>SUM(B4:B6)</f>
        <v>19204087.512952901</v>
      </c>
      <c r="C7" s="614"/>
      <c r="D7" s="613">
        <f>SUM(D4:D6)</f>
        <v>16082901</v>
      </c>
      <c r="E7" s="614"/>
      <c r="F7" s="615">
        <f>SUM(F4:F6)</f>
        <v>974939</v>
      </c>
      <c r="G7" s="613">
        <f>SUM(G3:G6)</f>
        <v>17057840</v>
      </c>
      <c r="H7" s="687">
        <f>G7-B7</f>
        <v>-2146247.5129529014</v>
      </c>
      <c r="I7" s="615">
        <f>D7*J7</f>
        <v>2146247.5129529005</v>
      </c>
      <c r="J7" s="752">
        <v>0.13344902844038525</v>
      </c>
      <c r="K7" s="615">
        <f>SUM(G7,I7)</f>
        <v>19204087.512952901</v>
      </c>
      <c r="L7" s="616">
        <f>K7-B7</f>
        <v>0</v>
      </c>
      <c r="M7" s="614"/>
      <c r="N7" s="614"/>
      <c r="O7" s="615">
        <f>SUM(O3:O6)</f>
        <v>19201112.754986282</v>
      </c>
      <c r="P7" s="616">
        <f>SUM(P3:P6)</f>
        <v>-2974.7579666171223</v>
      </c>
    </row>
    <row r="8" spans="1:18" ht="10.5" customHeight="1" thickBot="1"/>
    <row r="9" spans="1:18" ht="56.25" customHeight="1">
      <c r="A9" s="974" t="s">
        <v>787</v>
      </c>
      <c r="B9" s="111" t="s">
        <v>731</v>
      </c>
      <c r="C9" s="111" t="s">
        <v>732</v>
      </c>
      <c r="D9" s="110" t="s">
        <v>733</v>
      </c>
      <c r="E9" s="110" t="s">
        <v>734</v>
      </c>
      <c r="F9" s="110" t="s">
        <v>735</v>
      </c>
      <c r="G9" s="976" t="s">
        <v>736</v>
      </c>
      <c r="H9" s="977"/>
    </row>
    <row r="10" spans="1:18" ht="21.75" customHeight="1" thickBot="1">
      <c r="A10" s="975"/>
      <c r="B10" s="112" t="s">
        <v>724</v>
      </c>
      <c r="C10" s="112" t="s">
        <v>724</v>
      </c>
      <c r="D10" s="113" t="s">
        <v>724</v>
      </c>
      <c r="E10" s="113" t="s">
        <v>724</v>
      </c>
      <c r="F10" s="113" t="s">
        <v>724</v>
      </c>
      <c r="G10" s="978" t="s">
        <v>724</v>
      </c>
      <c r="H10" s="979"/>
    </row>
    <row r="11" spans="1:18">
      <c r="A11" s="623" t="s">
        <v>729</v>
      </c>
      <c r="B11" s="628">
        <f>B7/'W-Sales By Meter-TY Adj'!CA15*1000</f>
        <v>6.2974191675737359</v>
      </c>
      <c r="C11" s="628">
        <f>D7/'W-Sales By Meter-TY Adj'!CA15*1000</f>
        <v>5.2739172824159581</v>
      </c>
      <c r="D11" s="629">
        <f>C11-B11</f>
        <v>-1.0235018851577777</v>
      </c>
      <c r="E11" s="628">
        <v>5.54</v>
      </c>
      <c r="F11" s="630">
        <f>(E11*'W-Sales By Meter-TY Adj'!CA15)/1000</f>
        <v>16894324.800480001</v>
      </c>
      <c r="G11" s="997">
        <f>F11-B7</f>
        <v>-2309762.7124729007</v>
      </c>
      <c r="H11" s="998"/>
    </row>
    <row r="12" spans="1:18">
      <c r="A12" s="358" t="s">
        <v>596</v>
      </c>
      <c r="B12" s="605">
        <f>B4/'W-Sales By Meter-TY Adj'!P15*1000</f>
        <v>6.2669085720481252</v>
      </c>
      <c r="C12" s="606">
        <f>D4/'W-Sales By Meter-TY Adj'!P15*1000</f>
        <v>3.9201532256426939</v>
      </c>
      <c r="D12" s="608">
        <f>C12-B12</f>
        <v>-2.3467553464054314</v>
      </c>
      <c r="E12" s="608">
        <f>M4</f>
        <v>3.92</v>
      </c>
      <c r="F12" s="607">
        <f>(E12*'W-Sales By Meter-TY Adj'!P15)/1000</f>
        <v>3153616.7308800002</v>
      </c>
      <c r="G12" s="994">
        <f>F12-B4</f>
        <v>-1888074.0149634327</v>
      </c>
      <c r="H12" s="995"/>
      <c r="P12" s="444"/>
      <c r="R12" s="771"/>
    </row>
    <row r="13" spans="1:18">
      <c r="A13" s="393" t="s">
        <v>597</v>
      </c>
      <c r="B13" s="605">
        <f>B5/'W-Sales By Meter-TY Adj'!BP15*1000</f>
        <v>6.3592058604334794</v>
      </c>
      <c r="C13" s="606">
        <f>D5/'W-Sales By Meter-TY Adj'!BP15*1000</f>
        <v>4.8808851471647117</v>
      </c>
      <c r="D13" s="608">
        <f>C13-B13</f>
        <v>-1.4783207132687677</v>
      </c>
      <c r="E13" s="608">
        <f>M5</f>
        <v>4.88</v>
      </c>
      <c r="F13" s="607">
        <f>(E13*'W-Sales By Meter-TY Adj'!BP15)/1000</f>
        <v>2804676.2804800002</v>
      </c>
      <c r="G13" s="996">
        <f>F13-B5</f>
        <v>-850142.12924278434</v>
      </c>
      <c r="H13" s="995"/>
      <c r="P13" s="444"/>
      <c r="R13" s="771"/>
    </row>
    <row r="14" spans="1:18" ht="14.5" thickBot="1">
      <c r="A14" s="358" t="s">
        <v>598</v>
      </c>
      <c r="B14" s="605">
        <f>B6/'W-Sales By Meter-TY Adj'!BZ15*1000</f>
        <v>6.2908544588848647</v>
      </c>
      <c r="C14" s="606">
        <f>D6/'W-Sales By Meter-TY Adj'!BZ15*1000</f>
        <v>6.0611929214376259</v>
      </c>
      <c r="D14" s="608">
        <f>C14-B14</f>
        <v>-0.22966153744723883</v>
      </c>
      <c r="E14" s="622">
        <f>M6</f>
        <v>6.06</v>
      </c>
      <c r="F14" s="607">
        <f>(E14*'W-Sales By Meter-TY Adj'!BZ15)/1000</f>
        <v>10121983.47012</v>
      </c>
      <c r="G14" s="994">
        <f>F14-B6</f>
        <v>-385594.88726668246</v>
      </c>
      <c r="H14" s="995"/>
      <c r="P14" s="444"/>
      <c r="R14" s="771"/>
    </row>
    <row r="15" spans="1:18" ht="14.5" thickBot="1">
      <c r="A15" s="563"/>
      <c r="B15" s="564"/>
      <c r="C15" s="564"/>
      <c r="D15" s="586"/>
      <c r="E15" s="569"/>
      <c r="F15" s="568"/>
      <c r="G15" s="989"/>
      <c r="H15" s="990"/>
      <c r="P15" s="444"/>
      <c r="R15" s="771"/>
    </row>
    <row r="16" spans="1:18">
      <c r="P16" s="444"/>
      <c r="R16" s="771"/>
    </row>
    <row r="19" spans="2:7">
      <c r="B19" s="472"/>
      <c r="F19" s="823"/>
      <c r="G19" s="107"/>
    </row>
  </sheetData>
  <mergeCells count="13">
    <mergeCell ref="G15:H15"/>
    <mergeCell ref="A1:A2"/>
    <mergeCell ref="B1:C1"/>
    <mergeCell ref="D1:E1"/>
    <mergeCell ref="M1:P1"/>
    <mergeCell ref="A9:A10"/>
    <mergeCell ref="G9:H9"/>
    <mergeCell ref="G10:H10"/>
    <mergeCell ref="G12:H12"/>
    <mergeCell ref="G13:H13"/>
    <mergeCell ref="G14:H14"/>
    <mergeCell ref="G11:H11"/>
    <mergeCell ref="I1:J1"/>
  </mergeCells>
  <pageMargins left="0.7" right="0.7" top="0.75" bottom="0.75" header="0.3" footer="0.3"/>
  <pageSetup paperSize="3" orientation="landscape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6250-AB84-4C5F-9B79-1AA0DE61960D}">
  <sheetPr>
    <tabColor rgb="FF4A7729"/>
  </sheetPr>
  <dimension ref="A1:L29"/>
  <sheetViews>
    <sheetView workbookViewId="0">
      <selection sqref="A1:A2"/>
    </sheetView>
  </sheetViews>
  <sheetFormatPr defaultRowHeight="14"/>
  <cols>
    <col min="3" max="3" width="10.83203125" customWidth="1"/>
    <col min="4" max="4" width="12" customWidth="1"/>
    <col min="5" max="5" width="11.83203125" customWidth="1"/>
    <col min="6" max="6" width="12.33203125" customWidth="1"/>
    <col min="8" max="8" width="11.75" customWidth="1"/>
    <col min="9" max="9" width="12.25" customWidth="1"/>
    <col min="10" max="10" width="12" customWidth="1"/>
    <col min="11" max="11" width="11.5" customWidth="1"/>
  </cols>
  <sheetData>
    <row r="1" spans="1:12" ht="14.5" thickBot="1">
      <c r="A1" s="223" t="s">
        <v>782</v>
      </c>
      <c r="B1" s="223"/>
      <c r="C1" s="224"/>
      <c r="D1" s="224"/>
      <c r="E1" s="224"/>
      <c r="F1" s="224"/>
      <c r="G1" s="225"/>
    </row>
    <row r="2" spans="1:12" ht="14.5" thickBot="1">
      <c r="A2" s="911" t="s">
        <v>127</v>
      </c>
      <c r="B2" s="912"/>
      <c r="C2" s="226" t="s">
        <v>683</v>
      </c>
      <c r="D2" s="226" t="s">
        <v>684</v>
      </c>
      <c r="E2" s="224"/>
      <c r="F2" s="224"/>
      <c r="G2" s="225"/>
    </row>
    <row r="3" spans="1:12">
      <c r="A3" s="913" t="s">
        <v>670</v>
      </c>
      <c r="B3" s="914"/>
      <c r="C3" s="764">
        <f>'W-Sales By Meter-TY Adj'!CA15/'W-Sales By Meter-TY Adj'!B15</f>
        <v>8354841.402739726</v>
      </c>
      <c r="D3" s="765">
        <f>C3/(24*60)</f>
        <v>5801.9731963470322</v>
      </c>
      <c r="E3" s="224"/>
      <c r="F3" s="224"/>
      <c r="G3" s="225"/>
    </row>
    <row r="4" spans="1:12" ht="14.5" thickBot="1">
      <c r="A4" s="909" t="s">
        <v>668</v>
      </c>
      <c r="B4" s="915"/>
      <c r="C4" s="766">
        <f>'W-Sales By Meter-TY Adj'!CA9/'W-Sales By Meter-TY Adj'!B9</f>
        <v>9457790.6451612897</v>
      </c>
      <c r="D4" s="767">
        <f>C4/(24*60)</f>
        <v>6567.910170250896</v>
      </c>
      <c r="E4" s="224"/>
      <c r="F4" s="224"/>
      <c r="G4" s="225"/>
    </row>
    <row r="5" spans="1:12">
      <c r="A5" s="224"/>
      <c r="B5" s="224"/>
      <c r="C5" s="228"/>
      <c r="D5" s="229"/>
      <c r="E5" s="224"/>
      <c r="F5" s="224"/>
      <c r="G5" s="225"/>
    </row>
    <row r="6" spans="1:12" ht="14.5" thickBot="1">
      <c r="A6" s="224"/>
      <c r="B6" s="224"/>
      <c r="C6" s="224"/>
      <c r="D6" s="224"/>
      <c r="E6" s="224"/>
      <c r="F6" s="225"/>
      <c r="G6" s="225"/>
    </row>
    <row r="7" spans="1:12" ht="56.5" customHeight="1" thickBot="1">
      <c r="A7" s="916" t="s">
        <v>685</v>
      </c>
      <c r="B7" s="917"/>
      <c r="C7" s="230" t="s">
        <v>686</v>
      </c>
      <c r="D7" s="231" t="s">
        <v>687</v>
      </c>
      <c r="E7" s="231" t="s">
        <v>688</v>
      </c>
      <c r="F7" s="231" t="s">
        <v>689</v>
      </c>
      <c r="G7" s="225"/>
    </row>
    <row r="8" spans="1:12">
      <c r="A8" s="913" t="s">
        <v>690</v>
      </c>
      <c r="B8" s="914"/>
      <c r="C8" s="227" t="s">
        <v>691</v>
      </c>
      <c r="D8" s="542">
        <f>D3/D3</f>
        <v>1</v>
      </c>
      <c r="E8" s="232">
        <v>0</v>
      </c>
      <c r="F8" s="233">
        <v>0</v>
      </c>
      <c r="G8" s="225"/>
    </row>
    <row r="9" spans="1:12">
      <c r="A9" s="918" t="s">
        <v>692</v>
      </c>
      <c r="B9" s="919"/>
      <c r="C9" s="234" t="s">
        <v>693</v>
      </c>
      <c r="D9" s="543">
        <f>D3/D4</f>
        <v>0.88338193518949959</v>
      </c>
      <c r="E9" s="543">
        <f>1-D9</f>
        <v>0.11661806481050041</v>
      </c>
      <c r="F9" s="235">
        <v>0</v>
      </c>
      <c r="G9" s="225"/>
    </row>
    <row r="10" spans="1:12" ht="14.5" thickBot="1">
      <c r="A10" s="909" t="s">
        <v>689</v>
      </c>
      <c r="B10" s="910"/>
      <c r="C10" s="244" t="s">
        <v>694</v>
      </c>
      <c r="D10" s="236">
        <v>0</v>
      </c>
      <c r="E10" s="236">
        <v>0</v>
      </c>
      <c r="F10" s="237">
        <v>1</v>
      </c>
      <c r="G10" s="225"/>
    </row>
    <row r="11" spans="1:12">
      <c r="A11" s="229"/>
      <c r="B11" s="229"/>
      <c r="C11" s="229"/>
      <c r="D11" s="238"/>
      <c r="E11" s="238"/>
      <c r="F11" s="239"/>
      <c r="G11" s="225"/>
    </row>
    <row r="12" spans="1:12" ht="14.5" thickBot="1">
      <c r="A12" s="116"/>
      <c r="B12" s="116"/>
      <c r="C12" s="225"/>
      <c r="D12" s="225"/>
      <c r="E12" s="225"/>
      <c r="F12" s="225"/>
      <c r="G12" s="225"/>
    </row>
    <row r="13" spans="1:12" ht="26.25" customHeight="1">
      <c r="A13" s="922" t="s">
        <v>783</v>
      </c>
      <c r="B13" s="923"/>
      <c r="C13" s="926" t="s">
        <v>696</v>
      </c>
      <c r="D13" s="928" t="s">
        <v>697</v>
      </c>
      <c r="E13" s="932" t="s">
        <v>597</v>
      </c>
      <c r="F13" s="928" t="s">
        <v>698</v>
      </c>
      <c r="G13" s="926" t="s">
        <v>596</v>
      </c>
      <c r="H13" s="928" t="s">
        <v>699</v>
      </c>
      <c r="I13" s="928" t="s">
        <v>700</v>
      </c>
      <c r="J13" s="928" t="s">
        <v>701</v>
      </c>
      <c r="K13" s="928" t="s">
        <v>702</v>
      </c>
      <c r="L13" s="1001" t="s">
        <v>37</v>
      </c>
    </row>
    <row r="14" spans="1:12" ht="31.5" customHeight="1" thickBot="1">
      <c r="A14" s="924"/>
      <c r="B14" s="925"/>
      <c r="C14" s="927"/>
      <c r="D14" s="929"/>
      <c r="E14" s="933"/>
      <c r="F14" s="929"/>
      <c r="G14" s="927"/>
      <c r="H14" s="929"/>
      <c r="I14" s="929"/>
      <c r="J14" s="929"/>
      <c r="K14" s="936"/>
      <c r="L14" s="1002"/>
    </row>
    <row r="15" spans="1:12">
      <c r="A15" s="934" t="s">
        <v>687</v>
      </c>
      <c r="B15" s="935"/>
      <c r="C15" s="251">
        <f>'W-Sales By Meter-TY Adj'!U16</f>
        <v>2.6863032405243313E-2</v>
      </c>
      <c r="D15" s="251">
        <f>'W-Sales By Meter-TY Adj'!AA16</f>
        <v>2.0490270329724257E-3</v>
      </c>
      <c r="E15" s="251">
        <f>'W-Sales By Meter-TY Adj'!AQ16</f>
        <v>9.365596568588791E-2</v>
      </c>
      <c r="F15" s="251">
        <f>'W-Sales By Meter-TY Adj'!BB16</f>
        <v>1.7668293379296176E-2</v>
      </c>
      <c r="G15" s="251">
        <f>'W-Sales By Meter-TY Adj'!P16</f>
        <v>0.26381031306047642</v>
      </c>
      <c r="H15" s="252">
        <f>'W-Sales By Meter-TY Adj'!BI16</f>
        <v>3.9263581938542666E-2</v>
      </c>
      <c r="I15" s="252">
        <f>'W-Sales By Meter-TY Adj'!BO16</f>
        <v>8.9655925826462451E-3</v>
      </c>
      <c r="J15" s="252">
        <f>'W-Sales By Meter-TY Adj'!BY16</f>
        <v>3.2682080913012432E-2</v>
      </c>
      <c r="K15" s="253">
        <f>'W-Sales By Meter-TY Adj'!BU16</f>
        <v>0.51504211300192237</v>
      </c>
      <c r="L15" s="540">
        <f>SUM(C15:K15)</f>
        <v>1</v>
      </c>
    </row>
    <row r="16" spans="1:12">
      <c r="A16" s="934" t="s">
        <v>668</v>
      </c>
      <c r="B16" s="935"/>
      <c r="C16" s="665">
        <f>'W-Sales By Meter-TY Adj'!U19</f>
        <v>2.7717868683228467E-2</v>
      </c>
      <c r="D16" s="674">
        <f>'W-Sales By Meter-TY Adj'!AA19</f>
        <v>2.5364266503923307E-3</v>
      </c>
      <c r="E16" s="827">
        <f>'W-Sales By Meter-TY Adj'!AQ19</f>
        <v>0.10848336771303951</v>
      </c>
      <c r="F16" s="827">
        <f>'W-Sales By Meter-TY Adj'!BB19</f>
        <v>2.0092279851787295E-2</v>
      </c>
      <c r="G16" s="827">
        <f>'W-Sales By Meter-TY Adj'!P19</f>
        <v>0.23976706051286589</v>
      </c>
      <c r="H16" s="828">
        <f>'W-Sales By Meter-TY Adj'!BI19</f>
        <v>4.5591913423084093E-2</v>
      </c>
      <c r="I16" s="827">
        <f>'W-Sales By Meter-TY Adj'!BO19</f>
        <v>1.8827479486940343E-2</v>
      </c>
      <c r="J16" s="827">
        <f>'W-Sales By Meter-TY Adj'!BY19</f>
        <v>4.8669785670713409E-2</v>
      </c>
      <c r="K16" s="827">
        <f>'W-Sales By Meter-TY Adj'!BU19</f>
        <v>0.48831381800794865</v>
      </c>
      <c r="L16" s="540">
        <f>SUM(C16:K16)</f>
        <v>1</v>
      </c>
    </row>
    <row r="17" spans="1:12" ht="14.5" thickBot="1">
      <c r="A17" s="920" t="s">
        <v>703</v>
      </c>
      <c r="B17" s="921"/>
      <c r="C17" s="748">
        <v>0</v>
      </c>
      <c r="D17" s="748">
        <v>0</v>
      </c>
      <c r="E17" s="748">
        <v>0</v>
      </c>
      <c r="F17" s="748">
        <v>0</v>
      </c>
      <c r="G17" s="748">
        <v>0</v>
      </c>
      <c r="H17" s="748">
        <v>0</v>
      </c>
      <c r="I17" s="748">
        <v>0</v>
      </c>
      <c r="J17" s="748">
        <v>0</v>
      </c>
      <c r="K17" s="748">
        <v>0</v>
      </c>
      <c r="L17" s="541">
        <f>SUM(C17:H17)</f>
        <v>0</v>
      </c>
    </row>
    <row r="18" spans="1:12">
      <c r="A18" s="370"/>
      <c r="B18" s="370"/>
      <c r="C18" s="371"/>
      <c r="D18" s="372"/>
      <c r="E18" s="94"/>
      <c r="F18" s="225"/>
      <c r="L18" s="373"/>
    </row>
    <row r="19" spans="1:12" ht="14.5" thickBot="1">
      <c r="A19" s="245"/>
      <c r="D19" s="246"/>
      <c r="G19" s="248"/>
    </row>
    <row r="20" spans="1:12" ht="22.5" customHeight="1">
      <c r="A20" s="922" t="s">
        <v>783</v>
      </c>
      <c r="B20" s="923"/>
      <c r="C20" s="928" t="s">
        <v>596</v>
      </c>
      <c r="D20" s="926" t="s">
        <v>597</v>
      </c>
      <c r="E20" s="928" t="s">
        <v>598</v>
      </c>
      <c r="F20" s="1001" t="s">
        <v>37</v>
      </c>
    </row>
    <row r="21" spans="1:12" ht="34.5" customHeight="1" thickBot="1">
      <c r="A21" s="924"/>
      <c r="B21" s="925"/>
      <c r="C21" s="929"/>
      <c r="D21" s="927"/>
      <c r="E21" s="929"/>
      <c r="F21" s="1002"/>
    </row>
    <row r="22" spans="1:12">
      <c r="A22" s="934" t="s">
        <v>687</v>
      </c>
      <c r="B22" s="935"/>
      <c r="C22" s="251">
        <f>'W-Sales By Meter-TY Adj'!P16</f>
        <v>0.26381031306047642</v>
      </c>
      <c r="D22" s="251">
        <f>'W-Sales By Meter-TY Adj'!BP16</f>
        <v>0.18846549302458876</v>
      </c>
      <c r="E22" s="251">
        <f>'W-Sales By Meter-TY Adj'!BZ16</f>
        <v>0.54772419391493476</v>
      </c>
      <c r="F22" s="540">
        <f>SUM(C22:E22)</f>
        <v>1</v>
      </c>
    </row>
    <row r="23" spans="1:12">
      <c r="A23" s="934" t="s">
        <v>668</v>
      </c>
      <c r="B23" s="935"/>
      <c r="C23" s="674">
        <f>'W-Sales By Meter-TY Adj'!P19</f>
        <v>0.23976706051286589</v>
      </c>
      <c r="D23" s="666">
        <f>'W-Sales By Meter-TY Adj'!BP19</f>
        <v>0.22324933580847203</v>
      </c>
      <c r="E23" s="666">
        <f>'W-Sales By Meter-TY Adj'!BZ19</f>
        <v>0.53698360367866205</v>
      </c>
      <c r="F23" s="540">
        <f>SUM(C23:E23)</f>
        <v>1</v>
      </c>
    </row>
    <row r="24" spans="1:12" ht="14.5" thickBot="1">
      <c r="A24" s="920" t="s">
        <v>703</v>
      </c>
      <c r="B24" s="1003"/>
      <c r="C24" s="873">
        <f>C22</f>
        <v>0.26381031306047642</v>
      </c>
      <c r="D24" s="811">
        <f>D22</f>
        <v>0.18846549302458876</v>
      </c>
      <c r="E24" s="811">
        <f>E22</f>
        <v>0.54772419391493476</v>
      </c>
      <c r="F24" s="584">
        <f>SUM(C24:E24)</f>
        <v>1</v>
      </c>
      <c r="G24" s="7"/>
    </row>
    <row r="25" spans="1:12">
      <c r="A25" s="245"/>
      <c r="F25" s="94"/>
    </row>
    <row r="26" spans="1:12">
      <c r="A26" s="247"/>
    </row>
    <row r="27" spans="1:12">
      <c r="A27" s="116" t="s">
        <v>123</v>
      </c>
      <c r="B27" s="116"/>
      <c r="C27" s="116"/>
      <c r="D27" s="116"/>
    </row>
    <row r="28" spans="1:12">
      <c r="A28" s="116" t="s">
        <v>784</v>
      </c>
      <c r="B28" s="116"/>
      <c r="C28" s="116"/>
      <c r="D28" s="116"/>
    </row>
    <row r="29" spans="1:12">
      <c r="A29" s="116"/>
      <c r="B29" s="116"/>
      <c r="C29" s="116"/>
      <c r="D29" s="116"/>
    </row>
  </sheetData>
  <mergeCells count="29">
    <mergeCell ref="A9:B9"/>
    <mergeCell ref="A2:B2"/>
    <mergeCell ref="A3:B3"/>
    <mergeCell ref="A4:B4"/>
    <mergeCell ref="A7:B7"/>
    <mergeCell ref="A8:B8"/>
    <mergeCell ref="L13:L14"/>
    <mergeCell ref="A10:B10"/>
    <mergeCell ref="A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A24:B24"/>
    <mergeCell ref="A15:B15"/>
    <mergeCell ref="A16:B16"/>
    <mergeCell ref="A17:B17"/>
    <mergeCell ref="A20:B21"/>
    <mergeCell ref="E20:E21"/>
    <mergeCell ref="F20:F21"/>
    <mergeCell ref="A22:B22"/>
    <mergeCell ref="A23:B23"/>
    <mergeCell ref="C20:C21"/>
    <mergeCell ref="D20:D21"/>
  </mergeCells>
  <pageMargins left="0.7" right="0.7" top="0.75" bottom="0.75" header="0.3" footer="0.3"/>
  <pageSetup paperSize="3"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CAABB-061A-4F0B-BE8C-E85AD13441D7}">
  <sheetPr>
    <tabColor rgb="FF4A7729"/>
  </sheetPr>
  <dimension ref="A1:H251"/>
  <sheetViews>
    <sheetView topLeftCell="A219" workbookViewId="0">
      <selection sqref="A1:A2"/>
    </sheetView>
  </sheetViews>
  <sheetFormatPr defaultRowHeight="14"/>
  <cols>
    <col min="1" max="1" width="13.5" customWidth="1"/>
    <col min="2" max="2" width="46.08203125" bestFit="1" customWidth="1"/>
    <col min="3" max="3" width="12.25" customWidth="1"/>
    <col min="5" max="5" width="12.25" customWidth="1"/>
    <col min="6" max="6" width="14.58203125" customWidth="1"/>
    <col min="7" max="7" width="9.83203125" customWidth="1"/>
    <col min="8" max="8" width="37.5" style="22" customWidth="1"/>
  </cols>
  <sheetData>
    <row r="1" spans="1:8" ht="15.75" customHeight="1" thickBot="1">
      <c r="A1" s="859"/>
      <c r="B1" s="1004" t="s">
        <v>785</v>
      </c>
      <c r="C1" s="947" t="s">
        <v>127</v>
      </c>
      <c r="D1" s="943" t="s">
        <v>686</v>
      </c>
      <c r="E1" s="941" t="s">
        <v>687</v>
      </c>
      <c r="F1" s="941" t="s">
        <v>668</v>
      </c>
      <c r="G1" s="941" t="s">
        <v>689</v>
      </c>
      <c r="H1" s="941" t="s">
        <v>123</v>
      </c>
    </row>
    <row r="2" spans="1:8" ht="14.5" thickBot="1">
      <c r="A2" s="5"/>
      <c r="B2" s="1004"/>
      <c r="C2" s="948"/>
      <c r="D2" s="944"/>
      <c r="E2" s="942"/>
      <c r="F2" s="942"/>
      <c r="G2" s="942"/>
      <c r="H2" s="942"/>
    </row>
    <row r="3" spans="1:8" ht="14.5" thickBot="1">
      <c r="A3" s="858"/>
      <c r="B3" s="146" t="s">
        <v>5</v>
      </c>
      <c r="C3" s="949"/>
      <c r="D3" s="945"/>
      <c r="E3" s="946"/>
      <c r="F3" s="946"/>
      <c r="G3" s="946"/>
      <c r="H3" s="942"/>
    </row>
    <row r="4" spans="1:8">
      <c r="A4" s="854" t="s">
        <v>7</v>
      </c>
      <c r="B4" s="260" t="s">
        <v>129</v>
      </c>
      <c r="C4" s="318"/>
      <c r="D4" s="249"/>
      <c r="E4" s="250"/>
      <c r="F4" s="250"/>
      <c r="G4" s="250"/>
      <c r="H4" s="322"/>
    </row>
    <row r="5" spans="1:8">
      <c r="A5" s="855" t="s">
        <v>131</v>
      </c>
      <c r="B5" s="261" t="str">
        <f>Expenses!C5</f>
        <v>Wages- Source (Oper)</v>
      </c>
      <c r="C5" s="69">
        <f>Expenses!J5</f>
        <v>0</v>
      </c>
      <c r="D5" s="300" t="s">
        <v>691</v>
      </c>
      <c r="E5" s="546">
        <f>VLOOKUP(D5,'W-Alloc Met-TY Adj'!$C$8:$D$10,2,FALSE)*C5</f>
        <v>0</v>
      </c>
      <c r="F5" s="546">
        <f>VLOOKUP(D5,'W-Alloc Met-TY Adj'!$C$8:$E$10,3,FALSE)*C5</f>
        <v>0</v>
      </c>
      <c r="G5" s="546">
        <f>VLOOKUP(D5,'W-Alloc Met-TY Adj'!$C$8:$F$10,4,FALSE)*C5</f>
        <v>0</v>
      </c>
      <c r="H5" s="17" t="s">
        <v>133</v>
      </c>
    </row>
    <row r="6" spans="1:8">
      <c r="A6" s="855" t="s">
        <v>135</v>
      </c>
      <c r="B6" s="261" t="str">
        <f>Expenses!C6</f>
        <v>Wages- Source (Maint)</v>
      </c>
      <c r="C6" s="69">
        <f>Expenses!J6</f>
        <v>0</v>
      </c>
      <c r="D6" s="300" t="s">
        <v>691</v>
      </c>
      <c r="E6" s="546">
        <f>VLOOKUP(D6,'W-Alloc Met-TY Adj'!$C$8:$D$10,2,FALSE)*C6</f>
        <v>0</v>
      </c>
      <c r="F6" s="546">
        <f>VLOOKUP(D6,'W-Alloc Met-TY Adj'!$C$8:$E$10,3,FALSE)*C6</f>
        <v>0</v>
      </c>
      <c r="G6" s="546">
        <f>VLOOKUP(D6,'W-Alloc Met-TY Adj'!$C$8:$F$10,4,FALSE)*C6</f>
        <v>0</v>
      </c>
      <c r="H6" s="17" t="s">
        <v>133</v>
      </c>
    </row>
    <row r="7" spans="1:8">
      <c r="A7" s="855" t="s">
        <v>138</v>
      </c>
      <c r="B7" s="261" t="str">
        <f>Expenses!C7</f>
        <v>Employee Overhead- Source (Oper)</v>
      </c>
      <c r="C7" s="69">
        <f>Expenses!J7</f>
        <v>0</v>
      </c>
      <c r="D7" s="300" t="s">
        <v>691</v>
      </c>
      <c r="E7" s="546">
        <f>VLOOKUP(D7,'W-Alloc Met-TY Adj'!$C$8:$D$10,2,FALSE)*C7</f>
        <v>0</v>
      </c>
      <c r="F7" s="546">
        <f>VLOOKUP(D7,'W-Alloc Met-TY Adj'!$C$8:$E$10,3,FALSE)*C7</f>
        <v>0</v>
      </c>
      <c r="G7" s="546">
        <f>VLOOKUP(D7,'W-Alloc Met-TY Adj'!$C$8:$F$10,4,FALSE)*C7</f>
        <v>0</v>
      </c>
      <c r="H7" s="17" t="s">
        <v>133</v>
      </c>
    </row>
    <row r="8" spans="1:8">
      <c r="A8" s="855" t="s">
        <v>141</v>
      </c>
      <c r="B8" s="261" t="str">
        <f>Expenses!C8</f>
        <v>Purchased Power- Source</v>
      </c>
      <c r="C8" s="69">
        <f>Expenses!J8</f>
        <v>535575</v>
      </c>
      <c r="D8" s="300" t="s">
        <v>693</v>
      </c>
      <c r="E8" s="546">
        <f>VLOOKUP(D8,'W-Alloc Met-TY Adj'!$C$8:$D$10,2,FALSE)*C8</f>
        <v>473117.27993911627</v>
      </c>
      <c r="F8" s="546">
        <f>VLOOKUP(D8,'W-Alloc Met-TY Adj'!$C$8:$E$10,3,FALSE)*C8</f>
        <v>62457.720060883759</v>
      </c>
      <c r="G8" s="546">
        <f>VLOOKUP(D8,'W-Alloc Met-TY Adj'!$C$8:$F$10,4,FALSE)*C8</f>
        <v>0</v>
      </c>
      <c r="H8" s="583"/>
    </row>
    <row r="9" spans="1:8">
      <c r="A9" s="855" t="s">
        <v>143</v>
      </c>
      <c r="B9" s="261" t="str">
        <f>Expenses!C9</f>
        <v>Purchased Power- Source (ENERNOC)</v>
      </c>
      <c r="C9" s="69">
        <f>Expenses!J9</f>
        <v>-7959</v>
      </c>
      <c r="D9" s="300" t="s">
        <v>693</v>
      </c>
      <c r="E9" s="546">
        <f>VLOOKUP(D9,'W-Alloc Met-TY Adj'!$C$8:$D$10,2,FALSE)*C9</f>
        <v>-7030.8368221732271</v>
      </c>
      <c r="F9" s="546">
        <f>VLOOKUP(D9,'W-Alloc Met-TY Adj'!$C$8:$E$10,3,FALSE)*C9</f>
        <v>-928.16317782677277</v>
      </c>
      <c r="G9" s="546">
        <f>VLOOKUP(D9,'W-Alloc Met-TY Adj'!$C$8:$F$10,4,FALSE)*C9</f>
        <v>0</v>
      </c>
      <c r="H9" s="583"/>
    </row>
    <row r="10" spans="1:8">
      <c r="A10" s="855" t="s">
        <v>146</v>
      </c>
      <c r="B10" s="261" t="str">
        <f>Expenses!C10</f>
        <v>Materials &amp; Supplies- Source (Oper)</v>
      </c>
      <c r="C10" s="69">
        <f>Expenses!J10</f>
        <v>0</v>
      </c>
      <c r="D10" s="300" t="s">
        <v>691</v>
      </c>
      <c r="E10" s="546">
        <f>VLOOKUP(D10,'W-Alloc Met-TY Adj'!$C$8:$D$10,2,FALSE)*C10</f>
        <v>0</v>
      </c>
      <c r="F10" s="546">
        <f>VLOOKUP(D10,'W-Alloc Met-TY Adj'!$C$8:$E$10,3,FALSE)*C10</f>
        <v>0</v>
      </c>
      <c r="G10" s="546">
        <f>VLOOKUP(D10,'W-Alloc Met-TY Adj'!$C$8:$F$10,4,FALSE)*C10</f>
        <v>0</v>
      </c>
      <c r="H10" s="583"/>
    </row>
    <row r="11" spans="1:8">
      <c r="A11" s="855" t="s">
        <v>149</v>
      </c>
      <c r="B11" s="261" t="str">
        <f>Expenses!C11</f>
        <v>Materials &amp; Supplies- Source (Maint)</v>
      </c>
      <c r="C11" s="69">
        <f>Expenses!J11</f>
        <v>0</v>
      </c>
      <c r="D11" s="300" t="s">
        <v>691</v>
      </c>
      <c r="E11" s="546">
        <f>VLOOKUP(D11,'W-Alloc Met-TY Adj'!$C$8:$D$10,2,FALSE)*C11</f>
        <v>0</v>
      </c>
      <c r="F11" s="546">
        <f>VLOOKUP(D11,'W-Alloc Met-TY Adj'!$C$8:$E$10,3,FALSE)*C11</f>
        <v>0</v>
      </c>
      <c r="G11" s="546">
        <f>VLOOKUP(D11,'W-Alloc Met-TY Adj'!$C$8:$F$10,4,FALSE)*C11</f>
        <v>0</v>
      </c>
      <c r="H11" s="583"/>
    </row>
    <row r="12" spans="1:8">
      <c r="A12" s="855" t="s">
        <v>152</v>
      </c>
      <c r="B12" s="261" t="str">
        <f>Expenses!C12</f>
        <v>Contract Engineering- Source (Oper)</v>
      </c>
      <c r="C12" s="69">
        <f>Expenses!J12</f>
        <v>0</v>
      </c>
      <c r="D12" s="300" t="s">
        <v>691</v>
      </c>
      <c r="E12" s="546">
        <f>VLOOKUP(D12,'W-Alloc Met-TY Adj'!$C$8:$D$10,2,FALSE)*C12</f>
        <v>0</v>
      </c>
      <c r="F12" s="546">
        <f>VLOOKUP(D12,'W-Alloc Met-TY Adj'!$C$8:$E$10,3,FALSE)*C12</f>
        <v>0</v>
      </c>
      <c r="G12" s="546">
        <f>VLOOKUP(D12,'W-Alloc Met-TY Adj'!$C$8:$F$10,4,FALSE)*C12</f>
        <v>0</v>
      </c>
      <c r="H12" s="583"/>
    </row>
    <row r="13" spans="1:8">
      <c r="A13" s="855" t="s">
        <v>155</v>
      </c>
      <c r="B13" s="261" t="str">
        <f>Expenses!C13</f>
        <v>Contract Accounting- Source (Oper)</v>
      </c>
      <c r="C13" s="69">
        <f>Expenses!J13</f>
        <v>1817</v>
      </c>
      <c r="D13" s="300" t="s">
        <v>691</v>
      </c>
      <c r="E13" s="546">
        <f>VLOOKUP(D13,'W-Alloc Met-TY Adj'!$C$8:$D$10,2,FALSE)*C13</f>
        <v>1817</v>
      </c>
      <c r="F13" s="546">
        <f>VLOOKUP(D13,'W-Alloc Met-TY Adj'!$C$8:$E$10,3,FALSE)*C13</f>
        <v>0</v>
      </c>
      <c r="G13" s="546">
        <f>VLOOKUP(D13,'W-Alloc Met-TY Adj'!$C$8:$F$10,4,FALSE)*C13</f>
        <v>0</v>
      </c>
      <c r="H13" s="583"/>
    </row>
    <row r="14" spans="1:8">
      <c r="A14" s="855" t="s">
        <v>158</v>
      </c>
      <c r="B14" s="261" t="str">
        <f>Expenses!C14</f>
        <v>Contract Accounting- Source (Maint)</v>
      </c>
      <c r="C14" s="69">
        <f>Expenses!J14</f>
        <v>1817</v>
      </c>
      <c r="D14" s="300" t="s">
        <v>691</v>
      </c>
      <c r="E14" s="546">
        <f>VLOOKUP(D14,'W-Alloc Met-TY Adj'!$C$8:$D$10,2,FALSE)*C14</f>
        <v>1817</v>
      </c>
      <c r="F14" s="546">
        <f>VLOOKUP(D14,'W-Alloc Met-TY Adj'!$C$8:$E$10,3,FALSE)*C14</f>
        <v>0</v>
      </c>
      <c r="G14" s="546">
        <f>VLOOKUP(D14,'W-Alloc Met-TY Adj'!$C$8:$F$10,4,FALSE)*C14</f>
        <v>0</v>
      </c>
      <c r="H14" s="583"/>
    </row>
    <row r="15" spans="1:8">
      <c r="A15" s="855" t="s">
        <v>161</v>
      </c>
      <c r="B15" s="261" t="str">
        <f>Expenses!C15</f>
        <v>Contract Legal- Source (Oper)</v>
      </c>
      <c r="C15" s="69">
        <f>Expenses!J15</f>
        <v>0</v>
      </c>
      <c r="D15" s="300" t="s">
        <v>691</v>
      </c>
      <c r="E15" s="546">
        <f>VLOOKUP(D15,'W-Alloc Met-TY Adj'!$C$8:$D$10,2,FALSE)*C15</f>
        <v>0</v>
      </c>
      <c r="F15" s="546">
        <f>VLOOKUP(D15,'W-Alloc Met-TY Adj'!$C$8:$E$10,3,FALSE)*C15</f>
        <v>0</v>
      </c>
      <c r="G15" s="546">
        <f>VLOOKUP(D15,'W-Alloc Met-TY Adj'!$C$8:$F$10,4,FALSE)*C15</f>
        <v>0</v>
      </c>
      <c r="H15" s="583"/>
    </row>
    <row r="16" spans="1:8">
      <c r="A16" s="855" t="s">
        <v>164</v>
      </c>
      <c r="B16" s="261" t="str">
        <f>Expenses!C16</f>
        <v>Contract Legal- Source (Maint)</v>
      </c>
      <c r="C16" s="69">
        <f>Expenses!J16</f>
        <v>0</v>
      </c>
      <c r="D16" s="300" t="s">
        <v>691</v>
      </c>
      <c r="E16" s="546">
        <f>VLOOKUP(D16,'W-Alloc Met-TY Adj'!$C$8:$D$10,2,FALSE)*C16</f>
        <v>0</v>
      </c>
      <c r="F16" s="546">
        <f>VLOOKUP(D16,'W-Alloc Met-TY Adj'!$C$8:$E$10,3,FALSE)*C16</f>
        <v>0</v>
      </c>
      <c r="G16" s="546">
        <f>VLOOKUP(D16,'W-Alloc Met-TY Adj'!$C$8:$F$10,4,FALSE)*C16</f>
        <v>0</v>
      </c>
      <c r="H16" s="583"/>
    </row>
    <row r="17" spans="1:8">
      <c r="A17" s="855" t="s">
        <v>167</v>
      </c>
      <c r="B17" s="261" t="str">
        <f>Expenses!C17</f>
        <v>Contract Other- Source (Oper)</v>
      </c>
      <c r="C17" s="69">
        <f>Expenses!J17</f>
        <v>0</v>
      </c>
      <c r="D17" s="300" t="s">
        <v>691</v>
      </c>
      <c r="E17" s="546">
        <f>VLOOKUP(D17,'W-Alloc Met-TY Adj'!$C$8:$D$10,2,FALSE)*C17</f>
        <v>0</v>
      </c>
      <c r="F17" s="546">
        <f>VLOOKUP(D17,'W-Alloc Met-TY Adj'!$C$8:$E$10,3,FALSE)*C17</f>
        <v>0</v>
      </c>
      <c r="G17" s="546">
        <f>VLOOKUP(D17,'W-Alloc Met-TY Adj'!$C$8:$F$10,4,FALSE)*C17</f>
        <v>0</v>
      </c>
      <c r="H17" s="583"/>
    </row>
    <row r="18" spans="1:8">
      <c r="A18" s="855" t="s">
        <v>170</v>
      </c>
      <c r="B18" s="261" t="str">
        <f>Expenses!C18</f>
        <v>Contract Other- Source (Alarm)</v>
      </c>
      <c r="C18" s="69">
        <f>Expenses!J18</f>
        <v>0</v>
      </c>
      <c r="D18" s="300" t="s">
        <v>691</v>
      </c>
      <c r="E18" s="546">
        <f>VLOOKUP(D18,'W-Alloc Met-TY Adj'!$C$8:$D$10,2,FALSE)*C18</f>
        <v>0</v>
      </c>
      <c r="F18" s="546">
        <f>VLOOKUP(D18,'W-Alloc Met-TY Adj'!$C$8:$E$10,3,FALSE)*C18</f>
        <v>0</v>
      </c>
      <c r="G18" s="546">
        <f>VLOOKUP(D18,'W-Alloc Met-TY Adj'!$C$8:$F$10,4,FALSE)*C18</f>
        <v>0</v>
      </c>
      <c r="H18" s="583"/>
    </row>
    <row r="19" spans="1:8">
      <c r="A19" s="855" t="s">
        <v>173</v>
      </c>
      <c r="B19" s="261" t="str">
        <f>Expenses!C19</f>
        <v>Contract Other- Source (Maint)</v>
      </c>
      <c r="C19" s="69">
        <f>Expenses!J19</f>
        <v>0</v>
      </c>
      <c r="D19" s="300" t="s">
        <v>691</v>
      </c>
      <c r="E19" s="546">
        <f>VLOOKUP(D19,'W-Alloc Met-TY Adj'!$C$8:$D$10,2,FALSE)*C19</f>
        <v>0</v>
      </c>
      <c r="F19" s="546">
        <f>VLOOKUP(D19,'W-Alloc Met-TY Adj'!$C$8:$E$10,3,FALSE)*C19</f>
        <v>0</v>
      </c>
      <c r="G19" s="546">
        <f>VLOOKUP(D19,'W-Alloc Met-TY Adj'!$C$8:$F$10,4,FALSE)*C19</f>
        <v>0</v>
      </c>
      <c r="H19" s="583"/>
    </row>
    <row r="20" spans="1:8">
      <c r="A20" s="855" t="s">
        <v>176</v>
      </c>
      <c r="B20" s="261" t="str">
        <f>Expenses!C20</f>
        <v>Rent &amp; Utilities- Source (Oper)</v>
      </c>
      <c r="C20" s="69">
        <f>Expenses!J20</f>
        <v>4924</v>
      </c>
      <c r="D20" s="300" t="s">
        <v>691</v>
      </c>
      <c r="E20" s="546">
        <f>VLOOKUP(D20,'W-Alloc Met-TY Adj'!$C$8:$D$10,2,FALSE)*C20</f>
        <v>4924</v>
      </c>
      <c r="F20" s="546">
        <f>VLOOKUP(D20,'W-Alloc Met-TY Adj'!$C$8:$E$10,3,FALSE)*C20</f>
        <v>0</v>
      </c>
      <c r="G20" s="546">
        <f>VLOOKUP(D20,'W-Alloc Met-TY Adj'!$C$8:$F$10,4,FALSE)*C20</f>
        <v>0</v>
      </c>
      <c r="H20" s="583"/>
    </row>
    <row r="21" spans="1:8">
      <c r="A21" s="855" t="s">
        <v>179</v>
      </c>
      <c r="B21" s="261" t="str">
        <f>Expenses!C21</f>
        <v>Equipment Expense- Source (Oper)</v>
      </c>
      <c r="C21" s="69">
        <f>Expenses!J21</f>
        <v>81</v>
      </c>
      <c r="D21" s="300" t="s">
        <v>691</v>
      </c>
      <c r="E21" s="546">
        <f>VLOOKUP(D21,'W-Alloc Met-TY Adj'!$C$8:$D$10,2,FALSE)*C21</f>
        <v>81</v>
      </c>
      <c r="F21" s="546">
        <f>VLOOKUP(D21,'W-Alloc Met-TY Adj'!$C$8:$E$10,3,FALSE)*C21</f>
        <v>0</v>
      </c>
      <c r="G21" s="546">
        <f>VLOOKUP(D21,'W-Alloc Met-TY Adj'!$C$8:$F$10,4,FALSE)*C21</f>
        <v>0</v>
      </c>
      <c r="H21" s="583"/>
    </row>
    <row r="22" spans="1:8">
      <c r="A22" s="855" t="s">
        <v>182</v>
      </c>
      <c r="B22" s="261" t="str">
        <f>Expenses!C22</f>
        <v>Equipment Expense- Source (Maint)</v>
      </c>
      <c r="C22" s="69">
        <f>Expenses!J22</f>
        <v>0</v>
      </c>
      <c r="D22" s="300" t="s">
        <v>691</v>
      </c>
      <c r="E22" s="546">
        <f>VLOOKUP(D22,'W-Alloc Met-TY Adj'!$C$8:$D$10,2,FALSE)*C22</f>
        <v>0</v>
      </c>
      <c r="F22" s="546">
        <f>VLOOKUP(D22,'W-Alloc Met-TY Adj'!$C$8:$E$10,3,FALSE)*C22</f>
        <v>0</v>
      </c>
      <c r="G22" s="546">
        <f>VLOOKUP(D22,'W-Alloc Met-TY Adj'!$C$8:$F$10,4,FALSE)*C22</f>
        <v>0</v>
      </c>
      <c r="H22" s="583"/>
    </row>
    <row r="23" spans="1:8">
      <c r="A23" s="855" t="s">
        <v>185</v>
      </c>
      <c r="B23" s="261" t="str">
        <f>Expenses!C23</f>
        <v>Insurance G/L- Source (Oper)</v>
      </c>
      <c r="C23" s="69">
        <f>Expenses!J23</f>
        <v>11569</v>
      </c>
      <c r="D23" s="300" t="s">
        <v>691</v>
      </c>
      <c r="E23" s="546">
        <f>VLOOKUP(D23,'W-Alloc Met-TY Adj'!$C$8:$D$10,2,FALSE)*C23</f>
        <v>11569</v>
      </c>
      <c r="F23" s="546">
        <f>VLOOKUP(D23,'W-Alloc Met-TY Adj'!$C$8:$E$10,3,FALSE)*C23</f>
        <v>0</v>
      </c>
      <c r="G23" s="546">
        <f>VLOOKUP(D23,'W-Alloc Met-TY Adj'!$C$8:$F$10,4,FALSE)*C23</f>
        <v>0</v>
      </c>
      <c r="H23" s="583"/>
    </row>
    <row r="24" spans="1:8">
      <c r="A24" s="855" t="s">
        <v>188</v>
      </c>
      <c r="B24" s="261" t="str">
        <f>Expenses!C24</f>
        <v>Insurance Other- Source (Oper)</v>
      </c>
      <c r="C24" s="69">
        <f>Expenses!J24</f>
        <v>0</v>
      </c>
      <c r="D24" s="300" t="s">
        <v>691</v>
      </c>
      <c r="E24" s="546">
        <f>VLOOKUP(D24,'W-Alloc Met-TY Adj'!$C$8:$D$10,2,FALSE)*C24</f>
        <v>0</v>
      </c>
      <c r="F24" s="546">
        <f>VLOOKUP(D24,'W-Alloc Met-TY Adj'!$C$8:$E$10,3,FALSE)*C24</f>
        <v>0</v>
      </c>
      <c r="G24" s="546">
        <f>VLOOKUP(D24,'W-Alloc Met-TY Adj'!$C$8:$F$10,4,FALSE)*C24</f>
        <v>0</v>
      </c>
      <c r="H24" s="583"/>
    </row>
    <row r="25" spans="1:8">
      <c r="A25" s="855" t="s">
        <v>191</v>
      </c>
      <c r="B25" s="261" t="str">
        <f>Expenses!C25</f>
        <v>Misc Expense- Source (Oper)</v>
      </c>
      <c r="C25" s="69">
        <f>Expenses!J25</f>
        <v>0</v>
      </c>
      <c r="D25" s="300" t="s">
        <v>691</v>
      </c>
      <c r="E25" s="546">
        <f>VLOOKUP(D25,'W-Alloc Met-TY Adj'!$C$8:$D$10,2,FALSE)*C25</f>
        <v>0</v>
      </c>
      <c r="F25" s="546">
        <f>VLOOKUP(D25,'W-Alloc Met-TY Adj'!$C$8:$E$10,3,FALSE)*C25</f>
        <v>0</v>
      </c>
      <c r="G25" s="546">
        <f>VLOOKUP(D25,'W-Alloc Met-TY Adj'!$C$8:$F$10,4,FALSE)*C25</f>
        <v>0</v>
      </c>
      <c r="H25" s="583"/>
    </row>
    <row r="26" spans="1:8">
      <c r="A26" s="855" t="s">
        <v>194</v>
      </c>
      <c r="B26" s="261" t="str">
        <f>Expenses!C26</f>
        <v>Misc Expense- Source (Maint)</v>
      </c>
      <c r="C26" s="69">
        <f>Expenses!J26</f>
        <v>0</v>
      </c>
      <c r="D26" s="300" t="s">
        <v>691</v>
      </c>
      <c r="E26" s="546">
        <f>VLOOKUP(D26,'W-Alloc Met-TY Adj'!$C$8:$D$10,2,FALSE)*C26</f>
        <v>0</v>
      </c>
      <c r="F26" s="546">
        <f>VLOOKUP(D26,'W-Alloc Met-TY Adj'!$C$8:$E$10,3,FALSE)*C26</f>
        <v>0</v>
      </c>
      <c r="G26" s="546">
        <f>VLOOKUP(D26,'W-Alloc Met-TY Adj'!$C$8:$F$10,4,FALSE)*C26</f>
        <v>0</v>
      </c>
      <c r="H26" s="583"/>
    </row>
    <row r="27" spans="1:8">
      <c r="A27" s="855"/>
      <c r="B27" s="261" t="str">
        <f>Expenses!C27</f>
        <v xml:space="preserve">Purchased Water </v>
      </c>
      <c r="C27" s="69">
        <f>Expenses!J27</f>
        <v>8221642</v>
      </c>
      <c r="D27" s="300" t="s">
        <v>693</v>
      </c>
      <c r="E27" s="546">
        <f>VLOOKUP(D27,'W-Alloc Met-TY Adj'!$C$8:$D$10,2,FALSE)*C27</f>
        <v>7262850.0203952678</v>
      </c>
      <c r="F27" s="546">
        <f>VLOOKUP(D27,'W-Alloc Met-TY Adj'!$C$8:$E$10,3,FALSE)*C27</f>
        <v>958791.97960473225</v>
      </c>
      <c r="G27" s="546">
        <f>VLOOKUP(D27,'W-Alloc Met-TY Adj'!$C$8:$F$10,4,FALSE)*C27</f>
        <v>0</v>
      </c>
      <c r="H27" s="583"/>
    </row>
    <row r="28" spans="1:8">
      <c r="A28" s="855"/>
      <c r="B28" s="261" t="str">
        <f>Expenses!C28</f>
        <v>Purchased Water - Unbilled (BGMU)</v>
      </c>
      <c r="C28" s="69">
        <f>Expenses!J28</f>
        <v>-72033</v>
      </c>
      <c r="D28" s="300" t="s">
        <v>691</v>
      </c>
      <c r="E28" s="546">
        <f>VLOOKUP(D28,'W-Alloc Met-TY Adj'!$C$8:$D$10,2,FALSE)*C28</f>
        <v>-72033</v>
      </c>
      <c r="F28" s="546">
        <f>VLOOKUP(D28,'W-Alloc Met-TY Adj'!$C$8:$E$10,3,FALSE)*C28</f>
        <v>0</v>
      </c>
      <c r="G28" s="546">
        <f>VLOOKUP(D28,'W-Alloc Met-TY Adj'!$C$8:$F$10,4,FALSE)*C28</f>
        <v>0</v>
      </c>
      <c r="H28" s="583"/>
    </row>
    <row r="29" spans="1:8">
      <c r="A29" s="855"/>
      <c r="B29" s="261" t="str">
        <f>Expenses!C29</f>
        <v>Purchased Power Water Treat</v>
      </c>
      <c r="C29" s="69">
        <f>Expenses!J29</f>
        <v>0</v>
      </c>
      <c r="D29" s="300" t="s">
        <v>691</v>
      </c>
      <c r="E29" s="546">
        <f>VLOOKUP(D29,'W-Alloc Met-TY Adj'!$C$8:$D$10,2,FALSE)*C29</f>
        <v>0</v>
      </c>
      <c r="F29" s="546">
        <f>VLOOKUP(D29,'W-Alloc Met-TY Adj'!$C$8:$E$10,3,FALSE)*C29</f>
        <v>0</v>
      </c>
      <c r="G29" s="546">
        <f>VLOOKUP(D29,'W-Alloc Met-TY Adj'!$C$8:$F$10,4,FALSE)*C29</f>
        <v>0</v>
      </c>
      <c r="H29" s="583"/>
    </row>
    <row r="30" spans="1:8">
      <c r="A30" s="855"/>
      <c r="B30" s="261" t="str">
        <f>Expenses!C30</f>
        <v>-</v>
      </c>
      <c r="C30" s="69">
        <f>Expenses!J30</f>
        <v>0</v>
      </c>
      <c r="D30" s="300" t="s">
        <v>691</v>
      </c>
      <c r="E30" s="546">
        <f>VLOOKUP(D30,'W-Alloc Met-TY Adj'!$C$8:$D$10,2,FALSE)*C30</f>
        <v>0</v>
      </c>
      <c r="F30" s="546">
        <f>VLOOKUP(D30,'W-Alloc Met-TY Adj'!$C$8:$E$10,3,FALSE)*C30</f>
        <v>0</v>
      </c>
      <c r="G30" s="546">
        <f>VLOOKUP(D30,'W-Alloc Met-TY Adj'!$C$8:$F$10,4,FALSE)*C30</f>
        <v>0</v>
      </c>
      <c r="H30" s="583"/>
    </row>
    <row r="31" spans="1:8">
      <c r="A31" s="855"/>
      <c r="B31" s="261" t="str">
        <f>Expenses!C31</f>
        <v>-</v>
      </c>
      <c r="C31" s="69">
        <f>Expenses!J31</f>
        <v>0</v>
      </c>
      <c r="D31" s="300" t="s">
        <v>691</v>
      </c>
      <c r="E31" s="546">
        <f>VLOOKUP(D31,'W-Alloc Met-TY Adj'!$C$8:$D$10,2,FALSE)*C31</f>
        <v>0</v>
      </c>
      <c r="F31" s="546">
        <f>VLOOKUP(D31,'W-Alloc Met-TY Adj'!$C$8:$E$10,3,FALSE)*C31</f>
        <v>0</v>
      </c>
      <c r="G31" s="546">
        <f>VLOOKUP(D31,'W-Alloc Met-TY Adj'!$C$8:$F$10,4,FALSE)*C31</f>
        <v>0</v>
      </c>
      <c r="H31" s="583"/>
    </row>
    <row r="32" spans="1:8">
      <c r="A32" s="855"/>
      <c r="B32" s="261" t="str">
        <f>Expenses!C32</f>
        <v>-</v>
      </c>
      <c r="C32" s="69">
        <f>Expenses!J32</f>
        <v>0</v>
      </c>
      <c r="D32" s="300" t="s">
        <v>691</v>
      </c>
      <c r="E32" s="546">
        <f>VLOOKUP(D32,'W-Alloc Met-TY Adj'!$C$8:$D$10,2,FALSE)*C32</f>
        <v>0</v>
      </c>
      <c r="F32" s="546">
        <f>VLOOKUP(D32,'W-Alloc Met-TY Adj'!$C$8:$E$10,3,FALSE)*C32</f>
        <v>0</v>
      </c>
      <c r="G32" s="546">
        <f>VLOOKUP(D32,'W-Alloc Met-TY Adj'!$C$8:$F$10,4,FALSE)*C32</f>
        <v>0</v>
      </c>
      <c r="H32" s="583"/>
    </row>
    <row r="33" spans="1:8">
      <c r="A33" s="855"/>
      <c r="B33" s="261" t="str">
        <f>Expenses!C33</f>
        <v>-</v>
      </c>
      <c r="C33" s="69">
        <f>Expenses!J33</f>
        <v>0</v>
      </c>
      <c r="D33" s="300" t="s">
        <v>691</v>
      </c>
      <c r="E33" s="546">
        <f>VLOOKUP(D33,'W-Alloc Met-TY Adj'!$C$8:$D$10,2,FALSE)*C33</f>
        <v>0</v>
      </c>
      <c r="F33" s="546">
        <f>VLOOKUP(D33,'W-Alloc Met-TY Adj'!$C$8:$E$10,3,FALSE)*C33</f>
        <v>0</v>
      </c>
      <c r="G33" s="546">
        <f>VLOOKUP(D33,'W-Alloc Met-TY Adj'!$C$8:$F$10,4,FALSE)*C33</f>
        <v>0</v>
      </c>
      <c r="H33" s="583"/>
    </row>
    <row r="34" spans="1:8">
      <c r="A34" s="855"/>
      <c r="B34" s="261" t="str">
        <f>Expenses!C34</f>
        <v>-</v>
      </c>
      <c r="C34" s="69">
        <f>Expenses!J34</f>
        <v>0</v>
      </c>
      <c r="D34" s="300" t="s">
        <v>691</v>
      </c>
      <c r="E34" s="546">
        <f>VLOOKUP(D34,'W-Alloc Met-TY Adj'!$C$8:$D$10,2,FALSE)*C34</f>
        <v>0</v>
      </c>
      <c r="F34" s="546">
        <f>VLOOKUP(D34,'W-Alloc Met-TY Adj'!$C$8:$E$10,3,FALSE)*C34</f>
        <v>0</v>
      </c>
      <c r="G34" s="546">
        <f>VLOOKUP(D34,'W-Alloc Met-TY Adj'!$C$8:$F$10,4,FALSE)*C34</f>
        <v>0</v>
      </c>
      <c r="H34" s="583"/>
    </row>
    <row r="35" spans="1:8">
      <c r="A35" s="855"/>
      <c r="B35" s="261" t="str">
        <f>Expenses!C35</f>
        <v>-</v>
      </c>
      <c r="C35" s="37">
        <f>Expenses!J35</f>
        <v>0</v>
      </c>
      <c r="D35" s="299" t="s">
        <v>691</v>
      </c>
      <c r="E35" s="768">
        <f>VLOOKUP(D35,'W-Alloc Met-TY Adj'!$C$8:$D$10,2,FALSE)*C35</f>
        <v>0</v>
      </c>
      <c r="F35" s="768">
        <f>VLOOKUP(D35,'W-Alloc Met-TY Adj'!$C$8:$E$10,3,FALSE)*C35</f>
        <v>0</v>
      </c>
      <c r="G35" s="769">
        <f>VLOOKUP(D35,'W-Alloc Met-TY Adj'!$C$8:$F$10,4,FALSE)*C35</f>
        <v>0</v>
      </c>
      <c r="H35" s="583"/>
    </row>
    <row r="36" spans="1:8">
      <c r="A36" s="860"/>
      <c r="B36" s="544" t="s">
        <v>29</v>
      </c>
      <c r="C36" s="545">
        <f>SUM(C5:C35)</f>
        <v>8697433</v>
      </c>
      <c r="D36" s="545"/>
      <c r="E36" s="545">
        <f>SUM(E5:E35)</f>
        <v>7677111.4635122111</v>
      </c>
      <c r="F36" s="545">
        <f>SUM(F5:F35)</f>
        <v>1020321.5364877892</v>
      </c>
      <c r="G36" s="545">
        <f>SUM(G5:G35)</f>
        <v>0</v>
      </c>
      <c r="H36" s="583"/>
    </row>
    <row r="37" spans="1:8">
      <c r="A37" s="855"/>
      <c r="B37" s="264"/>
      <c r="C37" s="69"/>
      <c r="H37" s="583"/>
    </row>
    <row r="38" spans="1:8">
      <c r="A38" s="855"/>
      <c r="B38" s="262" t="s">
        <v>204</v>
      </c>
      <c r="C38" s="147"/>
      <c r="D38" s="153"/>
      <c r="H38" s="583"/>
    </row>
    <row r="39" spans="1:8">
      <c r="A39" s="154" t="s">
        <v>206</v>
      </c>
      <c r="B39" s="261" t="str">
        <f>Expenses!C39</f>
        <v>Wages- T&amp;D (Oper)</v>
      </c>
      <c r="C39" s="319">
        <f>Expenses!J39</f>
        <v>455105.75673000008</v>
      </c>
      <c r="D39" s="300" t="s">
        <v>691</v>
      </c>
      <c r="E39" s="558">
        <f>VLOOKUP(D39,'W-Alloc Met-TY Adj'!$C$8:$D$10,2,FALSE)*C39</f>
        <v>455105.75673000008</v>
      </c>
      <c r="F39" s="558">
        <f>VLOOKUP(D39,'W-Alloc Met-TY Adj'!$C$8:$E$10,3,FALSE)*C39</f>
        <v>0</v>
      </c>
      <c r="G39" s="559">
        <f>VLOOKUP(D39,'W-Alloc Met-TY Adj'!$C$8:$F$10,4,FALSE)*C39</f>
        <v>0</v>
      </c>
      <c r="H39" s="17" t="s">
        <v>133</v>
      </c>
    </row>
    <row r="40" spans="1:8">
      <c r="A40" s="154" t="s">
        <v>210</v>
      </c>
      <c r="B40" s="261" t="str">
        <f>Expenses!C40</f>
        <v>Wages- T&amp;D (Maint)</v>
      </c>
      <c r="C40" s="50">
        <f>Expenses!J40</f>
        <v>406742.85472000006</v>
      </c>
      <c r="D40" s="300" t="s">
        <v>691</v>
      </c>
      <c r="E40" s="546">
        <f>VLOOKUP(D40,'W-Alloc Met-TY Adj'!$C$8:$D$10,2,FALSE)*C40</f>
        <v>406742.85472000006</v>
      </c>
      <c r="F40" s="546">
        <f>VLOOKUP(D40,'W-Alloc Met-TY Adj'!$C$8:$E$10,3,FALSE)*C40</f>
        <v>0</v>
      </c>
      <c r="G40" s="560">
        <f>VLOOKUP(D40,'W-Alloc Met-TY Adj'!$C$8:$F$10,4,FALSE)*C40</f>
        <v>0</v>
      </c>
      <c r="H40" s="17" t="s">
        <v>133</v>
      </c>
    </row>
    <row r="41" spans="1:8">
      <c r="A41" s="154" t="s">
        <v>706</v>
      </c>
      <c r="B41" s="261" t="str">
        <f>Expenses!C41</f>
        <v>Employee Overhead T&amp;D (Oper)</v>
      </c>
      <c r="C41" s="50">
        <f>Expenses!J41</f>
        <v>0</v>
      </c>
      <c r="D41" s="300" t="s">
        <v>691</v>
      </c>
      <c r="E41" s="546">
        <f>VLOOKUP(D41,'W-Alloc Met-TY Adj'!$C$8:$D$10,2,FALSE)*C41</f>
        <v>0</v>
      </c>
      <c r="F41" s="546">
        <f>VLOOKUP(D41,'W-Alloc Met-TY Adj'!$C$8:$E$10,3,FALSE)*C41</f>
        <v>0</v>
      </c>
      <c r="G41" s="560">
        <f>VLOOKUP(D41,'W-Alloc Met-TY Adj'!$C$8:$F$10,4,FALSE)*C41</f>
        <v>0</v>
      </c>
      <c r="H41" s="17" t="s">
        <v>133</v>
      </c>
    </row>
    <row r="42" spans="1:8">
      <c r="A42" s="154" t="s">
        <v>707</v>
      </c>
      <c r="B42" s="261" t="str">
        <f>Expenses!C42</f>
        <v>Employee Overhead- T&amp;D (Maint)</v>
      </c>
      <c r="C42" s="50">
        <f>Expenses!J42</f>
        <v>0</v>
      </c>
      <c r="D42" s="300" t="s">
        <v>691</v>
      </c>
      <c r="E42" s="546">
        <f>VLOOKUP(D42,'W-Alloc Met-TY Adj'!$C$8:$D$10,2,FALSE)*C42</f>
        <v>0</v>
      </c>
      <c r="F42" s="546">
        <f>VLOOKUP(D42,'W-Alloc Met-TY Adj'!$C$8:$E$10,3,FALSE)*C42</f>
        <v>0</v>
      </c>
      <c r="G42" s="560">
        <f>VLOOKUP(D42,'W-Alloc Met-TY Adj'!$C$8:$F$10,4,FALSE)*C42</f>
        <v>0</v>
      </c>
      <c r="H42" s="17" t="s">
        <v>133</v>
      </c>
    </row>
    <row r="43" spans="1:8">
      <c r="A43" s="154" t="s">
        <v>141</v>
      </c>
      <c r="B43" s="261" t="str">
        <f>Expenses!C43</f>
        <v>Purchased Power- T&amp;D</v>
      </c>
      <c r="C43" s="50">
        <f>Expenses!J43</f>
        <v>7616</v>
      </c>
      <c r="D43" s="300" t="s">
        <v>691</v>
      </c>
      <c r="E43" s="546">
        <f>VLOOKUP(D43,'W-Alloc Met-TY Adj'!$C$8:$D$10,2,FALSE)*C43</f>
        <v>7616</v>
      </c>
      <c r="F43" s="546">
        <f>VLOOKUP(D43,'W-Alloc Met-TY Adj'!$C$8:$E$10,3,FALSE)*C43</f>
        <v>0</v>
      </c>
      <c r="G43" s="560">
        <f>VLOOKUP(D43,'W-Alloc Met-TY Adj'!$C$8:$F$10,4,FALSE)*C43</f>
        <v>0</v>
      </c>
      <c r="H43" s="583"/>
    </row>
    <row r="44" spans="1:8">
      <c r="A44" s="154" t="s">
        <v>215</v>
      </c>
      <c r="B44" s="261" t="str">
        <f>Expenses!C44</f>
        <v>Purchased Power- T&amp;D (ENERNOC)</v>
      </c>
      <c r="C44" s="50">
        <f>Expenses!J44</f>
        <v>0</v>
      </c>
      <c r="D44" s="300" t="s">
        <v>691</v>
      </c>
      <c r="E44" s="546">
        <f>VLOOKUP(D44,'W-Alloc Met-TY Adj'!$C$8:$D$10,2,FALSE)*C44</f>
        <v>0</v>
      </c>
      <c r="F44" s="546">
        <f>VLOOKUP(D44,'W-Alloc Met-TY Adj'!$C$8:$E$10,3,FALSE)*C44</f>
        <v>0</v>
      </c>
      <c r="G44" s="560">
        <f>VLOOKUP(D44,'W-Alloc Met-TY Adj'!$C$8:$F$10,4,FALSE)*C44</f>
        <v>0</v>
      </c>
      <c r="H44" s="583"/>
    </row>
    <row r="45" spans="1:8">
      <c r="A45" s="154" t="s">
        <v>218</v>
      </c>
      <c r="B45" s="261" t="str">
        <f>Expenses!C45</f>
        <v>Materials &amp; Supplies- T&amp;D (Oper)</v>
      </c>
      <c r="C45" s="50">
        <f>Expenses!J45</f>
        <v>37130</v>
      </c>
      <c r="D45" s="300" t="s">
        <v>691</v>
      </c>
      <c r="E45" s="546">
        <f>VLOOKUP(D45,'W-Alloc Met-TY Adj'!$C$8:$D$10,2,FALSE)*C45</f>
        <v>37130</v>
      </c>
      <c r="F45" s="546">
        <f>VLOOKUP(D45,'W-Alloc Met-TY Adj'!$C$8:$E$10,3,FALSE)*C45</f>
        <v>0</v>
      </c>
      <c r="G45" s="560">
        <f>VLOOKUP(D45,'W-Alloc Met-TY Adj'!$C$8:$F$10,4,FALSE)*C45</f>
        <v>0</v>
      </c>
      <c r="H45" s="583"/>
    </row>
    <row r="46" spans="1:8">
      <c r="A46" s="154" t="s">
        <v>221</v>
      </c>
      <c r="B46" s="261" t="str">
        <f>Expenses!C46</f>
        <v>Materials &amp; Supplies- T&amp;D (Maint)</v>
      </c>
      <c r="C46" s="50">
        <f>Expenses!J46</f>
        <v>261520</v>
      </c>
      <c r="D46" s="300" t="s">
        <v>691</v>
      </c>
      <c r="E46" s="546">
        <f>VLOOKUP(D46,'W-Alloc Met-TY Adj'!$C$8:$D$10,2,FALSE)*C46</f>
        <v>261520</v>
      </c>
      <c r="F46" s="546">
        <f>VLOOKUP(D46,'W-Alloc Met-TY Adj'!$C$8:$E$10,3,FALSE)*C46</f>
        <v>0</v>
      </c>
      <c r="G46" s="560">
        <f>VLOOKUP(D46,'W-Alloc Met-TY Adj'!$C$8:$F$10,4,FALSE)*C46</f>
        <v>0</v>
      </c>
      <c r="H46" s="583"/>
    </row>
    <row r="47" spans="1:8">
      <c r="A47" s="154" t="s">
        <v>224</v>
      </c>
      <c r="B47" s="261" t="str">
        <f>Expenses!C47</f>
        <v>Contract Accounting- T&amp;D (Oper)</v>
      </c>
      <c r="C47" s="50">
        <f>Expenses!J47</f>
        <v>1817</v>
      </c>
      <c r="D47" s="300" t="s">
        <v>691</v>
      </c>
      <c r="E47" s="546">
        <f>VLOOKUP(D47,'W-Alloc Met-TY Adj'!$C$8:$D$10,2,FALSE)*C47</f>
        <v>1817</v>
      </c>
      <c r="F47" s="546">
        <f>VLOOKUP(D47,'W-Alloc Met-TY Adj'!$C$8:$E$10,3,FALSE)*C47</f>
        <v>0</v>
      </c>
      <c r="G47" s="560">
        <f>VLOOKUP(D47,'W-Alloc Met-TY Adj'!$C$8:$F$10,4,FALSE)*C47</f>
        <v>0</v>
      </c>
      <c r="H47" s="583"/>
    </row>
    <row r="48" spans="1:8">
      <c r="A48" s="154" t="s">
        <v>227</v>
      </c>
      <c r="B48" s="261" t="str">
        <f>Expenses!C48</f>
        <v>Contract Accounting- T&amp;D (Maint)</v>
      </c>
      <c r="C48" s="50">
        <f>Expenses!J48</f>
        <v>1817</v>
      </c>
      <c r="D48" s="300" t="s">
        <v>691</v>
      </c>
      <c r="E48" s="546">
        <f>VLOOKUP(D48,'W-Alloc Met-TY Adj'!$C$8:$D$10,2,FALSE)*C48</f>
        <v>1817</v>
      </c>
      <c r="F48" s="546">
        <f>VLOOKUP(D48,'W-Alloc Met-TY Adj'!$C$8:$E$10,3,FALSE)*C48</f>
        <v>0</v>
      </c>
      <c r="G48" s="560">
        <f>VLOOKUP(D48,'W-Alloc Met-TY Adj'!$C$8:$F$10,4,FALSE)*C48</f>
        <v>0</v>
      </c>
      <c r="H48" s="583"/>
    </row>
    <row r="49" spans="1:8">
      <c r="A49" s="154" t="s">
        <v>230</v>
      </c>
      <c r="B49" s="261" t="str">
        <f>Expenses!C49</f>
        <v>Contract Legal- T&amp;D (Oper)</v>
      </c>
      <c r="C49" s="50">
        <f>Expenses!J49</f>
        <v>0</v>
      </c>
      <c r="D49" s="300" t="s">
        <v>691</v>
      </c>
      <c r="E49" s="546">
        <f>VLOOKUP(D49,'W-Alloc Met-TY Adj'!$C$8:$D$10,2,FALSE)*C49</f>
        <v>0</v>
      </c>
      <c r="F49" s="546">
        <f>VLOOKUP(D49,'W-Alloc Met-TY Adj'!$C$8:$E$10,3,FALSE)*C49</f>
        <v>0</v>
      </c>
      <c r="G49" s="560">
        <f>VLOOKUP(D49,'W-Alloc Met-TY Adj'!$C$8:$F$10,4,FALSE)*C49</f>
        <v>0</v>
      </c>
      <c r="H49" s="583"/>
    </row>
    <row r="50" spans="1:8">
      <c r="A50" s="154" t="s">
        <v>233</v>
      </c>
      <c r="B50" s="261" t="str">
        <f>Expenses!C50</f>
        <v>Contract Legal- T&amp;D (Maint)</v>
      </c>
      <c r="C50" s="50">
        <f>Expenses!J50</f>
        <v>0</v>
      </c>
      <c r="D50" s="300" t="s">
        <v>691</v>
      </c>
      <c r="E50" s="546">
        <f>VLOOKUP(D50,'W-Alloc Met-TY Adj'!$C$8:$D$10,2,FALSE)*C50</f>
        <v>0</v>
      </c>
      <c r="F50" s="546">
        <f>VLOOKUP(D50,'W-Alloc Met-TY Adj'!$C$8:$E$10,3,FALSE)*C50</f>
        <v>0</v>
      </c>
      <c r="G50" s="560">
        <f>VLOOKUP(D50,'W-Alloc Met-TY Adj'!$C$8:$F$10,4,FALSE)*C50</f>
        <v>0</v>
      </c>
      <c r="H50" s="583"/>
    </row>
    <row r="51" spans="1:8">
      <c r="A51" s="154" t="s">
        <v>236</v>
      </c>
      <c r="B51" s="261" t="str">
        <f>Expenses!C51</f>
        <v>Contract Other- T&amp;D (Oper)</v>
      </c>
      <c r="C51" s="50">
        <f>Expenses!J51</f>
        <v>50543</v>
      </c>
      <c r="D51" s="300" t="s">
        <v>691</v>
      </c>
      <c r="E51" s="546">
        <f>VLOOKUP(D51,'W-Alloc Met-TY Adj'!$C$8:$D$10,2,FALSE)*C51</f>
        <v>50543</v>
      </c>
      <c r="F51" s="546">
        <f>VLOOKUP(D51,'W-Alloc Met-TY Adj'!$C$8:$E$10,3,FALSE)*C51</f>
        <v>0</v>
      </c>
      <c r="G51" s="560">
        <f>VLOOKUP(D51,'W-Alloc Met-TY Adj'!$C$8:$F$10,4,FALSE)*C51</f>
        <v>0</v>
      </c>
      <c r="H51" s="583"/>
    </row>
    <row r="52" spans="1:8">
      <c r="A52" s="154" t="s">
        <v>239</v>
      </c>
      <c r="B52" s="261" t="str">
        <f>Expenses!C52</f>
        <v>Contract Other- T&amp;D (Maint)</v>
      </c>
      <c r="C52" s="50">
        <f>Expenses!J52</f>
        <v>178649</v>
      </c>
      <c r="D52" s="300" t="s">
        <v>691</v>
      </c>
      <c r="E52" s="546">
        <f>VLOOKUP(D52,'W-Alloc Met-TY Adj'!$C$8:$D$10,2,FALSE)*C52</f>
        <v>178649</v>
      </c>
      <c r="F52" s="546">
        <f>VLOOKUP(D52,'W-Alloc Met-TY Adj'!$C$8:$E$10,3,FALSE)*C52</f>
        <v>0</v>
      </c>
      <c r="G52" s="560">
        <f>VLOOKUP(D52,'W-Alloc Met-TY Adj'!$C$8:$F$10,4,FALSE)*C52</f>
        <v>0</v>
      </c>
      <c r="H52" s="583"/>
    </row>
    <row r="53" spans="1:8">
      <c r="A53" s="154" t="s">
        <v>242</v>
      </c>
      <c r="B53" s="261" t="str">
        <f>Expenses!C53</f>
        <v>Rent &amp; Utilities- T&amp;D (Oper)</v>
      </c>
      <c r="C53" s="50">
        <f>Expenses!J53</f>
        <v>18877</v>
      </c>
      <c r="D53" s="300" t="s">
        <v>691</v>
      </c>
      <c r="E53" s="546">
        <f>VLOOKUP(D53,'W-Alloc Met-TY Adj'!$C$8:$D$10,2,FALSE)*C53</f>
        <v>18877</v>
      </c>
      <c r="F53" s="546">
        <f>VLOOKUP(D53,'W-Alloc Met-TY Adj'!$C$8:$E$10,3,FALSE)*C53</f>
        <v>0</v>
      </c>
      <c r="G53" s="560">
        <f>VLOOKUP(D53,'W-Alloc Met-TY Adj'!$C$8:$F$10,4,FALSE)*C53</f>
        <v>0</v>
      </c>
      <c r="H53" s="583"/>
    </row>
    <row r="54" spans="1:8">
      <c r="A54" s="154" t="s">
        <v>245</v>
      </c>
      <c r="B54" s="261" t="str">
        <f>Expenses!C54</f>
        <v>Rent &amp; Utilities- T&amp;D (Oper)</v>
      </c>
      <c r="C54" s="50">
        <f>Expenses!J54</f>
        <v>0</v>
      </c>
      <c r="D54" s="300" t="s">
        <v>691</v>
      </c>
      <c r="E54" s="546">
        <f>VLOOKUP(D54,'W-Alloc Met-TY Adj'!$C$8:$D$10,2,FALSE)*C54</f>
        <v>0</v>
      </c>
      <c r="F54" s="546">
        <f>VLOOKUP(D54,'W-Alloc Met-TY Adj'!$C$8:$E$10,3,FALSE)*C54</f>
        <v>0</v>
      </c>
      <c r="G54" s="560">
        <f>VLOOKUP(D54,'W-Alloc Met-TY Adj'!$C$8:$F$10,4,FALSE)*C54</f>
        <v>0</v>
      </c>
      <c r="H54" s="583"/>
    </row>
    <row r="55" spans="1:8">
      <c r="A55" s="154" t="s">
        <v>247</v>
      </c>
      <c r="B55" s="261" t="str">
        <f>Expenses!C55</f>
        <v>Equipment Expense- T&amp;D (Oper)</v>
      </c>
      <c r="C55" s="50">
        <f>Expenses!J55</f>
        <v>108465</v>
      </c>
      <c r="D55" s="300" t="s">
        <v>691</v>
      </c>
      <c r="E55" s="546">
        <f>VLOOKUP(D55,'W-Alloc Met-TY Adj'!$C$8:$D$10,2,FALSE)*C55</f>
        <v>108465</v>
      </c>
      <c r="F55" s="546">
        <f>VLOOKUP(D55,'W-Alloc Met-TY Adj'!$C$8:$E$10,3,FALSE)*C55</f>
        <v>0</v>
      </c>
      <c r="G55" s="560">
        <f>VLOOKUP(D55,'W-Alloc Met-TY Adj'!$C$8:$F$10,4,FALSE)*C55</f>
        <v>0</v>
      </c>
      <c r="H55" s="583"/>
    </row>
    <row r="56" spans="1:8">
      <c r="A56" s="154" t="s">
        <v>250</v>
      </c>
      <c r="B56" s="261" t="str">
        <f>Expenses!C56</f>
        <v>Equipment Expense- T&amp;D (Maint)</v>
      </c>
      <c r="C56" s="50">
        <f>Expenses!J56</f>
        <v>98814</v>
      </c>
      <c r="D56" s="300" t="s">
        <v>691</v>
      </c>
      <c r="E56" s="546">
        <f>VLOOKUP(D56,'W-Alloc Met-TY Adj'!$C$8:$D$10,2,FALSE)*C56</f>
        <v>98814</v>
      </c>
      <c r="F56" s="546">
        <f>VLOOKUP(D56,'W-Alloc Met-TY Adj'!$C$8:$E$10,3,FALSE)*C56</f>
        <v>0</v>
      </c>
      <c r="G56" s="560">
        <f>VLOOKUP(D56,'W-Alloc Met-TY Adj'!$C$8:$F$10,4,FALSE)*C56</f>
        <v>0</v>
      </c>
      <c r="H56" s="583"/>
    </row>
    <row r="57" spans="1:8">
      <c r="A57" s="154" t="s">
        <v>253</v>
      </c>
      <c r="B57" s="261" t="str">
        <f>Expenses!C57</f>
        <v>Insurance G/L- T&amp;D (Oper)</v>
      </c>
      <c r="C57" s="50">
        <f>Expenses!J57</f>
        <v>49168</v>
      </c>
      <c r="D57" s="300" t="s">
        <v>691</v>
      </c>
      <c r="E57" s="546">
        <f>VLOOKUP(D57,'W-Alloc Met-TY Adj'!$C$8:$D$10,2,FALSE)*C57</f>
        <v>49168</v>
      </c>
      <c r="F57" s="546">
        <f>VLOOKUP(D57,'W-Alloc Met-TY Adj'!$C$8:$E$10,3,FALSE)*C57</f>
        <v>0</v>
      </c>
      <c r="G57" s="560">
        <f>VLOOKUP(D57,'W-Alloc Met-TY Adj'!$C$8:$F$10,4,FALSE)*C57</f>
        <v>0</v>
      </c>
      <c r="H57" s="583"/>
    </row>
    <row r="58" spans="1:8">
      <c r="A58" s="154" t="s">
        <v>256</v>
      </c>
      <c r="B58" s="261" t="str">
        <f>Expenses!C58</f>
        <v>Insurance Other- T&amp;D (Oper)</v>
      </c>
      <c r="C58" s="50">
        <f>Expenses!J58</f>
        <v>0</v>
      </c>
      <c r="D58" s="300" t="s">
        <v>691</v>
      </c>
      <c r="E58" s="546">
        <f>VLOOKUP(D58,'W-Alloc Met-TY Adj'!$C$8:$D$10,2,FALSE)*C58</f>
        <v>0</v>
      </c>
      <c r="F58" s="546">
        <f>VLOOKUP(D58,'W-Alloc Met-TY Adj'!$C$8:$E$10,3,FALSE)*C58</f>
        <v>0</v>
      </c>
      <c r="G58" s="560">
        <f>VLOOKUP(D58,'W-Alloc Met-TY Adj'!$C$8:$F$10,4,FALSE)*C58</f>
        <v>0</v>
      </c>
      <c r="H58" s="583"/>
    </row>
    <row r="59" spans="1:8">
      <c r="A59" s="154" t="s">
        <v>259</v>
      </c>
      <c r="B59" s="261" t="str">
        <f>Expenses!C59</f>
        <v>Misc Expense- T&amp;D (Oper)</v>
      </c>
      <c r="C59" s="50">
        <f>Expenses!J59</f>
        <v>0</v>
      </c>
      <c r="D59" s="300" t="s">
        <v>691</v>
      </c>
      <c r="E59" s="546">
        <f>VLOOKUP(D59,'W-Alloc Met-TY Adj'!$C$8:$D$10,2,FALSE)*C59</f>
        <v>0</v>
      </c>
      <c r="F59" s="546">
        <f>VLOOKUP(D59,'W-Alloc Met-TY Adj'!$C$8:$E$10,3,FALSE)*C59</f>
        <v>0</v>
      </c>
      <c r="G59" s="560">
        <f>VLOOKUP(D59,'W-Alloc Met-TY Adj'!$C$8:$F$10,4,FALSE)*C59</f>
        <v>0</v>
      </c>
      <c r="H59" s="583"/>
    </row>
    <row r="60" spans="1:8">
      <c r="A60" s="154" t="s">
        <v>262</v>
      </c>
      <c r="B60" s="261" t="str">
        <f>Expenses!C60</f>
        <v>Misc Expense- T&amp;D (Maint)</v>
      </c>
      <c r="C60" s="50">
        <f>Expenses!J60</f>
        <v>0</v>
      </c>
      <c r="D60" s="300" t="s">
        <v>691</v>
      </c>
      <c r="E60" s="546">
        <f>VLOOKUP(D60,'W-Alloc Met-TY Adj'!$C$8:$D$10,2,FALSE)*C60</f>
        <v>0</v>
      </c>
      <c r="F60" s="546">
        <f>VLOOKUP(D60,'W-Alloc Met-TY Adj'!$C$8:$E$10,3,FALSE)*C60</f>
        <v>0</v>
      </c>
      <c r="G60" s="560">
        <f>VLOOKUP(D60,'W-Alloc Met-TY Adj'!$C$8:$F$10,4,FALSE)*C60</f>
        <v>0</v>
      </c>
      <c r="H60" s="583"/>
    </row>
    <row r="61" spans="1:8">
      <c r="A61" s="154"/>
      <c r="B61" s="261" t="str">
        <f>Expenses!C61</f>
        <v>Chemicals</v>
      </c>
      <c r="C61" s="50">
        <f>Expenses!J61</f>
        <v>0</v>
      </c>
      <c r="D61" s="300" t="s">
        <v>693</v>
      </c>
      <c r="E61" s="546">
        <f>VLOOKUP(D61,'W-Alloc Met-TY Adj'!$C$8:$D$10,2,FALSE)*C61</f>
        <v>0</v>
      </c>
      <c r="F61" s="546">
        <f>VLOOKUP(D61,'W-Alloc Met-TY Adj'!$C$8:$E$10,3,FALSE)*C61</f>
        <v>0</v>
      </c>
      <c r="G61" s="560">
        <f>VLOOKUP(D61,'W-Alloc Met-TY Adj'!$C$8:$F$10,4,FALSE)*C61</f>
        <v>0</v>
      </c>
      <c r="H61" s="583"/>
    </row>
    <row r="62" spans="1:8" ht="15.75" customHeight="1">
      <c r="A62" s="154"/>
      <c r="B62" s="261" t="str">
        <f>Expenses!C62</f>
        <v xml:space="preserve">Contract Other- Water (Maint) </v>
      </c>
      <c r="C62" s="50">
        <f>Expenses!J62</f>
        <v>0</v>
      </c>
      <c r="D62" s="300" t="s">
        <v>691</v>
      </c>
      <c r="E62" s="546">
        <f>VLOOKUP(D62,'W-Alloc Met-TY Adj'!$C$8:$D$10,2,FALSE)*C62</f>
        <v>0</v>
      </c>
      <c r="F62" s="546">
        <f>VLOOKUP(D62,'W-Alloc Met-TY Adj'!$C$8:$E$10,3,FALSE)*C62</f>
        <v>0</v>
      </c>
      <c r="G62" s="560">
        <f>VLOOKUP(D62,'W-Alloc Met-TY Adj'!$C$8:$F$10,4,FALSE)*C62</f>
        <v>0</v>
      </c>
      <c r="H62" s="17" t="s">
        <v>133</v>
      </c>
    </row>
    <row r="63" spans="1:8" ht="15.75" customHeight="1">
      <c r="A63" s="154"/>
      <c r="B63" s="261" t="str">
        <f>Expenses!C63</f>
        <v>Payroll Taxes- T&amp;D (Oper)</v>
      </c>
      <c r="C63" s="50">
        <f>Expenses!J63</f>
        <v>39011.248603499997</v>
      </c>
      <c r="D63" s="300" t="s">
        <v>691</v>
      </c>
      <c r="E63" s="546">
        <f>VLOOKUP(D63,'W-Alloc Met-TY Adj'!$C$8:$D$10,2,FALSE)*C63</f>
        <v>39011.248603499997</v>
      </c>
      <c r="F63" s="546">
        <f>VLOOKUP(D63,'W-Alloc Met-TY Adj'!$C$8:$E$10,3,FALSE)*C63</f>
        <v>0</v>
      </c>
      <c r="G63" s="560">
        <f>VLOOKUP(D63,'W-Alloc Met-TY Adj'!$C$8:$F$10,4,FALSE)*C63</f>
        <v>0</v>
      </c>
      <c r="H63" s="17" t="s">
        <v>133</v>
      </c>
    </row>
    <row r="64" spans="1:8">
      <c r="A64" s="154"/>
      <c r="B64" s="261" t="str">
        <f>Expenses!C64</f>
        <v>Wages (OH)- T&amp;D (Oper)</v>
      </c>
      <c r="C64" s="50">
        <f>Expenses!J64</f>
        <v>69165.891728700008</v>
      </c>
      <c r="D64" s="300" t="s">
        <v>691</v>
      </c>
      <c r="E64" s="546">
        <f>VLOOKUP(D64,'W-Alloc Met-TY Adj'!$C$8:$D$10,2,FALSE)*C64</f>
        <v>69165.891728700008</v>
      </c>
      <c r="F64" s="546">
        <f>VLOOKUP(D64,'W-Alloc Met-TY Adj'!$C$8:$E$10,3,FALSE)*C64</f>
        <v>0</v>
      </c>
      <c r="G64" s="560">
        <f>VLOOKUP(D64,'W-Alloc Met-TY Adj'!$C$8:$F$10,4,FALSE)*C64</f>
        <v>0</v>
      </c>
      <c r="H64" s="17" t="s">
        <v>133</v>
      </c>
    </row>
    <row r="65" spans="1:8">
      <c r="A65" s="154"/>
      <c r="B65" s="261" t="str">
        <f>Expenses!C65</f>
        <v>Worker's Compensation- T&amp;D (Oper)</v>
      </c>
      <c r="C65" s="50">
        <f>Expenses!J65</f>
        <v>2536.4977539000001</v>
      </c>
      <c r="D65" s="300" t="s">
        <v>691</v>
      </c>
      <c r="E65" s="546">
        <f>VLOOKUP(D65,'W-Alloc Met-TY Adj'!$C$8:$D$10,2,FALSE)*C65</f>
        <v>2536.4977539000001</v>
      </c>
      <c r="F65" s="546">
        <f>VLOOKUP(D65,'W-Alloc Met-TY Adj'!$C$8:$E$10,3,FALSE)*C65</f>
        <v>0</v>
      </c>
      <c r="G65" s="560">
        <f>VLOOKUP(D65,'W-Alloc Met-TY Adj'!$C$8:$F$10,4,FALSE)*C65</f>
        <v>0</v>
      </c>
      <c r="H65" s="17" t="s">
        <v>133</v>
      </c>
    </row>
    <row r="66" spans="1:8">
      <c r="A66" s="154"/>
      <c r="B66" s="261" t="str">
        <f>Expenses!C66</f>
        <v>Fringe Benefits- Insurance- T&amp;D (Oper)</v>
      </c>
      <c r="C66" s="50">
        <f>Expenses!J66</f>
        <v>52187.57</v>
      </c>
      <c r="D66" s="300" t="s">
        <v>691</v>
      </c>
      <c r="E66" s="546">
        <f>VLOOKUP(D66,'W-Alloc Met-TY Adj'!$C$8:$D$10,2,FALSE)*C66</f>
        <v>52187.57</v>
      </c>
      <c r="F66" s="546">
        <f>VLOOKUP(D66,'W-Alloc Met-TY Adj'!$C$8:$E$10,3,FALSE)*C66</f>
        <v>0</v>
      </c>
      <c r="G66" s="560">
        <f>VLOOKUP(D66,'W-Alloc Met-TY Adj'!$C$8:$F$10,4,FALSE)*C66</f>
        <v>0</v>
      </c>
      <c r="H66" s="17"/>
    </row>
    <row r="67" spans="1:8">
      <c r="A67" s="154"/>
      <c r="B67" s="261" t="str">
        <f>Expenses!C67</f>
        <v>Retirement- T&amp;D (Oper)</v>
      </c>
      <c r="C67" s="50">
        <f>Expenses!J67</f>
        <v>90636.428316100006</v>
      </c>
      <c r="D67" s="300" t="s">
        <v>691</v>
      </c>
      <c r="E67" s="546">
        <f>VLOOKUP(D67,'W-Alloc Met-TY Adj'!$C$8:$D$10,2,FALSE)*C67</f>
        <v>90636.428316100006</v>
      </c>
      <c r="F67" s="546">
        <f>VLOOKUP(D67,'W-Alloc Met-TY Adj'!$C$8:$E$10,3,FALSE)*C67</f>
        <v>0</v>
      </c>
      <c r="G67" s="560">
        <f>VLOOKUP(D67,'W-Alloc Met-TY Adj'!$C$8:$F$10,4,FALSE)*C67</f>
        <v>0</v>
      </c>
      <c r="H67" s="17" t="s">
        <v>133</v>
      </c>
    </row>
    <row r="68" spans="1:8">
      <c r="A68" s="154"/>
      <c r="B68" s="261" t="str">
        <f>Expenses!C68</f>
        <v>Payroll Taxes- T&amp;D (Maint)</v>
      </c>
      <c r="C68" s="50">
        <f>Expenses!J68</f>
        <v>35044.795477</v>
      </c>
      <c r="D68" s="300" t="s">
        <v>691</v>
      </c>
      <c r="E68" s="546">
        <f>VLOOKUP(D68,'W-Alloc Met-TY Adj'!$C$8:$D$10,2,FALSE)*C68</f>
        <v>35044.795477</v>
      </c>
      <c r="F68" s="546">
        <f>VLOOKUP(D68,'W-Alloc Met-TY Adj'!$C$8:$E$10,3,FALSE)*C68</f>
        <v>0</v>
      </c>
      <c r="G68" s="560">
        <f>VLOOKUP(D68,'W-Alloc Met-TY Adj'!$C$8:$F$10,4,FALSE)*C68</f>
        <v>0</v>
      </c>
      <c r="H68" s="17" t="s">
        <v>133</v>
      </c>
    </row>
    <row r="69" spans="1:8">
      <c r="A69" s="154"/>
      <c r="B69" s="261" t="str">
        <f>Expenses!C69</f>
        <v>Wages (OH)- T&amp;D (Maint)</v>
      </c>
      <c r="C69" s="50">
        <f>Expenses!J69</f>
        <v>62133.472484100006</v>
      </c>
      <c r="D69" s="300" t="s">
        <v>691</v>
      </c>
      <c r="E69" s="546">
        <f>VLOOKUP(D69,'W-Alloc Met-TY Adj'!$C$8:$D$10,2,FALSE)*C69</f>
        <v>62133.472484100006</v>
      </c>
      <c r="F69" s="546">
        <f>VLOOKUP(D69,'W-Alloc Met-TY Adj'!$C$8:$E$10,3,FALSE)*C69</f>
        <v>0</v>
      </c>
      <c r="G69" s="560">
        <f>VLOOKUP(D69,'W-Alloc Met-TY Adj'!$C$8:$F$10,4,FALSE)*C69</f>
        <v>0</v>
      </c>
      <c r="H69" s="17" t="s">
        <v>133</v>
      </c>
    </row>
    <row r="70" spans="1:8">
      <c r="A70" s="154"/>
      <c r="B70" s="261" t="str">
        <f>Expenses!C70</f>
        <v>Worker's Compensation- T&amp;D (Maint)</v>
      </c>
      <c r="C70" s="50">
        <f>Expenses!J70</f>
        <v>2278.6000258000004</v>
      </c>
      <c r="D70" s="300" t="s">
        <v>691</v>
      </c>
      <c r="E70" s="546">
        <f>VLOOKUP(D70,'W-Alloc Met-TY Adj'!$C$8:$D$10,2,FALSE)*C70</f>
        <v>2278.6000258000004</v>
      </c>
      <c r="F70" s="546">
        <f>VLOOKUP(D70,'W-Alloc Met-TY Adj'!$C$8:$E$10,3,FALSE)*C70</f>
        <v>0</v>
      </c>
      <c r="G70" s="560">
        <f>VLOOKUP(D70,'W-Alloc Met-TY Adj'!$C$8:$F$10,4,FALSE)*C70</f>
        <v>0</v>
      </c>
      <c r="H70" s="17" t="s">
        <v>133</v>
      </c>
    </row>
    <row r="71" spans="1:8">
      <c r="A71" s="154"/>
      <c r="B71" s="261" t="str">
        <f>Expenses!C71</f>
        <v>Fringe Benefits- Insurance- T&amp;D (Maint)</v>
      </c>
      <c r="C71" s="50">
        <f>Expenses!J71</f>
        <v>46923.35</v>
      </c>
      <c r="D71" s="300" t="s">
        <v>691</v>
      </c>
      <c r="E71" s="546">
        <f>VLOOKUP(D71,'W-Alloc Met-TY Adj'!$C$8:$D$10,2,FALSE)*C71</f>
        <v>46923.35</v>
      </c>
      <c r="F71" s="546">
        <f>VLOOKUP(D71,'W-Alloc Met-TY Adj'!$C$8:$E$10,3,FALSE)*C71</f>
        <v>0</v>
      </c>
      <c r="G71" s="560">
        <f>VLOOKUP(D71,'W-Alloc Met-TY Adj'!$C$8:$F$10,4,FALSE)*C71</f>
        <v>0</v>
      </c>
      <c r="H71" s="17"/>
    </row>
    <row r="72" spans="1:8">
      <c r="A72" s="855"/>
      <c r="B72" s="261" t="str">
        <f>Expenses!C72</f>
        <v>Retirement- T&amp;D (Maint)</v>
      </c>
      <c r="C72" s="334">
        <f>Expenses!J72</f>
        <v>81421.007630000007</v>
      </c>
      <c r="D72" s="299" t="s">
        <v>691</v>
      </c>
      <c r="E72" s="768">
        <f>VLOOKUP(D72,'W-Alloc Met-TY Adj'!$C$8:$D$10,2,FALSE)*C72</f>
        <v>81421.007630000007</v>
      </c>
      <c r="F72" s="768">
        <f>VLOOKUP(D72,'W-Alloc Met-TY Adj'!$C$8:$E$10,3,FALSE)*C72</f>
        <v>0</v>
      </c>
      <c r="G72" s="769">
        <f>VLOOKUP(D72,'W-Alloc Met-TY Adj'!$C$8:$F$10,4,FALSE)*C72</f>
        <v>0</v>
      </c>
      <c r="H72" s="17" t="s">
        <v>133</v>
      </c>
    </row>
    <row r="73" spans="1:8">
      <c r="A73" s="860"/>
      <c r="B73" s="544" t="s">
        <v>29</v>
      </c>
      <c r="C73" s="545">
        <f>SUM(C39:C72)</f>
        <v>2157603.4734691004</v>
      </c>
      <c r="D73" s="545"/>
      <c r="E73" s="545">
        <f>SUM(E39:E72)</f>
        <v>2157603.4734691004</v>
      </c>
      <c r="F73" s="545">
        <f>SUM(F39:F72)</f>
        <v>0</v>
      </c>
      <c r="G73" s="545">
        <f>SUM(G39:G72)</f>
        <v>0</v>
      </c>
      <c r="H73" s="583"/>
    </row>
    <row r="74" spans="1:8">
      <c r="A74" s="855"/>
      <c r="B74" s="264"/>
      <c r="C74" s="147"/>
      <c r="H74" s="583"/>
    </row>
    <row r="75" spans="1:8">
      <c r="A75" s="855"/>
      <c r="B75" s="262" t="s">
        <v>281</v>
      </c>
      <c r="C75" s="259"/>
      <c r="D75" s="153"/>
      <c r="E75" s="153"/>
      <c r="F75" s="153"/>
      <c r="G75" s="153"/>
      <c r="H75" s="583"/>
    </row>
    <row r="76" spans="1:8">
      <c r="A76" s="855" t="s">
        <v>283</v>
      </c>
      <c r="B76" s="261" t="str">
        <f>Expenses!C76</f>
        <v>Wages</v>
      </c>
      <c r="C76" s="147">
        <f>Expenses!J76</f>
        <v>623912.12881000002</v>
      </c>
      <c r="D76" s="300" t="s">
        <v>691</v>
      </c>
      <c r="E76" s="546">
        <f>VLOOKUP(D76,'W-Alloc Met-TY Adj'!$C$8:$D$10,2,FALSE)*C76</f>
        <v>623912.12881000002</v>
      </c>
      <c r="F76" s="546">
        <f>VLOOKUP(D76,'W-Alloc Met-TY Adj'!$C$8:$E$10,3,FALSE)*C76</f>
        <v>0</v>
      </c>
      <c r="G76" s="558">
        <f>VLOOKUP(D76,'W-Alloc Met-TY Adj'!$C$8:$F$10,4,FALSE)*C76</f>
        <v>0</v>
      </c>
      <c r="H76" s="17" t="s">
        <v>133</v>
      </c>
    </row>
    <row r="77" spans="1:8">
      <c r="A77" s="154" t="s">
        <v>286</v>
      </c>
      <c r="B77" s="261" t="str">
        <f>Expenses!C77</f>
        <v>Employee Overhead</v>
      </c>
      <c r="C77" s="147">
        <f>Expenses!J77</f>
        <v>0</v>
      </c>
      <c r="D77" s="300" t="s">
        <v>691</v>
      </c>
      <c r="E77" s="546">
        <f>VLOOKUP(D77,'W-Alloc Met-TY Adj'!$C$8:$D$10,2,FALSE)*C77</f>
        <v>0</v>
      </c>
      <c r="F77" s="546">
        <f>VLOOKUP(D77,'W-Alloc Met-TY Adj'!$C$8:$E$10,3,FALSE)*C77</f>
        <v>0</v>
      </c>
      <c r="G77" s="560">
        <f>VLOOKUP(D77,'W-Alloc Met-TY Adj'!$C$8:$F$10,4,FALSE)*C77</f>
        <v>0</v>
      </c>
      <c r="H77" s="17" t="s">
        <v>133</v>
      </c>
    </row>
    <row r="78" spans="1:8">
      <c r="A78" s="154" t="s">
        <v>288</v>
      </c>
      <c r="B78" s="261" t="str">
        <f>Expenses!C78</f>
        <v xml:space="preserve">Materials &amp; Supplies </v>
      </c>
      <c r="C78" s="147">
        <f>Expenses!J78</f>
        <v>17514</v>
      </c>
      <c r="D78" s="300" t="s">
        <v>691</v>
      </c>
      <c r="E78" s="546">
        <f>VLOOKUP(D78,'W-Alloc Met-TY Adj'!$C$8:$D$10,2,FALSE)*C78</f>
        <v>17514</v>
      </c>
      <c r="F78" s="546">
        <f>VLOOKUP(D78,'W-Alloc Met-TY Adj'!$C$8:$E$10,3,FALSE)*C78</f>
        <v>0</v>
      </c>
      <c r="G78" s="560">
        <f>VLOOKUP(D78,'W-Alloc Met-TY Adj'!$C$8:$F$10,4,FALSE)*C78</f>
        <v>0</v>
      </c>
      <c r="H78" s="583"/>
    </row>
    <row r="79" spans="1:8">
      <c r="A79" s="154" t="s">
        <v>291</v>
      </c>
      <c r="B79" s="261" t="str">
        <f>Expenses!C79</f>
        <v xml:space="preserve">Contract Engineering </v>
      </c>
      <c r="C79" s="147">
        <f>Expenses!J79</f>
        <v>0</v>
      </c>
      <c r="D79" s="300" t="s">
        <v>691</v>
      </c>
      <c r="E79" s="546">
        <f>VLOOKUP(D79,'W-Alloc Met-TY Adj'!$C$8:$D$10,2,FALSE)*C79</f>
        <v>0</v>
      </c>
      <c r="F79" s="546">
        <f>VLOOKUP(D79,'W-Alloc Met-TY Adj'!$C$8:$E$10,3,FALSE)*C79</f>
        <v>0</v>
      </c>
      <c r="G79" s="560">
        <f>VLOOKUP(D79,'W-Alloc Met-TY Adj'!$C$8:$F$10,4,FALSE)*C79</f>
        <v>0</v>
      </c>
      <c r="H79" s="583"/>
    </row>
    <row r="80" spans="1:8">
      <c r="A80" s="154" t="s">
        <v>294</v>
      </c>
      <c r="B80" s="261" t="str">
        <f>Expenses!C80</f>
        <v>Contract Accounting</v>
      </c>
      <c r="C80" s="147">
        <f>Expenses!J80</f>
        <v>3633</v>
      </c>
      <c r="D80" s="300" t="s">
        <v>691</v>
      </c>
      <c r="E80" s="546">
        <f>VLOOKUP(D80,'W-Alloc Met-TY Adj'!$C$8:$D$10,2,FALSE)*C80</f>
        <v>3633</v>
      </c>
      <c r="F80" s="546">
        <f>VLOOKUP(D80,'W-Alloc Met-TY Adj'!$C$8:$E$10,3,FALSE)*C80</f>
        <v>0</v>
      </c>
      <c r="G80" s="560">
        <f>VLOOKUP(D80,'W-Alloc Met-TY Adj'!$C$8:$F$10,4,FALSE)*C80</f>
        <v>0</v>
      </c>
      <c r="H80" s="583"/>
    </row>
    <row r="81" spans="1:8">
      <c r="A81" s="154" t="s">
        <v>297</v>
      </c>
      <c r="B81" s="261" t="str">
        <f>Expenses!C81</f>
        <v>Contract Legal</v>
      </c>
      <c r="C81" s="147">
        <f>Expenses!J81</f>
        <v>0</v>
      </c>
      <c r="D81" s="300" t="s">
        <v>691</v>
      </c>
      <c r="E81" s="546">
        <f>VLOOKUP(D81,'W-Alloc Met-TY Adj'!$C$8:$D$10,2,FALSE)*C81</f>
        <v>0</v>
      </c>
      <c r="F81" s="546">
        <f>VLOOKUP(D81,'W-Alloc Met-TY Adj'!$C$8:$E$10,3,FALSE)*C81</f>
        <v>0</v>
      </c>
      <c r="G81" s="560">
        <f>VLOOKUP(D81,'W-Alloc Met-TY Adj'!$C$8:$F$10,4,FALSE)*C81</f>
        <v>0</v>
      </c>
      <c r="H81" s="583"/>
    </row>
    <row r="82" spans="1:8">
      <c r="A82" s="154" t="s">
        <v>300</v>
      </c>
      <c r="B82" s="261" t="str">
        <f>Expenses!C82</f>
        <v>Contract Other</v>
      </c>
      <c r="C82" s="147">
        <f>Expenses!J82</f>
        <v>224862</v>
      </c>
      <c r="D82" s="300" t="s">
        <v>691</v>
      </c>
      <c r="E82" s="546">
        <f>VLOOKUP(D82,'W-Alloc Met-TY Adj'!$C$8:$D$10,2,FALSE)*C82</f>
        <v>224862</v>
      </c>
      <c r="F82" s="546">
        <f>VLOOKUP(D82,'W-Alloc Met-TY Adj'!$C$8:$E$10,3,FALSE)*C82</f>
        <v>0</v>
      </c>
      <c r="G82" s="560">
        <f>VLOOKUP(D82,'W-Alloc Met-TY Adj'!$C$8:$F$10,4,FALSE)*C82</f>
        <v>0</v>
      </c>
      <c r="H82" s="583"/>
    </row>
    <row r="83" spans="1:8">
      <c r="A83" s="154" t="s">
        <v>303</v>
      </c>
      <c r="B83" s="261" t="str">
        <f>Expenses!C83</f>
        <v xml:space="preserve">Rent &amp; Utilities </v>
      </c>
      <c r="C83" s="147">
        <f>Expenses!J83</f>
        <v>28725</v>
      </c>
      <c r="D83" s="300" t="s">
        <v>691</v>
      </c>
      <c r="E83" s="546">
        <f>VLOOKUP(D83,'W-Alloc Met-TY Adj'!$C$8:$D$10,2,FALSE)*C83</f>
        <v>28725</v>
      </c>
      <c r="F83" s="546">
        <f>VLOOKUP(D83,'W-Alloc Met-TY Adj'!$C$8:$E$10,3,FALSE)*C83</f>
        <v>0</v>
      </c>
      <c r="G83" s="560">
        <f>VLOOKUP(D83,'W-Alloc Met-TY Adj'!$C$8:$F$10,4,FALSE)*C83</f>
        <v>0</v>
      </c>
      <c r="H83" s="583"/>
    </row>
    <row r="84" spans="1:8">
      <c r="A84" s="154" t="s">
        <v>306</v>
      </c>
      <c r="B84" s="261" t="str">
        <f>Expenses!C84</f>
        <v xml:space="preserve">Rent &amp; Utilities </v>
      </c>
      <c r="C84" s="147">
        <f>Expenses!J84</f>
        <v>0</v>
      </c>
      <c r="D84" s="300" t="s">
        <v>691</v>
      </c>
      <c r="E84" s="546">
        <f>VLOOKUP(D84,'W-Alloc Met-TY Adj'!$C$8:$D$10,2,FALSE)*C84</f>
        <v>0</v>
      </c>
      <c r="F84" s="546">
        <f>VLOOKUP(D84,'W-Alloc Met-TY Adj'!$C$8:$E$10,3,FALSE)*C84</f>
        <v>0</v>
      </c>
      <c r="G84" s="546">
        <f>VLOOKUP(D84,'W-Alloc Met-TY Adj'!$C$8:$F$10,4,FALSE)*C84</f>
        <v>0</v>
      </c>
      <c r="H84" s="583"/>
    </row>
    <row r="85" spans="1:8">
      <c r="A85" s="154" t="s">
        <v>308</v>
      </c>
      <c r="B85" s="261" t="str">
        <f>Expenses!C85</f>
        <v>Equipment Expenses</v>
      </c>
      <c r="C85" s="147">
        <f>Expenses!J85</f>
        <v>79805</v>
      </c>
      <c r="D85" s="300" t="s">
        <v>691</v>
      </c>
      <c r="E85" s="546">
        <f>VLOOKUP(D85,'W-Alloc Met-TY Adj'!$C$8:$D$10,2,FALSE)*C85</f>
        <v>79805</v>
      </c>
      <c r="F85" s="546">
        <f>VLOOKUP(D85,'W-Alloc Met-TY Adj'!$C$8:$E$10,3,FALSE)*C85</f>
        <v>0</v>
      </c>
      <c r="G85" s="560">
        <f>VLOOKUP(D85,'W-Alloc Met-TY Adj'!$C$8:$F$10,4,FALSE)*C85</f>
        <v>0</v>
      </c>
      <c r="H85" s="583"/>
    </row>
    <row r="86" spans="1:8">
      <c r="A86" s="154" t="s">
        <v>311</v>
      </c>
      <c r="B86" s="261" t="str">
        <f>Expenses!C86</f>
        <v>Insurance G/L</v>
      </c>
      <c r="C86" s="147">
        <f>Expenses!J86</f>
        <v>5784</v>
      </c>
      <c r="D86" s="300" t="s">
        <v>691</v>
      </c>
      <c r="E86" s="546">
        <f>VLOOKUP(D86,'W-Alloc Met-TY Adj'!$C$8:$D$10,2,FALSE)*C86</f>
        <v>5784</v>
      </c>
      <c r="F86" s="546">
        <f>VLOOKUP(D86,'W-Alloc Met-TY Adj'!$C$8:$E$10,3,FALSE)*C86</f>
        <v>0</v>
      </c>
      <c r="G86" s="560">
        <f>VLOOKUP(D86,'W-Alloc Met-TY Adj'!$C$8:$F$10,4,FALSE)*C86</f>
        <v>0</v>
      </c>
      <c r="H86" s="583"/>
    </row>
    <row r="87" spans="1:8">
      <c r="A87" s="154" t="s">
        <v>314</v>
      </c>
      <c r="B87" s="261" t="str">
        <f>Expenses!C87</f>
        <v>Misc Expense</v>
      </c>
      <c r="C87" s="147">
        <f>Expenses!J87</f>
        <v>5246</v>
      </c>
      <c r="D87" s="300" t="s">
        <v>691</v>
      </c>
      <c r="E87" s="546">
        <f>VLOOKUP(D87,'W-Alloc Met-TY Adj'!$C$8:$D$10,2,FALSE)*C87</f>
        <v>5246</v>
      </c>
      <c r="F87" s="546">
        <f>VLOOKUP(D87,'W-Alloc Met-TY Adj'!$C$8:$E$10,3,FALSE)*C87</f>
        <v>0</v>
      </c>
      <c r="G87" s="560">
        <f>VLOOKUP(D87,'W-Alloc Met-TY Adj'!$C$8:$F$10,4,FALSE)*C87</f>
        <v>0</v>
      </c>
      <c r="H87" s="583"/>
    </row>
    <row r="88" spans="1:8">
      <c r="A88" s="154"/>
      <c r="B88" s="261" t="str">
        <f>Expenses!C88</f>
        <v>Payroll Taxes</v>
      </c>
      <c r="C88" s="147">
        <f>Expenses!J88</f>
        <v>53768.659303599998</v>
      </c>
      <c r="D88" s="300" t="s">
        <v>691</v>
      </c>
      <c r="E88" s="546">
        <f>VLOOKUP(D88,'W-Alloc Met-TY Adj'!$C$8:$D$10,2,FALSE)*C88</f>
        <v>53768.659303599998</v>
      </c>
      <c r="F88" s="546">
        <f>VLOOKUP(D88,'W-Alloc Met-TY Adj'!$C$8:$E$10,3,FALSE)*C88</f>
        <v>0</v>
      </c>
      <c r="G88" s="560">
        <f>VLOOKUP(D88,'W-Alloc Met-TY Adj'!$C$8:$F$10,4,FALSE)*C88</f>
        <v>0</v>
      </c>
      <c r="H88" s="17" t="s">
        <v>133</v>
      </c>
    </row>
    <row r="89" spans="1:8">
      <c r="A89" s="154"/>
      <c r="B89" s="261" t="str">
        <f>Expenses!C89</f>
        <v>Wages</v>
      </c>
      <c r="C89" s="147">
        <f>Expenses!J89</f>
        <v>95330.392099200006</v>
      </c>
      <c r="D89" s="300" t="s">
        <v>691</v>
      </c>
      <c r="E89" s="546">
        <f>VLOOKUP(D89,'W-Alloc Met-TY Adj'!$C$8:$D$10,2,FALSE)*C89</f>
        <v>95330.392099200006</v>
      </c>
      <c r="F89" s="546">
        <f>VLOOKUP(D89,'W-Alloc Met-TY Adj'!$C$8:$E$10,3,FALSE)*C89</f>
        <v>0</v>
      </c>
      <c r="G89" s="560">
        <f>VLOOKUP(D89,'W-Alloc Met-TY Adj'!$C$8:$F$10,4,FALSE)*C89</f>
        <v>0</v>
      </c>
      <c r="H89" s="17" t="s">
        <v>133</v>
      </c>
    </row>
    <row r="90" spans="1:8">
      <c r="A90" s="154"/>
      <c r="B90" s="261" t="str">
        <f>Expenses!C90</f>
        <v>Worker's Compensation</v>
      </c>
      <c r="C90" s="147">
        <f>Expenses!J90</f>
        <v>3496.0260100000005</v>
      </c>
      <c r="D90" s="300" t="s">
        <v>691</v>
      </c>
      <c r="E90" s="546">
        <f>VLOOKUP(D90,'W-Alloc Met-TY Adj'!$C$8:$D$10,2,FALSE)*C90</f>
        <v>3496.0260100000005</v>
      </c>
      <c r="F90" s="546">
        <f>VLOOKUP(D90,'W-Alloc Met-TY Adj'!$C$8:$E$10,3,FALSE)*C90</f>
        <v>0</v>
      </c>
      <c r="G90" s="560">
        <f>VLOOKUP(D90,'W-Alloc Met-TY Adj'!$C$8:$F$10,4,FALSE)*C90</f>
        <v>0</v>
      </c>
      <c r="H90" s="17" t="s">
        <v>133</v>
      </c>
    </row>
    <row r="91" spans="1:8">
      <c r="A91" s="154"/>
      <c r="B91" s="261" t="str">
        <f>Expenses!C91</f>
        <v xml:space="preserve">Fringe Benefits- Insurance </v>
      </c>
      <c r="C91" s="147">
        <f>Expenses!J91</f>
        <v>72065.72</v>
      </c>
      <c r="D91" s="300" t="s">
        <v>691</v>
      </c>
      <c r="E91" s="546">
        <f>VLOOKUP(D91,'W-Alloc Met-TY Adj'!$C$8:$D$10,2,FALSE)*C91</f>
        <v>72065.72</v>
      </c>
      <c r="F91" s="546">
        <f>VLOOKUP(D91,'W-Alloc Met-TY Adj'!$C$8:$E$10,3,FALSE)*C91</f>
        <v>0</v>
      </c>
      <c r="G91" s="560">
        <f>VLOOKUP(D91,'W-Alloc Met-TY Adj'!$C$8:$F$10,4,FALSE)*C91</f>
        <v>0</v>
      </c>
      <c r="H91" s="17"/>
    </row>
    <row r="92" spans="1:8">
      <c r="A92" s="154"/>
      <c r="B92" s="261" t="str">
        <f>Expenses!C92</f>
        <v xml:space="preserve">Retirement </v>
      </c>
      <c r="C92" s="147">
        <f>Expenses!J92</f>
        <v>124922.93218850002</v>
      </c>
      <c r="D92" s="300" t="s">
        <v>691</v>
      </c>
      <c r="E92" s="546">
        <f>VLOOKUP(D92,'W-Alloc Met-TY Adj'!$C$8:$D$10,2,FALSE)*C92</f>
        <v>124922.93218850002</v>
      </c>
      <c r="F92" s="546">
        <f>VLOOKUP(D92,'W-Alloc Met-TY Adj'!$C$8:$E$10,3,FALSE)*C92</f>
        <v>0</v>
      </c>
      <c r="G92" s="560">
        <f>VLOOKUP(D92,'W-Alloc Met-TY Adj'!$C$8:$F$10,4,FALSE)*C92</f>
        <v>0</v>
      </c>
      <c r="H92" s="17" t="s">
        <v>133</v>
      </c>
    </row>
    <row r="93" spans="1:8">
      <c r="A93" s="855"/>
      <c r="B93" s="261" t="str">
        <f>Expenses!C93</f>
        <v>-</v>
      </c>
      <c r="C93" s="320">
        <f>Expenses!J93</f>
        <v>0</v>
      </c>
      <c r="D93" s="299" t="s">
        <v>691</v>
      </c>
      <c r="E93" s="768">
        <f>VLOOKUP(D93,'W-Alloc Met-TY Adj'!$C$8:$D$10,2,FALSE)*C93</f>
        <v>0</v>
      </c>
      <c r="F93" s="768">
        <f>VLOOKUP(D93,'W-Alloc Met-TY Adj'!$C$8:$E$10,3,FALSE)*C93</f>
        <v>0</v>
      </c>
      <c r="G93" s="769">
        <f>VLOOKUP(D93,'W-Alloc Met-TY Adj'!$C$8:$F$10,4,FALSE)*C93</f>
        <v>0</v>
      </c>
      <c r="H93" s="583"/>
    </row>
    <row r="94" spans="1:8">
      <c r="A94" s="860"/>
      <c r="B94" s="544" t="s">
        <v>29</v>
      </c>
      <c r="C94" s="545">
        <f>SUM(C76:C93)</f>
        <v>1339064.8584112998</v>
      </c>
      <c r="D94" s="545"/>
      <c r="E94" s="545">
        <f>SUM(E76:E93)</f>
        <v>1339064.8584112998</v>
      </c>
      <c r="F94" s="545">
        <f>SUM(F76:F93)</f>
        <v>0</v>
      </c>
      <c r="G94" s="545">
        <f>SUM(G76:G93)</f>
        <v>0</v>
      </c>
      <c r="H94" s="583"/>
    </row>
    <row r="95" spans="1:8">
      <c r="A95" s="855"/>
      <c r="B95" s="265"/>
      <c r="C95" s="147"/>
      <c r="H95" s="583"/>
    </row>
    <row r="96" spans="1:8">
      <c r="A96" s="855"/>
      <c r="B96" s="262" t="s">
        <v>322</v>
      </c>
      <c r="C96" s="259"/>
      <c r="D96" s="153"/>
      <c r="E96" s="153"/>
      <c r="F96" s="153"/>
      <c r="G96" s="153"/>
      <c r="H96" s="583"/>
    </row>
    <row r="97" spans="1:8">
      <c r="A97" s="154" t="s">
        <v>324</v>
      </c>
      <c r="B97" s="261" t="str">
        <f>Expenses!C97</f>
        <v>Wages</v>
      </c>
      <c r="C97" s="147">
        <f>Expenses!J97</f>
        <v>625592.99482999998</v>
      </c>
      <c r="D97" s="300" t="s">
        <v>691</v>
      </c>
      <c r="E97" s="546">
        <f>VLOOKUP(D97,'W-Alloc Met-TY Adj'!$C$8:$D$10,2,FALSE)*C97</f>
        <v>625592.99482999998</v>
      </c>
      <c r="F97" s="546">
        <f>VLOOKUP(D97,'W-Alloc Met-TY Adj'!$C$8:$E$10,3,FALSE)*C97</f>
        <v>0</v>
      </c>
      <c r="G97" s="546">
        <f>VLOOKUP(D97,'W-Alloc Met-TY Adj'!$C$8:$F$10,4,FALSE)*C97</f>
        <v>0</v>
      </c>
      <c r="H97" s="17" t="s">
        <v>133</v>
      </c>
    </row>
    <row r="98" spans="1:8">
      <c r="A98" s="154" t="s">
        <v>327</v>
      </c>
      <c r="B98" s="261" t="str">
        <f>Expenses!C98</f>
        <v>Employee Overhead</v>
      </c>
      <c r="C98" s="147">
        <f>Expenses!J98</f>
        <v>0</v>
      </c>
      <c r="D98" s="300" t="s">
        <v>691</v>
      </c>
      <c r="E98" s="546">
        <f>VLOOKUP(D98,'W-Alloc Met-TY Adj'!$C$8:$D$10,2,FALSE)*C98</f>
        <v>0</v>
      </c>
      <c r="F98" s="546">
        <f>VLOOKUP(D98,'W-Alloc Met-TY Adj'!$C$8:$E$10,3,FALSE)*C98</f>
        <v>0</v>
      </c>
      <c r="G98" s="546">
        <f>VLOOKUP(D98,'W-Alloc Met-TY Adj'!$C$8:$F$10,4,FALSE)*C98</f>
        <v>0</v>
      </c>
      <c r="H98" s="17" t="s">
        <v>133</v>
      </c>
    </row>
    <row r="99" spans="1:8">
      <c r="A99" s="154" t="s">
        <v>329</v>
      </c>
      <c r="B99" s="261" t="str">
        <f>Expenses!C99</f>
        <v xml:space="preserve">Materials &amp; Supplies </v>
      </c>
      <c r="C99" s="147">
        <f>Expenses!J99</f>
        <v>31108</v>
      </c>
      <c r="D99" s="300" t="s">
        <v>691</v>
      </c>
      <c r="E99" s="546">
        <f>VLOOKUP(D99,'W-Alloc Met-TY Adj'!$C$8:$D$10,2,FALSE)*C99</f>
        <v>31108</v>
      </c>
      <c r="F99" s="546">
        <f>VLOOKUP(D99,'W-Alloc Met-TY Adj'!$C$8:$E$10,3,FALSE)*C99</f>
        <v>0</v>
      </c>
      <c r="G99" s="546">
        <f>VLOOKUP(D99,'W-Alloc Met-TY Adj'!$C$8:$F$10,4,FALSE)*C99</f>
        <v>0</v>
      </c>
      <c r="H99" s="583"/>
    </row>
    <row r="100" spans="1:8">
      <c r="A100" s="154" t="s">
        <v>331</v>
      </c>
      <c r="B100" s="261" t="str">
        <f>Expenses!C100</f>
        <v>Contract Accounting</v>
      </c>
      <c r="C100" s="147">
        <f>Expenses!J100</f>
        <v>3633</v>
      </c>
      <c r="D100" s="300" t="s">
        <v>691</v>
      </c>
      <c r="E100" s="546">
        <f>VLOOKUP(D100,'W-Alloc Met-TY Adj'!$C$8:$D$10,2,FALSE)*C100</f>
        <v>3633</v>
      </c>
      <c r="F100" s="546">
        <f>VLOOKUP(D100,'W-Alloc Met-TY Adj'!$C$8:$E$10,3,FALSE)*C100</f>
        <v>0</v>
      </c>
      <c r="G100" s="546">
        <f>VLOOKUP(D100,'W-Alloc Met-TY Adj'!$C$8:$F$10,4,FALSE)*C100</f>
        <v>0</v>
      </c>
      <c r="H100" s="583"/>
    </row>
    <row r="101" spans="1:8">
      <c r="A101" s="154" t="s">
        <v>333</v>
      </c>
      <c r="B101" s="261" t="str">
        <f>Expenses!C101</f>
        <v>Contract Legal</v>
      </c>
      <c r="C101" s="147">
        <f>Expenses!J101</f>
        <v>16922</v>
      </c>
      <c r="D101" s="300" t="s">
        <v>691</v>
      </c>
      <c r="E101" s="546">
        <f>VLOOKUP(D101,'W-Alloc Met-TY Adj'!$C$8:$D$10,2,FALSE)*C101</f>
        <v>16922</v>
      </c>
      <c r="F101" s="546">
        <f>VLOOKUP(D101,'W-Alloc Met-TY Adj'!$C$8:$E$10,3,FALSE)*C101</f>
        <v>0</v>
      </c>
      <c r="G101" s="546">
        <f>VLOOKUP(D101,'W-Alloc Met-TY Adj'!$C$8:$F$10,4,FALSE)*C101</f>
        <v>0</v>
      </c>
      <c r="H101" s="583"/>
    </row>
    <row r="102" spans="1:8">
      <c r="A102" s="154" t="s">
        <v>335</v>
      </c>
      <c r="B102" s="261" t="str">
        <f>Expenses!C102</f>
        <v>Contract Other</v>
      </c>
      <c r="C102" s="147">
        <f>Expenses!J102</f>
        <v>318815</v>
      </c>
      <c r="D102" s="300" t="s">
        <v>691</v>
      </c>
      <c r="E102" s="546">
        <f>VLOOKUP(D102,'W-Alloc Met-TY Adj'!$C$8:$D$10,2,FALSE)*C102</f>
        <v>318815</v>
      </c>
      <c r="F102" s="546">
        <f>VLOOKUP(D102,'W-Alloc Met-TY Adj'!$C$8:$E$10,3,FALSE)*C102</f>
        <v>0</v>
      </c>
      <c r="G102" s="546">
        <f>VLOOKUP(D102,'W-Alloc Met-TY Adj'!$C$8:$F$10,4,FALSE)*C102</f>
        <v>0</v>
      </c>
      <c r="H102" s="583"/>
    </row>
    <row r="103" spans="1:8">
      <c r="A103" s="154" t="s">
        <v>337</v>
      </c>
      <c r="B103" s="261" t="str">
        <f>Expenses!C103</f>
        <v xml:space="preserve">Rent &amp; Utilities </v>
      </c>
      <c r="C103" s="147">
        <f>Expenses!J103</f>
        <v>4924</v>
      </c>
      <c r="D103" s="300" t="s">
        <v>691</v>
      </c>
      <c r="E103" s="546">
        <f>VLOOKUP(D103,'W-Alloc Met-TY Adj'!$C$8:$D$10,2,FALSE)*C103</f>
        <v>4924</v>
      </c>
      <c r="F103" s="546">
        <f>VLOOKUP(D103,'W-Alloc Met-TY Adj'!$C$8:$E$10,3,FALSE)*C103</f>
        <v>0</v>
      </c>
      <c r="G103" s="546">
        <f>VLOOKUP(D103,'W-Alloc Met-TY Adj'!$C$8:$F$10,4,FALSE)*C103</f>
        <v>0</v>
      </c>
      <c r="H103" s="583"/>
    </row>
    <row r="104" spans="1:8">
      <c r="A104" s="154" t="s">
        <v>339</v>
      </c>
      <c r="B104" s="261" t="str">
        <f>Expenses!C104</f>
        <v>Equipment Expenses</v>
      </c>
      <c r="C104" s="147">
        <f>Expenses!J104</f>
        <v>9716</v>
      </c>
      <c r="D104" s="300" t="s">
        <v>691</v>
      </c>
      <c r="E104" s="546">
        <f>VLOOKUP(D104,'W-Alloc Met-TY Adj'!$C$8:$D$10,2,FALSE)*C104</f>
        <v>9716</v>
      </c>
      <c r="F104" s="546">
        <f>VLOOKUP(D104,'W-Alloc Met-TY Adj'!$C$8:$E$10,3,FALSE)*C104</f>
        <v>0</v>
      </c>
      <c r="G104" s="546">
        <f>VLOOKUP(D104,'W-Alloc Met-TY Adj'!$C$8:$F$10,4,FALSE)*C104</f>
        <v>0</v>
      </c>
      <c r="H104" s="583"/>
    </row>
    <row r="105" spans="1:8">
      <c r="A105" s="154" t="s">
        <v>341</v>
      </c>
      <c r="B105" s="261" t="str">
        <f>Expenses!C105</f>
        <v>Insurance G/L</v>
      </c>
      <c r="C105" s="147">
        <f>Expenses!J105</f>
        <v>5784</v>
      </c>
      <c r="D105" s="300" t="s">
        <v>691</v>
      </c>
      <c r="E105" s="546">
        <f>VLOOKUP(D105,'W-Alloc Met-TY Adj'!$C$8:$D$10,2,FALSE)*C105</f>
        <v>5784</v>
      </c>
      <c r="F105" s="546">
        <f>VLOOKUP(D105,'W-Alloc Met-TY Adj'!$C$8:$E$10,3,FALSE)*C105</f>
        <v>0</v>
      </c>
      <c r="G105" s="546">
        <f>VLOOKUP(D105,'W-Alloc Met-TY Adj'!$C$8:$F$10,4,FALSE)*C105</f>
        <v>0</v>
      </c>
      <c r="H105" s="583"/>
    </row>
    <row r="106" spans="1:8">
      <c r="A106" s="154" t="s">
        <v>343</v>
      </c>
      <c r="B106" s="261" t="str">
        <f>Expenses!C106</f>
        <v xml:space="preserve">Insurance Other </v>
      </c>
      <c r="C106" s="147">
        <f>Expenses!J106</f>
        <v>2843</v>
      </c>
      <c r="D106" s="300" t="s">
        <v>691</v>
      </c>
      <c r="E106" s="546">
        <f>VLOOKUP(D106,'W-Alloc Met-TY Adj'!$C$8:$D$10,2,FALSE)*C106</f>
        <v>2843</v>
      </c>
      <c r="F106" s="546">
        <f>VLOOKUP(D106,'W-Alloc Met-TY Adj'!$C$8:$E$10,3,FALSE)*C106</f>
        <v>0</v>
      </c>
      <c r="G106" s="546">
        <f>VLOOKUP(D106,'W-Alloc Met-TY Adj'!$C$8:$F$10,4,FALSE)*C106</f>
        <v>0</v>
      </c>
      <c r="H106" s="583"/>
    </row>
    <row r="107" spans="1:8">
      <c r="A107" s="154" t="s">
        <v>346</v>
      </c>
      <c r="B107" s="261" t="str">
        <f>Expenses!C107</f>
        <v>Misc Expesne</v>
      </c>
      <c r="C107" s="147">
        <f>Expenses!J107</f>
        <v>50260</v>
      </c>
      <c r="D107" s="300" t="s">
        <v>691</v>
      </c>
      <c r="E107" s="546">
        <f>VLOOKUP(D107,'W-Alloc Met-TY Adj'!$C$8:$D$10,2,FALSE)*C107</f>
        <v>50260</v>
      </c>
      <c r="F107" s="546">
        <f>VLOOKUP(D107,'W-Alloc Met-TY Adj'!$C$8:$E$10,3,FALSE)*C107</f>
        <v>0</v>
      </c>
      <c r="G107" s="546">
        <f>VLOOKUP(D107,'W-Alloc Met-TY Adj'!$C$8:$F$10,4,FALSE)*C107</f>
        <v>0</v>
      </c>
      <c r="H107" s="583"/>
    </row>
    <row r="108" spans="1:8">
      <c r="A108" s="154"/>
      <c r="B108" s="261" t="str">
        <f>Expenses!C108</f>
        <v>Misc Expense- Commissioner Fee</v>
      </c>
      <c r="C108" s="147">
        <f>Expenses!J108</f>
        <v>15000</v>
      </c>
      <c r="D108" s="300" t="s">
        <v>691</v>
      </c>
      <c r="E108" s="546">
        <f>VLOOKUP(D108,'W-Alloc Met-TY Adj'!$C$8:$D$10,2,FALSE)*C108</f>
        <v>15000</v>
      </c>
      <c r="F108" s="546">
        <f>VLOOKUP(D108,'W-Alloc Met-TY Adj'!$C$8:$E$10,3,FALSE)*C108</f>
        <v>0</v>
      </c>
      <c r="G108" s="546">
        <f>VLOOKUP(D108,'W-Alloc Met-TY Adj'!$C$8:$F$10,4,FALSE)*C108</f>
        <v>0</v>
      </c>
      <c r="H108" s="583"/>
    </row>
    <row r="109" spans="1:8">
      <c r="A109" s="154"/>
      <c r="B109" s="261" t="str">
        <f>Expenses!C109</f>
        <v>Commissioner SS &amp; Medicare</v>
      </c>
      <c r="C109" s="147">
        <f>Expenses!J109</f>
        <v>2295</v>
      </c>
      <c r="D109" s="300" t="s">
        <v>691</v>
      </c>
      <c r="E109" s="546">
        <f>VLOOKUP(D109,'W-Alloc Met-TY Adj'!$C$8:$D$10,2,FALSE)*C109</f>
        <v>2295</v>
      </c>
      <c r="F109" s="546">
        <f>VLOOKUP(D109,'W-Alloc Met-TY Adj'!$C$8:$E$10,3,FALSE)*C109</f>
        <v>0</v>
      </c>
      <c r="G109" s="546">
        <f>VLOOKUP(D109,'W-Alloc Met-TY Adj'!$C$8:$F$10,4,FALSE)*C109</f>
        <v>0</v>
      </c>
      <c r="H109" s="583"/>
    </row>
    <row r="110" spans="1:8">
      <c r="A110" s="154"/>
      <c r="B110" s="261" t="str">
        <f>Expenses!C110</f>
        <v>Payroll Taxes</v>
      </c>
      <c r="C110" s="147">
        <f>Expenses!J110</f>
        <v>53711.592617299997</v>
      </c>
      <c r="D110" s="300" t="s">
        <v>691</v>
      </c>
      <c r="E110" s="546">
        <f>VLOOKUP(D110,'W-Alloc Met-TY Adj'!$C$8:$D$10,2,FALSE)*C110</f>
        <v>53711.592617299997</v>
      </c>
      <c r="F110" s="546">
        <f>VLOOKUP(D110,'W-Alloc Met-TY Adj'!$C$8:$E$10,3,FALSE)*C110</f>
        <v>0</v>
      </c>
      <c r="G110" s="546">
        <f>VLOOKUP(D110,'W-Alloc Met-TY Adj'!$C$8:$F$10,4,FALSE)*C110</f>
        <v>0</v>
      </c>
      <c r="H110" s="17" t="s">
        <v>133</v>
      </c>
    </row>
    <row r="111" spans="1:8">
      <c r="A111" s="154"/>
      <c r="B111" s="261" t="str">
        <f>Expenses!C111</f>
        <v>Wages</v>
      </c>
      <c r="C111" s="147">
        <f>Expenses!J111</f>
        <v>95229.227316799996</v>
      </c>
      <c r="D111" s="300" t="s">
        <v>691</v>
      </c>
      <c r="E111" s="546">
        <f>VLOOKUP(D111,'W-Alloc Met-TY Adj'!$C$8:$D$10,2,FALSE)*C111</f>
        <v>95229.227316799996</v>
      </c>
      <c r="F111" s="546">
        <f>VLOOKUP(D111,'W-Alloc Met-TY Adj'!$C$8:$E$10,3,FALSE)*C111</f>
        <v>0</v>
      </c>
      <c r="G111" s="546">
        <f>VLOOKUP(D111,'W-Alloc Met-TY Adj'!$C$8:$F$10,4,FALSE)*C111</f>
        <v>0</v>
      </c>
      <c r="H111" s="17" t="s">
        <v>133</v>
      </c>
    </row>
    <row r="112" spans="1:8">
      <c r="A112" s="154"/>
      <c r="B112" s="261" t="str">
        <f>Expenses!C112</f>
        <v>Worker's Compensation</v>
      </c>
      <c r="C112" s="147">
        <f>Expenses!J112</f>
        <v>3492.3141372000005</v>
      </c>
      <c r="D112" s="300" t="s">
        <v>691</v>
      </c>
      <c r="E112" s="546">
        <f>VLOOKUP(D112,'W-Alloc Met-TY Adj'!$C$8:$D$10,2,FALSE)*C112</f>
        <v>3492.3141372000005</v>
      </c>
      <c r="F112" s="546">
        <f>VLOOKUP(D112,'W-Alloc Met-TY Adj'!$C$8:$E$10,3,FALSE)*C112</f>
        <v>0</v>
      </c>
      <c r="G112" s="546">
        <f>VLOOKUP(D112,'W-Alloc Met-TY Adj'!$C$8:$F$10,4,FALSE)*C112</f>
        <v>0</v>
      </c>
      <c r="H112" s="17" t="s">
        <v>133</v>
      </c>
    </row>
    <row r="113" spans="1:8">
      <c r="A113" s="154"/>
      <c r="B113" s="261" t="str">
        <f>Expenses!C113</f>
        <v xml:space="preserve">Fringe Benefits- Insurance </v>
      </c>
      <c r="C113" s="147">
        <f>Expenses!J113</f>
        <v>72266.14</v>
      </c>
      <c r="D113" s="300" t="s">
        <v>691</v>
      </c>
      <c r="E113" s="546">
        <f>VLOOKUP(D113,'W-Alloc Met-TY Adj'!$C$8:$D$10,2,FALSE)*C113</f>
        <v>72266.14</v>
      </c>
      <c r="F113" s="546">
        <f>VLOOKUP(D113,'W-Alloc Met-TY Adj'!$C$8:$E$10,3,FALSE)*C113</f>
        <v>0</v>
      </c>
      <c r="G113" s="546">
        <f>VLOOKUP(D113,'W-Alloc Met-TY Adj'!$C$8:$F$10,4,FALSE)*C113</f>
        <v>0</v>
      </c>
      <c r="H113" s="17"/>
    </row>
    <row r="114" spans="1:8">
      <c r="A114" s="154"/>
      <c r="B114" s="261" t="str">
        <f>Expenses!C114</f>
        <v xml:space="preserve">Retirement </v>
      </c>
      <c r="C114" s="147">
        <f>Expenses!J114</f>
        <v>124790.36217120002</v>
      </c>
      <c r="D114" s="300" t="s">
        <v>691</v>
      </c>
      <c r="E114" s="546">
        <f>VLOOKUP(D114,'W-Alloc Met-TY Adj'!$C$8:$D$10,2,FALSE)*C114</f>
        <v>124790.36217120002</v>
      </c>
      <c r="F114" s="546">
        <f>VLOOKUP(D114,'W-Alloc Met-TY Adj'!$C$8:$E$10,3,FALSE)*C114</f>
        <v>0</v>
      </c>
      <c r="G114" s="546">
        <f>VLOOKUP(D114,'W-Alloc Met-TY Adj'!$C$8:$F$10,4,FALSE)*C114</f>
        <v>0</v>
      </c>
      <c r="H114" s="17" t="s">
        <v>133</v>
      </c>
    </row>
    <row r="115" spans="1:8">
      <c r="A115" s="855"/>
      <c r="B115" s="261" t="str">
        <f>Expenses!C115</f>
        <v>-</v>
      </c>
      <c r="C115" s="320">
        <f>Expenses!J115</f>
        <v>0</v>
      </c>
      <c r="D115" s="299" t="s">
        <v>691</v>
      </c>
      <c r="E115" s="768">
        <f>VLOOKUP(D115,'W-Alloc Met-TY Adj'!$C$8:$D$10,2,FALSE)*C115</f>
        <v>0</v>
      </c>
      <c r="F115" s="768">
        <f>VLOOKUP(D115,'W-Alloc Met-TY Adj'!$C$8:$E$10,3,FALSE)*C115</f>
        <v>0</v>
      </c>
      <c r="G115" s="769">
        <f>VLOOKUP(D115,'W-Alloc Met-TY Adj'!$C$8:$F$10,4,FALSE)*C115</f>
        <v>0</v>
      </c>
      <c r="H115" s="583"/>
    </row>
    <row r="116" spans="1:8">
      <c r="A116" s="860"/>
      <c r="B116" s="544" t="s">
        <v>29</v>
      </c>
      <c r="C116" s="545">
        <f>SUM(C97:C115)</f>
        <v>1436382.6310725</v>
      </c>
      <c r="D116" s="545"/>
      <c r="E116" s="545">
        <f>SUM(E97:E115)</f>
        <v>1436382.6310725</v>
      </c>
      <c r="F116" s="545">
        <f>SUM(F97:F115)</f>
        <v>0</v>
      </c>
      <c r="G116" s="545">
        <f>SUM(G97:G115)</f>
        <v>0</v>
      </c>
      <c r="H116" s="583"/>
    </row>
    <row r="117" spans="1:8">
      <c r="A117" s="855"/>
      <c r="B117" s="264"/>
      <c r="C117" s="147"/>
      <c r="H117" s="583"/>
    </row>
    <row r="118" spans="1:8">
      <c r="A118" s="855"/>
      <c r="B118" s="262" t="s">
        <v>102</v>
      </c>
      <c r="C118" s="259"/>
      <c r="D118" s="153"/>
      <c r="E118" s="153"/>
      <c r="F118" s="153"/>
      <c r="G118" s="153"/>
      <c r="H118" s="583"/>
    </row>
    <row r="119" spans="1:8">
      <c r="A119" s="855" t="str">
        <f>Expenses!B119</f>
        <v>604-8200-2</v>
      </c>
      <c r="B119" s="261" t="str">
        <f>Expenses!C119</f>
        <v>Employee Overhead- Reimbursement Acct</v>
      </c>
      <c r="C119" s="147">
        <f>Expenses!J119</f>
        <v>0</v>
      </c>
      <c r="D119" s="300" t="s">
        <v>691</v>
      </c>
      <c r="E119" s="546">
        <f>VLOOKUP(D119,'W-Alloc Met-TY Adj'!$C$8:$D$10,2,FALSE)*C119</f>
        <v>0</v>
      </c>
      <c r="F119" s="546">
        <f>VLOOKUP(D119,'W-Alloc Met-TY Adj'!$C$8:$E$10,3,FALSE)*C119</f>
        <v>0</v>
      </c>
      <c r="G119" s="546">
        <f>VLOOKUP(D119,'W-Alloc Met-TY Adj'!$C$8:$F$10,4,FALSE)*C119</f>
        <v>0</v>
      </c>
      <c r="H119" s="17" t="s">
        <v>133</v>
      </c>
    </row>
    <row r="120" spans="1:8">
      <c r="A120" s="154" t="str">
        <f>Expenses!B120</f>
        <v>615-5011-2</v>
      </c>
      <c r="B120" s="261" t="str">
        <f>Expenses!C120</f>
        <v>Purchased Power- Master Mtrs</v>
      </c>
      <c r="C120" s="147">
        <f>Expenses!J120</f>
        <v>4902</v>
      </c>
      <c r="D120" s="300" t="s">
        <v>693</v>
      </c>
      <c r="E120" s="546">
        <f>VLOOKUP(D120,'W-Alloc Met-TY Adj'!$C$8:$D$10,2,FALSE)*C120</f>
        <v>4330.3382462989266</v>
      </c>
      <c r="F120" s="546">
        <f>VLOOKUP(D120,'W-Alloc Met-TY Adj'!$C$8:$E$10,3,FALSE)*C120</f>
        <v>571.66175370107305</v>
      </c>
      <c r="G120" s="546">
        <f>VLOOKUP(D120,'W-Alloc Met-TY Adj'!$C$8:$F$10,4,FALSE)*C120</f>
        <v>0</v>
      </c>
      <c r="H120" s="17"/>
    </row>
    <row r="121" spans="1:8">
      <c r="A121" s="154" t="str">
        <f>Expenses!B121</f>
        <v>615-7001-2</v>
      </c>
      <c r="B121" s="261" t="str">
        <f>Expenses!C121</f>
        <v>Purchased Power- Property</v>
      </c>
      <c r="C121" s="147">
        <f>Expenses!J121</f>
        <v>2376</v>
      </c>
      <c r="D121" s="300" t="s">
        <v>691</v>
      </c>
      <c r="E121" s="546">
        <f>VLOOKUP(D121,'W-Alloc Met-TY Adj'!$C$8:$D$10,2,FALSE)*C121</f>
        <v>2376</v>
      </c>
      <c r="F121" s="546">
        <f>VLOOKUP(D121,'W-Alloc Met-TY Adj'!$C$8:$E$10,3,FALSE)*C121</f>
        <v>0</v>
      </c>
      <c r="G121" s="546">
        <f>VLOOKUP(D121,'W-Alloc Met-TY Adj'!$C$8:$F$10,4,FALSE)*C121</f>
        <v>0</v>
      </c>
      <c r="H121" s="583"/>
    </row>
    <row r="122" spans="1:8">
      <c r="A122" s="154" t="str">
        <f>Expenses!B122</f>
        <v>415-0000-2</v>
      </c>
      <c r="B122" s="261" t="str">
        <f>Expenses!C122</f>
        <v xml:space="preserve">Reimbursement- Trucks &amp; Equipment </v>
      </c>
      <c r="C122" s="147">
        <f>Expenses!J122</f>
        <v>0</v>
      </c>
      <c r="D122" s="300" t="s">
        <v>691</v>
      </c>
      <c r="E122" s="546">
        <f>VLOOKUP(D122,'W-Alloc Met-TY Adj'!$C$8:$D$10,2,FALSE)*C122</f>
        <v>0</v>
      </c>
      <c r="F122" s="546">
        <f>VLOOKUP(D122,'W-Alloc Met-TY Adj'!$C$8:$E$10,3,FALSE)*C122</f>
        <v>0</v>
      </c>
      <c r="G122" s="546">
        <f>VLOOKUP(D122,'W-Alloc Met-TY Adj'!$C$8:$F$10,4,FALSE)*C122</f>
        <v>0</v>
      </c>
      <c r="H122" s="583"/>
    </row>
    <row r="123" spans="1:8">
      <c r="A123" s="154" t="str">
        <f>Expenses!B123</f>
        <v>416-0000-3</v>
      </c>
      <c r="B123" s="261" t="str">
        <f>Expenses!C123</f>
        <v xml:space="preserve">Expense - Trucks &amp; Equipment </v>
      </c>
      <c r="C123" s="147">
        <f>Expenses!J123</f>
        <v>0</v>
      </c>
      <c r="D123" s="300" t="s">
        <v>691</v>
      </c>
      <c r="E123" s="546">
        <f>VLOOKUP(D123,'W-Alloc Met-TY Adj'!$C$8:$D$10,2,FALSE)*C123</f>
        <v>0</v>
      </c>
      <c r="F123" s="546">
        <f>VLOOKUP(D123,'W-Alloc Met-TY Adj'!$C$8:$E$10,3,FALSE)*C123</f>
        <v>0</v>
      </c>
      <c r="G123" s="546">
        <f>VLOOKUP(D123,'W-Alloc Met-TY Adj'!$C$8:$F$10,4,FALSE)*C123</f>
        <v>0</v>
      </c>
      <c r="H123" s="583"/>
    </row>
    <row r="124" spans="1:8">
      <c r="A124" s="154" t="str">
        <f>Expenses!B124</f>
        <v>408-0000-2</v>
      </c>
      <c r="B124" s="261" t="str">
        <f>Expenses!C124</f>
        <v>PSC Assessment</v>
      </c>
      <c r="C124" s="147">
        <f>Expenses!J124</f>
        <v>20980</v>
      </c>
      <c r="D124" s="300" t="s">
        <v>691</v>
      </c>
      <c r="E124" s="546">
        <f>VLOOKUP(D124,'W-Alloc Met-TY Adj'!$C$8:$D$10,2,FALSE)*C124</f>
        <v>20980</v>
      </c>
      <c r="F124" s="546">
        <f>VLOOKUP(D124,'W-Alloc Met-TY Adj'!$C$8:$E$10,3,FALSE)*C124</f>
        <v>0</v>
      </c>
      <c r="G124" s="546">
        <f>VLOOKUP(D124,'W-Alloc Met-TY Adj'!$C$8:$F$10,4,FALSE)*C124</f>
        <v>0</v>
      </c>
      <c r="H124" s="583"/>
    </row>
    <row r="125" spans="1:8">
      <c r="A125" s="154" t="str">
        <f>Expenses!B125</f>
        <v>670-7001-2</v>
      </c>
      <c r="B125" s="261" t="str">
        <f>Expenses!C125</f>
        <v>Bad Debt Expense</v>
      </c>
      <c r="C125" s="147">
        <f>Expenses!J125</f>
        <v>20960</v>
      </c>
      <c r="D125" s="300" t="s">
        <v>691</v>
      </c>
      <c r="E125" s="546">
        <f>VLOOKUP(D125,'W-Alloc Met-TY Adj'!$C$8:$D$10,2,FALSE)*C125</f>
        <v>20960</v>
      </c>
      <c r="F125" s="546">
        <f>VLOOKUP(D125,'W-Alloc Met-TY Adj'!$C$8:$E$10,3,FALSE)*C125</f>
        <v>0</v>
      </c>
      <c r="G125" s="546">
        <f>VLOOKUP(D125,'W-Alloc Met-TY Adj'!$C$8:$F$10,4,FALSE)*C125</f>
        <v>0</v>
      </c>
      <c r="H125" s="583"/>
    </row>
    <row r="126" spans="1:8">
      <c r="A126" s="154" t="str">
        <f>Expenses!B126</f>
        <v>-</v>
      </c>
      <c r="B126" s="261" t="str">
        <f>Expenses!C126</f>
        <v>Bad Debt Expense</v>
      </c>
      <c r="C126" s="147">
        <f>Expenses!J126</f>
        <v>0</v>
      </c>
      <c r="D126" s="300" t="s">
        <v>691</v>
      </c>
      <c r="E126" s="546">
        <f>VLOOKUP(D126,'W-Alloc Met-TY Adj'!$C$8:$D$10,2,FALSE)*C126</f>
        <v>0</v>
      </c>
      <c r="F126" s="546">
        <f>VLOOKUP(D126,'W-Alloc Met-TY Adj'!$C$8:$E$10,3,FALSE)*C126</f>
        <v>0</v>
      </c>
      <c r="G126" s="546">
        <f>VLOOKUP(D126,'W-Alloc Met-TY Adj'!$C$8:$F$10,4,FALSE)*C126</f>
        <v>0</v>
      </c>
      <c r="H126" s="583"/>
    </row>
    <row r="127" spans="1:8">
      <c r="A127" s="154" t="str">
        <f>Expenses!B127</f>
        <v>675-7021-2</v>
      </c>
      <c r="B127" s="261" t="str">
        <f>Expenses!C127</f>
        <v>Misc Expense- Cash Over/Short (CIS)</v>
      </c>
      <c r="C127" s="147">
        <f>Expenses!J127</f>
        <v>-3</v>
      </c>
      <c r="D127" s="300" t="s">
        <v>691</v>
      </c>
      <c r="E127" s="546">
        <f>VLOOKUP(D127,'W-Alloc Met-TY Adj'!$C$8:$D$10,2,FALSE)*C127</f>
        <v>-3</v>
      </c>
      <c r="F127" s="546">
        <f>VLOOKUP(D127,'W-Alloc Met-TY Adj'!$C$8:$E$10,3,FALSE)*C127</f>
        <v>0</v>
      </c>
      <c r="G127" s="546">
        <f>VLOOKUP(D127,'W-Alloc Met-TY Adj'!$C$8:$F$10,4,FALSE)*C127</f>
        <v>0</v>
      </c>
      <c r="H127" s="583"/>
    </row>
    <row r="128" spans="1:8">
      <c r="A128" s="154" t="str">
        <f>Expenses!B128</f>
        <v>675-7025-2</v>
      </c>
      <c r="B128" s="261" t="str">
        <f>Expenses!C128</f>
        <v>Misc Expense- Customer FB (CIS)</v>
      </c>
      <c r="C128" s="147">
        <f>Expenses!J128</f>
        <v>0</v>
      </c>
      <c r="D128" s="300" t="s">
        <v>691</v>
      </c>
      <c r="E128" s="546">
        <f>VLOOKUP(D128,'W-Alloc Met-TY Adj'!$C$8:$D$10,2,FALSE)*C128</f>
        <v>0</v>
      </c>
      <c r="F128" s="546">
        <f>VLOOKUP(D128,'W-Alloc Met-TY Adj'!$C$8:$E$10,3,FALSE)*C128</f>
        <v>0</v>
      </c>
      <c r="G128" s="546">
        <f>VLOOKUP(D128,'W-Alloc Met-TY Adj'!$C$8:$F$10,4,FALSE)*C128</f>
        <v>0</v>
      </c>
      <c r="H128" s="583"/>
    </row>
    <row r="129" spans="1:8">
      <c r="A129" s="154" t="str">
        <f>Expenses!B129</f>
        <v>-</v>
      </c>
      <c r="B129" s="261" t="str">
        <f>Expenses!C129</f>
        <v>Non-Utility Income</v>
      </c>
      <c r="C129" s="147">
        <f>Expenses!J129</f>
        <v>0</v>
      </c>
      <c r="D129" s="300" t="s">
        <v>691</v>
      </c>
      <c r="E129" s="546">
        <f>VLOOKUP(D129,'W-Alloc Met-TY Adj'!$C$8:$D$10,2,FALSE)*C129</f>
        <v>0</v>
      </c>
      <c r="F129" s="546">
        <f>VLOOKUP(D129,'W-Alloc Met-TY Adj'!$C$8:$E$10,3,FALSE)*C129</f>
        <v>0</v>
      </c>
      <c r="G129" s="546">
        <f>VLOOKUP(D129,'W-Alloc Met-TY Adj'!$C$8:$F$10,4,FALSE)*C129</f>
        <v>0</v>
      </c>
      <c r="H129" s="583"/>
    </row>
    <row r="130" spans="1:8">
      <c r="A130" s="154" t="str">
        <f>Expenses!B130</f>
        <v>421-0001-2</v>
      </c>
      <c r="B130" s="261" t="str">
        <f>Expenses!C130</f>
        <v>Non-Utility Income- Miscellaneous</v>
      </c>
      <c r="C130" s="147">
        <f>Expenses!J130</f>
        <v>-11001</v>
      </c>
      <c r="D130" s="300" t="s">
        <v>691</v>
      </c>
      <c r="E130" s="546">
        <f>VLOOKUP(D130,'W-Alloc Met-TY Adj'!$C$8:$D$10,2,FALSE)*C130</f>
        <v>-11001</v>
      </c>
      <c r="F130" s="546">
        <f>VLOOKUP(D130,'W-Alloc Met-TY Adj'!$C$8:$E$10,3,FALSE)*C130</f>
        <v>0</v>
      </c>
      <c r="G130" s="546">
        <f>VLOOKUP(D130,'W-Alloc Met-TY Adj'!$C$8:$F$10,4,FALSE)*C130</f>
        <v>0</v>
      </c>
      <c r="H130" s="583"/>
    </row>
    <row r="131" spans="1:8">
      <c r="A131" s="154" t="str">
        <f>Expenses!B131</f>
        <v>426-0000-2</v>
      </c>
      <c r="B131" s="261" t="str">
        <f>Expenses!C131</f>
        <v>Unrealized (Gain)/Loss on Investments</v>
      </c>
      <c r="C131" s="147">
        <f>Expenses!J131</f>
        <v>3996</v>
      </c>
      <c r="D131" s="300" t="s">
        <v>691</v>
      </c>
      <c r="E131" s="546">
        <f>VLOOKUP(D131,'W-Alloc Met-TY Adj'!$C$8:$D$10,2,FALSE)*C131</f>
        <v>3996</v>
      </c>
      <c r="F131" s="546">
        <f>VLOOKUP(D131,'W-Alloc Met-TY Adj'!$C$8:$E$10,3,FALSE)*C131</f>
        <v>0</v>
      </c>
      <c r="G131" s="546">
        <f>VLOOKUP(D131,'W-Alloc Met-TY Adj'!$C$8:$F$10,4,FALSE)*C131</f>
        <v>0</v>
      </c>
      <c r="H131" s="583"/>
    </row>
    <row r="132" spans="1:8">
      <c r="A132" s="154"/>
      <c r="B132" s="261" t="str">
        <f>Expenses!C132</f>
        <v>Rate Case Expenses</v>
      </c>
      <c r="C132" s="147">
        <f>Expenses!J132</f>
        <v>64495.4</v>
      </c>
      <c r="D132" s="300" t="s">
        <v>691</v>
      </c>
      <c r="E132" s="546">
        <f>VLOOKUP(D132,'W-Alloc Met-TY Adj'!$C$8:$D$10,2,FALSE)*C132</f>
        <v>64495.4</v>
      </c>
      <c r="F132" s="546">
        <f>VLOOKUP(D132,'W-Alloc Met-TY Adj'!$C$8:$E$10,3,FALSE)*C132</f>
        <v>0</v>
      </c>
      <c r="G132" s="546">
        <f>VLOOKUP(D132,'W-Alloc Met-TY Adj'!$C$8:$F$10,4,FALSE)*C132</f>
        <v>0</v>
      </c>
      <c r="H132" s="583"/>
    </row>
    <row r="133" spans="1:8">
      <c r="A133" s="154"/>
      <c r="B133" s="261" t="str">
        <f>Expenses!C133</f>
        <v>-</v>
      </c>
      <c r="C133" s="147">
        <f>Expenses!J133</f>
        <v>0</v>
      </c>
      <c r="D133" s="300" t="s">
        <v>691</v>
      </c>
      <c r="E133" s="546">
        <f>VLOOKUP(D133,'W-Alloc Met-TY Adj'!$C$8:$D$10,2,FALSE)*C133</f>
        <v>0</v>
      </c>
      <c r="F133" s="546">
        <f>VLOOKUP(D133,'W-Alloc Met-TY Adj'!$C$8:$E$10,3,FALSE)*C133</f>
        <v>0</v>
      </c>
      <c r="G133" s="546">
        <f>VLOOKUP(D133,'W-Alloc Met-TY Adj'!$C$8:$F$10,4,FALSE)*C133</f>
        <v>0</v>
      </c>
      <c r="H133" s="583"/>
    </row>
    <row r="134" spans="1:8">
      <c r="A134" s="154"/>
      <c r="B134" s="261" t="str">
        <f>Expenses!C134</f>
        <v>-</v>
      </c>
      <c r="C134" s="147">
        <f>Expenses!J134</f>
        <v>0</v>
      </c>
      <c r="D134" s="300" t="s">
        <v>691</v>
      </c>
      <c r="E134" s="546">
        <f>VLOOKUP(D134,'W-Alloc Met-TY Adj'!$C$8:$D$10,2,FALSE)*C134</f>
        <v>0</v>
      </c>
      <c r="F134" s="546">
        <f>VLOOKUP(D134,'W-Alloc Met-TY Adj'!$C$8:$E$10,3,FALSE)*C134</f>
        <v>0</v>
      </c>
      <c r="G134" s="546">
        <f>VLOOKUP(D134,'W-Alloc Met-TY Adj'!$C$8:$F$10,4,FALSE)*C134</f>
        <v>0</v>
      </c>
      <c r="H134" s="583"/>
    </row>
    <row r="135" spans="1:8">
      <c r="A135" s="154"/>
      <c r="B135" s="261" t="str">
        <f>Expenses!C135</f>
        <v>-</v>
      </c>
      <c r="C135" s="147">
        <f>Expenses!J135</f>
        <v>0</v>
      </c>
      <c r="D135" s="300" t="s">
        <v>691</v>
      </c>
      <c r="E135" s="546">
        <f>VLOOKUP(D135,'W-Alloc Met-TY Adj'!$C$8:$D$10,2,FALSE)*C135</f>
        <v>0</v>
      </c>
      <c r="F135" s="546">
        <f>VLOOKUP(D135,'W-Alloc Met-TY Adj'!$C$8:$E$10,3,FALSE)*C135</f>
        <v>0</v>
      </c>
      <c r="G135" s="546">
        <f>VLOOKUP(D135,'W-Alloc Met-TY Adj'!$C$8:$F$10,4,FALSE)*C135</f>
        <v>0</v>
      </c>
      <c r="H135" s="583"/>
    </row>
    <row r="136" spans="1:8">
      <c r="A136" s="154"/>
      <c r="B136" s="261" t="str">
        <f>Expenses!C136</f>
        <v>-</v>
      </c>
      <c r="C136" s="147">
        <f>Expenses!J136</f>
        <v>0</v>
      </c>
      <c r="D136" s="300" t="s">
        <v>691</v>
      </c>
      <c r="E136" s="546">
        <f>VLOOKUP(D136,'W-Alloc Met-TY Adj'!$C$8:$D$10,2,FALSE)*C136</f>
        <v>0</v>
      </c>
      <c r="F136" s="546">
        <f>VLOOKUP(D136,'W-Alloc Met-TY Adj'!$C$8:$E$10,3,FALSE)*C136</f>
        <v>0</v>
      </c>
      <c r="G136" s="546">
        <f>VLOOKUP(D136,'W-Alloc Met-TY Adj'!$C$8:$F$10,4,FALSE)*C136</f>
        <v>0</v>
      </c>
      <c r="H136" s="583"/>
    </row>
    <row r="137" spans="1:8">
      <c r="A137" s="855"/>
      <c r="B137" s="261" t="str">
        <f>Expenses!C137</f>
        <v>-</v>
      </c>
      <c r="C137" s="320">
        <f>Expenses!J137</f>
        <v>0</v>
      </c>
      <c r="D137" s="299" t="s">
        <v>691</v>
      </c>
      <c r="E137" s="768">
        <f>VLOOKUP(D137,'W-Alloc Met-TY Adj'!$C$8:$D$10,2,FALSE)*C137</f>
        <v>0</v>
      </c>
      <c r="F137" s="768">
        <f>VLOOKUP(D137,'W-Alloc Met-TY Adj'!$C$8:$E$10,3,FALSE)*C137</f>
        <v>0</v>
      </c>
      <c r="G137" s="769">
        <f>VLOOKUP(D137,'W-Alloc Met-TY Adj'!$C$8:$F$10,4,FALSE)*C137</f>
        <v>0</v>
      </c>
      <c r="H137" s="583"/>
    </row>
    <row r="138" spans="1:8">
      <c r="A138" s="860"/>
      <c r="B138" s="544" t="s">
        <v>29</v>
      </c>
      <c r="C138" s="545">
        <f>SUM(C119:C137)</f>
        <v>106705.4</v>
      </c>
      <c r="D138" s="545"/>
      <c r="E138" s="545">
        <f>SUM(E119:E137)</f>
        <v>106133.73824629892</v>
      </c>
      <c r="F138" s="545">
        <f>SUM(F119:F137)</f>
        <v>571.66175370107305</v>
      </c>
      <c r="G138" s="545">
        <f>SUM(G119:G137)</f>
        <v>0</v>
      </c>
      <c r="H138" s="583"/>
    </row>
    <row r="139" spans="1:8">
      <c r="A139" s="855"/>
      <c r="B139" s="266"/>
      <c r="C139" s="45"/>
      <c r="H139" s="583"/>
    </row>
    <row r="140" spans="1:8">
      <c r="A140" s="855"/>
      <c r="B140" s="262" t="s">
        <v>388</v>
      </c>
      <c r="C140" s="259"/>
      <c r="D140" s="153"/>
      <c r="E140" s="153"/>
      <c r="F140" s="153"/>
      <c r="G140" s="153"/>
      <c r="H140" s="583"/>
    </row>
    <row r="141" spans="1:8">
      <c r="A141" s="154"/>
      <c r="B141" s="267" t="str">
        <f>Expenses!C141</f>
        <v>Improvement (Land)</v>
      </c>
      <c r="C141" s="147">
        <f>Expenses!J141</f>
        <v>0</v>
      </c>
      <c r="D141" s="300" t="s">
        <v>691</v>
      </c>
      <c r="E141" s="546">
        <f>VLOOKUP(D141,'W-Alloc Met-TY Adj'!$C$8:$D$10,2,FALSE)*C141</f>
        <v>0</v>
      </c>
      <c r="F141" s="546">
        <f>VLOOKUP(D141,'W-Alloc Met-TY Adj'!$C$8:$E$10,3,FALSE)*C141</f>
        <v>0</v>
      </c>
      <c r="G141" s="546">
        <f>VLOOKUP(D141,'W-Alloc Met-TY Adj'!$C$8:$F$10,4,FALSE)*C141</f>
        <v>0</v>
      </c>
      <c r="H141" s="610"/>
    </row>
    <row r="142" spans="1:8">
      <c r="A142" s="154" t="s">
        <v>392</v>
      </c>
      <c r="B142" s="267" t="str">
        <f>Expenses!C142</f>
        <v>Structures</v>
      </c>
      <c r="C142" s="147">
        <f>Expenses!J142</f>
        <v>205951</v>
      </c>
      <c r="D142" s="300" t="s">
        <v>691</v>
      </c>
      <c r="E142" s="546">
        <f>VLOOKUP(D142,'W-Alloc Met-TY Adj'!$C$8:$D$10,2,FALSE)*C142</f>
        <v>205951</v>
      </c>
      <c r="F142" s="546">
        <f>VLOOKUP(D142,'W-Alloc Met-TY Adj'!$C$8:$E$10,3,FALSE)*C142</f>
        <v>0</v>
      </c>
      <c r="G142" s="546">
        <f>VLOOKUP(D142,'W-Alloc Met-TY Adj'!$C$8:$F$10,4,FALSE)*C142</f>
        <v>0</v>
      </c>
      <c r="H142" s="583"/>
    </row>
    <row r="143" spans="1:8">
      <c r="A143" s="154"/>
      <c r="B143" s="267" t="str">
        <f>Expenses!C143</f>
        <v>Office Building</v>
      </c>
      <c r="C143" s="147">
        <f>Expenses!J143</f>
        <v>0</v>
      </c>
      <c r="D143" s="300" t="s">
        <v>691</v>
      </c>
      <c r="E143" s="546">
        <f>VLOOKUP(D143,'W-Alloc Met-TY Adj'!$C$8:$D$10,2,FALSE)*C143</f>
        <v>0</v>
      </c>
      <c r="F143" s="546">
        <f>VLOOKUP(D143,'W-Alloc Met-TY Adj'!$C$8:$E$10,3,FALSE)*C143</f>
        <v>0</v>
      </c>
      <c r="G143" s="546">
        <f>VLOOKUP(D143,'W-Alloc Met-TY Adj'!$C$8:$F$10,4,FALSE)*C143</f>
        <v>0</v>
      </c>
      <c r="H143" s="583"/>
    </row>
    <row r="144" spans="1:8">
      <c r="A144" s="154" t="s">
        <v>398</v>
      </c>
      <c r="B144" s="267" t="str">
        <f>Expenses!C144</f>
        <v>Equip (Elec Plumbing)</v>
      </c>
      <c r="C144" s="147">
        <f>Expenses!J144</f>
        <v>133962</v>
      </c>
      <c r="D144" s="300" t="s">
        <v>691</v>
      </c>
      <c r="E144" s="546">
        <f>VLOOKUP(D144,'W-Alloc Met-TY Adj'!$C$8:$D$10,2,FALSE)*C144</f>
        <v>133962</v>
      </c>
      <c r="F144" s="546">
        <f>VLOOKUP(D144,'W-Alloc Met-TY Adj'!$C$8:$E$10,3,FALSE)*C144</f>
        <v>0</v>
      </c>
      <c r="G144" s="546">
        <f>VLOOKUP(D144,'W-Alloc Met-TY Adj'!$C$8:$F$10,4,FALSE)*C144</f>
        <v>0</v>
      </c>
      <c r="H144" s="583"/>
    </row>
    <row r="145" spans="1:8">
      <c r="A145" s="154" t="s">
        <v>401</v>
      </c>
      <c r="B145" s="267" t="str">
        <f>Expenses!C145</f>
        <v>Standpipes</v>
      </c>
      <c r="C145" s="147">
        <f>Expenses!J145</f>
        <v>420299</v>
      </c>
      <c r="D145" s="300" t="s">
        <v>691</v>
      </c>
      <c r="E145" s="546">
        <f>VLOOKUP(D145,'W-Alloc Met-TY Adj'!$C$8:$D$10,2,FALSE)*C145</f>
        <v>420299</v>
      </c>
      <c r="F145" s="546">
        <f>VLOOKUP(D145,'W-Alloc Met-TY Adj'!$C$8:$E$10,3,FALSE)*C145</f>
        <v>0</v>
      </c>
      <c r="G145" s="546">
        <f>VLOOKUP(D145,'W-Alloc Met-TY Adj'!$C$8:$F$10,4,FALSE)*C145</f>
        <v>0</v>
      </c>
      <c r="H145" s="583"/>
    </row>
    <row r="146" spans="1:8">
      <c r="A146" s="154" t="s">
        <v>404</v>
      </c>
      <c r="B146" s="267" t="str">
        <f>Expenses!C146</f>
        <v>Mains (T&amp;D)</v>
      </c>
      <c r="C146" s="147">
        <f>Expenses!J146</f>
        <v>1224338.8800000001</v>
      </c>
      <c r="D146" s="300" t="s">
        <v>691</v>
      </c>
      <c r="E146" s="546">
        <f>VLOOKUP(D146,'W-Alloc Met-TY Adj'!$C$8:$D$10,2,FALSE)*C146</f>
        <v>1224338.8800000001</v>
      </c>
      <c r="F146" s="546">
        <f>VLOOKUP(D146,'W-Alloc Met-TY Adj'!$C$8:$E$10,3,FALSE)*C146</f>
        <v>0</v>
      </c>
      <c r="G146" s="546">
        <f>VLOOKUP(D146,'W-Alloc Met-TY Adj'!$C$8:$F$10,4,FALSE)*C146</f>
        <v>0</v>
      </c>
      <c r="H146" s="583"/>
    </row>
    <row r="147" spans="1:8">
      <c r="A147" s="154" t="s">
        <v>408</v>
      </c>
      <c r="B147" s="267" t="str">
        <f>Expenses!C147</f>
        <v>SCADA</v>
      </c>
      <c r="C147" s="147">
        <f>Expenses!J147</f>
        <v>250510.07999999999</v>
      </c>
      <c r="D147" s="300" t="s">
        <v>691</v>
      </c>
      <c r="E147" s="546">
        <f>VLOOKUP(D147,'W-Alloc Met-TY Adj'!$C$8:$D$10,2,FALSE)*C147</f>
        <v>250510.07999999999</v>
      </c>
      <c r="F147" s="546">
        <f>VLOOKUP(D147,'W-Alloc Met-TY Adj'!$C$8:$E$10,3,FALSE)*C147</f>
        <v>0</v>
      </c>
      <c r="G147" s="546">
        <f>VLOOKUP(D147,'W-Alloc Met-TY Adj'!$C$8:$F$10,4,FALSE)*C147</f>
        <v>0</v>
      </c>
      <c r="H147" s="583"/>
    </row>
    <row r="148" spans="1:8">
      <c r="A148" s="154" t="s">
        <v>412</v>
      </c>
      <c r="B148" s="267" t="str">
        <f>Expenses!C148</f>
        <v>Meters  (Services)</v>
      </c>
      <c r="C148" s="147">
        <f>Expenses!J148</f>
        <v>337967</v>
      </c>
      <c r="D148" s="300" t="s">
        <v>691</v>
      </c>
      <c r="E148" s="546">
        <f>VLOOKUP(D148,'W-Alloc Met-TY Adj'!$C$8:$D$10,2,FALSE)*C148</f>
        <v>337967</v>
      </c>
      <c r="F148" s="546">
        <f>VLOOKUP(D148,'W-Alloc Met-TY Adj'!$C$8:$E$10,3,FALSE)*C148</f>
        <v>0</v>
      </c>
      <c r="G148" s="546">
        <f>VLOOKUP(D148,'W-Alloc Met-TY Adj'!$C$8:$F$10,4,FALSE)*C148</f>
        <v>0</v>
      </c>
      <c r="H148" s="583"/>
    </row>
    <row r="149" spans="1:8">
      <c r="A149" s="154" t="s">
        <v>415</v>
      </c>
      <c r="B149" s="267" t="str">
        <f>Expenses!C149</f>
        <v>Meters</v>
      </c>
      <c r="C149" s="147">
        <f>Expenses!J149</f>
        <v>973066</v>
      </c>
      <c r="D149" s="300" t="s">
        <v>691</v>
      </c>
      <c r="E149" s="546">
        <f>VLOOKUP(D149,'W-Alloc Met-TY Adj'!$C$8:$D$10,2,FALSE)*C149</f>
        <v>973066</v>
      </c>
      <c r="F149" s="546">
        <f>VLOOKUP(D149,'W-Alloc Met-TY Adj'!$C$8:$E$10,3,FALSE)*C149</f>
        <v>0</v>
      </c>
      <c r="G149" s="546">
        <f>VLOOKUP(D149,'W-Alloc Met-TY Adj'!$C$8:$F$10,4,FALSE)*C149</f>
        <v>0</v>
      </c>
      <c r="H149" s="583"/>
    </row>
    <row r="150" spans="1:8">
      <c r="A150" s="154" t="s">
        <v>418</v>
      </c>
      <c r="B150" s="267" t="str">
        <f>Expenses!C150</f>
        <v>Meters (Installations)</v>
      </c>
      <c r="C150" s="147">
        <f>Expenses!J150</f>
        <v>342155</v>
      </c>
      <c r="D150" s="300" t="s">
        <v>691</v>
      </c>
      <c r="E150" s="546">
        <f>VLOOKUP(D150,'W-Alloc Met-TY Adj'!$C$8:$D$10,2,FALSE)*C150</f>
        <v>342155</v>
      </c>
      <c r="F150" s="546">
        <f>VLOOKUP(D150,'W-Alloc Met-TY Adj'!$C$8:$E$10,3,FALSE)*C150</f>
        <v>0</v>
      </c>
      <c r="G150" s="546">
        <f>VLOOKUP(D150,'W-Alloc Met-TY Adj'!$C$8:$F$10,4,FALSE)*C150</f>
        <v>0</v>
      </c>
      <c r="H150" s="583"/>
    </row>
    <row r="151" spans="1:8">
      <c r="A151" s="154" t="s">
        <v>422</v>
      </c>
      <c r="B151" s="267" t="str">
        <f>Expenses!C151</f>
        <v>Hydrants</v>
      </c>
      <c r="C151" s="147">
        <f>Expenses!J151</f>
        <v>127100.94</v>
      </c>
      <c r="D151" s="300" t="s">
        <v>691</v>
      </c>
      <c r="E151" s="546">
        <f>VLOOKUP(D151,'W-Alloc Met-TY Adj'!$C$8:$D$10,2,FALSE)*C151</f>
        <v>127100.94</v>
      </c>
      <c r="F151" s="546">
        <f>VLOOKUP(D151,'W-Alloc Met-TY Adj'!$C$8:$E$10,3,FALSE)*C151</f>
        <v>0</v>
      </c>
      <c r="G151" s="546">
        <f>VLOOKUP(D151,'W-Alloc Met-TY Adj'!$C$8:$F$10,4,FALSE)*C151</f>
        <v>0</v>
      </c>
      <c r="H151" s="583"/>
    </row>
    <row r="152" spans="1:8">
      <c r="A152" s="154" t="s">
        <v>425</v>
      </c>
      <c r="B152" s="267" t="str">
        <f>Expenses!C152</f>
        <v>Equipment (Plumbing)</v>
      </c>
      <c r="C152" s="147">
        <f>Expenses!J152</f>
        <v>12</v>
      </c>
      <c r="D152" s="300" t="s">
        <v>691</v>
      </c>
      <c r="E152" s="546">
        <f>VLOOKUP(D152,'W-Alloc Met-TY Adj'!$C$8:$D$10,2,FALSE)*C152</f>
        <v>12</v>
      </c>
      <c r="F152" s="546">
        <f>VLOOKUP(D152,'W-Alloc Met-TY Adj'!$C$8:$E$10,3,FALSE)*C152</f>
        <v>0</v>
      </c>
      <c r="G152" s="546">
        <f>VLOOKUP(D152,'W-Alloc Met-TY Adj'!$C$8:$F$10,4,FALSE)*C152</f>
        <v>0</v>
      </c>
      <c r="H152" s="583"/>
    </row>
    <row r="153" spans="1:8">
      <c r="A153" s="154" t="s">
        <v>428</v>
      </c>
      <c r="B153" s="267" t="str">
        <f>Expenses!C153</f>
        <v>Software</v>
      </c>
      <c r="C153" s="147">
        <f>Expenses!J153</f>
        <v>196823.81</v>
      </c>
      <c r="D153" s="300" t="s">
        <v>691</v>
      </c>
      <c r="E153" s="546">
        <f>VLOOKUP(D153,'W-Alloc Met-TY Adj'!$C$8:$D$10,2,FALSE)*C153</f>
        <v>196823.81</v>
      </c>
      <c r="F153" s="546">
        <f>VLOOKUP(D153,'W-Alloc Met-TY Adj'!$C$8:$E$10,3,FALSE)*C153</f>
        <v>0</v>
      </c>
      <c r="G153" s="546">
        <f>VLOOKUP(D153,'W-Alloc Met-TY Adj'!$C$8:$F$10,4,FALSE)*C153</f>
        <v>0</v>
      </c>
      <c r="H153" s="583"/>
    </row>
    <row r="154" spans="1:8">
      <c r="A154" s="154" t="s">
        <v>432</v>
      </c>
      <c r="B154" s="267" t="str">
        <f>Expenses!C154</f>
        <v>Hardware</v>
      </c>
      <c r="C154" s="147">
        <f>Expenses!J154</f>
        <v>68319</v>
      </c>
      <c r="D154" s="300" t="s">
        <v>691</v>
      </c>
      <c r="E154" s="546">
        <f>VLOOKUP(D154,'W-Alloc Met-TY Adj'!$C$8:$D$10,2,FALSE)*C154</f>
        <v>68319</v>
      </c>
      <c r="F154" s="546">
        <f>VLOOKUP(D154,'W-Alloc Met-TY Adj'!$C$8:$E$10,3,FALSE)*C154</f>
        <v>0</v>
      </c>
      <c r="G154" s="546">
        <f>VLOOKUP(D154,'W-Alloc Met-TY Adj'!$C$8:$F$10,4,FALSE)*C154</f>
        <v>0</v>
      </c>
      <c r="H154" s="583"/>
    </row>
    <row r="155" spans="1:8">
      <c r="A155" s="154" t="s">
        <v>435</v>
      </c>
      <c r="B155" s="267" t="str">
        <f>Expenses!C155</f>
        <v>Datamatic</v>
      </c>
      <c r="C155" s="147">
        <f>Expenses!J155</f>
        <v>0</v>
      </c>
      <c r="D155" s="300" t="s">
        <v>691</v>
      </c>
      <c r="E155" s="546">
        <f>VLOOKUP(D155,'W-Alloc Met-TY Adj'!$C$8:$D$10,2,FALSE)*C155</f>
        <v>0</v>
      </c>
      <c r="F155" s="546">
        <f>VLOOKUP(D155,'W-Alloc Met-TY Adj'!$C$8:$E$10,3,FALSE)*C155</f>
        <v>0</v>
      </c>
      <c r="G155" s="546">
        <f>VLOOKUP(D155,'W-Alloc Met-TY Adj'!$C$8:$F$10,4,FALSE)*C155</f>
        <v>0</v>
      </c>
      <c r="H155" s="583"/>
    </row>
    <row r="156" spans="1:8">
      <c r="A156" s="154" t="s">
        <v>438</v>
      </c>
      <c r="B156" s="267" t="str">
        <f>Expenses!C156</f>
        <v xml:space="preserve">Furniture &amp; Equipment </v>
      </c>
      <c r="C156" s="147">
        <f>Expenses!J156</f>
        <v>606</v>
      </c>
      <c r="D156" s="300" t="s">
        <v>691</v>
      </c>
      <c r="E156" s="546">
        <f>VLOOKUP(D156,'W-Alloc Met-TY Adj'!$C$8:$D$10,2,FALSE)*C156</f>
        <v>606</v>
      </c>
      <c r="F156" s="546">
        <f>VLOOKUP(D156,'W-Alloc Met-TY Adj'!$C$8:$E$10,3,FALSE)*C156</f>
        <v>0</v>
      </c>
      <c r="G156" s="546">
        <f>VLOOKUP(D156,'W-Alloc Met-TY Adj'!$C$8:$F$10,4,FALSE)*C156</f>
        <v>0</v>
      </c>
      <c r="H156" s="583"/>
    </row>
    <row r="157" spans="1:8">
      <c r="A157" s="154" t="s">
        <v>441</v>
      </c>
      <c r="B157" s="267" t="str">
        <f>Expenses!C157</f>
        <v>Trucks &amp; Equipment</v>
      </c>
      <c r="C157" s="147">
        <f>Expenses!J157</f>
        <v>0</v>
      </c>
      <c r="D157" s="300" t="s">
        <v>691</v>
      </c>
      <c r="E157" s="546">
        <f>VLOOKUP(D157,'W-Alloc Met-TY Adj'!$C$8:$D$10,2,FALSE)*C157</f>
        <v>0</v>
      </c>
      <c r="F157" s="546">
        <f>VLOOKUP(D157,'W-Alloc Met-TY Adj'!$C$8:$E$10,3,FALSE)*C157</f>
        <v>0</v>
      </c>
      <c r="G157" s="546">
        <f>VLOOKUP(D157,'W-Alloc Met-TY Adj'!$C$8:$F$10,4,FALSE)*C157</f>
        <v>0</v>
      </c>
      <c r="H157" s="583"/>
    </row>
    <row r="158" spans="1:8">
      <c r="A158" s="154" t="s">
        <v>441</v>
      </c>
      <c r="B158" s="267" t="str">
        <f>Expenses!C158</f>
        <v>Equipment (Tools)</v>
      </c>
      <c r="C158" s="147">
        <f>Expenses!J158</f>
        <v>0</v>
      </c>
      <c r="D158" s="300" t="s">
        <v>691</v>
      </c>
      <c r="E158" s="546">
        <f>VLOOKUP(D158,'W-Alloc Met-TY Adj'!$C$8:$D$10,2,FALSE)*C158</f>
        <v>0</v>
      </c>
      <c r="F158" s="546">
        <f>VLOOKUP(D158,'W-Alloc Met-TY Adj'!$C$8:$E$10,3,FALSE)*C158</f>
        <v>0</v>
      </c>
      <c r="G158" s="546">
        <f>VLOOKUP(D158,'W-Alloc Met-TY Adj'!$C$8:$F$10,4,FALSE)*C158</f>
        <v>0</v>
      </c>
      <c r="H158" s="583"/>
    </row>
    <row r="159" spans="1:8">
      <c r="A159" s="154" t="s">
        <v>446</v>
      </c>
      <c r="B159" s="267" t="str">
        <f>Expenses!C159</f>
        <v>Equip (Communication)</v>
      </c>
      <c r="C159" s="147">
        <f>Expenses!J159</f>
        <v>21250</v>
      </c>
      <c r="D159" s="300" t="s">
        <v>691</v>
      </c>
      <c r="E159" s="546">
        <f>VLOOKUP(D159,'W-Alloc Met-TY Adj'!$C$8:$D$10,2,FALSE)*C159</f>
        <v>21250</v>
      </c>
      <c r="F159" s="546">
        <f>VLOOKUP(D159,'W-Alloc Met-TY Adj'!$C$8:$E$10,3,FALSE)*C159</f>
        <v>0</v>
      </c>
      <c r="G159" s="546">
        <f>VLOOKUP(D159,'W-Alloc Met-TY Adj'!$C$8:$F$10,4,FALSE)*C159</f>
        <v>0</v>
      </c>
      <c r="H159" s="583"/>
    </row>
    <row r="160" spans="1:8">
      <c r="A160" s="154" t="s">
        <v>449</v>
      </c>
      <c r="B160" s="267" t="str">
        <f>Expenses!C160</f>
        <v>Depreciation Expense (Old)</v>
      </c>
      <c r="C160" s="147">
        <f>Expenses!J160</f>
        <v>0</v>
      </c>
      <c r="D160" s="300" t="s">
        <v>691</v>
      </c>
      <c r="E160" s="546">
        <f>VLOOKUP(D160,'W-Alloc Met-TY Adj'!$C$8:$D$10,2,FALSE)*C160</f>
        <v>0</v>
      </c>
      <c r="F160" s="546">
        <f>VLOOKUP(D160,'W-Alloc Met-TY Adj'!$C$8:$E$10,3,FALSE)*C160</f>
        <v>0</v>
      </c>
      <c r="G160" s="546">
        <f>VLOOKUP(D160,'W-Alloc Met-TY Adj'!$C$8:$F$10,4,FALSE)*C160</f>
        <v>0</v>
      </c>
      <c r="H160" s="583"/>
    </row>
    <row r="161" spans="1:8">
      <c r="A161" s="154" t="s">
        <v>451</v>
      </c>
      <c r="B161" s="267" t="str">
        <f>Expenses!C161</f>
        <v>Structures</v>
      </c>
      <c r="C161" s="147">
        <f>Expenses!J161</f>
        <v>123171.44</v>
      </c>
      <c r="D161" s="300" t="s">
        <v>691</v>
      </c>
      <c r="E161" s="546">
        <f>VLOOKUP(D161,'W-Alloc Met-TY Adj'!$C$8:$D$10,2,FALSE)*C161</f>
        <v>123171.44</v>
      </c>
      <c r="F161" s="546">
        <f>VLOOKUP(D161,'W-Alloc Met-TY Adj'!$C$8:$E$10,3,FALSE)*C161</f>
        <v>0</v>
      </c>
      <c r="G161" s="546">
        <f>VLOOKUP(D161,'W-Alloc Met-TY Adj'!$C$8:$F$10,4,FALSE)*C161</f>
        <v>0</v>
      </c>
      <c r="H161" s="583"/>
    </row>
    <row r="162" spans="1:8">
      <c r="A162" s="154" t="s">
        <v>453</v>
      </c>
      <c r="B162" s="267" t="str">
        <f>Expenses!C162</f>
        <v>505 Hwy 31 W (Block Bldg)</v>
      </c>
      <c r="C162" s="147">
        <f>Expenses!J162</f>
        <v>5988</v>
      </c>
      <c r="D162" s="300" t="s">
        <v>691</v>
      </c>
      <c r="E162" s="546">
        <f>VLOOKUP(D162,'W-Alloc Met-TY Adj'!$C$8:$D$10,2,FALSE)*C162</f>
        <v>5988</v>
      </c>
      <c r="F162" s="546">
        <f>VLOOKUP(D162,'W-Alloc Met-TY Adj'!$C$8:$E$10,3,FALSE)*C162</f>
        <v>0</v>
      </c>
      <c r="G162" s="546">
        <f>VLOOKUP(D162,'W-Alloc Met-TY Adj'!$C$8:$F$10,4,FALSE)*C162</f>
        <v>0</v>
      </c>
      <c r="H162" s="583"/>
    </row>
    <row r="163" spans="1:8">
      <c r="A163" s="154" t="s">
        <v>455</v>
      </c>
      <c r="B163" s="267" t="str">
        <f>Expenses!C163</f>
        <v>505 Hwy 31 W (Rental Bldg)</v>
      </c>
      <c r="C163" s="147">
        <f>Expenses!J163</f>
        <v>4116</v>
      </c>
      <c r="D163" s="300" t="s">
        <v>691</v>
      </c>
      <c r="E163" s="546">
        <f>VLOOKUP(D163,'W-Alloc Met-TY Adj'!$C$8:$D$10,2,FALSE)*C163</f>
        <v>4116</v>
      </c>
      <c r="F163" s="546">
        <f>VLOOKUP(D163,'W-Alloc Met-TY Adj'!$C$8:$E$10,3,FALSE)*C163</f>
        <v>0</v>
      </c>
      <c r="G163" s="546">
        <f>VLOOKUP(D163,'W-Alloc Met-TY Adj'!$C$8:$F$10,4,FALSE)*C163</f>
        <v>0</v>
      </c>
      <c r="H163" s="583"/>
    </row>
    <row r="164" spans="1:8">
      <c r="A164" s="154" t="s">
        <v>457</v>
      </c>
      <c r="B164" s="267" t="str">
        <f>Expenses!C164</f>
        <v xml:space="preserve">Equipment </v>
      </c>
      <c r="C164" s="147">
        <f>Expenses!J164</f>
        <v>0</v>
      </c>
      <c r="D164" s="300" t="s">
        <v>691</v>
      </c>
      <c r="E164" s="546">
        <f>VLOOKUP(D164,'W-Alloc Met-TY Adj'!$C$8:$D$10,2,FALSE)*C164</f>
        <v>0</v>
      </c>
      <c r="F164" s="546">
        <f>VLOOKUP(D164,'W-Alloc Met-TY Adj'!$C$8:$E$10,3,FALSE)*C164</f>
        <v>0</v>
      </c>
      <c r="G164" s="546">
        <f>VLOOKUP(D164,'W-Alloc Met-TY Adj'!$C$8:$F$10,4,FALSE)*C164</f>
        <v>0</v>
      </c>
      <c r="H164" s="583"/>
    </row>
    <row r="165" spans="1:8">
      <c r="A165" s="154" t="s">
        <v>459</v>
      </c>
      <c r="B165" s="267" t="str">
        <f>Expenses!C165</f>
        <v>Unidentified Assets</v>
      </c>
      <c r="C165" s="147">
        <f>Expenses!J165</f>
        <v>0</v>
      </c>
      <c r="D165" s="300" t="s">
        <v>691</v>
      </c>
      <c r="E165" s="546">
        <f>VLOOKUP(D165,'W-Alloc Met-TY Adj'!$C$8:$D$10,2,FALSE)*C165</f>
        <v>0</v>
      </c>
      <c r="F165" s="546">
        <f>VLOOKUP(D165,'W-Alloc Met-TY Adj'!$C$8:$E$10,3,FALSE)*C165</f>
        <v>0</v>
      </c>
      <c r="G165" s="546">
        <f>VLOOKUP(D165,'W-Alloc Met-TY Adj'!$C$8:$F$10,4,FALSE)*C165</f>
        <v>0</v>
      </c>
      <c r="H165" s="583"/>
    </row>
    <row r="166" spans="1:8">
      <c r="A166" s="154" t="s">
        <v>461</v>
      </c>
      <c r="B166" s="267" t="str">
        <f>Expenses!C166</f>
        <v>Equipment (T&amp;D)</v>
      </c>
      <c r="C166" s="147">
        <f>Expenses!J166</f>
        <v>6</v>
      </c>
      <c r="D166" s="300" t="s">
        <v>691</v>
      </c>
      <c r="E166" s="546">
        <f>VLOOKUP(D166,'W-Alloc Met-TY Adj'!$C$8:$D$10,2,FALSE)*C166</f>
        <v>6</v>
      </c>
      <c r="F166" s="546">
        <f>VLOOKUP(D166,'W-Alloc Met-TY Adj'!$C$8:$E$10,3,FALSE)*C166</f>
        <v>0</v>
      </c>
      <c r="G166" s="546">
        <f>VLOOKUP(D166,'W-Alloc Met-TY Adj'!$C$8:$F$10,4,FALSE)*C166</f>
        <v>0</v>
      </c>
      <c r="H166" s="583"/>
    </row>
    <row r="167" spans="1:8">
      <c r="A167" s="154"/>
      <c r="B167" s="267" t="str">
        <f>Expenses!C167</f>
        <v>-</v>
      </c>
      <c r="C167" s="147">
        <f>Expenses!J167</f>
        <v>0</v>
      </c>
      <c r="D167" s="300" t="s">
        <v>691</v>
      </c>
      <c r="E167" s="546">
        <f>VLOOKUP(D167,'W-Alloc Met-TY Adj'!$C$8:$D$10,2,FALSE)*C167</f>
        <v>0</v>
      </c>
      <c r="F167" s="546">
        <f>VLOOKUP(D167,'W-Alloc Met-TY Adj'!$C$8:$E$10,3,FALSE)*C167</f>
        <v>0</v>
      </c>
      <c r="G167" s="546">
        <f>VLOOKUP(D167,'W-Alloc Met-TY Adj'!$C$8:$F$10,4,FALSE)*C167</f>
        <v>0</v>
      </c>
      <c r="H167" s="583"/>
    </row>
    <row r="168" spans="1:8">
      <c r="A168" s="154"/>
      <c r="B168" s="267" t="str">
        <f>Expenses!C168</f>
        <v>-</v>
      </c>
      <c r="C168" s="147">
        <f>Expenses!J168</f>
        <v>0</v>
      </c>
      <c r="D168" s="300" t="s">
        <v>691</v>
      </c>
      <c r="E168" s="546">
        <f>VLOOKUP(D168,'W-Alloc Met-TY Adj'!$C$8:$D$10,2,FALSE)*C168</f>
        <v>0</v>
      </c>
      <c r="F168" s="546">
        <f>VLOOKUP(D168,'W-Alloc Met-TY Adj'!$C$8:$E$10,3,FALSE)*C168</f>
        <v>0</v>
      </c>
      <c r="G168" s="546">
        <f>VLOOKUP(D168,'W-Alloc Met-TY Adj'!$C$8:$F$10,4,FALSE)*C168</f>
        <v>0</v>
      </c>
      <c r="H168" s="583"/>
    </row>
    <row r="169" spans="1:8">
      <c r="A169" s="154"/>
      <c r="B169" s="267" t="str">
        <f>Expenses!C169</f>
        <v>-</v>
      </c>
      <c r="C169" s="147">
        <f>Expenses!J169</f>
        <v>0</v>
      </c>
      <c r="D169" s="300" t="s">
        <v>691</v>
      </c>
      <c r="E169" s="546">
        <f>VLOOKUP(D169,'W-Alloc Met-TY Adj'!$C$8:$D$10,2,FALSE)*C169</f>
        <v>0</v>
      </c>
      <c r="F169" s="546">
        <f>VLOOKUP(D169,'W-Alloc Met-TY Adj'!$C$8:$E$10,3,FALSE)*C169</f>
        <v>0</v>
      </c>
      <c r="G169" s="546">
        <f>VLOOKUP(D169,'W-Alloc Met-TY Adj'!$C$8:$F$10,4,FALSE)*C169</f>
        <v>0</v>
      </c>
      <c r="H169" s="583"/>
    </row>
    <row r="170" spans="1:8">
      <c r="A170" s="154"/>
      <c r="B170" s="267" t="str">
        <f>Expenses!C170</f>
        <v>-</v>
      </c>
      <c r="C170" s="147">
        <f>Expenses!J170</f>
        <v>0</v>
      </c>
      <c r="D170" s="300" t="s">
        <v>691</v>
      </c>
      <c r="E170" s="546">
        <f>VLOOKUP(D170,'W-Alloc Met-TY Adj'!$C$8:$D$10,2,FALSE)*C170</f>
        <v>0</v>
      </c>
      <c r="F170" s="546">
        <f>VLOOKUP(D170,'W-Alloc Met-TY Adj'!$C$8:$E$10,3,FALSE)*C170</f>
        <v>0</v>
      </c>
      <c r="G170" s="546">
        <f>VLOOKUP(D170,'W-Alloc Met-TY Adj'!$C$8:$F$10,4,FALSE)*C170</f>
        <v>0</v>
      </c>
      <c r="H170" s="583"/>
    </row>
    <row r="171" spans="1:8">
      <c r="A171" s="855"/>
      <c r="B171" s="267" t="str">
        <f>Expenses!C171</f>
        <v>-</v>
      </c>
      <c r="C171" s="147">
        <f>Expenses!J171</f>
        <v>0</v>
      </c>
      <c r="D171" s="300" t="s">
        <v>691</v>
      </c>
      <c r="E171" s="546">
        <f>VLOOKUP(D171,'W-Alloc Met-TY Adj'!$C$8:$D$10,2,FALSE)*C171</f>
        <v>0</v>
      </c>
      <c r="F171" s="546">
        <f>VLOOKUP(D171,'W-Alloc Met-TY Adj'!$C$8:$E$10,3,FALSE)*C171</f>
        <v>0</v>
      </c>
      <c r="G171" s="546">
        <f>VLOOKUP(D171,'W-Alloc Met-TY Adj'!$C$8:$F$10,4,FALSE)*C171</f>
        <v>0</v>
      </c>
      <c r="H171" s="583"/>
    </row>
    <row r="172" spans="1:8">
      <c r="A172" s="855"/>
      <c r="B172" s="267" t="str">
        <f>Expenses!C172</f>
        <v>-</v>
      </c>
      <c r="C172" s="320">
        <f>Expenses!J172</f>
        <v>0</v>
      </c>
      <c r="D172" s="299" t="s">
        <v>691</v>
      </c>
      <c r="E172" s="768">
        <f>VLOOKUP(D172,'W-Alloc Met-TY Adj'!$C$8:$D$10,2,FALSE)*C172</f>
        <v>0</v>
      </c>
      <c r="F172" s="768">
        <f>VLOOKUP(D172,'W-Alloc Met-TY Adj'!$C$8:$E$10,3,FALSE)*C172</f>
        <v>0</v>
      </c>
      <c r="G172" s="769">
        <f>VLOOKUP(D172,'W-Alloc Met-TY Adj'!$C$8:$F$10,4,FALSE)*C172</f>
        <v>0</v>
      </c>
      <c r="H172" s="583"/>
    </row>
    <row r="173" spans="1:8">
      <c r="A173" s="860"/>
      <c r="B173" s="544" t="s">
        <v>29</v>
      </c>
      <c r="C173" s="545">
        <f>SUM(C141:C172)</f>
        <v>4435642.1500000004</v>
      </c>
      <c r="D173" s="545"/>
      <c r="E173" s="545">
        <f>SUM(E141:E172)</f>
        <v>4435642.1500000004</v>
      </c>
      <c r="F173" s="545">
        <f>SUM(F141:F172)</f>
        <v>0</v>
      </c>
      <c r="G173" s="545">
        <f>SUM(G141:G172)</f>
        <v>0</v>
      </c>
      <c r="H173" s="583"/>
    </row>
    <row r="174" spans="1:8">
      <c r="A174" s="855"/>
      <c r="B174" s="266"/>
      <c r="C174" s="45"/>
      <c r="H174" s="583"/>
    </row>
    <row r="175" spans="1:8">
      <c r="A175" s="855"/>
      <c r="B175" s="262" t="s">
        <v>34</v>
      </c>
      <c r="C175" s="259"/>
      <c r="D175" s="153"/>
      <c r="E175" s="153"/>
      <c r="F175" s="153"/>
      <c r="G175" s="153"/>
      <c r="H175" s="583"/>
    </row>
    <row r="176" spans="1:8">
      <c r="A176" s="855" t="s">
        <v>464</v>
      </c>
      <c r="B176" s="267" t="str">
        <f>Expenses!C176</f>
        <v>Series 1970, USDA</v>
      </c>
      <c r="C176" s="147">
        <f>Expenses!J176</f>
        <v>0</v>
      </c>
      <c r="D176" s="300" t="s">
        <v>691</v>
      </c>
      <c r="E176" s="546">
        <f>VLOOKUP(D176,'W-Alloc Met-TY Adj'!$C$8:$D$10,2,FALSE)*C176</f>
        <v>0</v>
      </c>
      <c r="F176" s="546">
        <f>VLOOKUP(D176,'W-Alloc Met-TY Adj'!$C$8:$E$10,3,FALSE)*C176</f>
        <v>0</v>
      </c>
      <c r="G176" s="559">
        <f>VLOOKUP(D176,'W-Alloc Met-TY Adj'!$C$8:$F$10,4,FALSE)*C176</f>
        <v>0</v>
      </c>
      <c r="H176" s="49" t="s">
        <v>466</v>
      </c>
    </row>
    <row r="177" spans="1:8">
      <c r="A177" s="154" t="s">
        <v>468</v>
      </c>
      <c r="B177" s="267" t="str">
        <f>Expenses!C177</f>
        <v>Series 1993, USDA</v>
      </c>
      <c r="C177" s="147">
        <f>Expenses!J177</f>
        <v>0</v>
      </c>
      <c r="D177" s="300" t="s">
        <v>691</v>
      </c>
      <c r="E177" s="546">
        <f>VLOOKUP(D177,'W-Alloc Met-TY Adj'!$C$8:$D$10,2,FALSE)*C177</f>
        <v>0</v>
      </c>
      <c r="F177" s="546">
        <f>VLOOKUP(D177,'W-Alloc Met-TY Adj'!$C$8:$E$10,3,FALSE)*C177</f>
        <v>0</v>
      </c>
      <c r="G177" s="560">
        <f>VLOOKUP(D177,'W-Alloc Met-TY Adj'!$C$8:$F$10,4,FALSE)*C177</f>
        <v>0</v>
      </c>
      <c r="H177" s="49" t="s">
        <v>466</v>
      </c>
    </row>
    <row r="178" spans="1:8">
      <c r="A178" s="154" t="s">
        <v>471</v>
      </c>
      <c r="B178" s="267" t="str">
        <f>Expenses!C178</f>
        <v>Series 1995, USDA</v>
      </c>
      <c r="C178" s="147">
        <f>Expenses!J178</f>
        <v>0</v>
      </c>
      <c r="D178" s="300" t="s">
        <v>691</v>
      </c>
      <c r="E178" s="546">
        <f>VLOOKUP(D178,'W-Alloc Met-TY Adj'!$C$8:$D$10,2,FALSE)*C178</f>
        <v>0</v>
      </c>
      <c r="F178" s="546">
        <f>VLOOKUP(D178,'W-Alloc Met-TY Adj'!$C$8:$E$10,3,FALSE)*C178</f>
        <v>0</v>
      </c>
      <c r="G178" s="560">
        <f>VLOOKUP(D178,'W-Alloc Met-TY Adj'!$C$8:$F$10,4,FALSE)*C178</f>
        <v>0</v>
      </c>
      <c r="H178" s="49" t="s">
        <v>466</v>
      </c>
    </row>
    <row r="179" spans="1:8">
      <c r="A179" s="154"/>
      <c r="B179" s="267" t="str">
        <f>Expenses!C179</f>
        <v>KIA Russellville Rd</v>
      </c>
      <c r="C179" s="147">
        <f>Expenses!J179</f>
        <v>0</v>
      </c>
      <c r="D179" s="300" t="s">
        <v>691</v>
      </c>
      <c r="E179" s="546">
        <f>VLOOKUP(D179,'W-Alloc Met-TY Adj'!$C$8:$D$10,2,FALSE)*C179</f>
        <v>0</v>
      </c>
      <c r="F179" s="546">
        <f>VLOOKUP(D179,'W-Alloc Met-TY Adj'!$C$8:$E$10,3,FALSE)*C179</f>
        <v>0</v>
      </c>
      <c r="G179" s="560">
        <f>VLOOKUP(D179,'W-Alloc Met-TY Adj'!$C$8:$F$10,4,FALSE)*C179</f>
        <v>0</v>
      </c>
      <c r="H179" s="49" t="s">
        <v>466</v>
      </c>
    </row>
    <row r="180" spans="1:8">
      <c r="A180" s="154"/>
      <c r="B180" s="267" t="str">
        <f>Expenses!C180</f>
        <v>KIA Barren River Rd (A98-02)</v>
      </c>
      <c r="C180" s="147">
        <f>Expenses!J180</f>
        <v>0</v>
      </c>
      <c r="D180" s="300" t="s">
        <v>691</v>
      </c>
      <c r="E180" s="546">
        <f>VLOOKUP(D180,'W-Alloc Met-TY Adj'!$C$8:$D$10,2,FALSE)*C180</f>
        <v>0</v>
      </c>
      <c r="F180" s="546">
        <f>VLOOKUP(D180,'W-Alloc Met-TY Adj'!$C$8:$E$10,3,FALSE)*C180</f>
        <v>0</v>
      </c>
      <c r="G180" s="560">
        <f>VLOOKUP(D180,'W-Alloc Met-TY Adj'!$C$8:$F$10,4,FALSE)*C180</f>
        <v>0</v>
      </c>
      <c r="H180" s="49" t="s">
        <v>466</v>
      </c>
    </row>
    <row r="181" spans="1:8">
      <c r="A181" s="154"/>
      <c r="B181" s="267" t="str">
        <f>Expenses!C181</f>
        <v>2019 USDA</v>
      </c>
      <c r="C181" s="147">
        <f>Expenses!J181</f>
        <v>0</v>
      </c>
      <c r="D181" s="300" t="s">
        <v>691</v>
      </c>
      <c r="E181" s="546">
        <f>VLOOKUP(D181,'W-Alloc Met-TY Adj'!$C$8:$D$10,2,FALSE)*C181</f>
        <v>0</v>
      </c>
      <c r="F181" s="546">
        <f>VLOOKUP(D181,'W-Alloc Met-TY Adj'!$C$8:$E$10,3,FALSE)*C181</f>
        <v>0</v>
      </c>
      <c r="G181" s="560">
        <f>VLOOKUP(D181,'W-Alloc Met-TY Adj'!$C$8:$F$10,4,FALSE)*C181</f>
        <v>0</v>
      </c>
      <c r="H181" s="49" t="s">
        <v>466</v>
      </c>
    </row>
    <row r="182" spans="1:8">
      <c r="A182" s="154"/>
      <c r="B182" s="267" t="str">
        <f>Expenses!C182</f>
        <v>Series 2003C, KRWFC</v>
      </c>
      <c r="C182" s="147">
        <f>Expenses!J182</f>
        <v>0</v>
      </c>
      <c r="D182" s="300" t="s">
        <v>691</v>
      </c>
      <c r="E182" s="546">
        <f>VLOOKUP(D182,'W-Alloc Met-TY Adj'!$C$8:$D$10,2,FALSE)*C182</f>
        <v>0</v>
      </c>
      <c r="F182" s="546">
        <f>VLOOKUP(D182,'W-Alloc Met-TY Adj'!$C$8:$E$10,3,FALSE)*C182</f>
        <v>0</v>
      </c>
      <c r="G182" s="560">
        <f>VLOOKUP(D182,'W-Alloc Met-TY Adj'!$C$8:$F$10,4,FALSE)*C182</f>
        <v>0</v>
      </c>
      <c r="H182" s="49" t="s">
        <v>466</v>
      </c>
    </row>
    <row r="183" spans="1:8">
      <c r="A183" s="154"/>
      <c r="B183" s="267" t="str">
        <f>Expenses!C183</f>
        <v>KIA, Buchanon Park (C11-02)</v>
      </c>
      <c r="C183" s="147">
        <f>Expenses!J183</f>
        <v>0</v>
      </c>
      <c r="D183" s="300" t="s">
        <v>691</v>
      </c>
      <c r="E183" s="546">
        <f>VLOOKUP(D183,'W-Alloc Met-TY Adj'!$C$8:$D$10,2,FALSE)*C183</f>
        <v>0</v>
      </c>
      <c r="F183" s="546">
        <f>VLOOKUP(D183,'W-Alloc Met-TY Adj'!$C$8:$E$10,3,FALSE)*C183</f>
        <v>0</v>
      </c>
      <c r="G183" s="560">
        <f>VLOOKUP(D183,'W-Alloc Met-TY Adj'!$C$8:$F$10,4,FALSE)*C183</f>
        <v>0</v>
      </c>
      <c r="H183" s="49" t="s">
        <v>466</v>
      </c>
    </row>
    <row r="184" spans="1:8">
      <c r="A184" s="154"/>
      <c r="B184" s="267" t="str">
        <f>Expenses!C184</f>
        <v>Series 2013B, KRWFC</v>
      </c>
      <c r="C184" s="147">
        <f>Expenses!J184</f>
        <v>0</v>
      </c>
      <c r="D184" s="300" t="s">
        <v>691</v>
      </c>
      <c r="E184" s="546">
        <f>VLOOKUP(D184,'W-Alloc Met-TY Adj'!$C$8:$D$10,2,FALSE)*C184</f>
        <v>0</v>
      </c>
      <c r="F184" s="546">
        <f>VLOOKUP(D184,'W-Alloc Met-TY Adj'!$C$8:$E$10,3,FALSE)*C184</f>
        <v>0</v>
      </c>
      <c r="G184" s="560">
        <f>VLOOKUP(D184,'W-Alloc Met-TY Adj'!$C$8:$F$10,4,FALSE)*C184</f>
        <v>0</v>
      </c>
      <c r="H184" s="49" t="s">
        <v>466</v>
      </c>
    </row>
    <row r="185" spans="1:8">
      <c r="A185" s="154"/>
      <c r="B185" s="267" t="str">
        <f>Expenses!C185</f>
        <v>KIA, Alvanton Area Improvement</v>
      </c>
      <c r="C185" s="147">
        <f>Expenses!J185</f>
        <v>0</v>
      </c>
      <c r="D185" s="300" t="s">
        <v>691</v>
      </c>
      <c r="E185" s="546">
        <f>VLOOKUP(D185,'W-Alloc Met-TY Adj'!$C$8:$D$10,2,FALSE)*C185</f>
        <v>0</v>
      </c>
      <c r="F185" s="546">
        <f>VLOOKUP(D185,'W-Alloc Met-TY Adj'!$C$8:$E$10,3,FALSE)*C185</f>
        <v>0</v>
      </c>
      <c r="G185" s="560">
        <f>VLOOKUP(D185,'W-Alloc Met-TY Adj'!$C$8:$F$10,4,FALSE)*C185</f>
        <v>0</v>
      </c>
      <c r="H185" s="49" t="s">
        <v>466</v>
      </c>
    </row>
    <row r="186" spans="1:8">
      <c r="A186" s="154"/>
      <c r="B186" s="267" t="str">
        <f>Expenses!C186</f>
        <v>KIA, Plum Springs Rehab</v>
      </c>
      <c r="C186" s="147">
        <f>Expenses!J186</f>
        <v>0</v>
      </c>
      <c r="D186" s="300" t="s">
        <v>691</v>
      </c>
      <c r="E186" s="546">
        <f>VLOOKUP(D186,'W-Alloc Met-TY Adj'!$C$8:$D$10,2,FALSE)*C186</f>
        <v>0</v>
      </c>
      <c r="F186" s="546">
        <f>VLOOKUP(D186,'W-Alloc Met-TY Adj'!$C$8:$E$10,3,FALSE)*C186</f>
        <v>0</v>
      </c>
      <c r="G186" s="560">
        <f>VLOOKUP(D186,'W-Alloc Met-TY Adj'!$C$8:$F$10,4,FALSE)*C186</f>
        <v>0</v>
      </c>
      <c r="H186" s="49" t="s">
        <v>466</v>
      </c>
    </row>
    <row r="187" spans="1:8">
      <c r="A187" s="154"/>
      <c r="B187" s="267" t="str">
        <f>Expenses!C187</f>
        <v>Series 2021A, KRWFC</v>
      </c>
      <c r="C187" s="147">
        <f>Expenses!J187</f>
        <v>0</v>
      </c>
      <c r="D187" s="300" t="s">
        <v>691</v>
      </c>
      <c r="E187" s="546">
        <f>VLOOKUP(D187,'W-Alloc Met-TY Adj'!$C$8:$D$10,2,FALSE)*C187</f>
        <v>0</v>
      </c>
      <c r="F187" s="546">
        <f>VLOOKUP(D187,'W-Alloc Met-TY Adj'!$C$8:$E$10,3,FALSE)*C187</f>
        <v>0</v>
      </c>
      <c r="G187" s="560">
        <f>VLOOKUP(D187,'W-Alloc Met-TY Adj'!$C$8:$F$10,4,FALSE)*C187</f>
        <v>0</v>
      </c>
      <c r="H187" s="49" t="s">
        <v>466</v>
      </c>
    </row>
    <row r="188" spans="1:8">
      <c r="A188" s="154"/>
      <c r="B188" s="267" t="str">
        <f>Expenses!C188</f>
        <v>Series 2022D, KRWFC</v>
      </c>
      <c r="C188" s="147">
        <f>Expenses!J188</f>
        <v>0</v>
      </c>
      <c r="D188" s="300" t="s">
        <v>691</v>
      </c>
      <c r="E188" s="546">
        <f>VLOOKUP(D188,'W-Alloc Met-TY Adj'!$C$8:$D$10,2,FALSE)*C188</f>
        <v>0</v>
      </c>
      <c r="F188" s="546">
        <f>VLOOKUP(D188,'W-Alloc Met-TY Adj'!$C$8:$E$10,3,FALSE)*C188</f>
        <v>0</v>
      </c>
      <c r="G188" s="560">
        <f>VLOOKUP(D188,'W-Alloc Met-TY Adj'!$C$8:$F$10,4,FALSE)*C188</f>
        <v>0</v>
      </c>
      <c r="H188" s="49" t="s">
        <v>466</v>
      </c>
    </row>
    <row r="189" spans="1:8">
      <c r="A189" s="154"/>
      <c r="B189" s="267" t="str">
        <f>Expenses!C189</f>
        <v>Consumer Deposits</v>
      </c>
      <c r="C189" s="147">
        <f>Expenses!J189</f>
        <v>0</v>
      </c>
      <c r="D189" s="300" t="s">
        <v>691</v>
      </c>
      <c r="E189" s="546">
        <f>VLOOKUP(D189,'W-Alloc Met-TY Adj'!$C$8:$D$10,2,FALSE)*C189</f>
        <v>0</v>
      </c>
      <c r="F189" s="546">
        <f>VLOOKUP(D189,'W-Alloc Met-TY Adj'!$C$8:$E$10,3,FALSE)*C189</f>
        <v>0</v>
      </c>
      <c r="G189" s="560">
        <f>VLOOKUP(D189,'W-Alloc Met-TY Adj'!$C$8:$F$10,4,FALSE)*C189</f>
        <v>0</v>
      </c>
      <c r="H189" s="49" t="s">
        <v>466</v>
      </c>
    </row>
    <row r="190" spans="1:8">
      <c r="A190" s="154"/>
      <c r="B190" s="267" t="str">
        <f>Expenses!C190</f>
        <v>Other</v>
      </c>
      <c r="C190" s="147">
        <f>Expenses!J190</f>
        <v>0</v>
      </c>
      <c r="D190" s="300" t="s">
        <v>691</v>
      </c>
      <c r="E190" s="546">
        <f>VLOOKUP(D190,'W-Alloc Met-TY Adj'!$C$8:$D$10,2,FALSE)*C190</f>
        <v>0</v>
      </c>
      <c r="F190" s="546">
        <f>VLOOKUP(D190,'W-Alloc Met-TY Adj'!$C$8:$E$10,3,FALSE)*C190</f>
        <v>0</v>
      </c>
      <c r="G190" s="560">
        <f>VLOOKUP(D190,'W-Alloc Met-TY Adj'!$C$8:$F$10,4,FALSE)*C190</f>
        <v>0</v>
      </c>
      <c r="H190" s="49" t="s">
        <v>466</v>
      </c>
    </row>
    <row r="191" spans="1:8">
      <c r="A191" s="154"/>
      <c r="B191" s="267" t="str">
        <f>Expenses!C191</f>
        <v>Amortized Debt Expense</v>
      </c>
      <c r="C191" s="147">
        <f>Expenses!J191</f>
        <v>0</v>
      </c>
      <c r="D191" s="300" t="s">
        <v>691</v>
      </c>
      <c r="E191" s="546">
        <f>VLOOKUP(D191,'W-Alloc Met-TY Adj'!$C$8:$D$10,2,FALSE)*C191</f>
        <v>0</v>
      </c>
      <c r="F191" s="546">
        <f>VLOOKUP(D191,'W-Alloc Met-TY Adj'!$C$8:$E$10,3,FALSE)*C191</f>
        <v>0</v>
      </c>
      <c r="G191" s="560">
        <f>VLOOKUP(D191,'W-Alloc Met-TY Adj'!$C$8:$F$10,4,FALSE)*C191</f>
        <v>0</v>
      </c>
      <c r="H191" s="49" t="s">
        <v>466</v>
      </c>
    </row>
    <row r="192" spans="1:8">
      <c r="A192" s="154"/>
      <c r="B192" s="267" t="str">
        <f>Expenses!C192</f>
        <v>Am Prem/Disc-KRWFC, Series 2021A</v>
      </c>
      <c r="C192" s="147">
        <f>Expenses!J192</f>
        <v>0</v>
      </c>
      <c r="D192" s="300" t="s">
        <v>691</v>
      </c>
      <c r="E192" s="546">
        <f>VLOOKUP(D192,'W-Alloc Met-TY Adj'!$C$8:$D$10,2,FALSE)*C192</f>
        <v>0</v>
      </c>
      <c r="F192" s="546">
        <f>VLOOKUP(D192,'W-Alloc Met-TY Adj'!$C$8:$E$10,3,FALSE)*C192</f>
        <v>0</v>
      </c>
      <c r="G192" s="560">
        <f>VLOOKUP(D192,'W-Alloc Met-TY Adj'!$C$8:$F$10,4,FALSE)*C192</f>
        <v>0</v>
      </c>
      <c r="H192" s="49" t="s">
        <v>466</v>
      </c>
    </row>
    <row r="193" spans="1:8">
      <c r="A193" s="154" t="s">
        <v>501</v>
      </c>
      <c r="B193" s="267" t="str">
        <f>Expenses!C193</f>
        <v>Series 2004A, Refunding</v>
      </c>
      <c r="C193" s="147">
        <f>Expenses!J193</f>
        <v>0</v>
      </c>
      <c r="D193" s="300" t="s">
        <v>691</v>
      </c>
      <c r="E193" s="546">
        <f>VLOOKUP(D193,'W-Alloc Met-TY Adj'!$C$8:$D$10,2,FALSE)*C193</f>
        <v>0</v>
      </c>
      <c r="F193" s="546">
        <f>VLOOKUP(D193,'W-Alloc Met-TY Adj'!$C$8:$E$10,3,FALSE)*C193</f>
        <v>0</v>
      </c>
      <c r="G193" s="560">
        <f>VLOOKUP(D193,'W-Alloc Met-TY Adj'!$C$8:$F$10,4,FALSE)*C193</f>
        <v>0</v>
      </c>
      <c r="H193" s="49" t="s">
        <v>466</v>
      </c>
    </row>
    <row r="194" spans="1:8">
      <c r="A194" s="154" t="s">
        <v>503</v>
      </c>
      <c r="B194" s="267" t="str">
        <f>Expenses!C194</f>
        <v>KIA, So KY Industrial/Hwy 31W</v>
      </c>
      <c r="C194" s="147">
        <f>Expenses!J194</f>
        <v>0</v>
      </c>
      <c r="D194" s="300" t="s">
        <v>691</v>
      </c>
      <c r="E194" s="546">
        <f>VLOOKUP(D194,'W-Alloc Met-TY Adj'!$C$8:$D$10,2,FALSE)*C194</f>
        <v>0</v>
      </c>
      <c r="F194" s="546">
        <f>VLOOKUP(D194,'W-Alloc Met-TY Adj'!$C$8:$E$10,3,FALSE)*C194</f>
        <v>0</v>
      </c>
      <c r="G194" s="560">
        <f>VLOOKUP(D194,'W-Alloc Met-TY Adj'!$C$8:$F$10,4,FALSE)*C194</f>
        <v>0</v>
      </c>
      <c r="H194" s="49" t="s">
        <v>466</v>
      </c>
    </row>
    <row r="195" spans="1:8">
      <c r="A195" s="154" t="s">
        <v>505</v>
      </c>
      <c r="B195" s="267" t="str">
        <f>Expenses!C195</f>
        <v>KIA, So KY Industrial Park</v>
      </c>
      <c r="C195" s="147">
        <f>Expenses!J195</f>
        <v>0</v>
      </c>
      <c r="D195" s="300" t="s">
        <v>691</v>
      </c>
      <c r="E195" s="546">
        <f>VLOOKUP(D195,'W-Alloc Met-TY Adj'!$C$8:$D$10,2,FALSE)*C195</f>
        <v>0</v>
      </c>
      <c r="F195" s="546">
        <f>VLOOKUP(D195,'W-Alloc Met-TY Adj'!$C$8:$E$10,3,FALSE)*C195</f>
        <v>0</v>
      </c>
      <c r="G195" s="560">
        <f>VLOOKUP(D195,'W-Alloc Met-TY Adj'!$C$8:$F$10,4,FALSE)*C195</f>
        <v>0</v>
      </c>
      <c r="H195" s="49" t="s">
        <v>466</v>
      </c>
    </row>
    <row r="196" spans="1:8">
      <c r="A196" s="154" t="s">
        <v>507</v>
      </c>
      <c r="B196" s="267" t="str">
        <f>Expenses!C196</f>
        <v xml:space="preserve">Series 2005A, USDA </v>
      </c>
      <c r="C196" s="147">
        <f>Expenses!J196</f>
        <v>45220</v>
      </c>
      <c r="D196" s="300" t="s">
        <v>691</v>
      </c>
      <c r="E196" s="546">
        <f>VLOOKUP(D196,'W-Alloc Met-TY Adj'!$C$8:$D$10,2,FALSE)*C196</f>
        <v>45220</v>
      </c>
      <c r="F196" s="546">
        <f>VLOOKUP(D196,'W-Alloc Met-TY Adj'!$C$8:$E$10,3,FALSE)*C196</f>
        <v>0</v>
      </c>
      <c r="G196" s="560">
        <f>VLOOKUP(D196,'W-Alloc Met-TY Adj'!$C$8:$F$10,4,FALSE)*C196</f>
        <v>0</v>
      </c>
      <c r="H196" s="49" t="s">
        <v>466</v>
      </c>
    </row>
    <row r="197" spans="1:8">
      <c r="A197" s="154" t="s">
        <v>509</v>
      </c>
      <c r="B197" s="267" t="str">
        <f>Expenses!C197</f>
        <v>-</v>
      </c>
      <c r="C197" s="147">
        <f>Expenses!J197</f>
        <v>0</v>
      </c>
      <c r="D197" s="300" t="s">
        <v>691</v>
      </c>
      <c r="E197" s="546">
        <f>VLOOKUP(D197,'W-Alloc Met-TY Adj'!$C$8:$D$10,2,FALSE)*C197</f>
        <v>0</v>
      </c>
      <c r="F197" s="546">
        <f>VLOOKUP(D197,'W-Alloc Met-TY Adj'!$C$8:$E$10,3,FALSE)*C197</f>
        <v>0</v>
      </c>
      <c r="G197" s="560">
        <f>VLOOKUP(D197,'W-Alloc Met-TY Adj'!$C$8:$F$10,4,FALSE)*C197</f>
        <v>0</v>
      </c>
      <c r="H197" s="49" t="s">
        <v>466</v>
      </c>
    </row>
    <row r="198" spans="1:8">
      <c r="A198" s="154" t="s">
        <v>510</v>
      </c>
      <c r="B198" s="267" t="str">
        <f>Expenses!C198</f>
        <v>Series 1998, Refunding</v>
      </c>
      <c r="C198" s="147">
        <f>Expenses!J198</f>
        <v>0</v>
      </c>
      <c r="D198" s="300" t="s">
        <v>691</v>
      </c>
      <c r="E198" s="546">
        <f>VLOOKUP(D198,'W-Alloc Met-TY Adj'!$C$8:$D$10,2,FALSE)*C198</f>
        <v>0</v>
      </c>
      <c r="F198" s="546">
        <f>VLOOKUP(D198,'W-Alloc Met-TY Adj'!$C$8:$E$10,3,FALSE)*C198</f>
        <v>0</v>
      </c>
      <c r="G198" s="560">
        <f>VLOOKUP(D198,'W-Alloc Met-TY Adj'!$C$8:$F$10,4,FALSE)*C198</f>
        <v>0</v>
      </c>
      <c r="H198" s="49" t="s">
        <v>466</v>
      </c>
    </row>
    <row r="199" spans="1:8">
      <c r="A199" s="154" t="s">
        <v>512</v>
      </c>
      <c r="B199" s="267" t="str">
        <f>Expenses!C199</f>
        <v>Series 1998B, Revenue</v>
      </c>
      <c r="C199" s="147">
        <f>Expenses!J199</f>
        <v>0</v>
      </c>
      <c r="D199" s="300" t="s">
        <v>691</v>
      </c>
      <c r="E199" s="546">
        <f>VLOOKUP(D199,'W-Alloc Met-TY Adj'!$C$8:$D$10,2,FALSE)*C199</f>
        <v>0</v>
      </c>
      <c r="F199" s="546">
        <f>VLOOKUP(D199,'W-Alloc Met-TY Adj'!$C$8:$E$10,3,FALSE)*C199</f>
        <v>0</v>
      </c>
      <c r="G199" s="560">
        <f>VLOOKUP(D199,'W-Alloc Met-TY Adj'!$C$8:$F$10,4,FALSE)*C199</f>
        <v>0</v>
      </c>
      <c r="H199" s="49" t="s">
        <v>466</v>
      </c>
    </row>
    <row r="200" spans="1:8">
      <c r="A200" s="154" t="s">
        <v>514</v>
      </c>
      <c r="B200" s="267" t="str">
        <f>Expenses!C200</f>
        <v>Series 1999 A, USDA</v>
      </c>
      <c r="C200" s="147">
        <f>Expenses!J200</f>
        <v>0</v>
      </c>
      <c r="D200" s="300" t="s">
        <v>691</v>
      </c>
      <c r="E200" s="546">
        <f>VLOOKUP(D200,'W-Alloc Met-TY Adj'!$C$8:$D$10,2,FALSE)*C200</f>
        <v>0</v>
      </c>
      <c r="F200" s="546">
        <f>VLOOKUP(D200,'W-Alloc Met-TY Adj'!$C$8:$E$10,3,FALSE)*C200</f>
        <v>0</v>
      </c>
      <c r="G200" s="560">
        <f>VLOOKUP(D200,'W-Alloc Met-TY Adj'!$C$8:$F$10,4,FALSE)*C200</f>
        <v>0</v>
      </c>
      <c r="H200" s="49" t="s">
        <v>466</v>
      </c>
    </row>
    <row r="201" spans="1:8">
      <c r="A201" s="154" t="s">
        <v>516</v>
      </c>
      <c r="B201" s="267" t="str">
        <f>Expenses!C201</f>
        <v>KRWFC 2003, KRWFC</v>
      </c>
      <c r="C201" s="147">
        <f>Expenses!J201</f>
        <v>0</v>
      </c>
      <c r="D201" s="300" t="s">
        <v>691</v>
      </c>
      <c r="E201" s="546">
        <f>VLOOKUP(D201,'W-Alloc Met-TY Adj'!$C$8:$D$10,2,FALSE)*C201</f>
        <v>0</v>
      </c>
      <c r="F201" s="546">
        <f>VLOOKUP(D201,'W-Alloc Met-TY Adj'!$C$8:$E$10,3,FALSE)*C201</f>
        <v>0</v>
      </c>
      <c r="G201" s="560">
        <f>VLOOKUP(D201,'W-Alloc Met-TY Adj'!$C$8:$F$10,4,FALSE)*C201</f>
        <v>0</v>
      </c>
      <c r="H201" s="49" t="s">
        <v>466</v>
      </c>
    </row>
    <row r="202" spans="1:8">
      <c r="A202" s="154" t="s">
        <v>518</v>
      </c>
      <c r="B202" s="267" t="str">
        <f>Expenses!C202</f>
        <v>Series 2003C, KRWFC</v>
      </c>
      <c r="C202" s="147">
        <f>Expenses!J202</f>
        <v>0</v>
      </c>
      <c r="D202" s="300" t="s">
        <v>691</v>
      </c>
      <c r="E202" s="546">
        <f>VLOOKUP(D202,'W-Alloc Met-TY Adj'!$C$8:$D$10,2,FALSE)*C202</f>
        <v>0</v>
      </c>
      <c r="F202" s="546">
        <f>VLOOKUP(D202,'W-Alloc Met-TY Adj'!$C$8:$E$10,3,FALSE)*C202</f>
        <v>0</v>
      </c>
      <c r="G202" s="560">
        <f>VLOOKUP(D202,'W-Alloc Met-TY Adj'!$C$8:$F$10,4,FALSE)*C202</f>
        <v>0</v>
      </c>
      <c r="H202" s="49" t="s">
        <v>466</v>
      </c>
    </row>
    <row r="203" spans="1:8">
      <c r="A203" s="154" t="s">
        <v>519</v>
      </c>
      <c r="B203" s="267" t="str">
        <f>Expenses!C203</f>
        <v>Series 2013B, KRWFC</v>
      </c>
      <c r="C203" s="147">
        <f>Expenses!J203</f>
        <v>13959.6</v>
      </c>
      <c r="D203" s="300" t="s">
        <v>691</v>
      </c>
      <c r="E203" s="546">
        <f>VLOOKUP(D203,'W-Alloc Met-TY Adj'!$C$8:$D$10,2,FALSE)*C203</f>
        <v>13959.6</v>
      </c>
      <c r="F203" s="546">
        <f>VLOOKUP(D203,'W-Alloc Met-TY Adj'!$C$8:$E$10,3,FALSE)*C203</f>
        <v>0</v>
      </c>
      <c r="G203" s="560">
        <f>VLOOKUP(D203,'W-Alloc Met-TY Adj'!$C$8:$F$10,4,FALSE)*C203</f>
        <v>0</v>
      </c>
      <c r="H203" s="49" t="s">
        <v>466</v>
      </c>
    </row>
    <row r="204" spans="1:8">
      <c r="A204" s="154" t="s">
        <v>520</v>
      </c>
      <c r="B204" s="267" t="str">
        <f>Expenses!C204</f>
        <v>Series 2016B, KRWFC</v>
      </c>
      <c r="C204" s="147">
        <f>Expenses!J204</f>
        <v>37067.599999999999</v>
      </c>
      <c r="D204" s="300" t="s">
        <v>691</v>
      </c>
      <c r="E204" s="546">
        <f>VLOOKUP(D204,'W-Alloc Met-TY Adj'!$C$8:$D$10,2,FALSE)*C204</f>
        <v>37067.599999999999</v>
      </c>
      <c r="F204" s="546">
        <f>VLOOKUP(D204,'W-Alloc Met-TY Adj'!$C$8:$E$10,3,FALSE)*C204</f>
        <v>0</v>
      </c>
      <c r="G204" s="560">
        <f>VLOOKUP(D204,'W-Alloc Met-TY Adj'!$C$8:$F$10,4,FALSE)*C204</f>
        <v>0</v>
      </c>
      <c r="H204" s="49" t="s">
        <v>466</v>
      </c>
    </row>
    <row r="205" spans="1:8">
      <c r="A205" s="154" t="s">
        <v>522</v>
      </c>
      <c r="B205" s="267" t="str">
        <f>Expenses!C205</f>
        <v>KIA Morgantown Rd Improvements</v>
      </c>
      <c r="C205" s="147">
        <f>Expenses!J205</f>
        <v>65631.599999999991</v>
      </c>
      <c r="D205" s="300" t="s">
        <v>691</v>
      </c>
      <c r="E205" s="546">
        <f>VLOOKUP(D205,'W-Alloc Met-TY Adj'!$C$8:$D$10,2,FALSE)*C205</f>
        <v>65631.599999999991</v>
      </c>
      <c r="F205" s="546">
        <f>VLOOKUP(D205,'W-Alloc Met-TY Adj'!$C$8:$E$10,3,FALSE)*C205</f>
        <v>0</v>
      </c>
      <c r="G205" s="560">
        <f>VLOOKUP(D205,'W-Alloc Met-TY Adj'!$C$8:$F$10,4,FALSE)*C205</f>
        <v>0</v>
      </c>
      <c r="H205" s="49" t="s">
        <v>466</v>
      </c>
    </row>
    <row r="206" spans="1:8">
      <c r="A206" s="154" t="s">
        <v>524</v>
      </c>
      <c r="B206" s="267" t="str">
        <f>Expenses!C206</f>
        <v>Series 2021A, KRWFC</v>
      </c>
      <c r="C206" s="147">
        <f>Expenses!J206</f>
        <v>39784.799999999996</v>
      </c>
      <c r="D206" s="300" t="s">
        <v>691</v>
      </c>
      <c r="E206" s="546">
        <f>VLOOKUP(D206,'W-Alloc Met-TY Adj'!$C$8:$D$10,2,FALSE)*C206</f>
        <v>39784.799999999996</v>
      </c>
      <c r="F206" s="546">
        <f>VLOOKUP(D206,'W-Alloc Met-TY Adj'!$C$8:$E$10,3,FALSE)*C206</f>
        <v>0</v>
      </c>
      <c r="G206" s="560">
        <f>VLOOKUP(D206,'W-Alloc Met-TY Adj'!$C$8:$F$10,4,FALSE)*C206</f>
        <v>0</v>
      </c>
      <c r="H206" s="49" t="s">
        <v>466</v>
      </c>
    </row>
    <row r="207" spans="1:8">
      <c r="A207" s="154" t="s">
        <v>524</v>
      </c>
      <c r="B207" s="267" t="str">
        <f>Expenses!C207</f>
        <v>Series 2022D, KRWFC</v>
      </c>
      <c r="C207" s="147">
        <f>Expenses!J207</f>
        <v>130845.59999999999</v>
      </c>
      <c r="D207" s="300" t="s">
        <v>691</v>
      </c>
      <c r="E207" s="546">
        <f>VLOOKUP(D207,'W-Alloc Met-TY Adj'!$C$8:$D$10,2,FALSE)*C207</f>
        <v>130845.59999999999</v>
      </c>
      <c r="F207" s="546">
        <f>VLOOKUP(D207,'W-Alloc Met-TY Adj'!$C$8:$E$10,3,FALSE)*C207</f>
        <v>0</v>
      </c>
      <c r="G207" s="560">
        <f>VLOOKUP(D207,'W-Alloc Met-TY Adj'!$C$8:$F$10,4,FALSE)*C207</f>
        <v>0</v>
      </c>
      <c r="H207" s="49" t="s">
        <v>466</v>
      </c>
    </row>
    <row r="208" spans="1:8">
      <c r="A208" s="154" t="s">
        <v>526</v>
      </c>
      <c r="B208" s="267" t="str">
        <f>Expenses!C208</f>
        <v>Consumer Deposits</v>
      </c>
      <c r="C208" s="147">
        <f>Expenses!J208</f>
        <v>15005</v>
      </c>
      <c r="D208" s="300" t="s">
        <v>691</v>
      </c>
      <c r="E208" s="546">
        <f>VLOOKUP(D208,'W-Alloc Met-TY Adj'!$C$8:$D$10,2,FALSE)*C208</f>
        <v>15005</v>
      </c>
      <c r="F208" s="546">
        <f>VLOOKUP(D208,'W-Alloc Met-TY Adj'!$C$8:$E$10,3,FALSE)*C208</f>
        <v>0</v>
      </c>
      <c r="G208" s="560">
        <f>VLOOKUP(D208,'W-Alloc Met-TY Adj'!$C$8:$F$10,4,FALSE)*C208</f>
        <v>0</v>
      </c>
      <c r="H208" s="49" t="s">
        <v>466</v>
      </c>
    </row>
    <row r="209" spans="1:8">
      <c r="A209" s="154" t="s">
        <v>527</v>
      </c>
      <c r="B209" s="267" t="str">
        <f>Expenses!C209</f>
        <v>Other</v>
      </c>
      <c r="C209" s="147">
        <f>Expenses!J209</f>
        <v>0</v>
      </c>
      <c r="D209" s="300" t="s">
        <v>691</v>
      </c>
      <c r="E209" s="546">
        <f>VLOOKUP(D209,'W-Alloc Met-TY Adj'!$C$8:$D$10,2,FALSE)*C209</f>
        <v>0</v>
      </c>
      <c r="F209" s="546">
        <f>VLOOKUP(D209,'W-Alloc Met-TY Adj'!$C$8:$E$10,3,FALSE)*C209</f>
        <v>0</v>
      </c>
      <c r="G209" s="560">
        <f>VLOOKUP(D209,'W-Alloc Met-TY Adj'!$C$8:$F$10,4,FALSE)*C209</f>
        <v>0</v>
      </c>
      <c r="H209" s="49" t="s">
        <v>466</v>
      </c>
    </row>
    <row r="210" spans="1:8">
      <c r="A210" s="154" t="s">
        <v>528</v>
      </c>
      <c r="B210" s="267" t="str">
        <f>Expenses!C210</f>
        <v>Amortized Prem/Disc Exp- Rev Bonds, Series 2004A</v>
      </c>
      <c r="C210" s="147">
        <f>Expenses!J210</f>
        <v>0</v>
      </c>
      <c r="D210" s="300" t="s">
        <v>691</v>
      </c>
      <c r="E210" s="546">
        <f>VLOOKUP(D210,'W-Alloc Met-TY Adj'!$C$8:$D$10,2,FALSE)*C210</f>
        <v>0</v>
      </c>
      <c r="F210" s="546">
        <f>VLOOKUP(D210,'W-Alloc Met-TY Adj'!$C$8:$E$10,3,FALSE)*C210</f>
        <v>0</v>
      </c>
      <c r="G210" s="560">
        <f>VLOOKUP(D210,'W-Alloc Met-TY Adj'!$C$8:$F$10,4,FALSE)*C210</f>
        <v>0</v>
      </c>
      <c r="H210" s="49" t="s">
        <v>466</v>
      </c>
    </row>
    <row r="211" spans="1:8">
      <c r="A211" s="154" t="s">
        <v>530</v>
      </c>
      <c r="B211" s="267" t="str">
        <f>Expenses!C211</f>
        <v>Amortized Prem/Disc Exp- KRWFC, Series 2006A</v>
      </c>
      <c r="C211" s="147">
        <f>Expenses!J211</f>
        <v>0</v>
      </c>
      <c r="D211" s="300" t="s">
        <v>691</v>
      </c>
      <c r="E211" s="546">
        <f>VLOOKUP(D211,'W-Alloc Met-TY Adj'!$C$8:$D$10,2,FALSE)*C211</f>
        <v>0</v>
      </c>
      <c r="F211" s="546">
        <f>VLOOKUP(D211,'W-Alloc Met-TY Adj'!$C$8:$E$10,3,FALSE)*C211</f>
        <v>0</v>
      </c>
      <c r="G211" s="560">
        <f>VLOOKUP(D211,'W-Alloc Met-TY Adj'!$C$8:$F$10,4,FALSE)*C211</f>
        <v>0</v>
      </c>
      <c r="H211" s="49" t="s">
        <v>466</v>
      </c>
    </row>
    <row r="212" spans="1:8">
      <c r="A212" s="154" t="s">
        <v>532</v>
      </c>
      <c r="B212" s="267" t="str">
        <f>Expenses!C212</f>
        <v>Amortized Prem/Disc Exp- KRWFC, Series 2012B</v>
      </c>
      <c r="C212" s="147">
        <f>Expenses!J212</f>
        <v>0</v>
      </c>
      <c r="D212" s="300" t="s">
        <v>691</v>
      </c>
      <c r="E212" s="546">
        <f>VLOOKUP(D212,'W-Alloc Met-TY Adj'!$C$8:$D$10,2,FALSE)*C212</f>
        <v>0</v>
      </c>
      <c r="F212" s="546">
        <f>VLOOKUP(D212,'W-Alloc Met-TY Adj'!$C$8:$E$10,3,FALSE)*C212</f>
        <v>0</v>
      </c>
      <c r="G212" s="560">
        <f>VLOOKUP(D212,'W-Alloc Met-TY Adj'!$C$8:$F$10,4,FALSE)*C212</f>
        <v>0</v>
      </c>
      <c r="H212" s="49" t="s">
        <v>466</v>
      </c>
    </row>
    <row r="213" spans="1:8">
      <c r="A213" s="154" t="s">
        <v>534</v>
      </c>
      <c r="B213" s="267" t="str">
        <f>Expenses!C213</f>
        <v>Amortized Prem/Disc Exp- KRWFC, Series 2013B</v>
      </c>
      <c r="C213" s="147">
        <f>Expenses!J213</f>
        <v>1012.8</v>
      </c>
      <c r="D213" s="300" t="s">
        <v>691</v>
      </c>
      <c r="E213" s="546">
        <f>VLOOKUP(D213,'W-Alloc Met-TY Adj'!$C$8:$D$10,2,FALSE)*C213</f>
        <v>1012.8</v>
      </c>
      <c r="F213" s="546">
        <f>VLOOKUP(D213,'W-Alloc Met-TY Adj'!$C$8:$E$10,3,FALSE)*C213</f>
        <v>0</v>
      </c>
      <c r="G213" s="560">
        <f>VLOOKUP(D213,'W-Alloc Met-TY Adj'!$C$8:$F$10,4,FALSE)*C213</f>
        <v>0</v>
      </c>
      <c r="H213" s="49" t="s">
        <v>466</v>
      </c>
    </row>
    <row r="214" spans="1:8">
      <c r="A214" s="154" t="s">
        <v>536</v>
      </c>
      <c r="B214" s="267" t="str">
        <f>Expenses!C214</f>
        <v>Amortized Prem/Disc Exp- KRWFC, Series 2016B</v>
      </c>
      <c r="C214" s="147">
        <f>Expenses!J214</f>
        <v>-1973</v>
      </c>
      <c r="D214" s="300" t="s">
        <v>691</v>
      </c>
      <c r="E214" s="546">
        <f>VLOOKUP(D214,'W-Alloc Met-TY Adj'!$C$8:$D$10,2,FALSE)*C214</f>
        <v>-1973</v>
      </c>
      <c r="F214" s="546">
        <f>VLOOKUP(D214,'W-Alloc Met-TY Adj'!$C$8:$E$10,3,FALSE)*C214</f>
        <v>0</v>
      </c>
      <c r="G214" s="560">
        <f>VLOOKUP(D214,'W-Alloc Met-TY Adj'!$C$8:$F$10,4,FALSE)*C214</f>
        <v>0</v>
      </c>
      <c r="H214" s="49"/>
    </row>
    <row r="215" spans="1:8">
      <c r="A215" s="154" t="s">
        <v>538</v>
      </c>
      <c r="B215" s="267" t="str">
        <f>Expenses!C215</f>
        <v>Amortized Prem/Disc Exp- KRWFC, Series 2021A</v>
      </c>
      <c r="C215" s="147">
        <f>Expenses!J215</f>
        <v>-11561</v>
      </c>
      <c r="D215" s="300" t="s">
        <v>691</v>
      </c>
      <c r="E215" s="546">
        <f>VLOOKUP(D215,'W-Alloc Met-TY Adj'!$C$8:$D$10,2,FALSE)*C215</f>
        <v>-11561</v>
      </c>
      <c r="F215" s="546">
        <f>VLOOKUP(D215,'W-Alloc Met-TY Adj'!$C$8:$E$10,3,FALSE)*C215</f>
        <v>0</v>
      </c>
      <c r="G215" s="560">
        <f>VLOOKUP(D215,'W-Alloc Met-TY Adj'!$C$8:$F$10,4,FALSE)*C215</f>
        <v>0</v>
      </c>
      <c r="H215" s="49"/>
    </row>
    <row r="216" spans="1:8">
      <c r="A216" s="154"/>
      <c r="B216" s="267" t="str">
        <f>Expenses!C216</f>
        <v>-</v>
      </c>
      <c r="C216" s="147">
        <f>Expenses!J216</f>
        <v>0</v>
      </c>
      <c r="D216" s="300" t="s">
        <v>691</v>
      </c>
      <c r="E216" s="546">
        <f>VLOOKUP(D216,'W-Alloc Met-TY Adj'!$C$8:$D$10,2,FALSE)*C216</f>
        <v>0</v>
      </c>
      <c r="F216" s="546">
        <f>VLOOKUP(D216,'W-Alloc Met-TY Adj'!$C$8:$E$10,3,FALSE)*C216</f>
        <v>0</v>
      </c>
      <c r="G216" s="560">
        <f>VLOOKUP(D216,'W-Alloc Met-TY Adj'!$C$8:$F$10,4,FALSE)*C216</f>
        <v>0</v>
      </c>
      <c r="H216" s="49"/>
    </row>
    <row r="217" spans="1:8">
      <c r="A217" s="154"/>
      <c r="B217" s="267" t="str">
        <f>Expenses!C217</f>
        <v>-</v>
      </c>
      <c r="C217" s="147">
        <f>Expenses!J217</f>
        <v>0</v>
      </c>
      <c r="D217" s="300" t="s">
        <v>691</v>
      </c>
      <c r="E217" s="546">
        <f>VLOOKUP(D217,'W-Alloc Met-TY Adj'!$C$8:$D$10,2,FALSE)*C217</f>
        <v>0</v>
      </c>
      <c r="F217" s="546">
        <f>VLOOKUP(D217,'W-Alloc Met-TY Adj'!$C$8:$E$10,3,FALSE)*C217</f>
        <v>0</v>
      </c>
      <c r="G217" s="560">
        <f>VLOOKUP(D217,'W-Alloc Met-TY Adj'!$C$8:$F$10,4,FALSE)*C217</f>
        <v>0</v>
      </c>
      <c r="H217" s="49"/>
    </row>
    <row r="218" spans="1:8">
      <c r="A218" s="154"/>
      <c r="B218" s="267" t="str">
        <f>Expenses!C218</f>
        <v>-</v>
      </c>
      <c r="C218" s="147">
        <f>Expenses!J218</f>
        <v>0</v>
      </c>
      <c r="D218" s="300" t="s">
        <v>691</v>
      </c>
      <c r="E218" s="546">
        <f>VLOOKUP(D218,'W-Alloc Met-TY Adj'!$C$8:$D$10,2,FALSE)*C218</f>
        <v>0</v>
      </c>
      <c r="F218" s="546">
        <f>VLOOKUP(D218,'W-Alloc Met-TY Adj'!$C$8:$E$10,3,FALSE)*C218</f>
        <v>0</v>
      </c>
      <c r="G218" s="560">
        <f>VLOOKUP(D218,'W-Alloc Met-TY Adj'!$C$8:$F$10,4,FALSE)*C218</f>
        <v>0</v>
      </c>
      <c r="H218" s="49"/>
    </row>
    <row r="219" spans="1:8">
      <c r="A219" s="154"/>
      <c r="B219" s="267" t="str">
        <f>Expenses!C219</f>
        <v>-</v>
      </c>
      <c r="C219" s="147">
        <f>Expenses!J219</f>
        <v>0</v>
      </c>
      <c r="D219" s="300" t="s">
        <v>691</v>
      </c>
      <c r="E219" s="546">
        <f>VLOOKUP(D219,'W-Alloc Met-TY Adj'!$C$8:$D$10,2,FALSE)*C219</f>
        <v>0</v>
      </c>
      <c r="F219" s="546">
        <f>VLOOKUP(D219,'W-Alloc Met-TY Adj'!$C$8:$E$10,3,FALSE)*C219</f>
        <v>0</v>
      </c>
      <c r="G219" s="560">
        <f>VLOOKUP(D219,'W-Alloc Met-TY Adj'!$C$8:$F$10,4,FALSE)*C219</f>
        <v>0</v>
      </c>
      <c r="H219" s="49"/>
    </row>
    <row r="220" spans="1:8">
      <c r="A220" s="154"/>
      <c r="B220" s="267" t="str">
        <f>Expenses!C220</f>
        <v>-</v>
      </c>
      <c r="C220" s="147">
        <f>Expenses!J220</f>
        <v>0</v>
      </c>
      <c r="D220" s="300" t="s">
        <v>691</v>
      </c>
      <c r="E220" s="546">
        <f>VLOOKUP(D220,'W-Alloc Met-TY Adj'!$C$8:$D$10,2,FALSE)*C220</f>
        <v>0</v>
      </c>
      <c r="F220" s="546">
        <f>VLOOKUP(D220,'W-Alloc Met-TY Adj'!$C$8:$E$10,3,FALSE)*C220</f>
        <v>0</v>
      </c>
      <c r="G220" s="560">
        <f>VLOOKUP(D220,'W-Alloc Met-TY Adj'!$C$8:$F$10,4,FALSE)*C220</f>
        <v>0</v>
      </c>
      <c r="H220" s="49"/>
    </row>
    <row r="221" spans="1:8">
      <c r="A221" s="857"/>
      <c r="B221" s="267" t="str">
        <f>Expenses!C221</f>
        <v>-</v>
      </c>
      <c r="C221" s="320">
        <f>Expenses!J221</f>
        <v>0</v>
      </c>
      <c r="D221" s="299" t="s">
        <v>691</v>
      </c>
      <c r="E221" s="768">
        <f>VLOOKUP(D221,'W-Alloc Met-TY Adj'!$C$8:$D$10,2,FALSE)*C221</f>
        <v>0</v>
      </c>
      <c r="F221" s="768">
        <f>VLOOKUP(D221,'W-Alloc Met-TY Adj'!$C$8:$E$10,3,FALSE)*C221</f>
        <v>0</v>
      </c>
      <c r="G221" s="769">
        <f>VLOOKUP(D221,'W-Alloc Met-TY Adj'!$C$8:$F$10,4,FALSE)*C221</f>
        <v>0</v>
      </c>
      <c r="H221" s="49"/>
    </row>
    <row r="222" spans="1:8">
      <c r="A222" s="860"/>
      <c r="B222" s="544" t="s">
        <v>29</v>
      </c>
      <c r="C222" s="545">
        <f>SUM(C176:C221)</f>
        <v>334992.99999999994</v>
      </c>
      <c r="D222" s="545"/>
      <c r="E222" s="545">
        <f>SUM(E176:E221)</f>
        <v>334992.99999999994</v>
      </c>
      <c r="F222" s="545">
        <f>SUM(F176:F221)</f>
        <v>0</v>
      </c>
      <c r="G222" s="626">
        <f>SUM(G176:G221)</f>
        <v>0</v>
      </c>
      <c r="H222" s="49"/>
    </row>
    <row r="223" spans="1:8">
      <c r="A223" s="855"/>
      <c r="B223" s="266"/>
      <c r="C223" s="45"/>
      <c r="G223" s="15"/>
      <c r="H223" s="49"/>
    </row>
    <row r="224" spans="1:8">
      <c r="A224" s="855"/>
      <c r="B224" s="262" t="s">
        <v>35</v>
      </c>
      <c r="C224" s="320"/>
      <c r="D224" s="153"/>
      <c r="E224" s="153"/>
      <c r="F224" s="153"/>
      <c r="G224" s="91"/>
      <c r="H224" s="49"/>
    </row>
    <row r="225" spans="1:8">
      <c r="A225" s="855" t="s">
        <v>541</v>
      </c>
      <c r="B225" s="267" t="str">
        <f>Expenses!C225</f>
        <v>Amortized Debt Expense</v>
      </c>
      <c r="C225" s="147">
        <f>Expenses!J225</f>
        <v>0</v>
      </c>
      <c r="D225" s="300" t="s">
        <v>691</v>
      </c>
      <c r="E225" s="546">
        <f>VLOOKUP(D225,'W-Alloc Met-TY Adj'!$C$8:$D$10,2,FALSE)*C225</f>
        <v>0</v>
      </c>
      <c r="F225" s="546">
        <f>VLOOKUP(D225,'W-Alloc Met-TY Adj'!$C$8:$E$10,3,FALSE)*C225</f>
        <v>0</v>
      </c>
      <c r="G225" s="560">
        <f>VLOOKUP(D225,'W-Alloc Met-TY Adj'!$C$8:$F$10,4,FALSE)*C225</f>
        <v>0</v>
      </c>
      <c r="H225" s="49"/>
    </row>
    <row r="226" spans="1:8">
      <c r="A226" s="154" t="s">
        <v>542</v>
      </c>
      <c r="B226" s="267" t="str">
        <f>Expenses!C226</f>
        <v>Amortized Debt Gain/Loss KRWFC Series 2016B</v>
      </c>
      <c r="C226" s="147">
        <f>Expenses!J226</f>
        <v>1192</v>
      </c>
      <c r="D226" s="300" t="s">
        <v>691</v>
      </c>
      <c r="E226" s="546">
        <f>VLOOKUP(D226,'W-Alloc Met-TY Adj'!$C$8:$D$10,2,FALSE)*C226</f>
        <v>1192</v>
      </c>
      <c r="F226" s="546">
        <f>VLOOKUP(D226,'W-Alloc Met-TY Adj'!$C$8:$E$10,3,FALSE)*C226</f>
        <v>0</v>
      </c>
      <c r="G226" s="560">
        <f>VLOOKUP(D226,'W-Alloc Met-TY Adj'!$C$8:$F$10,4,FALSE)*C226</f>
        <v>0</v>
      </c>
      <c r="H226" s="49"/>
    </row>
    <row r="227" spans="1:8">
      <c r="A227" s="154" t="s">
        <v>545</v>
      </c>
      <c r="B227" s="267" t="str">
        <f>Expenses!C227</f>
        <v>Amortized Debt Gain/Loss KRWFC Series 2021A</v>
      </c>
      <c r="C227" s="147">
        <f>Expenses!J227</f>
        <v>2055</v>
      </c>
      <c r="D227" s="300" t="s">
        <v>691</v>
      </c>
      <c r="E227" s="546">
        <f>VLOOKUP(D227,'W-Alloc Met-TY Adj'!$C$8:$D$10,2,FALSE)*C227</f>
        <v>2055</v>
      </c>
      <c r="F227" s="546">
        <f>VLOOKUP(D227,'W-Alloc Met-TY Adj'!$C$8:$E$10,3,FALSE)*C227</f>
        <v>0</v>
      </c>
      <c r="G227" s="560">
        <f>VLOOKUP(D227,'W-Alloc Met-TY Adj'!$C$8:$F$10,4,FALSE)*C227</f>
        <v>0</v>
      </c>
      <c r="H227" s="49"/>
    </row>
    <row r="228" spans="1:8">
      <c r="A228" s="154"/>
      <c r="B228" s="267" t="str">
        <f>Expenses!C228</f>
        <v>Amortized Debt Expense</v>
      </c>
      <c r="C228" s="147">
        <f>Expenses!J228</f>
        <v>0</v>
      </c>
      <c r="D228" s="300" t="s">
        <v>691</v>
      </c>
      <c r="E228" s="546">
        <f>VLOOKUP(D228,'W-Alloc Met-TY Adj'!$C$8:$D$10,2,FALSE)*C228</f>
        <v>0</v>
      </c>
      <c r="F228" s="546">
        <f>VLOOKUP(D228,'W-Alloc Met-TY Adj'!$C$8:$E$10,3,FALSE)*C228</f>
        <v>0</v>
      </c>
      <c r="G228" s="560">
        <f>VLOOKUP(D228,'W-Alloc Met-TY Adj'!$C$8:$F$10,4,FALSE)*C228</f>
        <v>0</v>
      </c>
      <c r="H228" s="49"/>
    </row>
    <row r="229" spans="1:8">
      <c r="A229" s="154" t="s">
        <v>548</v>
      </c>
      <c r="B229" s="267" t="str">
        <f>Expenses!C229</f>
        <v>Debt Issuance Expense</v>
      </c>
      <c r="C229" s="147">
        <f>Expenses!J229</f>
        <v>-2384</v>
      </c>
      <c r="D229" s="300" t="s">
        <v>691</v>
      </c>
      <c r="E229" s="546">
        <f>VLOOKUP(D229,'W-Alloc Met-TY Adj'!$C$8:$D$10,2,FALSE)*C229</f>
        <v>-2384</v>
      </c>
      <c r="F229" s="546">
        <f>VLOOKUP(D229,'W-Alloc Met-TY Adj'!$C$8:$E$10,3,FALSE)*C229</f>
        <v>0</v>
      </c>
      <c r="G229" s="560">
        <f>VLOOKUP(D229,'W-Alloc Met-TY Adj'!$C$8:$F$10,4,FALSE)*C229</f>
        <v>0</v>
      </c>
      <c r="H229" s="49"/>
    </row>
    <row r="230" spans="1:8">
      <c r="A230" s="154" t="s">
        <v>551</v>
      </c>
      <c r="B230" s="267" t="str">
        <f>Expenses!C230</f>
        <v>OPEB Expense</v>
      </c>
      <c r="C230" s="147">
        <f>Expenses!J230</f>
        <v>29230</v>
      </c>
      <c r="D230" s="300" t="s">
        <v>691</v>
      </c>
      <c r="E230" s="546">
        <f>VLOOKUP(D230,'W-Alloc Met-TY Adj'!$C$8:$D$10,2,FALSE)*C230</f>
        <v>29230</v>
      </c>
      <c r="F230" s="546">
        <f>VLOOKUP(D230,'W-Alloc Met-TY Adj'!$C$8:$E$10,3,FALSE)*C230</f>
        <v>0</v>
      </c>
      <c r="G230" s="560">
        <f>VLOOKUP(D230,'W-Alloc Met-TY Adj'!$C$8:$F$10,4,FALSE)*C230</f>
        <v>0</v>
      </c>
      <c r="H230" s="49" t="s">
        <v>466</v>
      </c>
    </row>
    <row r="231" spans="1:8">
      <c r="A231" s="154"/>
      <c r="B231" s="267" t="str">
        <f>Expenses!C231</f>
        <v xml:space="preserve">Bonds- Series 2020, USDA </v>
      </c>
      <c r="C231" s="147">
        <f>Expenses!J231</f>
        <v>0</v>
      </c>
      <c r="D231" s="300" t="s">
        <v>691</v>
      </c>
      <c r="E231" s="546">
        <f>VLOOKUP(D231,'W-Alloc Met-TY Adj'!$C$8:$D$10,2,FALSE)*C231</f>
        <v>0</v>
      </c>
      <c r="F231" s="546">
        <f>VLOOKUP(D231,'W-Alloc Met-TY Adj'!$C$8:$E$10,3,FALSE)*C231</f>
        <v>0</v>
      </c>
      <c r="G231" s="560">
        <f>VLOOKUP(D231,'W-Alloc Met-TY Adj'!$C$8:$F$10,4,FALSE)*C231</f>
        <v>0</v>
      </c>
      <c r="H231" s="49" t="s">
        <v>466</v>
      </c>
    </row>
    <row r="232" spans="1:8">
      <c r="A232" s="154"/>
      <c r="B232" s="267" t="str">
        <f>Expenses!C232</f>
        <v>Loan- KIA, Buchanon Park (C11-02)</v>
      </c>
      <c r="C232" s="147">
        <f>Expenses!J232</f>
        <v>0</v>
      </c>
      <c r="D232" s="300" t="s">
        <v>691</v>
      </c>
      <c r="E232" s="546">
        <f>VLOOKUP(D232,'W-Alloc Met-TY Adj'!$C$8:$D$10,2,FALSE)*C232</f>
        <v>0</v>
      </c>
      <c r="F232" s="546">
        <f>VLOOKUP(D232,'W-Alloc Met-TY Adj'!$C$8:$E$10,3,FALSE)*C232</f>
        <v>0</v>
      </c>
      <c r="G232" s="560">
        <f>VLOOKUP(D232,'W-Alloc Met-TY Adj'!$C$8:$F$10,4,FALSE)*C232</f>
        <v>0</v>
      </c>
      <c r="H232" s="49" t="s">
        <v>466</v>
      </c>
    </row>
    <row r="233" spans="1:8">
      <c r="A233" s="154"/>
      <c r="B233" s="267" t="str">
        <f>Expenses!C233</f>
        <v>Loan- Series 2013B, RWFA</v>
      </c>
      <c r="C233" s="147">
        <f>Expenses!J233</f>
        <v>0</v>
      </c>
      <c r="D233" s="300" t="s">
        <v>691</v>
      </c>
      <c r="E233" s="546">
        <f>VLOOKUP(D233,'W-Alloc Met-TY Adj'!$C$8:$D$10,2,FALSE)*C233</f>
        <v>0</v>
      </c>
      <c r="F233" s="546">
        <f>VLOOKUP(D233,'W-Alloc Met-TY Adj'!$C$8:$E$10,3,FALSE)*C233</f>
        <v>0</v>
      </c>
      <c r="G233" s="560">
        <f>VLOOKUP(D233,'W-Alloc Met-TY Adj'!$C$8:$F$10,4,FALSE)*C233</f>
        <v>0</v>
      </c>
      <c r="H233" s="49" t="s">
        <v>466</v>
      </c>
    </row>
    <row r="234" spans="1:8">
      <c r="A234" s="154"/>
      <c r="B234" s="267" t="str">
        <f>Expenses!C234</f>
        <v>Loan - KIA, Plum Springs Rehab (B19-006)</v>
      </c>
      <c r="C234" s="147">
        <f>Expenses!J234</f>
        <v>0</v>
      </c>
      <c r="D234" s="300" t="s">
        <v>691</v>
      </c>
      <c r="E234" s="546">
        <f>VLOOKUP(D234,'W-Alloc Met-TY Adj'!$C$8:$D$10,2,FALSE)*C234</f>
        <v>0</v>
      </c>
      <c r="F234" s="546">
        <f>VLOOKUP(D234,'W-Alloc Met-TY Adj'!$C$8:$E$10,3,FALSE)*C234</f>
        <v>0</v>
      </c>
      <c r="G234" s="560">
        <f>VLOOKUP(D234,'W-Alloc Met-TY Adj'!$C$8:$F$10,4,FALSE)*C234</f>
        <v>0</v>
      </c>
      <c r="H234" s="49" t="s">
        <v>466</v>
      </c>
    </row>
    <row r="235" spans="1:8">
      <c r="A235" s="154"/>
      <c r="B235" s="267" t="str">
        <f>Expenses!C235</f>
        <v>Loan- Series 2021A, KRWFC</v>
      </c>
      <c r="C235" s="147">
        <f>Expenses!J235</f>
        <v>162000</v>
      </c>
      <c r="D235" s="300" t="s">
        <v>691</v>
      </c>
      <c r="E235" s="546">
        <f>VLOOKUP(D235,'W-Alloc Met-TY Adj'!$C$8:$D$10,2,FALSE)*C235</f>
        <v>162000</v>
      </c>
      <c r="F235" s="546">
        <f>VLOOKUP(D235,'W-Alloc Met-TY Adj'!$C$8:$E$10,3,FALSE)*C235</f>
        <v>0</v>
      </c>
      <c r="G235" s="560">
        <f>VLOOKUP(D235,'W-Alloc Met-TY Adj'!$C$8:$F$10,4,FALSE)*C235</f>
        <v>0</v>
      </c>
      <c r="H235" s="49" t="s">
        <v>466</v>
      </c>
    </row>
    <row r="236" spans="1:8">
      <c r="A236" s="154"/>
      <c r="B236" s="267" t="str">
        <f>Expenses!C236</f>
        <v>Loan- Series 2022D, KRWFC</v>
      </c>
      <c r="C236" s="147">
        <f>Expenses!J236</f>
        <v>0</v>
      </c>
      <c r="D236" s="300" t="s">
        <v>691</v>
      </c>
      <c r="E236" s="546">
        <f>VLOOKUP(D236,'W-Alloc Met-TY Adj'!$C$8:$D$10,2,FALSE)*C236</f>
        <v>0</v>
      </c>
      <c r="F236" s="546">
        <f>VLOOKUP(D236,'W-Alloc Met-TY Adj'!$C$8:$E$10,3,FALSE)*C236</f>
        <v>0</v>
      </c>
      <c r="G236" s="560">
        <f>VLOOKUP(D236,'W-Alloc Met-TY Adj'!$C$8:$F$10,4,FALSE)*C236</f>
        <v>0</v>
      </c>
      <c r="H236" s="49" t="s">
        <v>466</v>
      </c>
    </row>
    <row r="237" spans="1:8">
      <c r="A237" s="154"/>
      <c r="B237" s="267" t="str">
        <f>Expenses!C237</f>
        <v>Bond- Series 2005A, USDA (RD)</v>
      </c>
      <c r="C237" s="147">
        <f>Expenses!J237</f>
        <v>33600</v>
      </c>
      <c r="D237" s="300" t="s">
        <v>691</v>
      </c>
      <c r="E237" s="546">
        <f>VLOOKUP(D237,'W-Alloc Met-TY Adj'!$C$8:$D$10,2,FALSE)*C237</f>
        <v>33600</v>
      </c>
      <c r="F237" s="546">
        <f>VLOOKUP(D237,'W-Alloc Met-TY Adj'!$C$8:$E$10,3,FALSE)*C237</f>
        <v>0</v>
      </c>
      <c r="G237" s="560">
        <f>VLOOKUP(D237,'W-Alloc Met-TY Adj'!$C$8:$F$10,4,FALSE)*C237</f>
        <v>0</v>
      </c>
      <c r="H237" s="49" t="s">
        <v>466</v>
      </c>
    </row>
    <row r="238" spans="1:8">
      <c r="A238" s="154"/>
      <c r="B238" s="267" t="str">
        <f>Expenses!C238</f>
        <v>Loan- Series 2013B, KRWFC</v>
      </c>
      <c r="C238" s="147">
        <f>Expenses!J238</f>
        <v>168154.8</v>
      </c>
      <c r="D238" s="300" t="s">
        <v>691</v>
      </c>
      <c r="E238" s="546">
        <f>VLOOKUP(D238,'W-Alloc Met-TY Adj'!$C$8:$D$10,2,FALSE)*C238</f>
        <v>168154.8</v>
      </c>
      <c r="F238" s="546">
        <f>VLOOKUP(D238,'W-Alloc Met-TY Adj'!$C$8:$E$10,3,FALSE)*C238</f>
        <v>0</v>
      </c>
      <c r="G238" s="560">
        <f>VLOOKUP(D238,'W-Alloc Met-TY Adj'!$C$8:$F$10,4,FALSE)*C238</f>
        <v>0</v>
      </c>
      <c r="H238" s="49" t="s">
        <v>466</v>
      </c>
    </row>
    <row r="239" spans="1:8">
      <c r="A239" s="154"/>
      <c r="B239" s="267" t="str">
        <f>Expenses!C239</f>
        <v>Loan- Series 2016B, KRWFC</v>
      </c>
      <c r="C239" s="147">
        <f>Expenses!J239</f>
        <v>202000</v>
      </c>
      <c r="D239" s="300" t="s">
        <v>691</v>
      </c>
      <c r="E239" s="546">
        <f>VLOOKUP(D239,'W-Alloc Met-TY Adj'!$C$8:$D$10,2,FALSE)*C239</f>
        <v>202000</v>
      </c>
      <c r="F239" s="546">
        <f>VLOOKUP(D239,'W-Alloc Met-TY Adj'!$C$8:$E$10,3,FALSE)*C239</f>
        <v>0</v>
      </c>
      <c r="G239" s="560">
        <f>VLOOKUP(D239,'W-Alloc Met-TY Adj'!$C$8:$F$10,4,FALSE)*C239</f>
        <v>0</v>
      </c>
      <c r="H239" s="49" t="s">
        <v>466</v>
      </c>
    </row>
    <row r="240" spans="1:8">
      <c r="A240" s="154"/>
      <c r="B240" s="267" t="str">
        <f>Expenses!C240</f>
        <v xml:space="preserve">Loan- Series 2020 KIA </v>
      </c>
      <c r="C240" s="147">
        <f>Expenses!J240</f>
        <v>100415.2</v>
      </c>
      <c r="D240" s="300" t="s">
        <v>691</v>
      </c>
      <c r="E240" s="546">
        <f>VLOOKUP(D240,'W-Alloc Met-TY Adj'!$C$8:$D$10,2,FALSE)*C240</f>
        <v>100415.2</v>
      </c>
      <c r="F240" s="546">
        <f>VLOOKUP(D240,'W-Alloc Met-TY Adj'!$C$8:$E$10,3,FALSE)*C240</f>
        <v>0</v>
      </c>
      <c r="G240" s="560">
        <f>VLOOKUP(D240,'W-Alloc Met-TY Adj'!$C$8:$F$10,4,FALSE)*C240</f>
        <v>0</v>
      </c>
      <c r="H240" s="49" t="s">
        <v>466</v>
      </c>
    </row>
    <row r="241" spans="1:8">
      <c r="A241" s="154"/>
      <c r="B241" s="267" t="str">
        <f>Expenses!C241</f>
        <v>-</v>
      </c>
      <c r="C241" s="147">
        <f>Expenses!J241</f>
        <v>0</v>
      </c>
      <c r="D241" s="300" t="s">
        <v>691</v>
      </c>
      <c r="E241" s="546">
        <f>VLOOKUP(D241,'W-Alloc Met-TY Adj'!$C$8:$D$10,2,FALSE)*C241</f>
        <v>0</v>
      </c>
      <c r="F241" s="546">
        <f>VLOOKUP(D241,'W-Alloc Met-TY Adj'!$C$8:$E$10,3,FALSE)*C241</f>
        <v>0</v>
      </c>
      <c r="G241" s="560">
        <f>VLOOKUP(D241,'W-Alloc Met-TY Adj'!$C$8:$F$10,4,FALSE)*C241</f>
        <v>0</v>
      </c>
      <c r="H241" s="49" t="s">
        <v>466</v>
      </c>
    </row>
    <row r="242" spans="1:8">
      <c r="A242" s="154"/>
      <c r="B242" s="267" t="s">
        <v>93</v>
      </c>
      <c r="C242" s="147">
        <f>Expenses!J242</f>
        <v>0</v>
      </c>
      <c r="D242" s="300" t="s">
        <v>691</v>
      </c>
      <c r="E242" s="546">
        <f>VLOOKUP(D242,'W-Alloc Met-TY Adj'!$C$8:$D$10,2,FALSE)*C242</f>
        <v>0</v>
      </c>
      <c r="F242" s="546">
        <f>VLOOKUP(D242,'W-Alloc Met-TY Adj'!$C$8:$E$10,3,FALSE)*C242</f>
        <v>0</v>
      </c>
      <c r="G242" s="560">
        <f>VLOOKUP(D242,'W-Alloc Met-TY Adj'!$C$8:$F$10,4,FALSE)*C242</f>
        <v>0</v>
      </c>
      <c r="H242" s="49"/>
    </row>
    <row r="243" spans="1:8">
      <c r="A243" s="154"/>
      <c r="B243" s="267" t="str">
        <f>Expenses!C244</f>
        <v>-</v>
      </c>
      <c r="C243" s="320">
        <f>Expenses!J243</f>
        <v>0</v>
      </c>
      <c r="D243" s="299" t="s">
        <v>691</v>
      </c>
      <c r="E243" s="768">
        <f>VLOOKUP(D243,'W-Alloc Met-TY Adj'!$C$8:$D$10,2,FALSE)*C243</f>
        <v>0</v>
      </c>
      <c r="F243" s="768">
        <f>VLOOKUP(D243,'W-Alloc Met-TY Adj'!$C$8:$E$10,3,FALSE)*C243</f>
        <v>0</v>
      </c>
      <c r="G243" s="769">
        <f>VLOOKUP(D243,'W-Alloc Met-TY Adj'!$C$8:$F$10,4,FALSE)*C243</f>
        <v>0</v>
      </c>
      <c r="H243" s="49"/>
    </row>
    <row r="244" spans="1:8">
      <c r="A244" s="860"/>
      <c r="B244" s="544" t="s">
        <v>29</v>
      </c>
      <c r="C244" s="545">
        <f>SUM(C225:C243)</f>
        <v>696263</v>
      </c>
      <c r="D244" s="545"/>
      <c r="E244" s="545">
        <f>SUM(E225:E243)</f>
        <v>696263</v>
      </c>
      <c r="F244" s="545">
        <f>SUM(F225:F243)</f>
        <v>0</v>
      </c>
      <c r="G244" s="626">
        <f>SUM(G225:G243)</f>
        <v>0</v>
      </c>
      <c r="H244" s="49"/>
    </row>
    <row r="245" spans="1:8">
      <c r="A245" s="855"/>
      <c r="B245" s="268"/>
      <c r="C245" s="45"/>
      <c r="G245" s="15"/>
      <c r="H245" s="49"/>
    </row>
    <row r="246" spans="1:8" ht="14.5" thickBot="1">
      <c r="A246" s="860"/>
      <c r="B246" s="561" t="s">
        <v>37</v>
      </c>
      <c r="C246" s="562">
        <f>SUM(C36,C73,C94,C116,C138,C173,C222,C244)</f>
        <v>19204087.512952901</v>
      </c>
      <c r="D246" s="562"/>
      <c r="E246" s="562">
        <f>SUM(E36,E73,E94,E116,E138,E173,E222,E244)</f>
        <v>18183194.314711411</v>
      </c>
      <c r="F246" s="562">
        <f>SUM(F36,F73,F94,F116,F138,F173,F222,F244)</f>
        <v>1020893.1982414903</v>
      </c>
      <c r="G246" s="627">
        <f>SUM(G36,G73,G94,G116,G138,G173,G222,G244)</f>
        <v>0</v>
      </c>
      <c r="H246" s="473"/>
    </row>
    <row r="248" spans="1:8">
      <c r="A248" s="116" t="s">
        <v>123</v>
      </c>
    </row>
    <row r="249" spans="1:8">
      <c r="A249" s="116" t="s">
        <v>708</v>
      </c>
      <c r="B249" s="116"/>
    </row>
    <row r="250" spans="1:8">
      <c r="A250" s="116" t="s">
        <v>709</v>
      </c>
      <c r="B250" s="116"/>
      <c r="C250" s="116"/>
    </row>
    <row r="251" spans="1:8">
      <c r="C251" s="116"/>
    </row>
  </sheetData>
  <mergeCells count="7">
    <mergeCell ref="H1:H3"/>
    <mergeCell ref="B1:B2"/>
    <mergeCell ref="C1:C3"/>
    <mergeCell ref="D1:D3"/>
    <mergeCell ref="E1:E3"/>
    <mergeCell ref="F1:F3"/>
    <mergeCell ref="G1:G3"/>
  </mergeCells>
  <pageMargins left="0.7" right="0.7" top="0.75" bottom="0.75" header="0.3" footer="0.3"/>
  <pageSetup paperSize="3" orientation="landscape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49F8A-0465-4DC4-A5A5-89AF66F55E5E}">
  <sheetPr>
    <tabColor rgb="FF4A7729"/>
  </sheetPr>
  <dimension ref="A1:P25"/>
  <sheetViews>
    <sheetView workbookViewId="0">
      <selection sqref="A1:A2"/>
    </sheetView>
  </sheetViews>
  <sheetFormatPr defaultRowHeight="14"/>
  <cols>
    <col min="1" max="1" width="15.75" customWidth="1"/>
    <col min="2" max="2" width="11.75" customWidth="1"/>
    <col min="3" max="3" width="13.25" customWidth="1"/>
    <col min="4" max="6" width="11.75" customWidth="1"/>
    <col min="7" max="7" width="12.58203125" customWidth="1"/>
    <col min="8" max="8" width="11.25" customWidth="1"/>
    <col min="9" max="9" width="10.25" customWidth="1"/>
    <col min="10" max="10" width="12.75" customWidth="1"/>
    <col min="11" max="11" width="13.58203125" customWidth="1"/>
    <col min="12" max="12" width="12.75" customWidth="1"/>
    <col min="13" max="13" width="12.58203125" customWidth="1"/>
    <col min="14" max="14" width="16.25" customWidth="1"/>
    <col min="16" max="16" width="12.5" customWidth="1"/>
  </cols>
  <sheetData>
    <row r="1" spans="1:16" ht="36" customHeight="1">
      <c r="A1" s="956" t="s">
        <v>785</v>
      </c>
      <c r="B1" s="950" t="s">
        <v>129</v>
      </c>
      <c r="C1" s="950" t="s">
        <v>204</v>
      </c>
      <c r="D1" s="950" t="s">
        <v>281</v>
      </c>
      <c r="E1" s="950" t="s">
        <v>710</v>
      </c>
      <c r="F1" s="950" t="s">
        <v>102</v>
      </c>
      <c r="G1" s="950" t="s">
        <v>388</v>
      </c>
      <c r="H1" s="950" t="s">
        <v>34</v>
      </c>
      <c r="I1" s="950" t="s">
        <v>35</v>
      </c>
      <c r="J1" s="958" t="s">
        <v>711</v>
      </c>
      <c r="K1" s="953" t="s">
        <v>596</v>
      </c>
      <c r="L1" s="961" t="s">
        <v>712</v>
      </c>
      <c r="M1" s="953" t="s">
        <v>598</v>
      </c>
    </row>
    <row r="2" spans="1:16" ht="30.75" customHeight="1" thickBot="1">
      <c r="A2" s="957"/>
      <c r="B2" s="951"/>
      <c r="C2" s="951"/>
      <c r="D2" s="951"/>
      <c r="E2" s="951"/>
      <c r="F2" s="951"/>
      <c r="G2" s="951"/>
      <c r="H2" s="951"/>
      <c r="I2" s="951"/>
      <c r="J2" s="959"/>
      <c r="K2" s="954"/>
      <c r="L2" s="962"/>
      <c r="M2" s="954"/>
    </row>
    <row r="3" spans="1:16" ht="14.5" thickBot="1">
      <c r="A3" s="148" t="s">
        <v>5</v>
      </c>
      <c r="B3" s="952"/>
      <c r="C3" s="952"/>
      <c r="D3" s="952"/>
      <c r="E3" s="952"/>
      <c r="F3" s="952"/>
      <c r="G3" s="952"/>
      <c r="H3" s="952"/>
      <c r="I3" s="952"/>
      <c r="J3" s="960"/>
      <c r="K3" s="955"/>
      <c r="L3" s="963"/>
      <c r="M3" s="955"/>
    </row>
    <row r="4" spans="1:16">
      <c r="A4" s="149" t="s">
        <v>687</v>
      </c>
      <c r="B4" s="550">
        <f>'W-Exp Alloc-TY Adj'!E36</f>
        <v>7677111.4635122111</v>
      </c>
      <c r="C4" s="550">
        <f>'W-Exp Alloc-TY Adj'!E73</f>
        <v>2157603.4734691004</v>
      </c>
      <c r="D4" s="550">
        <f>'W-Exp Alloc-TY Adj'!E94</f>
        <v>1339064.8584112998</v>
      </c>
      <c r="E4" s="550">
        <f>'W-Exp Alloc-TY Adj'!E116</f>
        <v>1436382.6310725</v>
      </c>
      <c r="F4" s="550">
        <f>'W-Exp Alloc-TY Adj'!E138</f>
        <v>106133.73824629892</v>
      </c>
      <c r="G4" s="550">
        <f>'W-Exp Alloc-TY Adj'!E173</f>
        <v>4435642.1500000004</v>
      </c>
      <c r="H4" s="550">
        <f>'W-Exp Alloc-TY Adj'!E222</f>
        <v>334992.99999999994</v>
      </c>
      <c r="I4" s="550">
        <f>'W-Exp Alloc-TY Adj'!E244</f>
        <v>696263</v>
      </c>
      <c r="J4" s="551">
        <f>'W-Exp Alloc-TY Adj'!E246</f>
        <v>18183194.314711411</v>
      </c>
      <c r="K4" s="552">
        <f>($B$4*'W-Alloc Met-TY Adj'!C22)+($C$4*'W-Alloc Met-TY Adj'!C22)+($D$4*'W-Alloc Met-TY Adj'!C22)+($E$4*'W-Alloc Met-TY Adj'!C22)+($F$4*'W-Alloc Met-TY Adj'!C22)+($G$4*'W-Alloc Met-TY Adj'!C22)+($H$4*'W-Alloc Met-TY Adj'!C22)+($I$4*'W-Alloc Met-TY Adj'!C22)</f>
        <v>4796914.1846034918</v>
      </c>
      <c r="L4" s="552">
        <f>($B$4*'W-Alloc Met-TY Adj'!D22)+($C$4*'W-Alloc Met-TY Adj'!D22)+($D$4*'W-Alloc Met-TY Adj'!D22)+($E$4*'W-Alloc Met-TY Adj'!D22)+($F$4*'W-Alloc Met-TY Adj'!D22)+($G$4*'W-Alloc Met-TY Adj'!D22)+($H$4*'W-Alloc Met-TY Adj'!D22)+($I$4*'W-Alloc Met-TY Adj'!D22)</f>
        <v>3426904.6812839853</v>
      </c>
      <c r="M4" s="552">
        <f>($B$4*'W-Alloc Met-TY Adj'!E22)+($C$4*'W-Alloc Met-TY Adj'!E22)+($D$4*'W-Alloc Met-TY Adj'!E22)+($E$4*'W-Alloc Met-TY Adj'!E22)+($F$4*'W-Alloc Met-TY Adj'!E22)+($G$4*'W-Alloc Met-TY Adj'!E22)+($H$4*'W-Alloc Met-TY Adj'!E22)+($I$4*'W-Alloc Met-TY Adj'!E22)</f>
        <v>9959375.4488239326</v>
      </c>
      <c r="P4" s="107"/>
    </row>
    <row r="5" spans="1:16">
      <c r="A5" s="150" t="s">
        <v>668</v>
      </c>
      <c r="B5" s="553">
        <f>'W-Exp Alloc-TY Adj'!F36</f>
        <v>1020321.5364877892</v>
      </c>
      <c r="C5" s="553">
        <f>'W-Exp Alloc-TY Adj'!F73</f>
        <v>0</v>
      </c>
      <c r="D5" s="553">
        <f>'W-Exp Alloc-TY Adj'!F94</f>
        <v>0</v>
      </c>
      <c r="E5" s="553">
        <f>'W-Exp Alloc-TY Adj'!F116</f>
        <v>0</v>
      </c>
      <c r="F5" s="553">
        <f>'W-Exp Alloc-TY Adj'!F138</f>
        <v>571.66175370107305</v>
      </c>
      <c r="G5" s="553">
        <f>'W-Exp Alloc-TY Adj'!F173</f>
        <v>0</v>
      </c>
      <c r="H5" s="553">
        <f>'W-Exp Alloc-TY Adj'!F222</f>
        <v>0</v>
      </c>
      <c r="I5" s="553">
        <f>'W-Exp Alloc-TY Adj'!F244</f>
        <v>0</v>
      </c>
      <c r="J5" s="554">
        <f>'W-Exp Alloc-TY Adj'!F246</f>
        <v>1020893.1982414903</v>
      </c>
      <c r="K5" s="552">
        <f>($B$5*'W-Alloc Met-TY Adj'!C23)+($C$5*'W-Alloc Met-TY Adj'!C23)+($D$5*'W-Alloc Met-TY Adj'!C23)+($E$5*'W-Alloc Met-TY Adj'!C23)+($F$5*'W-Alloc Met-TY Adj'!C23)+($G$5*'W-Alloc Met-TY Adj'!C23)+($H$5*'W-Alloc Met-TY Adj'!C23)+($I$5*'W-Alloc Met-TY Adj'!C23)</f>
        <v>244776.56123994061</v>
      </c>
      <c r="L5" s="552">
        <f>($B$5*'W-Alloc Met-TY Adj'!D23)+($C$5*'W-Alloc Met-TY Adj'!D23)+($D$5*'W-Alloc Met-TY Adj'!D23)+($E$5*'W-Alloc Met-TY Adj'!D23)+($F$5*'W-Alloc Met-TY Adj'!D23)+($G$5*'W-Alloc Met-TY Adj'!D23)+($H$5*'W-Alloc Met-TY Adj'!D23)+($I$5*'W-Alloc Met-TY Adj'!D23)</f>
        <v>227913.72843879947</v>
      </c>
      <c r="M5" s="552">
        <f>($B$5*'W-Alloc Met-TY Adj'!E23)+($C$5*'W-Alloc Met-TY Adj'!E23)+($D$5*'W-Alloc Met-TY Adj'!E23)+($E$5*'W-Alloc Met-TY Adj'!E23)+($F$5*'W-Alloc Met-TY Adj'!E23)+($G$5*'W-Alloc Met-TY Adj'!E23)+($H$5*'W-Alloc Met-TY Adj'!E23)+($I$5*'W-Alloc Met-TY Adj'!E23)</f>
        <v>548202.90856275021</v>
      </c>
    </row>
    <row r="6" spans="1:16" ht="14.5" thickBot="1">
      <c r="A6" s="151" t="s">
        <v>689</v>
      </c>
      <c r="B6" s="555">
        <f>'W-Exp Alloc-TY Adj'!G36</f>
        <v>0</v>
      </c>
      <c r="C6" s="555">
        <f>'W-Exp Alloc-TY Adj'!G73</f>
        <v>0</v>
      </c>
      <c r="D6" s="555">
        <f>'W-Exp Alloc-TY Adj'!G94</f>
        <v>0</v>
      </c>
      <c r="E6" s="555">
        <f>'W-Exp Alloc-TY Adj'!G116</f>
        <v>0</v>
      </c>
      <c r="F6" s="555">
        <f>'W-Exp Alloc-TY Adj'!G138</f>
        <v>0</v>
      </c>
      <c r="G6" s="555">
        <f>'W-Exp Alloc-TY Adj'!G173</f>
        <v>0</v>
      </c>
      <c r="H6" s="555">
        <f>'W-Exp Alloc-TY Adj'!G222</f>
        <v>0</v>
      </c>
      <c r="I6" s="555">
        <f>'W-Exp Alloc-TY Adj'!G244</f>
        <v>0</v>
      </c>
      <c r="J6" s="556">
        <f>'W-Exp Alloc-TY Adj'!G246</f>
        <v>0</v>
      </c>
      <c r="K6" s="552">
        <f>($B$6*'W-Alloc Met-TY Adj'!C24)+($C$6*'W-Alloc Met-TY Adj'!C24)+($D$6*'W-Alloc Met-TY Adj'!C24)+($E$6*'W-Alloc Met-TY Adj'!C24)+($F$6*'W-Alloc Met-TY Adj'!C24)+($G$6*'W-Alloc Met-TY Adj'!C24)+($H$6*'W-Alloc Met-TY Adj'!C24)+($I$6*'W-Alloc Met-TY Adj'!C24)</f>
        <v>0</v>
      </c>
      <c r="L6" s="552">
        <f>($B$6*'W-Alloc Met-TY Adj'!D24)+($C$6*'W-Alloc Met-TY Adj'!D24)+($D$6*'W-Alloc Met-TY Adj'!D24)+($E$6*'W-Alloc Met-TY Adj'!D24)+($F$6*'W-Alloc Met-TY Adj'!D24)+($G$6*'W-Alloc Met-TY Adj'!D24)+($H$6*'W-Alloc Met-TY Adj'!D24)+($I$6*'W-Alloc Met-TY Adj'!D24)</f>
        <v>0</v>
      </c>
      <c r="M6" s="552">
        <f>($B$6*'W-Alloc Met-TY Adj'!E24)+($C$6*'W-Alloc Met-TY Adj'!E24)+($D$6*'W-Alloc Met-TY Adj'!E24)+($E$6*'W-Alloc Met-TY Adj'!E24)+($F$6*'W-Alloc Met-TY Adj'!E24)+($G$6*'W-Alloc Met-TY Adj'!E24)+($H$6*'W-Alloc Met-TY Adj'!E24)+($I$6*'W-Alloc Met-TY Adj'!E24)</f>
        <v>0</v>
      </c>
    </row>
    <row r="7" spans="1:16" ht="14.5" thickBot="1">
      <c r="A7" s="547" t="s">
        <v>37</v>
      </c>
      <c r="B7" s="548">
        <f>SUM(B4:B6)</f>
        <v>8697433</v>
      </c>
      <c r="C7" s="548">
        <f t="shared" ref="C7:I7" si="0">SUM(C4:C6)</f>
        <v>2157603.4734691004</v>
      </c>
      <c r="D7" s="548">
        <f t="shared" si="0"/>
        <v>1339064.8584112998</v>
      </c>
      <c r="E7" s="548">
        <f t="shared" si="0"/>
        <v>1436382.6310725</v>
      </c>
      <c r="F7" s="548">
        <f t="shared" si="0"/>
        <v>106705.4</v>
      </c>
      <c r="G7" s="548">
        <f t="shared" si="0"/>
        <v>4435642.1500000004</v>
      </c>
      <c r="H7" s="548">
        <f t="shared" si="0"/>
        <v>334992.99999999994</v>
      </c>
      <c r="I7" s="548">
        <f t="shared" si="0"/>
        <v>696263</v>
      </c>
      <c r="J7" s="549">
        <f>SUM(J4:J6)</f>
        <v>19204087.512952901</v>
      </c>
      <c r="K7" s="549">
        <f>SUM(K4:K6)</f>
        <v>5041690.7458434328</v>
      </c>
      <c r="L7" s="549">
        <f>SUM(L4:L6)</f>
        <v>3654818.4097227845</v>
      </c>
      <c r="M7" s="549">
        <f>SUM(M4:M6)</f>
        <v>10507578.357386682</v>
      </c>
    </row>
    <row r="8" spans="1:16" ht="14.5" thickBot="1">
      <c r="A8" s="152" t="s">
        <v>713</v>
      </c>
      <c r="B8" s="152"/>
      <c r="C8" s="152"/>
      <c r="D8" s="152"/>
      <c r="E8" s="152"/>
      <c r="F8" s="152"/>
      <c r="G8" s="152"/>
      <c r="H8" s="152"/>
      <c r="I8" s="152"/>
      <c r="J8" s="557">
        <f>SUM(K8:M8)</f>
        <v>0.99999999999999989</v>
      </c>
      <c r="K8" s="669">
        <f>K7/$J$7</f>
        <v>0.26253216886472108</v>
      </c>
      <c r="L8" s="669">
        <f>L7/$J$7</f>
        <v>0.19031460918190765</v>
      </c>
      <c r="M8" s="669">
        <f>M7/$J$7</f>
        <v>0.54715322195337113</v>
      </c>
    </row>
    <row r="10" spans="1:16">
      <c r="K10" s="107"/>
      <c r="L10" s="107"/>
      <c r="M10" s="107"/>
      <c r="N10" s="107"/>
    </row>
    <row r="11" spans="1:16">
      <c r="K11" s="107"/>
      <c r="L11" s="107"/>
      <c r="M11" s="107"/>
      <c r="N11" s="107"/>
    </row>
    <row r="12" spans="1:16">
      <c r="A12" t="s">
        <v>123</v>
      </c>
      <c r="K12" s="107"/>
      <c r="L12" s="107"/>
      <c r="M12" s="107"/>
      <c r="N12" s="107"/>
    </row>
    <row r="13" spans="1:16">
      <c r="A13" s="116" t="s">
        <v>714</v>
      </c>
    </row>
    <row r="16" spans="1:16">
      <c r="K16" s="444"/>
      <c r="L16" s="444"/>
      <c r="M16" s="444"/>
    </row>
    <row r="18" spans="11:13">
      <c r="K18" s="107"/>
      <c r="L18" s="107"/>
      <c r="M18" s="107"/>
    </row>
    <row r="25" spans="11:13">
      <c r="K25" s="670"/>
    </row>
  </sheetData>
  <mergeCells count="13">
    <mergeCell ref="F1:F3"/>
    <mergeCell ref="A1:A2"/>
    <mergeCell ref="B1:B3"/>
    <mergeCell ref="C1:C3"/>
    <mergeCell ref="D1:D3"/>
    <mergeCell ref="E1:E3"/>
    <mergeCell ref="L1:L3"/>
    <mergeCell ref="M1:M3"/>
    <mergeCell ref="G1:G3"/>
    <mergeCell ref="H1:H3"/>
    <mergeCell ref="I1:I3"/>
    <mergeCell ref="J1:J3"/>
    <mergeCell ref="K1:K3"/>
  </mergeCells>
  <pageMargins left="0.7" right="0.7" top="0.75" bottom="0.75" header="0.3" footer="0.3"/>
  <pageSetup paperSize="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D46A3-45AD-4A92-B880-9972E05DD269}">
  <sheetPr>
    <tabColor rgb="FFE87722"/>
  </sheetPr>
  <dimension ref="A1:J22"/>
  <sheetViews>
    <sheetView workbookViewId="0">
      <selection sqref="A1:A2"/>
    </sheetView>
  </sheetViews>
  <sheetFormatPr defaultRowHeight="14"/>
  <cols>
    <col min="1" max="1" width="28.25" customWidth="1"/>
    <col min="2" max="2" width="11.25" customWidth="1"/>
    <col min="3" max="3" width="12.25" customWidth="1"/>
    <col min="6" max="6" width="13.83203125" customWidth="1"/>
    <col min="7" max="7" width="11.25" customWidth="1"/>
    <col min="8" max="8" width="12.25" customWidth="1"/>
    <col min="9" max="9" width="13.58203125" customWidth="1"/>
    <col min="10" max="10" width="11.5" customWidth="1"/>
  </cols>
  <sheetData>
    <row r="1" spans="1:9" ht="14.5" thickBot="1">
      <c r="A1" s="888" t="s">
        <v>38</v>
      </c>
      <c r="B1" s="880" t="s">
        <v>39</v>
      </c>
      <c r="C1" s="881"/>
      <c r="D1" s="884" t="s">
        <v>1</v>
      </c>
      <c r="E1" s="884"/>
      <c r="F1" s="885" t="s">
        <v>2</v>
      </c>
      <c r="G1" s="885" t="s">
        <v>3</v>
      </c>
      <c r="H1" s="885"/>
      <c r="I1" s="876" t="s">
        <v>4</v>
      </c>
    </row>
    <row r="2" spans="1:9" ht="14.5" thickBot="1">
      <c r="A2" s="888"/>
      <c r="B2" s="882"/>
      <c r="C2" s="883"/>
      <c r="D2" s="884"/>
      <c r="E2" s="884"/>
      <c r="F2" s="885"/>
      <c r="G2" s="885"/>
      <c r="H2" s="885"/>
      <c r="I2" s="876"/>
    </row>
    <row r="3" spans="1:9" ht="14.5" thickBot="1">
      <c r="A3" s="6" t="s">
        <v>5</v>
      </c>
      <c r="B3" s="25" t="s">
        <v>6</v>
      </c>
      <c r="C3" s="25" t="s">
        <v>7</v>
      </c>
      <c r="D3" s="1" t="s">
        <v>6</v>
      </c>
      <c r="E3" s="1" t="s">
        <v>7</v>
      </c>
      <c r="F3" s="2" t="s">
        <v>8</v>
      </c>
      <c r="G3" s="2" t="s">
        <v>6</v>
      </c>
      <c r="H3" s="2" t="s">
        <v>7</v>
      </c>
      <c r="I3" s="876"/>
    </row>
    <row r="4" spans="1:9">
      <c r="A4" s="65"/>
      <c r="B4" s="37"/>
      <c r="C4" s="41"/>
      <c r="D4" s="21"/>
      <c r="E4" s="20"/>
      <c r="F4" s="21"/>
      <c r="G4" s="886"/>
      <c r="H4" s="887"/>
      <c r="I4" s="19"/>
    </row>
    <row r="5" spans="1:9">
      <c r="A5" s="75" t="s">
        <v>40</v>
      </c>
      <c r="B5" s="69">
        <v>6144511</v>
      </c>
      <c r="C5" s="42">
        <v>16082902</v>
      </c>
      <c r="D5" s="285">
        <f>B5/(C5+B5)</f>
        <v>0.27643842313093298</v>
      </c>
      <c r="E5" s="285">
        <f t="shared" ref="E5:E13" si="0">C5/(B5+C5)</f>
        <v>0.72356157686906708</v>
      </c>
      <c r="F5" s="287">
        <f>B5+C5</f>
        <v>22227413</v>
      </c>
      <c r="G5" s="293">
        <f>B5</f>
        <v>6144511</v>
      </c>
      <c r="H5" s="294">
        <f>C5</f>
        <v>16082902</v>
      </c>
      <c r="I5" s="71"/>
    </row>
    <row r="6" spans="1:9">
      <c r="A6" s="75" t="s">
        <v>41</v>
      </c>
      <c r="B6" s="69">
        <v>84207</v>
      </c>
      <c r="C6" s="73">
        <v>207919</v>
      </c>
      <c r="D6" s="285">
        <f t="shared" ref="D6:D13" si="1">B6/(C6+B6)</f>
        <v>0.2882557526546764</v>
      </c>
      <c r="E6" s="285">
        <f t="shared" si="0"/>
        <v>0.7117442473453236</v>
      </c>
      <c r="F6" s="287">
        <f t="shared" ref="F6:F13" si="2">B6+C6</f>
        <v>292126</v>
      </c>
      <c r="G6" s="293">
        <f t="shared" ref="G6:G13" si="3">B6</f>
        <v>84207</v>
      </c>
      <c r="H6" s="294">
        <f t="shared" ref="H6:H13" si="4">C6</f>
        <v>207919</v>
      </c>
      <c r="I6" s="72"/>
    </row>
    <row r="7" spans="1:9">
      <c r="A7" s="75" t="s">
        <v>42</v>
      </c>
      <c r="B7" s="69">
        <v>33870</v>
      </c>
      <c r="C7" s="73">
        <v>267538</v>
      </c>
      <c r="D7" s="285">
        <f t="shared" si="1"/>
        <v>0.11237259794033337</v>
      </c>
      <c r="E7" s="285">
        <f t="shared" si="0"/>
        <v>0.88762740205966661</v>
      </c>
      <c r="F7" s="287">
        <f t="shared" si="2"/>
        <v>301408</v>
      </c>
      <c r="G7" s="293">
        <f t="shared" si="3"/>
        <v>33870</v>
      </c>
      <c r="H7" s="294">
        <f t="shared" si="4"/>
        <v>267538</v>
      </c>
      <c r="I7" s="72"/>
    </row>
    <row r="8" spans="1:9">
      <c r="A8" s="75" t="s">
        <v>43</v>
      </c>
      <c r="B8" s="69">
        <v>600</v>
      </c>
      <c r="C8" s="73">
        <v>600</v>
      </c>
      <c r="D8" s="285">
        <f t="shared" si="1"/>
        <v>0.5</v>
      </c>
      <c r="E8" s="285">
        <f t="shared" si="0"/>
        <v>0.5</v>
      </c>
      <c r="F8" s="287">
        <f t="shared" si="2"/>
        <v>1200</v>
      </c>
      <c r="G8" s="293">
        <f t="shared" si="3"/>
        <v>600</v>
      </c>
      <c r="H8" s="294">
        <f t="shared" si="4"/>
        <v>600</v>
      </c>
      <c r="I8" s="72"/>
    </row>
    <row r="9" spans="1:9">
      <c r="A9" s="75" t="s">
        <v>44</v>
      </c>
      <c r="B9" s="69">
        <v>459199</v>
      </c>
      <c r="C9" s="73">
        <v>261254</v>
      </c>
      <c r="D9" s="285">
        <f t="shared" si="1"/>
        <v>0.6373753735496972</v>
      </c>
      <c r="E9" s="285">
        <f t="shared" si="0"/>
        <v>0.3626246264503028</v>
      </c>
      <c r="F9" s="287">
        <f t="shared" si="2"/>
        <v>720453</v>
      </c>
      <c r="G9" s="293">
        <f t="shared" si="3"/>
        <v>459199</v>
      </c>
      <c r="H9" s="294">
        <f t="shared" si="4"/>
        <v>261254</v>
      </c>
      <c r="I9" s="72"/>
    </row>
    <row r="10" spans="1:9">
      <c r="A10" s="75" t="s">
        <v>45</v>
      </c>
      <c r="B10" s="69">
        <v>-14876</v>
      </c>
      <c r="C10" s="73">
        <v>136825</v>
      </c>
      <c r="D10" s="285">
        <f t="shared" si="1"/>
        <v>-0.12198542013464644</v>
      </c>
      <c r="E10" s="285">
        <f t="shared" si="0"/>
        <v>1.1219854201346464</v>
      </c>
      <c r="F10" s="287">
        <f t="shared" si="2"/>
        <v>121949</v>
      </c>
      <c r="G10" s="293">
        <f t="shared" si="3"/>
        <v>-14876</v>
      </c>
      <c r="H10" s="294">
        <f t="shared" si="4"/>
        <v>136825</v>
      </c>
      <c r="I10" s="72"/>
    </row>
    <row r="11" spans="1:9">
      <c r="A11" s="75" t="s">
        <v>46</v>
      </c>
      <c r="B11" s="69">
        <v>0</v>
      </c>
      <c r="C11" s="73">
        <v>0</v>
      </c>
      <c r="D11" s="285"/>
      <c r="E11" s="288"/>
      <c r="F11" s="287">
        <f t="shared" si="2"/>
        <v>0</v>
      </c>
      <c r="G11" s="293">
        <f t="shared" si="3"/>
        <v>0</v>
      </c>
      <c r="H11" s="294">
        <f t="shared" si="4"/>
        <v>0</v>
      </c>
      <c r="I11" s="72"/>
    </row>
    <row r="12" spans="1:9">
      <c r="A12" s="75" t="s">
        <v>47</v>
      </c>
      <c r="B12" s="69">
        <v>0</v>
      </c>
      <c r="C12" s="73">
        <v>70351</v>
      </c>
      <c r="D12" s="285">
        <f t="shared" si="1"/>
        <v>0</v>
      </c>
      <c r="E12" s="285">
        <f t="shared" si="0"/>
        <v>1</v>
      </c>
      <c r="F12" s="287">
        <f t="shared" si="2"/>
        <v>70351</v>
      </c>
      <c r="G12" s="293">
        <f t="shared" si="3"/>
        <v>0</v>
      </c>
      <c r="H12" s="294">
        <f t="shared" si="4"/>
        <v>70351</v>
      </c>
      <c r="I12" s="72"/>
    </row>
    <row r="13" spans="1:9">
      <c r="A13" s="75" t="s">
        <v>48</v>
      </c>
      <c r="B13" s="70">
        <v>0</v>
      </c>
      <c r="C13" s="74">
        <v>32445</v>
      </c>
      <c r="D13" s="285">
        <f t="shared" si="1"/>
        <v>0</v>
      </c>
      <c r="E13" s="285">
        <f t="shared" si="0"/>
        <v>1</v>
      </c>
      <c r="F13" s="287">
        <f t="shared" si="2"/>
        <v>32445</v>
      </c>
      <c r="G13" s="293">
        <f t="shared" si="3"/>
        <v>0</v>
      </c>
      <c r="H13" s="294">
        <f t="shared" si="4"/>
        <v>32445</v>
      </c>
      <c r="I13" s="72"/>
    </row>
    <row r="14" spans="1:9" ht="14.5" thickBot="1">
      <c r="A14" s="193" t="s">
        <v>37</v>
      </c>
      <c r="B14" s="194">
        <f>SUM(B5:B13)</f>
        <v>6707511</v>
      </c>
      <c r="C14" s="195">
        <f>SUM(C5:C13)</f>
        <v>17059834</v>
      </c>
      <c r="D14" s="196"/>
      <c r="E14" s="196"/>
      <c r="F14" s="197">
        <f>SUM(F5:F13)</f>
        <v>23767345</v>
      </c>
      <c r="G14" s="198"/>
      <c r="H14" s="199"/>
      <c r="I14" s="200"/>
    </row>
    <row r="22" spans="6:10">
      <c r="F22" s="107"/>
      <c r="H22" s="109"/>
      <c r="I22" s="108"/>
      <c r="J22" s="107"/>
    </row>
  </sheetData>
  <mergeCells count="7">
    <mergeCell ref="G1:H2"/>
    <mergeCell ref="I1:I3"/>
    <mergeCell ref="G4:H4"/>
    <mergeCell ref="A1:A2"/>
    <mergeCell ref="B1:C2"/>
    <mergeCell ref="D1:E2"/>
    <mergeCell ref="F1:F2"/>
  </mergeCells>
  <pageMargins left="0.7" right="0.7" top="0.75" bottom="0.75" header="0.3" footer="0.3"/>
  <pageSetup paperSize="256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A1B1F-AC69-4BFE-8AEE-E3686C745B75}">
  <sheetPr>
    <tabColor rgb="FF4A7729"/>
    <pageSetUpPr fitToPage="1"/>
  </sheetPr>
  <dimension ref="A1:O69"/>
  <sheetViews>
    <sheetView workbookViewId="0">
      <selection sqref="A1:A2"/>
    </sheetView>
  </sheetViews>
  <sheetFormatPr defaultRowHeight="14"/>
  <cols>
    <col min="1" max="1" width="35" customWidth="1"/>
    <col min="2" max="2" width="15.25" style="32" customWidth="1"/>
    <col min="3" max="3" width="13.33203125" customWidth="1"/>
    <col min="4" max="4" width="9.83203125" style="22" customWidth="1"/>
    <col min="5" max="5" width="15.33203125" style="32" customWidth="1"/>
    <col min="7" max="7" width="15.25" style="22" customWidth="1"/>
    <col min="9" max="9" width="15.25" customWidth="1"/>
    <col min="15" max="15" width="11.5" customWidth="1"/>
  </cols>
  <sheetData>
    <row r="1" spans="1:7">
      <c r="A1" s="1005"/>
      <c r="B1" s="1005"/>
      <c r="C1" s="1005"/>
      <c r="D1" s="1005"/>
      <c r="E1" s="1005"/>
    </row>
    <row r="2" spans="1:7">
      <c r="A2" s="779" t="s">
        <v>788</v>
      </c>
      <c r="B2" s="814" t="s">
        <v>127</v>
      </c>
      <c r="C2" s="815" t="s">
        <v>789</v>
      </c>
      <c r="D2" s="815" t="s">
        <v>790</v>
      </c>
      <c r="E2" s="814" t="s">
        <v>791</v>
      </c>
    </row>
    <row r="3" spans="1:7">
      <c r="A3" s="772" t="s">
        <v>40</v>
      </c>
      <c r="B3" s="32">
        <f>SUM(Revenues!E6:E12,Revenues!E17)</f>
        <v>15921435</v>
      </c>
      <c r="C3" s="107">
        <f>B3-E3</f>
        <v>0</v>
      </c>
      <c r="E3" s="32">
        <f>SUM(Revenues!J6:J12,Revenues!J17)</f>
        <v>15921435</v>
      </c>
    </row>
    <row r="4" spans="1:7">
      <c r="A4" s="772" t="s">
        <v>792</v>
      </c>
      <c r="B4" s="785">
        <f>Revenues!E15</f>
        <v>161466</v>
      </c>
      <c r="C4" s="785">
        <f>B4-E4</f>
        <v>0</v>
      </c>
      <c r="D4" s="789"/>
      <c r="E4" s="785">
        <f>Revenues!J15</f>
        <v>161466</v>
      </c>
    </row>
    <row r="5" spans="1:7">
      <c r="A5" s="772" t="s">
        <v>793</v>
      </c>
      <c r="B5" s="444">
        <f>Revenues!E18</f>
        <v>16082901</v>
      </c>
      <c r="C5" s="444"/>
      <c r="D5" s="789"/>
      <c r="E5" s="444">
        <f>Revenues!J18</f>
        <v>16082901</v>
      </c>
    </row>
    <row r="6" spans="1:7">
      <c r="A6" s="772" t="s">
        <v>794</v>
      </c>
      <c r="B6" s="444"/>
      <c r="C6" s="444"/>
      <c r="D6" s="789"/>
      <c r="E6" s="444"/>
    </row>
    <row r="7" spans="1:7">
      <c r="A7" s="783" t="s">
        <v>795</v>
      </c>
      <c r="B7" s="444">
        <f>Revenues!E34</f>
        <v>207919</v>
      </c>
      <c r="C7" s="444">
        <f t="shared" ref="C7:C41" si="0">B7-E7</f>
        <v>0</v>
      </c>
      <c r="D7" s="789"/>
      <c r="E7" s="444">
        <f>Revenues!J34</f>
        <v>207919</v>
      </c>
    </row>
    <row r="8" spans="1:7">
      <c r="A8" s="783" t="s">
        <v>44</v>
      </c>
      <c r="B8" s="444">
        <f>Revenues!E30</f>
        <v>259072</v>
      </c>
      <c r="C8" s="444">
        <f t="shared" si="0"/>
        <v>0</v>
      </c>
      <c r="D8" s="789"/>
      <c r="E8" s="444">
        <f>Revenues!J30</f>
        <v>259072</v>
      </c>
    </row>
    <row r="9" spans="1:7">
      <c r="A9" s="783" t="s">
        <v>796</v>
      </c>
      <c r="B9" s="444">
        <f>Revenues!E35</f>
        <v>267538</v>
      </c>
      <c r="C9" s="444">
        <f t="shared" si="0"/>
        <v>0</v>
      </c>
      <c r="D9" s="789"/>
      <c r="E9" s="444">
        <f>Revenues!J35</f>
        <v>267538</v>
      </c>
    </row>
    <row r="10" spans="1:7">
      <c r="A10" s="783" t="s">
        <v>794</v>
      </c>
      <c r="B10" s="444">
        <f>SUM(Revenues!E36:E41)</f>
        <v>240410</v>
      </c>
      <c r="C10" s="444">
        <f t="shared" si="0"/>
        <v>0</v>
      </c>
      <c r="D10" s="789"/>
      <c r="E10" s="444">
        <f>SUM(Revenues!J36:J41)</f>
        <v>240410</v>
      </c>
    </row>
    <row r="11" spans="1:7">
      <c r="A11" s="778" t="s">
        <v>797</v>
      </c>
      <c r="B11" s="784">
        <f>B5+SUM(B7:B10)</f>
        <v>17057840</v>
      </c>
      <c r="C11" s="784">
        <f t="shared" ref="C11:E11" si="1">C5+SUM(C7:C10)</f>
        <v>0</v>
      </c>
      <c r="D11" s="790"/>
      <c r="E11" s="784">
        <f t="shared" si="1"/>
        <v>17057840</v>
      </c>
    </row>
    <row r="12" spans="1:7">
      <c r="B12" s="444"/>
      <c r="C12" s="444"/>
      <c r="D12" s="789"/>
      <c r="E12" s="444"/>
    </row>
    <row r="13" spans="1:7">
      <c r="A13" s="779" t="s">
        <v>9</v>
      </c>
      <c r="B13" s="785"/>
      <c r="C13" s="785"/>
      <c r="D13" s="800"/>
      <c r="E13" s="785"/>
    </row>
    <row r="14" spans="1:7">
      <c r="A14" s="791" t="s">
        <v>798</v>
      </c>
      <c r="B14" s="444">
        <f>SUM(Expenses!E5:E6,Expenses!E39:E40,Expenses!E76,Expenses!E97)</f>
        <v>1761749</v>
      </c>
      <c r="C14" s="444">
        <f>E14-B14</f>
        <v>349604.73509000055</v>
      </c>
      <c r="D14" s="22" t="s">
        <v>799</v>
      </c>
      <c r="E14" s="444">
        <f>SUM(Expenses!J5:J6,Expenses!J39:J40,Expenses!J76,Expenses!J97)</f>
        <v>2111353.7350900006</v>
      </c>
      <c r="G14" s="820"/>
    </row>
    <row r="15" spans="1:7">
      <c r="A15" s="783" t="s">
        <v>800</v>
      </c>
      <c r="B15" s="444"/>
      <c r="C15" s="444">
        <f>B14*0.03241</f>
        <v>57098.285090000005</v>
      </c>
      <c r="D15" s="22" t="s">
        <v>799</v>
      </c>
      <c r="E15" s="819">
        <f>C15+B15</f>
        <v>57098.285090000005</v>
      </c>
    </row>
    <row r="16" spans="1:7">
      <c r="A16" s="783" t="s">
        <v>801</v>
      </c>
      <c r="B16" s="444"/>
      <c r="C16" s="444">
        <f>B14*0.02</f>
        <v>35234.980000000003</v>
      </c>
      <c r="D16" s="22" t="s">
        <v>799</v>
      </c>
      <c r="E16" s="819">
        <f t="shared" ref="E16:E17" si="2">C16+B16</f>
        <v>35234.980000000003</v>
      </c>
    </row>
    <row r="17" spans="1:9">
      <c r="A17" s="783" t="s">
        <v>802</v>
      </c>
      <c r="B17" s="444"/>
      <c r="C17" s="444">
        <f>189074.97+68196.5</f>
        <v>257271.47</v>
      </c>
      <c r="D17" s="22" t="s">
        <v>799</v>
      </c>
      <c r="E17" s="819">
        <f t="shared" si="2"/>
        <v>257271.47</v>
      </c>
      <c r="G17" s="820"/>
    </row>
    <row r="18" spans="1:9">
      <c r="A18" t="s">
        <v>803</v>
      </c>
      <c r="B18" s="444">
        <f>Expenses!E108</f>
        <v>15000</v>
      </c>
      <c r="C18" s="444">
        <f>E18-B18</f>
        <v>0</v>
      </c>
      <c r="D18" s="789"/>
      <c r="E18" s="444">
        <f>Expenses!J108</f>
        <v>15000</v>
      </c>
    </row>
    <row r="19" spans="1:9">
      <c r="A19" t="s">
        <v>12</v>
      </c>
      <c r="B19" s="444">
        <f>SUM(Expenses!E63:E72,Expenses!E88:E92,Expenses!E110:E114)</f>
        <v>997517</v>
      </c>
      <c r="C19" s="444">
        <f>E19-B19</f>
        <v>182895.22786290012</v>
      </c>
      <c r="D19" s="22" t="s">
        <v>804</v>
      </c>
      <c r="E19" s="821">
        <f>SUM(Expenses!J63:J72,Expenses!J88:J92,Expenses!J110:J114)</f>
        <v>1180412.2278629001</v>
      </c>
      <c r="H19" s="795"/>
    </row>
    <row r="20" spans="1:9">
      <c r="A20" s="783" t="s">
        <v>316</v>
      </c>
      <c r="B20" s="444">
        <f>SUM(Expenses!E63,Expenses!E68,Expenses!E88,Expenses!E110)</f>
        <v>151970.54</v>
      </c>
      <c r="C20" s="444">
        <f>-B20</f>
        <v>-151970.54</v>
      </c>
      <c r="D20" s="22" t="s">
        <v>804</v>
      </c>
      <c r="E20" s="444">
        <f>B20+C20</f>
        <v>0</v>
      </c>
    </row>
    <row r="21" spans="1:9">
      <c r="A21" s="783" t="s">
        <v>284</v>
      </c>
      <c r="B21" s="444">
        <f>SUM(Expenses!E64,Expenses!E69,Expenses!E89,Expenses!E111)</f>
        <v>269439.68</v>
      </c>
      <c r="C21" s="444">
        <f>10357.63+27940.34</f>
        <v>38297.97</v>
      </c>
      <c r="D21" s="22" t="s">
        <v>804</v>
      </c>
      <c r="E21" s="444">
        <f>B21+C21</f>
        <v>307737.65000000002</v>
      </c>
    </row>
    <row r="22" spans="1:9">
      <c r="A22" s="783" t="s">
        <v>805</v>
      </c>
      <c r="B22" s="444">
        <f>SUM(Expenses!E65,Expenses!E70,Expenses!E90,Expenses!E112)</f>
        <v>9881.09</v>
      </c>
      <c r="C22" s="444">
        <f>379.84+1024.65</f>
        <v>1404.49</v>
      </c>
      <c r="D22" s="22" t="s">
        <v>804</v>
      </c>
      <c r="E22" s="444">
        <f>B22+C22</f>
        <v>11285.58</v>
      </c>
    </row>
    <row r="23" spans="1:9">
      <c r="A23" s="783" t="s">
        <v>319</v>
      </c>
      <c r="B23" s="444">
        <f>SUM(Expenses!E66,Expenses!E71,Expenses!E113,Expenses!E91)</f>
        <v>213146.31</v>
      </c>
      <c r="C23" s="444">
        <f>22102.84+8193.64</f>
        <v>30296.48</v>
      </c>
      <c r="D23" s="22" t="s">
        <v>804</v>
      </c>
      <c r="E23" s="444">
        <f t="shared" ref="E23:E26" si="3">B23+C23</f>
        <v>243442.79</v>
      </c>
    </row>
    <row r="24" spans="1:9">
      <c r="A24" s="783" t="s">
        <v>806</v>
      </c>
      <c r="B24" s="444">
        <f>SUM(Expenses!E67,Expenses!E72,Expenses!E92,Expenses!E114)</f>
        <v>353079.38</v>
      </c>
      <c r="C24" s="444">
        <f>13572.85+36613.61</f>
        <v>50186.46</v>
      </c>
      <c r="D24" s="22" t="s">
        <v>804</v>
      </c>
      <c r="E24" s="444">
        <f t="shared" si="3"/>
        <v>403265.84</v>
      </c>
      <c r="I24" s="795"/>
    </row>
    <row r="25" spans="1:9">
      <c r="A25" s="783" t="s">
        <v>800</v>
      </c>
      <c r="B25" s="444"/>
      <c r="C25" s="444">
        <f>(B24+B22+B21+B20)*0.03241</f>
        <v>25421.454062900004</v>
      </c>
      <c r="D25" s="22" t="s">
        <v>807</v>
      </c>
      <c r="E25" s="444">
        <f t="shared" si="3"/>
        <v>25421.454062900004</v>
      </c>
      <c r="I25" s="444"/>
    </row>
    <row r="26" spans="1:9">
      <c r="A26" s="783" t="s">
        <v>801</v>
      </c>
      <c r="B26" s="444"/>
      <c r="C26" s="444">
        <f>(B24+B22+B21+B20)*0.02</f>
        <v>15687.413800000002</v>
      </c>
      <c r="D26" s="22" t="s">
        <v>807</v>
      </c>
      <c r="E26" s="444">
        <f t="shared" si="3"/>
        <v>15687.413800000002</v>
      </c>
    </row>
    <row r="27" spans="1:9">
      <c r="A27" t="s">
        <v>13</v>
      </c>
      <c r="B27" s="444">
        <f>SUM(Expenses!E27:E28)</f>
        <v>8149609</v>
      </c>
      <c r="C27" s="444">
        <f>E27-B27</f>
        <v>0</v>
      </c>
      <c r="D27" s="789"/>
      <c r="E27" s="444">
        <f>SUM(Expenses!J27:J28)</f>
        <v>8149609</v>
      </c>
    </row>
    <row r="28" spans="1:9">
      <c r="A28" t="s">
        <v>15</v>
      </c>
      <c r="B28" s="444">
        <f>SUM(Expenses!E8:E9,Expenses!E43,Expenses!E120:E121)</f>
        <v>542510</v>
      </c>
      <c r="C28" s="444">
        <f t="shared" ref="C28:C39" si="4">E28-B28</f>
        <v>0</v>
      </c>
      <c r="D28" s="789"/>
      <c r="E28" s="444">
        <f>SUM(Expenses!J8:J9,Expenses!J43,Expenses!J120:J121)</f>
        <v>542510</v>
      </c>
    </row>
    <row r="29" spans="1:9">
      <c r="A29" t="s">
        <v>808</v>
      </c>
      <c r="B29" s="444">
        <f>SUM(Expenses!E10:E11,Expenses!E45:E46,Expenses!E78,Expenses!E99)</f>
        <v>347272</v>
      </c>
      <c r="C29" s="444">
        <f t="shared" si="4"/>
        <v>0</v>
      </c>
      <c r="D29" s="789"/>
      <c r="E29" s="444">
        <f>SUM(Expenses!J10:J11,Expenses!J45:J46,Expenses!J78,Expenses!J99)</f>
        <v>347272</v>
      </c>
    </row>
    <row r="30" spans="1:9">
      <c r="A30" t="s">
        <v>809</v>
      </c>
      <c r="B30" s="444">
        <f>SUM(Expenses!E13:E14,Expenses!E47:E48,Expenses!E80,Expenses!E100)</f>
        <v>14534</v>
      </c>
      <c r="C30" s="444">
        <f t="shared" si="4"/>
        <v>0</v>
      </c>
      <c r="D30" s="789"/>
      <c r="E30" s="444">
        <f>SUM(Expenses!J13:J14,Expenses!J47:J48,Expenses!J80,Expenses!J100)</f>
        <v>14534</v>
      </c>
    </row>
    <row r="31" spans="1:9">
      <c r="A31" t="s">
        <v>810</v>
      </c>
      <c r="B31" s="444">
        <f>SUM(Expenses!E15:E16,Expenses!E49:E50,Expenses!E81,Expenses!E101)</f>
        <v>16922</v>
      </c>
      <c r="C31" s="444">
        <f t="shared" si="4"/>
        <v>0</v>
      </c>
      <c r="D31" s="789"/>
      <c r="E31" s="444">
        <f>SUM(Expenses!J15,Expenses!J49:J50,Expenses!J81,Expenses!J101)</f>
        <v>16922</v>
      </c>
    </row>
    <row r="32" spans="1:9">
      <c r="A32" t="s">
        <v>811</v>
      </c>
      <c r="B32" s="444">
        <f>SUM(Expenses!E17:E19,Expenses!E51:E52,Expenses!E82,Expenses!E102)</f>
        <v>772869</v>
      </c>
      <c r="C32" s="444">
        <f t="shared" si="4"/>
        <v>0</v>
      </c>
      <c r="D32" s="789"/>
      <c r="E32" s="444">
        <f>SUM(Expenses!J18:J19,Expenses!J51:J52,Expenses!J82,Expenses!J102)</f>
        <v>772869</v>
      </c>
    </row>
    <row r="33" spans="1:9">
      <c r="A33" t="s">
        <v>812</v>
      </c>
      <c r="B33" s="444">
        <f>SUM(Expenses!E20,Expenses!E53:E54,Expenses!E83:E84,Expenses!E103)</f>
        <v>57450</v>
      </c>
      <c r="C33" s="444">
        <f t="shared" si="4"/>
        <v>0</v>
      </c>
      <c r="D33" s="789"/>
      <c r="E33" s="444">
        <f>SUM(Expenses!J20,Expenses!J53:J54,Expenses!J83:J84,Expenses!J103)</f>
        <v>57450</v>
      </c>
    </row>
    <row r="34" spans="1:9">
      <c r="A34" t="s">
        <v>309</v>
      </c>
      <c r="B34" s="444">
        <f>SUM(Expenses!E21:E22,Expenses!E55:E56,Expenses!E85,Expenses!E104)</f>
        <v>296881</v>
      </c>
      <c r="C34" s="444">
        <f t="shared" si="4"/>
        <v>0</v>
      </c>
      <c r="D34" s="789"/>
      <c r="E34" s="444">
        <f>SUM(Expenses!J21:J22,Expenses!J55:J56,Expenses!J85,Expenses!J104)</f>
        <v>296881</v>
      </c>
    </row>
    <row r="35" spans="1:9">
      <c r="A35" t="s">
        <v>813</v>
      </c>
      <c r="B35" s="444">
        <f>SUM(Expenses!E23,Expenses!E57,Expenses!E86,Expenses!E105)</f>
        <v>72305</v>
      </c>
      <c r="C35" s="444">
        <f t="shared" si="4"/>
        <v>0</v>
      </c>
      <c r="D35" s="789"/>
      <c r="E35" s="444">
        <f>SUM(Expenses!J23,Expenses!J57,Expenses!J86,Expenses!J105)</f>
        <v>72305</v>
      </c>
    </row>
    <row r="36" spans="1:9">
      <c r="A36" t="s">
        <v>25</v>
      </c>
      <c r="B36" s="444">
        <f>SUM(Expenses!E24,Expenses!E58,Expenses!E106)</f>
        <v>2843</v>
      </c>
      <c r="C36" s="444">
        <f t="shared" si="4"/>
        <v>0</v>
      </c>
      <c r="D36" s="789"/>
      <c r="E36" s="444">
        <f>SUM(Expenses!J24,Expenses!J58,Expenses!J106)</f>
        <v>2843</v>
      </c>
    </row>
    <row r="37" spans="1:9">
      <c r="A37" t="s">
        <v>26</v>
      </c>
      <c r="B37" s="444">
        <f>Expenses!E124</f>
        <v>20980</v>
      </c>
      <c r="C37" s="444">
        <f t="shared" si="4"/>
        <v>0</v>
      </c>
      <c r="D37" s="789"/>
      <c r="E37" s="444">
        <f>Expenses!J124</f>
        <v>20980</v>
      </c>
    </row>
    <row r="38" spans="1:9">
      <c r="A38" t="s">
        <v>814</v>
      </c>
      <c r="B38" s="444">
        <f>Expenses!E125</f>
        <v>20960</v>
      </c>
      <c r="C38" s="444">
        <f t="shared" si="4"/>
        <v>0</v>
      </c>
      <c r="D38" s="789"/>
      <c r="E38" s="444">
        <f>Expenses!J125</f>
        <v>20960</v>
      </c>
    </row>
    <row r="39" spans="1:9">
      <c r="A39" t="s">
        <v>815</v>
      </c>
      <c r="B39" s="444">
        <f>SUM(Expenses!E25:E26,Expenses!E59:E60,Expenses!E87,Expenses!E107,Expenses!E127:E128)</f>
        <v>55503</v>
      </c>
      <c r="C39" s="444">
        <f t="shared" si="4"/>
        <v>0</v>
      </c>
      <c r="D39" s="789"/>
      <c r="E39" s="444">
        <f>SUM(Expenses!J25:J26,Expenses!J59:J60,Expenses!J87,Expenses!J107,Expenses!J127:J128)</f>
        <v>55503</v>
      </c>
    </row>
    <row r="40" spans="1:9">
      <c r="A40" t="s">
        <v>816</v>
      </c>
      <c r="B40" s="444">
        <f>Expenses!E130</f>
        <v>-11001</v>
      </c>
      <c r="C40" s="802">
        <f t="shared" si="0"/>
        <v>-11001</v>
      </c>
      <c r="D40" s="789"/>
      <c r="E40" s="444">
        <f>Expenses!J130*0</f>
        <v>0</v>
      </c>
    </row>
    <row r="41" spans="1:9">
      <c r="A41" t="s">
        <v>817</v>
      </c>
      <c r="B41" s="444">
        <f>Expenses!E131</f>
        <v>3996</v>
      </c>
      <c r="C41" s="444">
        <f t="shared" si="0"/>
        <v>0</v>
      </c>
      <c r="D41" s="789"/>
      <c r="E41" s="444">
        <f>Expenses!J131</f>
        <v>3996</v>
      </c>
    </row>
    <row r="42" spans="1:9">
      <c r="A42" s="780" t="s">
        <v>818</v>
      </c>
      <c r="B42" s="784">
        <f>SUM(B27:B41,B19,B18,B14)</f>
        <v>13137899</v>
      </c>
      <c r="C42" s="444">
        <f>E42-B42</f>
        <v>369929.46295290068</v>
      </c>
      <c r="D42" s="789"/>
      <c r="E42" s="784">
        <f>SUM(E20:E41,E18,E14)</f>
        <v>13507828.462952901</v>
      </c>
      <c r="I42" s="781"/>
    </row>
    <row r="43" spans="1:9">
      <c r="A43" t="s">
        <v>819</v>
      </c>
      <c r="B43" s="444">
        <v>3763349</v>
      </c>
      <c r="C43" s="444">
        <f>E43-B43</f>
        <v>672293</v>
      </c>
      <c r="D43" s="22" t="s">
        <v>820</v>
      </c>
      <c r="E43" s="444">
        <v>4435642</v>
      </c>
    </row>
    <row r="44" spans="1:9">
      <c r="A44" s="783" t="s">
        <v>821</v>
      </c>
      <c r="B44" s="444"/>
      <c r="C44" s="444">
        <v>8775.2000000000007</v>
      </c>
      <c r="D44" s="22" t="s">
        <v>822</v>
      </c>
      <c r="E44" s="444"/>
    </row>
    <row r="45" spans="1:9">
      <c r="A45" s="783" t="s">
        <v>823</v>
      </c>
      <c r="B45" s="444"/>
      <c r="C45" s="444">
        <v>34266.839999999997</v>
      </c>
      <c r="D45" s="22" t="s">
        <v>822</v>
      </c>
      <c r="E45" s="444"/>
    </row>
    <row r="46" spans="1:9">
      <c r="A46" s="783" t="s">
        <v>824</v>
      </c>
      <c r="B46" s="444"/>
      <c r="C46" s="444">
        <v>4206.74</v>
      </c>
      <c r="D46" s="22" t="s">
        <v>825</v>
      </c>
      <c r="E46" s="444"/>
    </row>
    <row r="47" spans="1:9">
      <c r="A47" s="783" t="s">
        <v>826</v>
      </c>
      <c r="B47" s="444"/>
      <c r="C47" s="444">
        <v>77772.039999999994</v>
      </c>
      <c r="D47" s="22" t="s">
        <v>825</v>
      </c>
      <c r="E47" s="444"/>
    </row>
    <row r="48" spans="1:9">
      <c r="A48" s="783" t="s">
        <v>827</v>
      </c>
      <c r="B48" s="444"/>
      <c r="C48" s="444">
        <v>123171.44</v>
      </c>
      <c r="D48" s="22" t="s">
        <v>825</v>
      </c>
      <c r="E48" s="444"/>
    </row>
    <row r="49" spans="1:9">
      <c r="A49" s="783" t="s">
        <v>828</v>
      </c>
      <c r="B49" s="444"/>
      <c r="C49" s="444">
        <v>188269.08</v>
      </c>
      <c r="D49" s="22" t="s">
        <v>829</v>
      </c>
      <c r="E49" s="444"/>
    </row>
    <row r="50" spans="1:9">
      <c r="A50" s="783" t="s">
        <v>830</v>
      </c>
      <c r="B50" s="444"/>
      <c r="C50" s="444">
        <v>73451.81</v>
      </c>
      <c r="D50" s="22" t="s">
        <v>831</v>
      </c>
      <c r="E50" s="444"/>
      <c r="G50" s="796"/>
      <c r="I50" s="795"/>
    </row>
    <row r="51" spans="1:9">
      <c r="A51" s="783" t="s">
        <v>832</v>
      </c>
      <c r="B51" s="444"/>
      <c r="C51" s="444">
        <v>162380.4</v>
      </c>
      <c r="D51" s="22" t="s">
        <v>833</v>
      </c>
      <c r="E51" s="444"/>
    </row>
    <row r="52" spans="1:9">
      <c r="A52" t="s">
        <v>834</v>
      </c>
      <c r="B52" s="792">
        <f>Expenses!E109</f>
        <v>2295</v>
      </c>
      <c r="C52" s="785">
        <f>15759.03+5841.95+B20</f>
        <v>173571.52000000002</v>
      </c>
      <c r="D52" s="22" t="s">
        <v>835</v>
      </c>
      <c r="E52" s="792">
        <f>(C52+B52)</f>
        <v>175866.52000000002</v>
      </c>
    </row>
    <row r="53" spans="1:9">
      <c r="A53" t="s">
        <v>836</v>
      </c>
      <c r="B53" s="794">
        <f>B43+B42+B52</f>
        <v>16903543</v>
      </c>
      <c r="C53" s="788">
        <f>C43+C42+C52</f>
        <v>1215793.9829529007</v>
      </c>
      <c r="E53" s="794">
        <f>E52+E43+E42</f>
        <v>18119336.9829529</v>
      </c>
      <c r="G53" s="796"/>
      <c r="H53" s="795"/>
    </row>
    <row r="54" spans="1:9">
      <c r="A54" t="s">
        <v>837</v>
      </c>
      <c r="B54" s="788">
        <f>B11-B53</f>
        <v>154297</v>
      </c>
      <c r="C54" s="788">
        <f>C11-C53</f>
        <v>-1215793.9829529007</v>
      </c>
      <c r="E54" s="788">
        <f>E11-E53</f>
        <v>-1061496.9829529002</v>
      </c>
    </row>
    <row r="56" spans="1:9">
      <c r="A56" s="779" t="s">
        <v>838</v>
      </c>
      <c r="B56" s="786"/>
      <c r="C56" s="153"/>
      <c r="D56" s="799"/>
      <c r="E56" s="786"/>
    </row>
    <row r="57" spans="1:9">
      <c r="A57" t="s">
        <v>839</v>
      </c>
      <c r="E57" s="32">
        <f>E53</f>
        <v>18119336.9829529</v>
      </c>
      <c r="G57" s="797"/>
    </row>
    <row r="58" spans="1:9">
      <c r="A58" t="s">
        <v>840</v>
      </c>
      <c r="D58" s="22" t="s">
        <v>841</v>
      </c>
      <c r="E58" s="32">
        <f>Expenses!J245+Expenses!J222</f>
        <v>1031256</v>
      </c>
    </row>
    <row r="59" spans="1:9">
      <c r="A59" s="783" t="s">
        <v>842</v>
      </c>
      <c r="D59" s="22" t="s">
        <v>843</v>
      </c>
      <c r="E59" s="801">
        <f>E58*0.2*0</f>
        <v>0</v>
      </c>
    </row>
    <row r="60" spans="1:9">
      <c r="A60" s="783" t="s">
        <v>844</v>
      </c>
      <c r="D60" s="22" t="s">
        <v>845</v>
      </c>
      <c r="E60" s="786">
        <f>Expenses!J132</f>
        <v>64495.4</v>
      </c>
    </row>
    <row r="61" spans="1:9">
      <c r="A61" t="s">
        <v>846</v>
      </c>
      <c r="E61" s="32">
        <f>SUM(E57:E60)</f>
        <v>19215088.382952899</v>
      </c>
    </row>
    <row r="62" spans="1:9">
      <c r="A62" s="783" t="s">
        <v>847</v>
      </c>
      <c r="E62" s="32">
        <f>SUM(E7,E9,E10)*-1</f>
        <v>-715867</v>
      </c>
    </row>
    <row r="63" spans="1:9">
      <c r="A63" s="783" t="s">
        <v>848</v>
      </c>
      <c r="E63" s="32">
        <f>-E8</f>
        <v>-259072</v>
      </c>
    </row>
    <row r="64" spans="1:9">
      <c r="A64" s="783" t="s">
        <v>849</v>
      </c>
      <c r="E64" s="786">
        <f>B40</f>
        <v>-11001</v>
      </c>
      <c r="G64" s="797"/>
    </row>
    <row r="65" spans="1:15">
      <c r="A65" t="s">
        <v>850</v>
      </c>
      <c r="E65" s="32">
        <f>SUM(E61:E64)</f>
        <v>18229148.382952899</v>
      </c>
      <c r="O65" s="795"/>
    </row>
    <row r="66" spans="1:15">
      <c r="A66" s="783" t="s">
        <v>851</v>
      </c>
      <c r="E66" s="786">
        <f>-E5</f>
        <v>-16082901</v>
      </c>
    </row>
    <row r="67" spans="1:15" ht="28">
      <c r="A67" s="803" t="s">
        <v>852</v>
      </c>
      <c r="E67" s="787">
        <f>SUM(E65:E66)</f>
        <v>2146247.3829528987</v>
      </c>
    </row>
    <row r="68" spans="1:15">
      <c r="E68" s="813">
        <f>E67/(-1*E66)</f>
        <v>0.1334490203572663</v>
      </c>
      <c r="G68" s="798"/>
    </row>
    <row r="69" spans="1:15">
      <c r="E69"/>
    </row>
  </sheetData>
  <mergeCells count="1">
    <mergeCell ref="A1:E1"/>
  </mergeCells>
  <pageMargins left="0.75" right="0.75" top="1.5" bottom="0.85" header="0.75" footer="0.75"/>
  <pageSetup scale="92" fitToHeight="0" orientation="portrait" r:id="rId1"/>
  <headerFooter scaleWithDoc="0">
    <oddHeader>&amp;L&amp;G&amp;C&amp;"-,Bold"Schedule of Adjusted Operations- Water</oddHeader>
  </headerFooter>
  <ignoredErrors>
    <ignoredError sqref="B10" formulaRange="1"/>
  </ignoredError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3C434-0963-42B0-8DA2-2A32C27CDEC2}">
  <sheetPr>
    <tabColor rgb="FFE87722"/>
  </sheetPr>
  <dimension ref="A1:L48"/>
  <sheetViews>
    <sheetView workbookViewId="0">
      <selection sqref="A1:A2"/>
    </sheetView>
  </sheetViews>
  <sheetFormatPr defaultRowHeight="14"/>
  <cols>
    <col min="1" max="2" width="10.33203125" style="22" customWidth="1"/>
    <col min="3" max="3" width="34" customWidth="1"/>
    <col min="4" max="4" width="12.58203125" style="40" customWidth="1"/>
    <col min="5" max="5" width="12.5" style="40" customWidth="1"/>
    <col min="6" max="7" width="8.5" customWidth="1"/>
    <col min="8" max="8" width="12.5" customWidth="1"/>
    <col min="9" max="9" width="12.25" customWidth="1"/>
    <col min="10" max="10" width="12.75" customWidth="1"/>
    <col min="11" max="11" width="22.5" customWidth="1"/>
  </cols>
  <sheetData>
    <row r="1" spans="1:11" ht="15" customHeight="1" thickBot="1">
      <c r="A1" s="155"/>
      <c r="B1" s="102"/>
      <c r="C1" s="888" t="s">
        <v>49</v>
      </c>
      <c r="D1" s="880" t="s">
        <v>39</v>
      </c>
      <c r="E1" s="881"/>
      <c r="F1" s="884" t="s">
        <v>1</v>
      </c>
      <c r="G1" s="884"/>
      <c r="H1" s="885" t="s">
        <v>2</v>
      </c>
      <c r="I1" s="885" t="s">
        <v>3</v>
      </c>
      <c r="J1" s="885"/>
      <c r="K1" s="876" t="s">
        <v>4</v>
      </c>
    </row>
    <row r="2" spans="1:11" ht="22.15" customHeight="1" thickBot="1">
      <c r="A2" s="306"/>
      <c r="B2" s="49"/>
      <c r="C2" s="888"/>
      <c r="D2" s="882"/>
      <c r="E2" s="883"/>
      <c r="F2" s="884"/>
      <c r="G2" s="884"/>
      <c r="H2" s="885"/>
      <c r="I2" s="885"/>
      <c r="J2" s="885"/>
      <c r="K2" s="876"/>
    </row>
    <row r="3" spans="1:11" ht="14.5" thickBot="1">
      <c r="A3" s="890" t="s">
        <v>50</v>
      </c>
      <c r="B3" s="891"/>
      <c r="C3" s="1" t="s">
        <v>5</v>
      </c>
      <c r="D3" s="25" t="s">
        <v>6</v>
      </c>
      <c r="E3" s="25" t="s">
        <v>7</v>
      </c>
      <c r="F3" s="1" t="s">
        <v>6</v>
      </c>
      <c r="G3" s="1" t="s">
        <v>7</v>
      </c>
      <c r="H3" s="2" t="s">
        <v>8</v>
      </c>
      <c r="I3" s="2" t="s">
        <v>6</v>
      </c>
      <c r="J3" s="2" t="s">
        <v>7</v>
      </c>
      <c r="K3" s="876"/>
    </row>
    <row r="4" spans="1:11">
      <c r="A4" s="101" t="s">
        <v>6</v>
      </c>
      <c r="B4" s="102" t="s">
        <v>7</v>
      </c>
      <c r="C4" s="98" t="s">
        <v>51</v>
      </c>
      <c r="D4" s="37"/>
      <c r="E4" s="41"/>
      <c r="F4" s="21"/>
      <c r="G4" s="20"/>
      <c r="H4" s="21"/>
      <c r="I4" s="886"/>
      <c r="J4" s="887"/>
      <c r="K4" s="19"/>
    </row>
    <row r="5" spans="1:11">
      <c r="A5" s="307" t="s">
        <v>52</v>
      </c>
      <c r="B5" s="67" t="s">
        <v>53</v>
      </c>
      <c r="C5" s="68" t="s">
        <v>54</v>
      </c>
      <c r="D5" s="38">
        <v>0</v>
      </c>
      <c r="E5" s="42">
        <v>0</v>
      </c>
      <c r="F5" s="285" t="str">
        <f>IFERROR(D5/(E5+D5),"-")</f>
        <v>-</v>
      </c>
      <c r="G5" s="285" t="str">
        <f>IFERROR(E5/(D5+E5),"-")</f>
        <v>-</v>
      </c>
      <c r="H5" s="287">
        <f>SUM(D5:E5)</f>
        <v>0</v>
      </c>
      <c r="I5" s="293">
        <f>D5</f>
        <v>0</v>
      </c>
      <c r="J5" s="294">
        <f>E5</f>
        <v>0</v>
      </c>
      <c r="K5" s="72"/>
    </row>
    <row r="6" spans="1:11">
      <c r="A6" s="307" t="s">
        <v>55</v>
      </c>
      <c r="B6" s="96" t="s">
        <v>56</v>
      </c>
      <c r="C6" s="61" t="s">
        <v>57</v>
      </c>
      <c r="D6" s="28">
        <v>2606013</v>
      </c>
      <c r="E6" s="34">
        <v>10121995</v>
      </c>
      <c r="F6" s="285">
        <f t="shared" ref="F6:F17" si="0">IFERROR(D6/(E6+D6),"-")</f>
        <v>0.20474633579740051</v>
      </c>
      <c r="G6" s="285">
        <f t="shared" ref="G6:G17" si="1">IFERROR(E6/(D6+E6),"-")</f>
        <v>0.79525366420259946</v>
      </c>
      <c r="H6" s="287">
        <f t="shared" ref="H6:H17" si="2">SUM(D6:E6)</f>
        <v>12728008</v>
      </c>
      <c r="I6" s="293">
        <f t="shared" ref="I6:I17" si="3">D6</f>
        <v>2606013</v>
      </c>
      <c r="J6" s="294">
        <f t="shared" ref="J6:J41" si="4">E6</f>
        <v>10121995</v>
      </c>
      <c r="K6" s="17"/>
    </row>
    <row r="7" spans="1:11">
      <c r="A7" s="307" t="s">
        <v>58</v>
      </c>
      <c r="B7" s="96" t="s">
        <v>59</v>
      </c>
      <c r="C7" s="61" t="s">
        <v>60</v>
      </c>
      <c r="D7" s="28">
        <v>847443</v>
      </c>
      <c r="E7" s="34">
        <v>2805185</v>
      </c>
      <c r="F7" s="285">
        <f t="shared" si="0"/>
        <v>0.23200911781873215</v>
      </c>
      <c r="G7" s="285">
        <f t="shared" si="1"/>
        <v>0.76799088218126788</v>
      </c>
      <c r="H7" s="287">
        <f t="shared" si="2"/>
        <v>3652628</v>
      </c>
      <c r="I7" s="293">
        <f t="shared" si="3"/>
        <v>847443</v>
      </c>
      <c r="J7" s="294">
        <f t="shared" si="4"/>
        <v>2805185</v>
      </c>
      <c r="K7" s="17"/>
    </row>
    <row r="8" spans="1:11">
      <c r="A8" s="307" t="s">
        <v>61</v>
      </c>
      <c r="B8" s="96" t="s">
        <v>62</v>
      </c>
      <c r="C8" s="62" t="s">
        <v>63</v>
      </c>
      <c r="D8" s="35">
        <v>2690800</v>
      </c>
      <c r="E8" s="34">
        <v>2971463</v>
      </c>
      <c r="F8" s="285">
        <f t="shared" si="0"/>
        <v>0.47521635784137894</v>
      </c>
      <c r="G8" s="285">
        <f t="shared" si="1"/>
        <v>0.52478364215862106</v>
      </c>
      <c r="H8" s="287">
        <f t="shared" si="2"/>
        <v>5662263</v>
      </c>
      <c r="I8" s="293">
        <f>D8</f>
        <v>2690800</v>
      </c>
      <c r="J8" s="294">
        <f>E8+'Flow Adjustments'!E4</f>
        <v>2971463</v>
      </c>
      <c r="K8" s="17"/>
    </row>
    <row r="9" spans="1:11">
      <c r="A9" s="307" t="s">
        <v>64</v>
      </c>
      <c r="B9" s="96" t="s">
        <v>65</v>
      </c>
      <c r="C9" s="61" t="s">
        <v>66</v>
      </c>
      <c r="D9" s="28">
        <v>0</v>
      </c>
      <c r="E9" s="34">
        <v>0</v>
      </c>
      <c r="F9" s="285" t="str">
        <f t="shared" si="0"/>
        <v>-</v>
      </c>
      <c r="G9" s="285" t="str">
        <f t="shared" si="1"/>
        <v>-</v>
      </c>
      <c r="H9" s="287">
        <f t="shared" si="2"/>
        <v>0</v>
      </c>
      <c r="I9" s="293">
        <f t="shared" si="3"/>
        <v>0</v>
      </c>
      <c r="J9" s="294">
        <f t="shared" si="4"/>
        <v>0</v>
      </c>
      <c r="K9" s="17"/>
    </row>
    <row r="10" spans="1:11">
      <c r="A10" s="307" t="s">
        <v>67</v>
      </c>
      <c r="B10" s="96" t="s">
        <v>68</v>
      </c>
      <c r="C10" s="61" t="s">
        <v>69</v>
      </c>
      <c r="D10" s="28">
        <v>0</v>
      </c>
      <c r="E10" s="34">
        <v>0</v>
      </c>
      <c r="F10" s="285" t="str">
        <f t="shared" si="0"/>
        <v>-</v>
      </c>
      <c r="G10" s="285" t="str">
        <f t="shared" si="1"/>
        <v>-</v>
      </c>
      <c r="H10" s="287">
        <f t="shared" si="2"/>
        <v>0</v>
      </c>
      <c r="I10" s="293">
        <f t="shared" si="3"/>
        <v>0</v>
      </c>
      <c r="J10" s="294">
        <f t="shared" si="4"/>
        <v>0</v>
      </c>
      <c r="K10" s="17"/>
    </row>
    <row r="11" spans="1:11">
      <c r="A11" s="307" t="s">
        <v>70</v>
      </c>
      <c r="B11" s="96" t="s">
        <v>71</v>
      </c>
      <c r="C11" s="61" t="s">
        <v>72</v>
      </c>
      <c r="D11" s="28">
        <v>0</v>
      </c>
      <c r="E11" s="34">
        <v>0</v>
      </c>
      <c r="F11" s="285" t="str">
        <f t="shared" si="0"/>
        <v>-</v>
      </c>
      <c r="G11" s="285" t="str">
        <f t="shared" si="1"/>
        <v>-</v>
      </c>
      <c r="H11" s="287">
        <f t="shared" si="2"/>
        <v>0</v>
      </c>
      <c r="I11" s="293">
        <f t="shared" si="3"/>
        <v>0</v>
      </c>
      <c r="J11" s="294">
        <f t="shared" si="4"/>
        <v>0</v>
      </c>
      <c r="K11" s="17"/>
    </row>
    <row r="12" spans="1:11">
      <c r="A12" s="307" t="s">
        <v>73</v>
      </c>
      <c r="B12" s="96" t="s">
        <v>74</v>
      </c>
      <c r="C12" s="61" t="s">
        <v>75</v>
      </c>
      <c r="D12" s="744">
        <v>0</v>
      </c>
      <c r="E12" s="222">
        <v>20811</v>
      </c>
      <c r="F12" s="285">
        <f t="shared" si="0"/>
        <v>0</v>
      </c>
      <c r="G12" s="285">
        <f t="shared" si="1"/>
        <v>1</v>
      </c>
      <c r="H12" s="287">
        <f t="shared" si="2"/>
        <v>20811</v>
      </c>
      <c r="I12" s="293">
        <f t="shared" si="3"/>
        <v>0</v>
      </c>
      <c r="J12" s="294">
        <f>E12</f>
        <v>20811</v>
      </c>
      <c r="K12" s="8"/>
    </row>
    <row r="13" spans="1:11">
      <c r="A13" s="307" t="s">
        <v>76</v>
      </c>
      <c r="B13" s="96" t="s">
        <v>77</v>
      </c>
      <c r="C13" s="61" t="s">
        <v>78</v>
      </c>
      <c r="D13" s="744">
        <f>0*-17879</f>
        <v>0</v>
      </c>
      <c r="E13" s="222">
        <f>0*-104058</f>
        <v>0</v>
      </c>
      <c r="F13" s="285" t="str">
        <f t="shared" si="0"/>
        <v>-</v>
      </c>
      <c r="G13" s="285" t="str">
        <f>IFERROR(E13/(D13+E13),"-")</f>
        <v>-</v>
      </c>
      <c r="H13" s="287">
        <f t="shared" si="2"/>
        <v>0</v>
      </c>
      <c r="I13" s="293">
        <f t="shared" si="3"/>
        <v>0</v>
      </c>
      <c r="J13" s="294">
        <f t="shared" si="4"/>
        <v>0</v>
      </c>
      <c r="K13" s="8"/>
    </row>
    <row r="14" spans="1:11">
      <c r="A14" s="307" t="s">
        <v>79</v>
      </c>
      <c r="B14" s="96" t="s">
        <v>80</v>
      </c>
      <c r="C14" s="61" t="s">
        <v>81</v>
      </c>
      <c r="D14" s="744">
        <f>0*-28538</f>
        <v>0</v>
      </c>
      <c r="E14" s="222">
        <f>0*-53050</f>
        <v>0</v>
      </c>
      <c r="F14" s="285" t="str">
        <f t="shared" si="0"/>
        <v>-</v>
      </c>
      <c r="G14" s="285" t="str">
        <f t="shared" si="1"/>
        <v>-</v>
      </c>
      <c r="H14" s="287">
        <f t="shared" si="2"/>
        <v>0</v>
      </c>
      <c r="I14" s="293">
        <f t="shared" si="3"/>
        <v>0</v>
      </c>
      <c r="J14" s="294">
        <f t="shared" si="4"/>
        <v>0</v>
      </c>
      <c r="K14" s="8"/>
    </row>
    <row r="15" spans="1:11">
      <c r="A15" s="307" t="s">
        <v>82</v>
      </c>
      <c r="B15" s="96" t="s">
        <v>83</v>
      </c>
      <c r="C15" s="61" t="s">
        <v>84</v>
      </c>
      <c r="D15" s="744">
        <v>0</v>
      </c>
      <c r="E15" s="222">
        <v>161466</v>
      </c>
      <c r="F15" s="285">
        <f t="shared" si="0"/>
        <v>0</v>
      </c>
      <c r="G15" s="285">
        <f t="shared" si="1"/>
        <v>1</v>
      </c>
      <c r="H15" s="287">
        <f t="shared" si="2"/>
        <v>161466</v>
      </c>
      <c r="I15" s="293">
        <f t="shared" si="3"/>
        <v>0</v>
      </c>
      <c r="J15" s="294">
        <f t="shared" si="4"/>
        <v>161466</v>
      </c>
      <c r="K15" s="8"/>
    </row>
    <row r="16" spans="1:11">
      <c r="A16" s="307" t="s">
        <v>82</v>
      </c>
      <c r="B16" s="96" t="s">
        <v>83</v>
      </c>
      <c r="C16" s="61" t="s">
        <v>85</v>
      </c>
      <c r="D16" s="28">
        <v>0</v>
      </c>
      <c r="E16" s="34">
        <v>0</v>
      </c>
      <c r="F16" s="285" t="str">
        <f t="shared" si="0"/>
        <v>-</v>
      </c>
      <c r="G16" s="285" t="str">
        <f t="shared" si="1"/>
        <v>-</v>
      </c>
      <c r="H16" s="287">
        <f t="shared" si="2"/>
        <v>0</v>
      </c>
      <c r="I16" s="293">
        <f t="shared" si="3"/>
        <v>0</v>
      </c>
      <c r="J16" s="294">
        <f t="shared" si="4"/>
        <v>0</v>
      </c>
      <c r="K16" s="8"/>
    </row>
    <row r="17" spans="1:12" ht="15" customHeight="1">
      <c r="A17" s="307" t="s">
        <v>82</v>
      </c>
      <c r="B17" s="96" t="s">
        <v>83</v>
      </c>
      <c r="C17" s="61" t="s">
        <v>86</v>
      </c>
      <c r="D17" s="323">
        <v>0</v>
      </c>
      <c r="E17" s="324">
        <v>1981</v>
      </c>
      <c r="F17" s="335">
        <f t="shared" si="0"/>
        <v>0</v>
      </c>
      <c r="G17" s="326">
        <f t="shared" si="1"/>
        <v>1</v>
      </c>
      <c r="H17" s="331">
        <f t="shared" si="2"/>
        <v>1981</v>
      </c>
      <c r="I17" s="336">
        <f t="shared" si="3"/>
        <v>0</v>
      </c>
      <c r="J17" s="338">
        <f t="shared" si="4"/>
        <v>1981</v>
      </c>
      <c r="K17" s="9"/>
    </row>
    <row r="18" spans="1:12">
      <c r="A18" s="310"/>
      <c r="B18" s="182"/>
      <c r="C18" s="204" t="s">
        <v>29</v>
      </c>
      <c r="D18" s="189">
        <f>SUM(D5:D17)</f>
        <v>6144256</v>
      </c>
      <c r="E18" s="184">
        <f>SUM(E5:E17)</f>
        <v>16082901</v>
      </c>
      <c r="F18" s="181"/>
      <c r="G18" s="181"/>
      <c r="H18" s="203">
        <f>SUM(H5:H17)</f>
        <v>22227157</v>
      </c>
      <c r="I18" s="587">
        <f>SUM(I5:I17)</f>
        <v>6144256</v>
      </c>
      <c r="J18" s="184">
        <f>SUM(J5:J17)</f>
        <v>16082901</v>
      </c>
      <c r="K18" s="181"/>
      <c r="L18" s="7"/>
    </row>
    <row r="19" spans="1:12">
      <c r="A19" s="306"/>
      <c r="B19" s="49"/>
      <c r="C19" s="78"/>
      <c r="D19" s="28"/>
      <c r="E19" s="34"/>
      <c r="F19" s="3"/>
      <c r="G19" s="3"/>
      <c r="H19" s="23"/>
      <c r="I19" s="13"/>
      <c r="J19" s="10"/>
      <c r="K19" s="8"/>
    </row>
    <row r="20" spans="1:12">
      <c r="A20" s="340"/>
      <c r="B20" s="97"/>
      <c r="C20" s="99" t="s">
        <v>44</v>
      </c>
      <c r="D20" s="37"/>
      <c r="E20" s="43"/>
      <c r="F20" s="4"/>
      <c r="G20" s="4"/>
      <c r="H20" s="24"/>
      <c r="I20" s="13"/>
      <c r="J20" s="10"/>
      <c r="K20" s="17"/>
    </row>
    <row r="21" spans="1:12">
      <c r="A21" s="341" t="s">
        <v>87</v>
      </c>
      <c r="B21" s="97" t="s">
        <v>88</v>
      </c>
      <c r="C21" s="61" t="s">
        <v>89</v>
      </c>
      <c r="D21" s="27">
        <v>101016</v>
      </c>
      <c r="E21" s="33">
        <v>54565</v>
      </c>
      <c r="F21" s="285">
        <f>IFERROR(D21/(E21+D21),"-")</f>
        <v>0.6492823673841922</v>
      </c>
      <c r="G21" s="285">
        <f>IFERROR(E21/(D21+E21),"-")</f>
        <v>0.35071763261580785</v>
      </c>
      <c r="H21" s="287">
        <f t="shared" ref="H21:H29" si="5">SUM(D21:E21)</f>
        <v>155581</v>
      </c>
      <c r="I21" s="296">
        <f t="shared" ref="I21:I29" si="6">D21</f>
        <v>101016</v>
      </c>
      <c r="J21" s="295">
        <f t="shared" si="4"/>
        <v>54565</v>
      </c>
      <c r="K21" s="8"/>
    </row>
    <row r="22" spans="1:12">
      <c r="A22" s="307" t="s">
        <v>90</v>
      </c>
      <c r="B22" s="96" t="s">
        <v>91</v>
      </c>
      <c r="C22" s="61" t="s">
        <v>92</v>
      </c>
      <c r="D22" s="28">
        <v>0</v>
      </c>
      <c r="E22" s="34">
        <v>-102</v>
      </c>
      <c r="F22" s="285">
        <f t="shared" ref="F22:F29" si="7">IFERROR(D22/(E22+D22),"-")</f>
        <v>0</v>
      </c>
      <c r="G22" s="285">
        <f t="shared" ref="G22:G29" si="8">IFERROR(E22/(D22+E22),"-")</f>
        <v>1</v>
      </c>
      <c r="H22" s="287">
        <f t="shared" si="5"/>
        <v>-102</v>
      </c>
      <c r="I22" s="293">
        <f t="shared" si="6"/>
        <v>0</v>
      </c>
      <c r="J22" s="294">
        <f t="shared" si="4"/>
        <v>-102</v>
      </c>
      <c r="K22" s="8"/>
    </row>
    <row r="23" spans="1:12">
      <c r="A23" s="307" t="s">
        <v>93</v>
      </c>
      <c r="B23" s="96" t="s">
        <v>94</v>
      </c>
      <c r="C23" s="61" t="s">
        <v>95</v>
      </c>
      <c r="D23" s="38">
        <v>0</v>
      </c>
      <c r="E23" s="34">
        <v>0</v>
      </c>
      <c r="F23" s="285" t="str">
        <f t="shared" si="7"/>
        <v>-</v>
      </c>
      <c r="G23" s="285" t="str">
        <f t="shared" si="8"/>
        <v>-</v>
      </c>
      <c r="H23" s="287">
        <f t="shared" si="5"/>
        <v>0</v>
      </c>
      <c r="I23" s="293">
        <f t="shared" si="6"/>
        <v>0</v>
      </c>
      <c r="J23" s="294">
        <f t="shared" si="4"/>
        <v>0</v>
      </c>
      <c r="K23" s="8"/>
    </row>
    <row r="24" spans="1:12">
      <c r="A24" s="307" t="s">
        <v>93</v>
      </c>
      <c r="B24" s="96" t="s">
        <v>96</v>
      </c>
      <c r="C24" s="61" t="s">
        <v>92</v>
      </c>
      <c r="D24" s="38">
        <v>0</v>
      </c>
      <c r="E24" s="34">
        <v>48048</v>
      </c>
      <c r="F24" s="285">
        <f t="shared" si="7"/>
        <v>0</v>
      </c>
      <c r="G24" s="285">
        <f t="shared" si="8"/>
        <v>1</v>
      </c>
      <c r="H24" s="287">
        <f t="shared" si="5"/>
        <v>48048</v>
      </c>
      <c r="I24" s="293">
        <f t="shared" si="6"/>
        <v>0</v>
      </c>
      <c r="J24" s="294">
        <f t="shared" si="4"/>
        <v>48048</v>
      </c>
      <c r="K24" s="8"/>
    </row>
    <row r="25" spans="1:12">
      <c r="A25" s="307" t="s">
        <v>97</v>
      </c>
      <c r="B25" s="96" t="s">
        <v>96</v>
      </c>
      <c r="C25" s="61" t="s">
        <v>92</v>
      </c>
      <c r="D25" s="28">
        <v>204033</v>
      </c>
      <c r="E25" s="34">
        <v>156561</v>
      </c>
      <c r="F25" s="285">
        <f t="shared" si="7"/>
        <v>0.56582472254114047</v>
      </c>
      <c r="G25" s="285">
        <f t="shared" si="8"/>
        <v>0.43417527745885953</v>
      </c>
      <c r="H25" s="287">
        <f t="shared" si="5"/>
        <v>360594</v>
      </c>
      <c r="I25" s="293">
        <f t="shared" si="6"/>
        <v>204033</v>
      </c>
      <c r="J25" s="294">
        <f t="shared" si="4"/>
        <v>156561</v>
      </c>
      <c r="K25" s="8"/>
    </row>
    <row r="26" spans="1:12">
      <c r="A26" s="307" t="s">
        <v>93</v>
      </c>
      <c r="B26" s="96" t="s">
        <v>98</v>
      </c>
      <c r="C26" s="61" t="s">
        <v>99</v>
      </c>
      <c r="D26" s="38">
        <v>0</v>
      </c>
      <c r="E26" s="34">
        <v>0</v>
      </c>
      <c r="F26" s="285" t="str">
        <f t="shared" si="7"/>
        <v>-</v>
      </c>
      <c r="G26" s="285" t="str">
        <f t="shared" si="8"/>
        <v>-</v>
      </c>
      <c r="H26" s="287">
        <f t="shared" si="5"/>
        <v>0</v>
      </c>
      <c r="I26" s="293">
        <f t="shared" si="6"/>
        <v>0</v>
      </c>
      <c r="J26" s="294">
        <f t="shared" si="4"/>
        <v>0</v>
      </c>
      <c r="K26" s="8"/>
    </row>
    <row r="27" spans="1:12">
      <c r="A27" s="307" t="s">
        <v>93</v>
      </c>
      <c r="B27" s="96" t="s">
        <v>100</v>
      </c>
      <c r="C27" s="62" t="s">
        <v>101</v>
      </c>
      <c r="D27" s="38">
        <v>0</v>
      </c>
      <c r="E27" s="76">
        <v>0</v>
      </c>
      <c r="F27" s="285" t="str">
        <f t="shared" si="7"/>
        <v>-</v>
      </c>
      <c r="G27" s="285" t="str">
        <f t="shared" si="8"/>
        <v>-</v>
      </c>
      <c r="H27" s="287">
        <f t="shared" si="5"/>
        <v>0</v>
      </c>
      <c r="I27" s="293">
        <f t="shared" si="6"/>
        <v>0</v>
      </c>
      <c r="J27" s="294">
        <f t="shared" si="4"/>
        <v>0</v>
      </c>
      <c r="K27" s="8"/>
    </row>
    <row r="28" spans="1:12">
      <c r="A28" s="307" t="s">
        <v>90</v>
      </c>
      <c r="B28" s="96" t="s">
        <v>93</v>
      </c>
      <c r="C28" s="62" t="s">
        <v>99</v>
      </c>
      <c r="D28" s="31">
        <v>0</v>
      </c>
      <c r="E28" s="76">
        <v>0</v>
      </c>
      <c r="F28" s="285" t="str">
        <f t="shared" si="7"/>
        <v>-</v>
      </c>
      <c r="G28" s="285" t="str">
        <f t="shared" si="8"/>
        <v>-</v>
      </c>
      <c r="H28" s="287">
        <f t="shared" si="5"/>
        <v>0</v>
      </c>
      <c r="I28" s="293">
        <f t="shared" si="6"/>
        <v>0</v>
      </c>
      <c r="J28" s="294">
        <f t="shared" si="4"/>
        <v>0</v>
      </c>
      <c r="K28" s="17"/>
    </row>
    <row r="29" spans="1:12">
      <c r="A29" s="307" t="s">
        <v>90</v>
      </c>
      <c r="B29" s="100" t="s">
        <v>93</v>
      </c>
      <c r="C29" s="62" t="s">
        <v>99</v>
      </c>
      <c r="D29" s="323">
        <v>127309</v>
      </c>
      <c r="E29" s="339">
        <v>0</v>
      </c>
      <c r="F29" s="335">
        <f t="shared" si="7"/>
        <v>1</v>
      </c>
      <c r="G29" s="326">
        <f t="shared" si="8"/>
        <v>0</v>
      </c>
      <c r="H29" s="331">
        <f t="shared" si="5"/>
        <v>127309</v>
      </c>
      <c r="I29" s="336">
        <f t="shared" si="6"/>
        <v>127309</v>
      </c>
      <c r="J29" s="338">
        <f t="shared" si="4"/>
        <v>0</v>
      </c>
      <c r="K29" s="9"/>
    </row>
    <row r="30" spans="1:12">
      <c r="A30" s="342"/>
      <c r="B30" s="202"/>
      <c r="C30" s="186" t="s">
        <v>29</v>
      </c>
      <c r="D30" s="183">
        <f>SUM(D21:D29)</f>
        <v>432358</v>
      </c>
      <c r="E30" s="184">
        <f>SUM(E21:E29)</f>
        <v>259072</v>
      </c>
      <c r="F30" s="187"/>
      <c r="G30" s="181"/>
      <c r="H30" s="203">
        <f>SUM(H21:H29)</f>
        <v>691430</v>
      </c>
      <c r="I30" s="587">
        <f>SUM(I21:I29)</f>
        <v>432358</v>
      </c>
      <c r="J30" s="184">
        <f>SUM(J21:J29)</f>
        <v>259072</v>
      </c>
      <c r="K30" s="190"/>
    </row>
    <row r="31" spans="1:12">
      <c r="A31" s="306"/>
      <c r="B31" s="49"/>
      <c r="C31" s="72"/>
      <c r="D31" s="39"/>
      <c r="E31" s="44"/>
      <c r="F31" s="3"/>
      <c r="G31" s="3"/>
      <c r="H31" s="23"/>
      <c r="I31" s="13"/>
      <c r="J31" s="10"/>
      <c r="K31" s="5"/>
    </row>
    <row r="32" spans="1:12">
      <c r="A32" s="306"/>
      <c r="B32" s="49"/>
      <c r="C32" s="78"/>
      <c r="D32" s="28"/>
      <c r="E32" s="44"/>
      <c r="F32" s="3"/>
      <c r="G32" s="3"/>
      <c r="H32" s="23"/>
      <c r="I32" s="13"/>
      <c r="J32" s="10"/>
      <c r="K32" s="15"/>
    </row>
    <row r="33" spans="1:11">
      <c r="A33" s="340"/>
      <c r="B33" s="97"/>
      <c r="C33" s="14" t="s">
        <v>102</v>
      </c>
      <c r="D33" s="37"/>
      <c r="E33" s="43"/>
      <c r="F33" s="4"/>
      <c r="G33" s="4"/>
      <c r="H33" s="24"/>
      <c r="I33" s="18"/>
      <c r="J33" s="10"/>
      <c r="K33" s="15"/>
    </row>
    <row r="34" spans="1:11">
      <c r="A34" s="307" t="s">
        <v>103</v>
      </c>
      <c r="B34" s="97" t="s">
        <v>104</v>
      </c>
      <c r="C34" s="62" t="s">
        <v>105</v>
      </c>
      <c r="D34" s="27">
        <v>84207</v>
      </c>
      <c r="E34" s="76">
        <v>207919</v>
      </c>
      <c r="F34" s="285">
        <f>IFERROR(D34/(E34+D34),"-")</f>
        <v>0.2882557526546764</v>
      </c>
      <c r="G34" s="285">
        <f>IFERROR(E34/(D34+E34),"-")</f>
        <v>0.7117442473453236</v>
      </c>
      <c r="H34" s="287">
        <f t="shared" ref="H34:H41" si="9">SUM(D34:E34)</f>
        <v>292126</v>
      </c>
      <c r="I34" s="293">
        <f t="shared" ref="I34:I41" si="10">D34</f>
        <v>84207</v>
      </c>
      <c r="J34" s="295">
        <f t="shared" si="4"/>
        <v>207919</v>
      </c>
      <c r="K34" s="15"/>
    </row>
    <row r="35" spans="1:11">
      <c r="A35" s="307" t="s">
        <v>106</v>
      </c>
      <c r="B35" s="96" t="s">
        <v>107</v>
      </c>
      <c r="C35" s="62" t="s">
        <v>42</v>
      </c>
      <c r="D35" s="28">
        <v>33870</v>
      </c>
      <c r="E35" s="76">
        <v>267538</v>
      </c>
      <c r="F35" s="285">
        <f t="shared" ref="F35:F41" si="11">IFERROR(D35/(E35+D35),"-")</f>
        <v>0.11237259794033337</v>
      </c>
      <c r="G35" s="285">
        <f t="shared" ref="G35:G41" si="12">IFERROR(E35/(D35+E35),"-")</f>
        <v>0.88762740205966661</v>
      </c>
      <c r="H35" s="287">
        <f t="shared" si="9"/>
        <v>301408</v>
      </c>
      <c r="I35" s="293">
        <f t="shared" si="10"/>
        <v>33870</v>
      </c>
      <c r="J35" s="294">
        <f t="shared" si="4"/>
        <v>267538</v>
      </c>
      <c r="K35" s="15"/>
    </row>
    <row r="36" spans="1:11">
      <c r="A36" s="307" t="s">
        <v>108</v>
      </c>
      <c r="B36" s="96" t="s">
        <v>109</v>
      </c>
      <c r="C36" s="62" t="s">
        <v>43</v>
      </c>
      <c r="D36" s="28">
        <v>600</v>
      </c>
      <c r="E36" s="76">
        <v>600</v>
      </c>
      <c r="F36" s="285">
        <f t="shared" si="11"/>
        <v>0.5</v>
      </c>
      <c r="G36" s="285">
        <f t="shared" si="12"/>
        <v>0.5</v>
      </c>
      <c r="H36" s="287">
        <f t="shared" si="9"/>
        <v>1200</v>
      </c>
      <c r="I36" s="293">
        <f t="shared" si="10"/>
        <v>600</v>
      </c>
      <c r="J36" s="294">
        <f t="shared" si="4"/>
        <v>600</v>
      </c>
      <c r="K36" s="15"/>
    </row>
    <row r="37" spans="1:11">
      <c r="A37" s="307" t="s">
        <v>110</v>
      </c>
      <c r="B37" s="96" t="s">
        <v>111</v>
      </c>
      <c r="C37" s="62" t="s">
        <v>112</v>
      </c>
      <c r="D37" s="28">
        <v>0</v>
      </c>
      <c r="E37" s="76">
        <v>0</v>
      </c>
      <c r="F37" s="285" t="str">
        <f t="shared" si="11"/>
        <v>-</v>
      </c>
      <c r="G37" s="285" t="str">
        <f t="shared" si="12"/>
        <v>-</v>
      </c>
      <c r="H37" s="287">
        <f t="shared" si="9"/>
        <v>0</v>
      </c>
      <c r="I37" s="293">
        <f t="shared" si="10"/>
        <v>0</v>
      </c>
      <c r="J37" s="294">
        <f t="shared" si="4"/>
        <v>0</v>
      </c>
      <c r="K37" s="15"/>
    </row>
    <row r="38" spans="1:11">
      <c r="A38" s="307" t="s">
        <v>113</v>
      </c>
      <c r="B38" s="96" t="s">
        <v>114</v>
      </c>
      <c r="C38" s="62" t="s">
        <v>115</v>
      </c>
      <c r="D38" s="28">
        <v>-14876</v>
      </c>
      <c r="E38" s="76">
        <v>136825</v>
      </c>
      <c r="F38" s="285">
        <f>IFERROR(D38/(E38+D38),"-")</f>
        <v>-0.12198542013464644</v>
      </c>
      <c r="G38" s="285">
        <f>IFERROR(E38/(D38+E38),"-")</f>
        <v>1.1219854201346464</v>
      </c>
      <c r="H38" s="287">
        <f t="shared" si="9"/>
        <v>121949</v>
      </c>
      <c r="I38" s="293">
        <f t="shared" si="10"/>
        <v>-14876</v>
      </c>
      <c r="J38" s="294">
        <f t="shared" si="4"/>
        <v>136825</v>
      </c>
      <c r="K38" s="8"/>
    </row>
    <row r="39" spans="1:11">
      <c r="A39" s="307"/>
      <c r="B39" s="96" t="s">
        <v>116</v>
      </c>
      <c r="C39" s="62" t="s">
        <v>117</v>
      </c>
      <c r="D39" s="28">
        <v>0</v>
      </c>
      <c r="E39" s="76">
        <v>0</v>
      </c>
      <c r="F39" s="285" t="str">
        <f t="shared" si="11"/>
        <v>-</v>
      </c>
      <c r="G39" s="285" t="str">
        <f>IFERROR(E39/(D39+E39),"-")</f>
        <v>-</v>
      </c>
      <c r="H39" s="287">
        <f t="shared" si="9"/>
        <v>0</v>
      </c>
      <c r="I39" s="293">
        <f t="shared" si="10"/>
        <v>0</v>
      </c>
      <c r="J39" s="294">
        <f t="shared" si="4"/>
        <v>0</v>
      </c>
      <c r="K39" s="8"/>
    </row>
    <row r="40" spans="1:11">
      <c r="A40" s="307"/>
      <c r="B40" s="96" t="s">
        <v>118</v>
      </c>
      <c r="C40" s="62" t="s">
        <v>119</v>
      </c>
      <c r="D40" s="28">
        <v>0</v>
      </c>
      <c r="E40" s="76">
        <v>70540</v>
      </c>
      <c r="F40" s="285">
        <f t="shared" si="11"/>
        <v>0</v>
      </c>
      <c r="G40" s="285">
        <f t="shared" si="12"/>
        <v>1</v>
      </c>
      <c r="H40" s="287">
        <f t="shared" si="9"/>
        <v>70540</v>
      </c>
      <c r="I40" s="293">
        <f t="shared" si="10"/>
        <v>0</v>
      </c>
      <c r="J40" s="294">
        <f t="shared" si="4"/>
        <v>70540</v>
      </c>
      <c r="K40" s="8"/>
    </row>
    <row r="41" spans="1:11">
      <c r="A41" s="307" t="s">
        <v>120</v>
      </c>
      <c r="B41" s="96" t="s">
        <v>121</v>
      </c>
      <c r="C41" s="62" t="s">
        <v>122</v>
      </c>
      <c r="D41" s="323">
        <v>0</v>
      </c>
      <c r="E41" s="339">
        <v>32445</v>
      </c>
      <c r="F41" s="335">
        <f t="shared" si="11"/>
        <v>0</v>
      </c>
      <c r="G41" s="326">
        <f t="shared" si="12"/>
        <v>1</v>
      </c>
      <c r="H41" s="331">
        <f t="shared" si="9"/>
        <v>32445</v>
      </c>
      <c r="I41" s="336">
        <f t="shared" si="10"/>
        <v>0</v>
      </c>
      <c r="J41" s="338">
        <f t="shared" si="4"/>
        <v>32445</v>
      </c>
      <c r="K41" s="106"/>
    </row>
    <row r="42" spans="1:11">
      <c r="A42" s="310"/>
      <c r="B42" s="182"/>
      <c r="C42" s="186" t="s">
        <v>29</v>
      </c>
      <c r="D42" s="201">
        <f>SUM(D34:D41)</f>
        <v>103801</v>
      </c>
      <c r="E42" s="875">
        <f>SUM(E34:E41)</f>
        <v>715867</v>
      </c>
      <c r="F42" s="181"/>
      <c r="G42" s="190"/>
      <c r="H42" s="343">
        <f>SUM(H34:H41)</f>
        <v>819668</v>
      </c>
      <c r="I42" s="587">
        <f>SUM(I34:I41)</f>
        <v>103801</v>
      </c>
      <c r="J42" s="184">
        <f>SUM(J34:J41)</f>
        <v>715867</v>
      </c>
      <c r="K42" s="190"/>
    </row>
    <row r="43" spans="1:11">
      <c r="A43" s="306"/>
      <c r="B43" s="49"/>
      <c r="C43" s="72"/>
      <c r="D43" s="28"/>
      <c r="E43" s="44"/>
      <c r="F43" s="16"/>
      <c r="G43" s="16"/>
      <c r="H43" s="7"/>
      <c r="I43" s="7"/>
      <c r="J43" s="10"/>
      <c r="K43" s="15"/>
    </row>
    <row r="44" spans="1:11" ht="14.5" thickBot="1">
      <c r="A44" s="311"/>
      <c r="B44" s="212"/>
      <c r="C44" s="213" t="s">
        <v>37</v>
      </c>
      <c r="D44" s="214">
        <f>SUM(D18,D30,D42)</f>
        <v>6680415</v>
      </c>
      <c r="E44" s="215">
        <f>SUM(E18,E30,E42)</f>
        <v>17057840</v>
      </c>
      <c r="F44" s="217"/>
      <c r="G44" s="217"/>
      <c r="H44" s="219">
        <f>SUM(H42,H30,H18)</f>
        <v>23738255</v>
      </c>
      <c r="I44" s="214">
        <f>SUM(I18,I30,I42)</f>
        <v>6680415</v>
      </c>
      <c r="J44" s="215">
        <f>SUM(J18,J30,J42)</f>
        <v>17057840</v>
      </c>
      <c r="K44" s="209"/>
    </row>
    <row r="45" spans="1:11">
      <c r="H45" s="32"/>
      <c r="J45" s="94"/>
    </row>
    <row r="46" spans="1:11">
      <c r="A46" s="377" t="s">
        <v>123</v>
      </c>
      <c r="B46" s="377"/>
      <c r="C46" s="377"/>
    </row>
    <row r="47" spans="1:11">
      <c r="A47" s="889" t="s">
        <v>124</v>
      </c>
      <c r="B47" s="889"/>
      <c r="C47" s="889"/>
    </row>
    <row r="48" spans="1:11">
      <c r="A48" s="889" t="s">
        <v>125</v>
      </c>
      <c r="B48" s="889"/>
      <c r="C48" s="889"/>
      <c r="H48" s="107"/>
    </row>
  </sheetData>
  <mergeCells count="10">
    <mergeCell ref="A47:C47"/>
    <mergeCell ref="A48:C48"/>
    <mergeCell ref="A3:B3"/>
    <mergeCell ref="C1:C2"/>
    <mergeCell ref="K1:K3"/>
    <mergeCell ref="I4:J4"/>
    <mergeCell ref="F1:G2"/>
    <mergeCell ref="H1:H2"/>
    <mergeCell ref="I1:J2"/>
    <mergeCell ref="D1:E2"/>
  </mergeCells>
  <phoneticPr fontId="14" type="noConversion"/>
  <pageMargins left="0.7" right="0.7" top="0.75" bottom="0.75" header="0.3" footer="0.3"/>
  <pageSetup paperSize="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AC100-7272-4518-8E89-71F7D622F11F}">
  <sheetPr>
    <tabColor rgb="FFE87722"/>
  </sheetPr>
  <dimension ref="A1:Q3716"/>
  <sheetViews>
    <sheetView topLeftCell="A226" workbookViewId="0">
      <selection sqref="A1:A2"/>
    </sheetView>
  </sheetViews>
  <sheetFormatPr defaultRowHeight="14"/>
  <cols>
    <col min="1" max="1" width="10.33203125" style="22" customWidth="1"/>
    <col min="2" max="2" width="10.33203125" style="49" customWidth="1"/>
    <col min="3" max="3" width="32" customWidth="1"/>
    <col min="4" max="4" width="12.25" style="32" customWidth="1"/>
    <col min="5" max="5" width="12.75" style="54" customWidth="1"/>
    <col min="6" max="7" width="8.5" customWidth="1"/>
    <col min="8" max="8" width="12.5" customWidth="1"/>
    <col min="9" max="9" width="13" customWidth="1"/>
    <col min="10" max="10" width="13.5" customWidth="1"/>
    <col min="11" max="11" width="27.08203125" style="370" customWidth="1"/>
    <col min="13" max="13" width="13.5" customWidth="1"/>
    <col min="14" max="14" width="12.5" customWidth="1"/>
    <col min="15" max="15" width="11.5" customWidth="1"/>
  </cols>
  <sheetData>
    <row r="1" spans="1:11" ht="15.75" customHeight="1" thickBot="1">
      <c r="A1" s="155"/>
      <c r="B1" s="102"/>
      <c r="C1" s="879" t="s">
        <v>126</v>
      </c>
      <c r="D1" s="880" t="s">
        <v>39</v>
      </c>
      <c r="E1" s="881"/>
      <c r="F1" s="884" t="s">
        <v>1</v>
      </c>
      <c r="G1" s="884"/>
      <c r="H1" s="885" t="s">
        <v>127</v>
      </c>
      <c r="I1" s="885" t="s">
        <v>3</v>
      </c>
      <c r="J1" s="885"/>
      <c r="K1" s="876" t="s">
        <v>4</v>
      </c>
    </row>
    <row r="2" spans="1:11" ht="15.75" customHeight="1" thickBot="1">
      <c r="A2" s="306"/>
      <c r="C2" s="879"/>
      <c r="D2" s="882"/>
      <c r="E2" s="883"/>
      <c r="F2" s="884"/>
      <c r="G2" s="884"/>
      <c r="H2" s="885"/>
      <c r="I2" s="885"/>
      <c r="J2" s="885"/>
      <c r="K2" s="876"/>
    </row>
    <row r="3" spans="1:11" ht="14.5" thickBot="1">
      <c r="A3" s="891" t="s">
        <v>128</v>
      </c>
      <c r="B3" s="891"/>
      <c r="C3" s="270" t="s">
        <v>5</v>
      </c>
      <c r="D3" s="25" t="s">
        <v>6</v>
      </c>
      <c r="E3" s="25" t="s">
        <v>7</v>
      </c>
      <c r="F3" s="1" t="s">
        <v>6</v>
      </c>
      <c r="G3" s="1" t="s">
        <v>7</v>
      </c>
      <c r="H3" s="2" t="s">
        <v>8</v>
      </c>
      <c r="I3" s="2" t="s">
        <v>6</v>
      </c>
      <c r="J3" s="2" t="s">
        <v>7</v>
      </c>
      <c r="K3" s="876"/>
    </row>
    <row r="4" spans="1:11">
      <c r="A4" s="302" t="s">
        <v>6</v>
      </c>
      <c r="B4" s="303" t="s">
        <v>7</v>
      </c>
      <c r="C4" s="271" t="s">
        <v>129</v>
      </c>
      <c r="D4" s="313"/>
      <c r="E4" s="258"/>
      <c r="F4" s="314"/>
      <c r="G4" s="315"/>
      <c r="H4" s="316"/>
      <c r="I4" s="397"/>
      <c r="J4" s="315"/>
      <c r="K4" s="773"/>
    </row>
    <row r="5" spans="1:11" ht="14.5" customHeight="1">
      <c r="A5" s="307" t="s">
        <v>130</v>
      </c>
      <c r="B5" s="67" t="s">
        <v>131</v>
      </c>
      <c r="C5" s="62" t="s">
        <v>132</v>
      </c>
      <c r="D5" s="30">
        <v>0</v>
      </c>
      <c r="E5" s="222">
        <v>0</v>
      </c>
      <c r="F5" s="285" t="str">
        <f>IFERROR(D5/(E5+D5),"-")</f>
        <v>-</v>
      </c>
      <c r="G5" s="285" t="str">
        <f>IFERROR(E5/(D5+E5),"-")</f>
        <v>-</v>
      </c>
      <c r="H5" s="289">
        <f>SUM(D5:E5)</f>
        <v>0</v>
      </c>
      <c r="I5" s="298">
        <f t="shared" ref="I5:J7" si="0">D5*(1+0.02+0.03241)</f>
        <v>0</v>
      </c>
      <c r="J5" s="292">
        <f t="shared" si="0"/>
        <v>0</v>
      </c>
      <c r="K5" s="17" t="s">
        <v>133</v>
      </c>
    </row>
    <row r="6" spans="1:11" ht="15" customHeight="1">
      <c r="A6" s="307" t="s">
        <v>134</v>
      </c>
      <c r="B6" s="67" t="s">
        <v>135</v>
      </c>
      <c r="C6" s="62" t="s">
        <v>136</v>
      </c>
      <c r="D6" s="30">
        <v>0</v>
      </c>
      <c r="E6" s="222">
        <v>0</v>
      </c>
      <c r="F6" s="285" t="str">
        <f t="shared" ref="F6:F35" si="1">IFERROR(D6/(E6+D6),"-")</f>
        <v>-</v>
      </c>
      <c r="G6" s="285" t="str">
        <f t="shared" ref="G6:G35" si="2">IFERROR(E6/(D6+E6),"-")</f>
        <v>-</v>
      </c>
      <c r="H6" s="289">
        <f>SUM(D6:E6)</f>
        <v>0</v>
      </c>
      <c r="I6" s="298">
        <f t="shared" si="0"/>
        <v>0</v>
      </c>
      <c r="J6" s="292">
        <f t="shared" si="0"/>
        <v>0</v>
      </c>
      <c r="K6" s="17" t="s">
        <v>133</v>
      </c>
    </row>
    <row r="7" spans="1:11">
      <c r="A7" s="307" t="s">
        <v>137</v>
      </c>
      <c r="B7" s="67" t="s">
        <v>138</v>
      </c>
      <c r="C7" s="62" t="s">
        <v>139</v>
      </c>
      <c r="D7" s="30">
        <v>0</v>
      </c>
      <c r="E7" s="222">
        <v>0</v>
      </c>
      <c r="F7" s="285" t="str">
        <f t="shared" si="1"/>
        <v>-</v>
      </c>
      <c r="G7" s="285" t="str">
        <f t="shared" si="2"/>
        <v>-</v>
      </c>
      <c r="H7" s="289">
        <f>(E7+D7)</f>
        <v>0</v>
      </c>
      <c r="I7" s="298">
        <f t="shared" si="0"/>
        <v>0</v>
      </c>
      <c r="J7" s="292">
        <f t="shared" si="0"/>
        <v>0</v>
      </c>
      <c r="K7" s="17" t="s">
        <v>133</v>
      </c>
    </row>
    <row r="8" spans="1:11">
      <c r="A8" s="307" t="s">
        <v>140</v>
      </c>
      <c r="B8" s="67" t="s">
        <v>141</v>
      </c>
      <c r="C8" s="62" t="s">
        <v>142</v>
      </c>
      <c r="D8" s="30">
        <v>157890</v>
      </c>
      <c r="E8" s="222">
        <v>535575</v>
      </c>
      <c r="F8" s="285">
        <f t="shared" si="1"/>
        <v>0.22768272371352555</v>
      </c>
      <c r="G8" s="285">
        <f t="shared" si="2"/>
        <v>0.7723172762864744</v>
      </c>
      <c r="H8" s="289">
        <f t="shared" ref="H8:H26" si="3">(E8+D8)</f>
        <v>693465</v>
      </c>
      <c r="I8" s="298">
        <f t="shared" ref="I8:I26" si="4">D8</f>
        <v>157890</v>
      </c>
      <c r="J8" s="292">
        <f t="shared" ref="J8:J26" si="5">E8</f>
        <v>535575</v>
      </c>
      <c r="K8" s="17"/>
    </row>
    <row r="9" spans="1:11">
      <c r="A9" s="307" t="s">
        <v>93</v>
      </c>
      <c r="B9" s="67" t="s">
        <v>143</v>
      </c>
      <c r="C9" s="62" t="s">
        <v>144</v>
      </c>
      <c r="D9" s="30">
        <v>0</v>
      </c>
      <c r="E9" s="222">
        <v>-7959</v>
      </c>
      <c r="F9" s="285">
        <f t="shared" si="1"/>
        <v>0</v>
      </c>
      <c r="G9" s="285">
        <f t="shared" si="2"/>
        <v>1</v>
      </c>
      <c r="H9" s="289">
        <f t="shared" si="3"/>
        <v>-7959</v>
      </c>
      <c r="I9" s="298">
        <f t="shared" si="4"/>
        <v>0</v>
      </c>
      <c r="J9" s="292">
        <f t="shared" si="5"/>
        <v>-7959</v>
      </c>
      <c r="K9" s="17"/>
    </row>
    <row r="10" spans="1:11">
      <c r="A10" s="307" t="s">
        <v>145</v>
      </c>
      <c r="B10" s="67" t="s">
        <v>146</v>
      </c>
      <c r="C10" s="62" t="s">
        <v>147</v>
      </c>
      <c r="D10" s="30">
        <v>0</v>
      </c>
      <c r="E10" s="222">
        <v>0</v>
      </c>
      <c r="F10" s="285" t="str">
        <f t="shared" si="1"/>
        <v>-</v>
      </c>
      <c r="G10" s="285" t="str">
        <f t="shared" si="2"/>
        <v>-</v>
      </c>
      <c r="H10" s="289">
        <f t="shared" si="3"/>
        <v>0</v>
      </c>
      <c r="I10" s="298">
        <f t="shared" si="4"/>
        <v>0</v>
      </c>
      <c r="J10" s="292">
        <f t="shared" si="5"/>
        <v>0</v>
      </c>
      <c r="K10" s="17"/>
    </row>
    <row r="11" spans="1:11">
      <c r="A11" s="307" t="s">
        <v>148</v>
      </c>
      <c r="B11" s="67" t="s">
        <v>149</v>
      </c>
      <c r="C11" s="62" t="s">
        <v>150</v>
      </c>
      <c r="D11" s="30">
        <v>0</v>
      </c>
      <c r="E11" s="222">
        <v>0</v>
      </c>
      <c r="F11" s="285" t="str">
        <f t="shared" si="1"/>
        <v>-</v>
      </c>
      <c r="G11" s="285" t="str">
        <f t="shared" si="2"/>
        <v>-</v>
      </c>
      <c r="H11" s="289">
        <f t="shared" si="3"/>
        <v>0</v>
      </c>
      <c r="I11" s="298">
        <f t="shared" si="4"/>
        <v>0</v>
      </c>
      <c r="J11" s="292">
        <f t="shared" si="5"/>
        <v>0</v>
      </c>
      <c r="K11" s="17"/>
    </row>
    <row r="12" spans="1:11">
      <c r="A12" s="307" t="s">
        <v>151</v>
      </c>
      <c r="B12" s="154" t="s">
        <v>152</v>
      </c>
      <c r="C12" s="261" t="s">
        <v>153</v>
      </c>
      <c r="D12" s="30">
        <v>0</v>
      </c>
      <c r="E12" s="222">
        <v>0</v>
      </c>
      <c r="F12" s="285" t="str">
        <f t="shared" si="1"/>
        <v>-</v>
      </c>
      <c r="G12" s="285" t="str">
        <f t="shared" si="2"/>
        <v>-</v>
      </c>
      <c r="H12" s="289">
        <f t="shared" si="3"/>
        <v>0</v>
      </c>
      <c r="I12" s="298">
        <f t="shared" si="4"/>
        <v>0</v>
      </c>
      <c r="J12" s="292">
        <f t="shared" si="5"/>
        <v>0</v>
      </c>
      <c r="K12" s="17"/>
    </row>
    <row r="13" spans="1:11">
      <c r="A13" s="307" t="s">
        <v>154</v>
      </c>
      <c r="B13" s="67" t="s">
        <v>155</v>
      </c>
      <c r="C13" s="62" t="s">
        <v>156</v>
      </c>
      <c r="D13" s="30">
        <v>1750</v>
      </c>
      <c r="E13" s="222">
        <v>1817</v>
      </c>
      <c r="F13" s="285">
        <f t="shared" si="1"/>
        <v>0.49060835435940564</v>
      </c>
      <c r="G13" s="285">
        <f t="shared" si="2"/>
        <v>0.50939164564059436</v>
      </c>
      <c r="H13" s="289">
        <f t="shared" si="3"/>
        <v>3567</v>
      </c>
      <c r="I13" s="298">
        <f t="shared" si="4"/>
        <v>1750</v>
      </c>
      <c r="J13" s="292">
        <f t="shared" si="5"/>
        <v>1817</v>
      </c>
      <c r="K13" s="17"/>
    </row>
    <row r="14" spans="1:11">
      <c r="A14" s="307" t="s">
        <v>157</v>
      </c>
      <c r="B14" s="67" t="s">
        <v>158</v>
      </c>
      <c r="C14" s="62" t="s">
        <v>159</v>
      </c>
      <c r="D14" s="30">
        <v>1750</v>
      </c>
      <c r="E14" s="222">
        <v>1817</v>
      </c>
      <c r="F14" s="285">
        <f t="shared" si="1"/>
        <v>0.49060835435940564</v>
      </c>
      <c r="G14" s="285">
        <f t="shared" si="2"/>
        <v>0.50939164564059436</v>
      </c>
      <c r="H14" s="289">
        <f t="shared" si="3"/>
        <v>3567</v>
      </c>
      <c r="I14" s="298">
        <f t="shared" si="4"/>
        <v>1750</v>
      </c>
      <c r="J14" s="292">
        <f t="shared" si="5"/>
        <v>1817</v>
      </c>
      <c r="K14" s="17"/>
    </row>
    <row r="15" spans="1:11">
      <c r="A15" s="307" t="s">
        <v>160</v>
      </c>
      <c r="B15" s="67" t="s">
        <v>161</v>
      </c>
      <c r="C15" s="62" t="s">
        <v>162</v>
      </c>
      <c r="D15" s="30">
        <v>0</v>
      </c>
      <c r="E15" s="222">
        <v>0</v>
      </c>
      <c r="F15" s="285" t="str">
        <f t="shared" si="1"/>
        <v>-</v>
      </c>
      <c r="G15" s="285" t="str">
        <f t="shared" si="2"/>
        <v>-</v>
      </c>
      <c r="H15" s="289">
        <f t="shared" si="3"/>
        <v>0</v>
      </c>
      <c r="I15" s="298">
        <f t="shared" si="4"/>
        <v>0</v>
      </c>
      <c r="J15" s="292">
        <f t="shared" si="5"/>
        <v>0</v>
      </c>
      <c r="K15" s="17"/>
    </row>
    <row r="16" spans="1:11">
      <c r="A16" s="307" t="s">
        <v>163</v>
      </c>
      <c r="B16" s="67" t="s">
        <v>164</v>
      </c>
      <c r="C16" s="62" t="s">
        <v>165</v>
      </c>
      <c r="D16" s="30">
        <v>0</v>
      </c>
      <c r="E16" s="222">
        <v>0</v>
      </c>
      <c r="F16" s="285" t="str">
        <f t="shared" si="1"/>
        <v>-</v>
      </c>
      <c r="G16" s="285" t="str">
        <f t="shared" si="2"/>
        <v>-</v>
      </c>
      <c r="H16" s="289">
        <f t="shared" si="3"/>
        <v>0</v>
      </c>
      <c r="I16" s="298">
        <f t="shared" si="4"/>
        <v>0</v>
      </c>
      <c r="J16" s="292">
        <f t="shared" si="5"/>
        <v>0</v>
      </c>
      <c r="K16" s="17"/>
    </row>
    <row r="17" spans="1:14">
      <c r="A17" s="307" t="s">
        <v>166</v>
      </c>
      <c r="B17" s="67" t="s">
        <v>167</v>
      </c>
      <c r="C17" s="62" t="s">
        <v>168</v>
      </c>
      <c r="D17" s="30">
        <v>0</v>
      </c>
      <c r="E17" s="222">
        <v>0</v>
      </c>
      <c r="F17" s="285" t="str">
        <f t="shared" si="1"/>
        <v>-</v>
      </c>
      <c r="G17" s="285" t="str">
        <f t="shared" si="2"/>
        <v>-</v>
      </c>
      <c r="H17" s="289">
        <f t="shared" si="3"/>
        <v>0</v>
      </c>
      <c r="I17" s="298">
        <f t="shared" si="4"/>
        <v>0</v>
      </c>
      <c r="J17" s="292">
        <f t="shared" si="5"/>
        <v>0</v>
      </c>
      <c r="K17" s="17"/>
    </row>
    <row r="18" spans="1:14">
      <c r="A18" s="307" t="s">
        <v>169</v>
      </c>
      <c r="B18" s="67" t="s">
        <v>170</v>
      </c>
      <c r="C18" s="62" t="s">
        <v>171</v>
      </c>
      <c r="D18" s="30">
        <v>0</v>
      </c>
      <c r="E18" s="222">
        <v>0</v>
      </c>
      <c r="F18" s="285" t="str">
        <f t="shared" si="1"/>
        <v>-</v>
      </c>
      <c r="G18" s="285" t="str">
        <f t="shared" si="2"/>
        <v>-</v>
      </c>
      <c r="H18" s="289">
        <f t="shared" si="3"/>
        <v>0</v>
      </c>
      <c r="I18" s="298">
        <f t="shared" si="4"/>
        <v>0</v>
      </c>
      <c r="J18" s="292">
        <f t="shared" si="5"/>
        <v>0</v>
      </c>
      <c r="K18" s="17"/>
    </row>
    <row r="19" spans="1:14">
      <c r="A19" s="307" t="s">
        <v>172</v>
      </c>
      <c r="B19" s="67" t="s">
        <v>173</v>
      </c>
      <c r="C19" s="62" t="s">
        <v>174</v>
      </c>
      <c r="D19" s="30">
        <v>0</v>
      </c>
      <c r="E19" s="222">
        <v>0</v>
      </c>
      <c r="F19" s="285" t="str">
        <f t="shared" si="1"/>
        <v>-</v>
      </c>
      <c r="G19" s="285" t="str">
        <f t="shared" si="2"/>
        <v>-</v>
      </c>
      <c r="H19" s="289">
        <f t="shared" si="3"/>
        <v>0</v>
      </c>
      <c r="I19" s="298">
        <f t="shared" si="4"/>
        <v>0</v>
      </c>
      <c r="J19" s="292">
        <f t="shared" si="5"/>
        <v>0</v>
      </c>
      <c r="K19" s="17"/>
    </row>
    <row r="20" spans="1:14">
      <c r="A20" s="307" t="s">
        <v>175</v>
      </c>
      <c r="B20" s="67" t="s">
        <v>176</v>
      </c>
      <c r="C20" s="62" t="s">
        <v>177</v>
      </c>
      <c r="D20" s="30">
        <v>0</v>
      </c>
      <c r="E20" s="222">
        <v>4924</v>
      </c>
      <c r="F20" s="285">
        <f t="shared" si="1"/>
        <v>0</v>
      </c>
      <c r="G20" s="285">
        <f t="shared" si="2"/>
        <v>1</v>
      </c>
      <c r="H20" s="289">
        <f t="shared" si="3"/>
        <v>4924</v>
      </c>
      <c r="I20" s="298">
        <f t="shared" si="4"/>
        <v>0</v>
      </c>
      <c r="J20" s="292">
        <f t="shared" si="5"/>
        <v>4924</v>
      </c>
      <c r="K20" s="17"/>
    </row>
    <row r="21" spans="1:14">
      <c r="A21" s="307" t="s">
        <v>178</v>
      </c>
      <c r="B21" s="67" t="s">
        <v>179</v>
      </c>
      <c r="C21" s="304" t="s">
        <v>180</v>
      </c>
      <c r="D21" s="30">
        <v>0</v>
      </c>
      <c r="E21" s="222">
        <v>81</v>
      </c>
      <c r="F21" s="285">
        <f t="shared" si="1"/>
        <v>0</v>
      </c>
      <c r="G21" s="285">
        <f t="shared" si="2"/>
        <v>1</v>
      </c>
      <c r="H21" s="289">
        <f t="shared" si="3"/>
        <v>81</v>
      </c>
      <c r="I21" s="298">
        <f t="shared" si="4"/>
        <v>0</v>
      </c>
      <c r="J21" s="292">
        <f t="shared" si="5"/>
        <v>81</v>
      </c>
      <c r="K21" s="17"/>
    </row>
    <row r="22" spans="1:14">
      <c r="A22" s="307" t="s">
        <v>181</v>
      </c>
      <c r="B22" s="67" t="s">
        <v>182</v>
      </c>
      <c r="C22" s="62" t="s">
        <v>183</v>
      </c>
      <c r="D22" s="30">
        <v>0</v>
      </c>
      <c r="E22" s="222">
        <v>0</v>
      </c>
      <c r="F22" s="285" t="str">
        <f t="shared" si="1"/>
        <v>-</v>
      </c>
      <c r="G22" s="285" t="str">
        <f t="shared" si="2"/>
        <v>-</v>
      </c>
      <c r="H22" s="289">
        <f t="shared" si="3"/>
        <v>0</v>
      </c>
      <c r="I22" s="298">
        <f t="shared" si="4"/>
        <v>0</v>
      </c>
      <c r="J22" s="292">
        <f t="shared" si="5"/>
        <v>0</v>
      </c>
      <c r="K22" s="17"/>
    </row>
    <row r="23" spans="1:14">
      <c r="A23" s="307" t="s">
        <v>184</v>
      </c>
      <c r="B23" s="67" t="s">
        <v>185</v>
      </c>
      <c r="C23" s="62" t="s">
        <v>186</v>
      </c>
      <c r="D23" s="30">
        <v>5742</v>
      </c>
      <c r="E23" s="222">
        <v>11569</v>
      </c>
      <c r="F23" s="285">
        <f t="shared" si="1"/>
        <v>0.33169660909248455</v>
      </c>
      <c r="G23" s="285">
        <f t="shared" si="2"/>
        <v>0.66830339090751545</v>
      </c>
      <c r="H23" s="289">
        <f t="shared" si="3"/>
        <v>17311</v>
      </c>
      <c r="I23" s="298">
        <f t="shared" si="4"/>
        <v>5742</v>
      </c>
      <c r="J23" s="292">
        <f t="shared" si="5"/>
        <v>11569</v>
      </c>
      <c r="K23" s="17"/>
    </row>
    <row r="24" spans="1:14">
      <c r="A24" s="307" t="s">
        <v>187</v>
      </c>
      <c r="B24" s="67" t="s">
        <v>188</v>
      </c>
      <c r="C24" s="62" t="s">
        <v>189</v>
      </c>
      <c r="D24" s="30">
        <v>0</v>
      </c>
      <c r="E24" s="222">
        <v>0</v>
      </c>
      <c r="F24" s="285" t="str">
        <f t="shared" si="1"/>
        <v>-</v>
      </c>
      <c r="G24" s="285" t="str">
        <f t="shared" si="2"/>
        <v>-</v>
      </c>
      <c r="H24" s="289">
        <f t="shared" si="3"/>
        <v>0</v>
      </c>
      <c r="I24" s="298">
        <f t="shared" si="4"/>
        <v>0</v>
      </c>
      <c r="J24" s="292">
        <f t="shared" si="5"/>
        <v>0</v>
      </c>
      <c r="K24" s="17"/>
    </row>
    <row r="25" spans="1:14">
      <c r="A25" s="307" t="s">
        <v>190</v>
      </c>
      <c r="B25" s="67" t="s">
        <v>191</v>
      </c>
      <c r="C25" s="62" t="s">
        <v>192</v>
      </c>
      <c r="D25" s="30">
        <v>0</v>
      </c>
      <c r="E25" s="222">
        <v>0</v>
      </c>
      <c r="F25" s="285" t="str">
        <f t="shared" si="1"/>
        <v>-</v>
      </c>
      <c r="G25" s="285" t="str">
        <f t="shared" si="2"/>
        <v>-</v>
      </c>
      <c r="H25" s="289">
        <f t="shared" si="3"/>
        <v>0</v>
      </c>
      <c r="I25" s="298">
        <f t="shared" si="4"/>
        <v>0</v>
      </c>
      <c r="J25" s="292">
        <f t="shared" si="5"/>
        <v>0</v>
      </c>
      <c r="K25" s="17"/>
    </row>
    <row r="26" spans="1:14">
      <c r="A26" s="307" t="s">
        <v>193</v>
      </c>
      <c r="B26" s="67" t="s">
        <v>194</v>
      </c>
      <c r="C26" s="62" t="s">
        <v>195</v>
      </c>
      <c r="D26" s="30">
        <v>0</v>
      </c>
      <c r="E26" s="222">
        <v>0</v>
      </c>
      <c r="F26" s="285" t="str">
        <f t="shared" si="1"/>
        <v>-</v>
      </c>
      <c r="G26" s="285" t="str">
        <f t="shared" si="2"/>
        <v>-</v>
      </c>
      <c r="H26" s="289">
        <f t="shared" si="3"/>
        <v>0</v>
      </c>
      <c r="I26" s="298">
        <f t="shared" si="4"/>
        <v>0</v>
      </c>
      <c r="J26" s="292">
        <f t="shared" si="5"/>
        <v>0</v>
      </c>
      <c r="K26" s="17"/>
    </row>
    <row r="27" spans="1:14">
      <c r="A27" s="307" t="s">
        <v>196</v>
      </c>
      <c r="B27" s="67" t="s">
        <v>197</v>
      </c>
      <c r="C27" s="62" t="s">
        <v>198</v>
      </c>
      <c r="D27" s="744">
        <v>3377072</v>
      </c>
      <c r="E27" s="382">
        <v>8221642</v>
      </c>
      <c r="F27" s="285">
        <f t="shared" si="1"/>
        <v>0.29115917506026961</v>
      </c>
      <c r="G27" s="285">
        <f t="shared" si="2"/>
        <v>0.70884082493973044</v>
      </c>
      <c r="H27" s="287">
        <f>(E27+D27)</f>
        <v>11598714</v>
      </c>
      <c r="I27" s="290">
        <f>D27</f>
        <v>3377072</v>
      </c>
      <c r="J27" s="291">
        <f>E27</f>
        <v>8221642</v>
      </c>
      <c r="K27" s="17"/>
      <c r="M27" s="107"/>
      <c r="N27" s="107"/>
    </row>
    <row r="28" spans="1:14">
      <c r="A28" s="307" t="s">
        <v>199</v>
      </c>
      <c r="B28" s="67" t="s">
        <v>200</v>
      </c>
      <c r="C28" s="62" t="s">
        <v>201</v>
      </c>
      <c r="D28" s="744">
        <v>-3057</v>
      </c>
      <c r="E28" s="382">
        <v>-72033</v>
      </c>
      <c r="F28" s="285">
        <f t="shared" si="1"/>
        <v>4.0711146624051141E-2</v>
      </c>
      <c r="G28" s="285">
        <f t="shared" si="2"/>
        <v>0.95928885337594882</v>
      </c>
      <c r="H28" s="287">
        <f>(E28+D28)</f>
        <v>-75090</v>
      </c>
      <c r="I28" s="290">
        <f t="shared" ref="I28:J29" si="6">D28</f>
        <v>-3057</v>
      </c>
      <c r="J28" s="291">
        <f t="shared" si="6"/>
        <v>-72033</v>
      </c>
      <c r="K28" s="17"/>
    </row>
    <row r="29" spans="1:14">
      <c r="A29" s="307" t="s">
        <v>93</v>
      </c>
      <c r="B29" s="67" t="s">
        <v>202</v>
      </c>
      <c r="C29" s="62" t="s">
        <v>203</v>
      </c>
      <c r="D29" s="744">
        <v>0</v>
      </c>
      <c r="E29" s="382">
        <v>0</v>
      </c>
      <c r="F29" s="285" t="str">
        <f t="shared" si="1"/>
        <v>-</v>
      </c>
      <c r="G29" s="285" t="str">
        <f t="shared" si="2"/>
        <v>-</v>
      </c>
      <c r="H29" s="287">
        <f>(E29+D29)</f>
        <v>0</v>
      </c>
      <c r="I29" s="290">
        <f t="shared" si="6"/>
        <v>0</v>
      </c>
      <c r="J29" s="291">
        <f t="shared" si="6"/>
        <v>0</v>
      </c>
      <c r="K29" s="17"/>
    </row>
    <row r="30" spans="1:14">
      <c r="A30" s="308"/>
      <c r="B30" s="305"/>
      <c r="C30" s="115" t="s">
        <v>93</v>
      </c>
      <c r="D30" s="30">
        <v>0</v>
      </c>
      <c r="E30" s="222">
        <v>0</v>
      </c>
      <c r="F30" s="285" t="str">
        <f t="shared" si="1"/>
        <v>-</v>
      </c>
      <c r="G30" s="285" t="str">
        <f t="shared" si="2"/>
        <v>-</v>
      </c>
      <c r="H30" s="289">
        <f t="shared" ref="H30:H35" si="7">(E30+D30)</f>
        <v>0</v>
      </c>
      <c r="I30" s="298">
        <f t="shared" ref="I30:I35" si="8">D30</f>
        <v>0</v>
      </c>
      <c r="J30" s="292">
        <f t="shared" ref="J30:J35" si="9">E30</f>
        <v>0</v>
      </c>
      <c r="K30" s="17"/>
    </row>
    <row r="31" spans="1:14">
      <c r="A31" s="308"/>
      <c r="B31" s="305"/>
      <c r="C31" s="115" t="s">
        <v>93</v>
      </c>
      <c r="D31" s="30">
        <v>0</v>
      </c>
      <c r="E31" s="222">
        <v>0</v>
      </c>
      <c r="F31" s="285" t="str">
        <f t="shared" si="1"/>
        <v>-</v>
      </c>
      <c r="G31" s="285" t="str">
        <f t="shared" si="2"/>
        <v>-</v>
      </c>
      <c r="H31" s="289">
        <f>(E31+D31)</f>
        <v>0</v>
      </c>
      <c r="I31" s="298">
        <f t="shared" ref="I31:J33" si="10">D31</f>
        <v>0</v>
      </c>
      <c r="J31" s="292">
        <f t="shared" si="10"/>
        <v>0</v>
      </c>
      <c r="K31" s="17"/>
    </row>
    <row r="32" spans="1:14">
      <c r="A32" s="308"/>
      <c r="B32" s="305"/>
      <c r="C32" s="115" t="s">
        <v>93</v>
      </c>
      <c r="D32" s="31">
        <v>0</v>
      </c>
      <c r="E32" s="34">
        <v>0</v>
      </c>
      <c r="F32" s="285" t="str">
        <f t="shared" si="1"/>
        <v>-</v>
      </c>
      <c r="G32" s="285" t="str">
        <f t="shared" si="2"/>
        <v>-</v>
      </c>
      <c r="H32" s="289">
        <f>(E32+D32)</f>
        <v>0</v>
      </c>
      <c r="I32" s="298">
        <f t="shared" si="10"/>
        <v>0</v>
      </c>
      <c r="J32" s="292">
        <f t="shared" si="10"/>
        <v>0</v>
      </c>
      <c r="K32" s="17"/>
    </row>
    <row r="33" spans="1:11">
      <c r="A33" s="308"/>
      <c r="B33" s="305"/>
      <c r="C33" s="115" t="s">
        <v>93</v>
      </c>
      <c r="D33" s="31">
        <v>0</v>
      </c>
      <c r="E33" s="34">
        <v>0</v>
      </c>
      <c r="F33" s="285" t="str">
        <f t="shared" si="1"/>
        <v>-</v>
      </c>
      <c r="G33" s="285" t="str">
        <f t="shared" si="2"/>
        <v>-</v>
      </c>
      <c r="H33" s="289">
        <f>(E33+D33)</f>
        <v>0</v>
      </c>
      <c r="I33" s="298">
        <f t="shared" si="10"/>
        <v>0</v>
      </c>
      <c r="J33" s="292">
        <f t="shared" si="10"/>
        <v>0</v>
      </c>
      <c r="K33" s="17"/>
    </row>
    <row r="34" spans="1:11">
      <c r="A34" s="309"/>
      <c r="B34" s="305"/>
      <c r="C34" s="115" t="s">
        <v>93</v>
      </c>
      <c r="D34" s="31">
        <v>0</v>
      </c>
      <c r="E34" s="34">
        <v>0</v>
      </c>
      <c r="F34" s="285" t="str">
        <f t="shared" si="1"/>
        <v>-</v>
      </c>
      <c r="G34" s="285" t="str">
        <f t="shared" si="2"/>
        <v>-</v>
      </c>
      <c r="H34" s="289">
        <f t="shared" si="7"/>
        <v>0</v>
      </c>
      <c r="I34" s="298">
        <f t="shared" si="8"/>
        <v>0</v>
      </c>
      <c r="J34" s="292">
        <f t="shared" si="9"/>
        <v>0</v>
      </c>
      <c r="K34" s="17"/>
    </row>
    <row r="35" spans="1:11">
      <c r="A35" s="307"/>
      <c r="B35" s="67"/>
      <c r="C35" s="115" t="s">
        <v>93</v>
      </c>
      <c r="D35" s="323">
        <v>0</v>
      </c>
      <c r="E35" s="324">
        <v>0</v>
      </c>
      <c r="F35" s="335" t="str">
        <f t="shared" si="1"/>
        <v>-</v>
      </c>
      <c r="G35" s="326" t="str">
        <f t="shared" si="2"/>
        <v>-</v>
      </c>
      <c r="H35" s="327">
        <f t="shared" si="7"/>
        <v>0</v>
      </c>
      <c r="I35" s="328">
        <f t="shared" si="8"/>
        <v>0</v>
      </c>
      <c r="J35" s="329">
        <f t="shared" si="9"/>
        <v>0</v>
      </c>
      <c r="K35" s="17"/>
    </row>
    <row r="36" spans="1:11">
      <c r="A36" s="310"/>
      <c r="B36" s="182"/>
      <c r="C36" s="186" t="s">
        <v>29</v>
      </c>
      <c r="D36" s="183">
        <f>SUM(D5:D35)</f>
        <v>3541147</v>
      </c>
      <c r="E36" s="184">
        <f>SUM(E5:E35)</f>
        <v>8697433</v>
      </c>
      <c r="F36" s="181"/>
      <c r="G36" s="181"/>
      <c r="H36" s="185">
        <f>SUM(H5:H35)</f>
        <v>12238580</v>
      </c>
      <c r="I36" s="183">
        <f>SUM(I5:I35)</f>
        <v>3541147</v>
      </c>
      <c r="J36" s="184">
        <f>SUM(J5:J35)</f>
        <v>8697433</v>
      </c>
      <c r="K36" s="774"/>
    </row>
    <row r="37" spans="1:11">
      <c r="A37" s="306"/>
      <c r="C37" s="272"/>
      <c r="D37" s="28"/>
      <c r="E37" s="34"/>
      <c r="F37" s="3"/>
      <c r="G37" s="3"/>
      <c r="H37" s="23"/>
      <c r="I37" s="13"/>
      <c r="J37" s="11"/>
      <c r="K37" s="8"/>
    </row>
    <row r="38" spans="1:11">
      <c r="A38" s="306"/>
      <c r="C38" s="14" t="s">
        <v>204</v>
      </c>
      <c r="D38" s="29"/>
      <c r="E38" s="53"/>
      <c r="F38" s="746"/>
      <c r="G38" s="747"/>
      <c r="H38" s="23"/>
      <c r="I38" s="13"/>
      <c r="J38" s="11"/>
      <c r="K38" s="17"/>
    </row>
    <row r="39" spans="1:11" ht="25.5">
      <c r="A39" s="307" t="s">
        <v>205</v>
      </c>
      <c r="B39" s="67" t="s">
        <v>206</v>
      </c>
      <c r="C39" s="115" t="s">
        <v>207</v>
      </c>
      <c r="D39" s="807">
        <v>63630</v>
      </c>
      <c r="E39" s="808">
        <v>399953</v>
      </c>
      <c r="F39" s="285">
        <f>IFERROR(D39/(E39+D39),"-")</f>
        <v>0.13725697447921947</v>
      </c>
      <c r="G39" s="285">
        <f>IFERROR(E39/(D39+E39),"-")</f>
        <v>0.86274302552078053</v>
      </c>
      <c r="H39" s="458">
        <f>SUM(D39:E39)</f>
        <v>463583</v>
      </c>
      <c r="I39" s="460">
        <f>D39*(1+0.02+0.03241)+7388.58+2959.47</f>
        <v>77312.898300000001</v>
      </c>
      <c r="J39" s="459">
        <f>E39*(1+0.02+0.03241)+24412.77+9778.45</f>
        <v>455105.75673000008</v>
      </c>
      <c r="K39" s="17" t="s">
        <v>208</v>
      </c>
    </row>
    <row r="40" spans="1:11" ht="25.5">
      <c r="A40" s="307" t="s">
        <v>209</v>
      </c>
      <c r="B40" s="67" t="s">
        <v>210</v>
      </c>
      <c r="C40" s="115" t="s">
        <v>211</v>
      </c>
      <c r="D40" s="30">
        <v>73232</v>
      </c>
      <c r="E40" s="222">
        <v>351392</v>
      </c>
      <c r="F40" s="285">
        <f t="shared" ref="F40:F72" si="11">IFERROR(D40/(E40+D40),"-")</f>
        <v>0.17246316741399451</v>
      </c>
      <c r="G40" s="285">
        <f t="shared" ref="G40:G72" si="12">IFERROR(E40/(D40+E40),"-")</f>
        <v>0.82753683258600552</v>
      </c>
      <c r="H40" s="289">
        <f>SUM(D40:E40)</f>
        <v>424624</v>
      </c>
      <c r="I40" s="290">
        <f>D40*(1+0.02+0.03241)</f>
        <v>77070.089120000004</v>
      </c>
      <c r="J40" s="291">
        <f>E40*(1+0.02+0.03241)+36934.4</f>
        <v>406742.85472000006</v>
      </c>
      <c r="K40" s="17" t="s">
        <v>208</v>
      </c>
    </row>
    <row r="41" spans="1:11">
      <c r="A41" s="307"/>
      <c r="B41" s="67"/>
      <c r="C41" s="115" t="s">
        <v>212</v>
      </c>
      <c r="D41" s="30">
        <f>0*35892</f>
        <v>0</v>
      </c>
      <c r="E41" s="222">
        <f>0*225708</f>
        <v>0</v>
      </c>
      <c r="F41" s="285" t="str">
        <f t="shared" si="11"/>
        <v>-</v>
      </c>
      <c r="G41" s="285" t="str">
        <f t="shared" si="12"/>
        <v>-</v>
      </c>
      <c r="H41" s="289">
        <f t="shared" ref="H41:H60" si="13">SUM(D41:E41)</f>
        <v>0</v>
      </c>
      <c r="I41" s="290">
        <f>D41*(1+0.02+0.03241)</f>
        <v>0</v>
      </c>
      <c r="J41" s="291">
        <f>E41*(1+0.02+0.03241)</f>
        <v>0</v>
      </c>
      <c r="K41" s="17" t="s">
        <v>133</v>
      </c>
    </row>
    <row r="42" spans="1:11">
      <c r="A42" s="307"/>
      <c r="B42" s="67"/>
      <c r="C42" s="115" t="s">
        <v>213</v>
      </c>
      <c r="D42" s="30">
        <f>0*41094</f>
        <v>0</v>
      </c>
      <c r="E42" s="222">
        <f>0*199015</f>
        <v>0</v>
      </c>
      <c r="F42" s="285" t="str">
        <f t="shared" si="11"/>
        <v>-</v>
      </c>
      <c r="G42" s="285" t="str">
        <f t="shared" si="12"/>
        <v>-</v>
      </c>
      <c r="H42" s="289">
        <f t="shared" si="13"/>
        <v>0</v>
      </c>
      <c r="I42" s="290">
        <f>D42*(1+0.02+0.03241)</f>
        <v>0</v>
      </c>
      <c r="J42" s="291">
        <f>E42*(1+0.02+0.03241)</f>
        <v>0</v>
      </c>
      <c r="K42" s="17" t="s">
        <v>133</v>
      </c>
    </row>
    <row r="43" spans="1:11">
      <c r="A43" s="307" t="s">
        <v>140</v>
      </c>
      <c r="B43" s="67" t="s">
        <v>141</v>
      </c>
      <c r="C43" s="115" t="s">
        <v>214</v>
      </c>
      <c r="D43" s="30">
        <v>0</v>
      </c>
      <c r="E43" s="222">
        <v>7616</v>
      </c>
      <c r="F43" s="285">
        <f t="shared" si="11"/>
        <v>0</v>
      </c>
      <c r="G43" s="285">
        <f t="shared" si="12"/>
        <v>1</v>
      </c>
      <c r="H43" s="289">
        <f t="shared" si="13"/>
        <v>7616</v>
      </c>
      <c r="I43" s="317">
        <f t="shared" ref="I43:I60" si="14">D43</f>
        <v>0</v>
      </c>
      <c r="J43" s="291">
        <f t="shared" ref="J43:J60" si="15">E43</f>
        <v>7616</v>
      </c>
      <c r="K43" s="8"/>
    </row>
    <row r="44" spans="1:11">
      <c r="A44" s="307" t="s">
        <v>93</v>
      </c>
      <c r="B44" s="67" t="s">
        <v>215</v>
      </c>
      <c r="C44" s="115" t="s">
        <v>216</v>
      </c>
      <c r="D44" s="30">
        <v>0</v>
      </c>
      <c r="E44" s="222">
        <v>0</v>
      </c>
      <c r="F44" s="285" t="str">
        <f t="shared" si="11"/>
        <v>-</v>
      </c>
      <c r="G44" s="285" t="str">
        <f t="shared" si="12"/>
        <v>-</v>
      </c>
      <c r="H44" s="289">
        <f t="shared" si="13"/>
        <v>0</v>
      </c>
      <c r="I44" s="317">
        <f t="shared" si="14"/>
        <v>0</v>
      </c>
      <c r="J44" s="291">
        <f t="shared" si="15"/>
        <v>0</v>
      </c>
      <c r="K44" s="8"/>
    </row>
    <row r="45" spans="1:11">
      <c r="A45" s="307" t="s">
        <v>217</v>
      </c>
      <c r="B45" s="67" t="s">
        <v>218</v>
      </c>
      <c r="C45" s="396" t="s">
        <v>219</v>
      </c>
      <c r="D45" s="30">
        <v>6445</v>
      </c>
      <c r="E45" s="222">
        <v>37130</v>
      </c>
      <c r="F45" s="285">
        <f t="shared" si="11"/>
        <v>0.14790590935169248</v>
      </c>
      <c r="G45" s="285">
        <f t="shared" si="12"/>
        <v>0.85209409064830754</v>
      </c>
      <c r="H45" s="289">
        <f t="shared" si="13"/>
        <v>43575</v>
      </c>
      <c r="I45" s="317">
        <f t="shared" si="14"/>
        <v>6445</v>
      </c>
      <c r="J45" s="291">
        <f t="shared" si="15"/>
        <v>37130</v>
      </c>
      <c r="K45" s="8"/>
    </row>
    <row r="46" spans="1:11">
      <c r="A46" s="307" t="s">
        <v>220</v>
      </c>
      <c r="B46" s="67" t="s">
        <v>221</v>
      </c>
      <c r="C46" s="396" t="s">
        <v>222</v>
      </c>
      <c r="D46" s="30">
        <v>45683</v>
      </c>
      <c r="E46" s="222">
        <v>261520</v>
      </c>
      <c r="F46" s="285">
        <f t="shared" si="11"/>
        <v>0.14870623008238851</v>
      </c>
      <c r="G46" s="285">
        <f t="shared" si="12"/>
        <v>0.85129376991761152</v>
      </c>
      <c r="H46" s="289">
        <f t="shared" si="13"/>
        <v>307203</v>
      </c>
      <c r="I46" s="317">
        <f t="shared" si="14"/>
        <v>45683</v>
      </c>
      <c r="J46" s="291">
        <f t="shared" si="15"/>
        <v>261520</v>
      </c>
      <c r="K46" s="8"/>
    </row>
    <row r="47" spans="1:11">
      <c r="A47" s="307" t="s">
        <v>223</v>
      </c>
      <c r="B47" s="67" t="s">
        <v>224</v>
      </c>
      <c r="C47" s="115" t="s">
        <v>225</v>
      </c>
      <c r="D47" s="30">
        <v>1750</v>
      </c>
      <c r="E47" s="222">
        <v>1817</v>
      </c>
      <c r="F47" s="285">
        <f t="shared" si="11"/>
        <v>0.49060835435940564</v>
      </c>
      <c r="G47" s="285">
        <f t="shared" si="12"/>
        <v>0.50939164564059436</v>
      </c>
      <c r="H47" s="289">
        <f t="shared" si="13"/>
        <v>3567</v>
      </c>
      <c r="I47" s="317">
        <f t="shared" si="14"/>
        <v>1750</v>
      </c>
      <c r="J47" s="291">
        <f t="shared" si="15"/>
        <v>1817</v>
      </c>
      <c r="K47" s="8"/>
    </row>
    <row r="48" spans="1:11">
      <c r="A48" s="307" t="s">
        <v>226</v>
      </c>
      <c r="B48" s="67" t="s">
        <v>227</v>
      </c>
      <c r="C48" s="115" t="s">
        <v>228</v>
      </c>
      <c r="D48" s="30">
        <v>1750</v>
      </c>
      <c r="E48" s="222">
        <v>1817</v>
      </c>
      <c r="F48" s="285">
        <f t="shared" si="11"/>
        <v>0.49060835435940564</v>
      </c>
      <c r="G48" s="285">
        <f t="shared" si="12"/>
        <v>0.50939164564059436</v>
      </c>
      <c r="H48" s="289">
        <f t="shared" si="13"/>
        <v>3567</v>
      </c>
      <c r="I48" s="317">
        <f t="shared" si="14"/>
        <v>1750</v>
      </c>
      <c r="J48" s="291">
        <f t="shared" si="15"/>
        <v>1817</v>
      </c>
      <c r="K48" s="8"/>
    </row>
    <row r="49" spans="1:11">
      <c r="A49" s="307" t="s">
        <v>229</v>
      </c>
      <c r="B49" s="67" t="s">
        <v>230</v>
      </c>
      <c r="C49" s="115" t="s">
        <v>231</v>
      </c>
      <c r="D49" s="30">
        <v>0</v>
      </c>
      <c r="E49" s="222">
        <v>0</v>
      </c>
      <c r="F49" s="285" t="str">
        <f t="shared" si="11"/>
        <v>-</v>
      </c>
      <c r="G49" s="285" t="str">
        <f t="shared" si="12"/>
        <v>-</v>
      </c>
      <c r="H49" s="289">
        <f t="shared" si="13"/>
        <v>0</v>
      </c>
      <c r="I49" s="317">
        <f t="shared" si="14"/>
        <v>0</v>
      </c>
      <c r="J49" s="291">
        <f t="shared" si="15"/>
        <v>0</v>
      </c>
      <c r="K49" s="8"/>
    </row>
    <row r="50" spans="1:11">
      <c r="A50" s="307" t="s">
        <v>232</v>
      </c>
      <c r="B50" s="67" t="s">
        <v>233</v>
      </c>
      <c r="C50" s="115" t="s">
        <v>234</v>
      </c>
      <c r="D50" s="30">
        <v>0</v>
      </c>
      <c r="E50" s="222">
        <v>0</v>
      </c>
      <c r="F50" s="285" t="str">
        <f t="shared" si="11"/>
        <v>-</v>
      </c>
      <c r="G50" s="285" t="str">
        <f t="shared" si="12"/>
        <v>-</v>
      </c>
      <c r="H50" s="289">
        <f t="shared" si="13"/>
        <v>0</v>
      </c>
      <c r="I50" s="317">
        <f t="shared" si="14"/>
        <v>0</v>
      </c>
      <c r="J50" s="291">
        <f t="shared" si="15"/>
        <v>0</v>
      </c>
      <c r="K50" s="8"/>
    </row>
    <row r="51" spans="1:11">
      <c r="A51" s="307" t="s">
        <v>235</v>
      </c>
      <c r="B51" s="67" t="s">
        <v>236</v>
      </c>
      <c r="C51" s="115" t="s">
        <v>237</v>
      </c>
      <c r="D51" s="30">
        <v>1637</v>
      </c>
      <c r="E51" s="222">
        <v>50543</v>
      </c>
      <c r="F51" s="285">
        <f t="shared" si="11"/>
        <v>3.1372173246454582E-2</v>
      </c>
      <c r="G51" s="285">
        <f t="shared" si="12"/>
        <v>0.96862782675354542</v>
      </c>
      <c r="H51" s="289">
        <f t="shared" si="13"/>
        <v>52180</v>
      </c>
      <c r="I51" s="317">
        <f t="shared" si="14"/>
        <v>1637</v>
      </c>
      <c r="J51" s="291">
        <f t="shared" si="15"/>
        <v>50543</v>
      </c>
      <c r="K51" s="8"/>
    </row>
    <row r="52" spans="1:11">
      <c r="A52" s="307" t="s">
        <v>238</v>
      </c>
      <c r="B52" s="67" t="s">
        <v>239</v>
      </c>
      <c r="C52" s="115" t="s">
        <v>240</v>
      </c>
      <c r="D52" s="30">
        <v>94158</v>
      </c>
      <c r="E52" s="222">
        <v>178649</v>
      </c>
      <c r="F52" s="285">
        <f t="shared" si="11"/>
        <v>0.34514510258167863</v>
      </c>
      <c r="G52" s="285">
        <f t="shared" si="12"/>
        <v>0.65485489741832137</v>
      </c>
      <c r="H52" s="289">
        <f t="shared" si="13"/>
        <v>272807</v>
      </c>
      <c r="I52" s="317">
        <f t="shared" si="14"/>
        <v>94158</v>
      </c>
      <c r="J52" s="291">
        <f t="shared" si="15"/>
        <v>178649</v>
      </c>
      <c r="K52" s="8"/>
    </row>
    <row r="53" spans="1:11">
      <c r="A53" s="307" t="s">
        <v>241</v>
      </c>
      <c r="B53" s="67" t="s">
        <v>242</v>
      </c>
      <c r="C53" s="115" t="s">
        <v>243</v>
      </c>
      <c r="D53" s="30">
        <v>0</v>
      </c>
      <c r="E53" s="222">
        <v>18877</v>
      </c>
      <c r="F53" s="285">
        <f t="shared" si="11"/>
        <v>0</v>
      </c>
      <c r="G53" s="285">
        <f t="shared" si="12"/>
        <v>1</v>
      </c>
      <c r="H53" s="289">
        <f t="shared" si="13"/>
        <v>18877</v>
      </c>
      <c r="I53" s="317">
        <f t="shared" si="14"/>
        <v>0</v>
      </c>
      <c r="J53" s="291">
        <f t="shared" si="15"/>
        <v>18877</v>
      </c>
      <c r="K53" s="8"/>
    </row>
    <row r="54" spans="1:11">
      <c r="A54" s="307" t="s">
        <v>244</v>
      </c>
      <c r="B54" s="67" t="s">
        <v>245</v>
      </c>
      <c r="C54" s="115" t="s">
        <v>243</v>
      </c>
      <c r="D54" s="30">
        <v>0</v>
      </c>
      <c r="E54" s="222">
        <v>0</v>
      </c>
      <c r="F54" s="285" t="str">
        <f t="shared" si="11"/>
        <v>-</v>
      </c>
      <c r="G54" s="285" t="str">
        <f t="shared" si="12"/>
        <v>-</v>
      </c>
      <c r="H54" s="289">
        <f t="shared" si="13"/>
        <v>0</v>
      </c>
      <c r="I54" s="317">
        <f t="shared" si="14"/>
        <v>0</v>
      </c>
      <c r="J54" s="291">
        <f t="shared" si="15"/>
        <v>0</v>
      </c>
      <c r="K54" s="8"/>
    </row>
    <row r="55" spans="1:11">
      <c r="A55" s="307" t="s">
        <v>246</v>
      </c>
      <c r="B55" s="67" t="s">
        <v>247</v>
      </c>
      <c r="C55" s="115" t="s">
        <v>248</v>
      </c>
      <c r="D55" s="30">
        <v>19707</v>
      </c>
      <c r="E55" s="222">
        <v>108465</v>
      </c>
      <c r="F55" s="285">
        <f t="shared" si="11"/>
        <v>0.15375433011890272</v>
      </c>
      <c r="G55" s="285">
        <f t="shared" si="12"/>
        <v>0.84624566988109728</v>
      </c>
      <c r="H55" s="289">
        <f t="shared" si="13"/>
        <v>128172</v>
      </c>
      <c r="I55" s="317">
        <f t="shared" si="14"/>
        <v>19707</v>
      </c>
      <c r="J55" s="291">
        <f t="shared" si="15"/>
        <v>108465</v>
      </c>
      <c r="K55" s="8"/>
    </row>
    <row r="56" spans="1:11">
      <c r="A56" s="307" t="s">
        <v>249</v>
      </c>
      <c r="B56" s="67" t="s">
        <v>250</v>
      </c>
      <c r="C56" s="115" t="s">
        <v>251</v>
      </c>
      <c r="D56" s="30">
        <v>17668</v>
      </c>
      <c r="E56" s="222">
        <v>98814</v>
      </c>
      <c r="F56" s="285">
        <f t="shared" si="11"/>
        <v>0.15168008791057846</v>
      </c>
      <c r="G56" s="285">
        <f t="shared" si="12"/>
        <v>0.84831991208942159</v>
      </c>
      <c r="H56" s="289">
        <f t="shared" si="13"/>
        <v>116482</v>
      </c>
      <c r="I56" s="317">
        <f t="shared" si="14"/>
        <v>17668</v>
      </c>
      <c r="J56" s="291">
        <f t="shared" si="15"/>
        <v>98814</v>
      </c>
      <c r="K56" s="8"/>
    </row>
    <row r="57" spans="1:11">
      <c r="A57" s="307" t="s">
        <v>252</v>
      </c>
      <c r="B57" s="67" t="s">
        <v>253</v>
      </c>
      <c r="C57" s="115" t="s">
        <v>254</v>
      </c>
      <c r="D57" s="30">
        <v>3344</v>
      </c>
      <c r="E57" s="222">
        <v>49168</v>
      </c>
      <c r="F57" s="285">
        <f t="shared" si="11"/>
        <v>6.3680682510664235E-2</v>
      </c>
      <c r="G57" s="285">
        <f t="shared" si="12"/>
        <v>0.93631931748933572</v>
      </c>
      <c r="H57" s="289">
        <f t="shared" si="13"/>
        <v>52512</v>
      </c>
      <c r="I57" s="317">
        <f t="shared" si="14"/>
        <v>3344</v>
      </c>
      <c r="J57" s="291">
        <f t="shared" si="15"/>
        <v>49168</v>
      </c>
      <c r="K57" s="8"/>
    </row>
    <row r="58" spans="1:11">
      <c r="A58" s="307" t="s">
        <v>255</v>
      </c>
      <c r="B58" s="67" t="s">
        <v>256</v>
      </c>
      <c r="C58" s="115" t="s">
        <v>257</v>
      </c>
      <c r="D58" s="30">
        <v>0</v>
      </c>
      <c r="E58" s="222">
        <v>0</v>
      </c>
      <c r="F58" s="285" t="str">
        <f t="shared" si="11"/>
        <v>-</v>
      </c>
      <c r="G58" s="285" t="str">
        <f t="shared" si="12"/>
        <v>-</v>
      </c>
      <c r="H58" s="289">
        <f t="shared" si="13"/>
        <v>0</v>
      </c>
      <c r="I58" s="317">
        <f t="shared" si="14"/>
        <v>0</v>
      </c>
      <c r="J58" s="291">
        <f t="shared" si="15"/>
        <v>0</v>
      </c>
      <c r="K58" s="8"/>
    </row>
    <row r="59" spans="1:11">
      <c r="A59" s="307" t="s">
        <v>258</v>
      </c>
      <c r="B59" s="67" t="s">
        <v>259</v>
      </c>
      <c r="C59" s="115" t="s">
        <v>260</v>
      </c>
      <c r="D59" s="30">
        <v>0</v>
      </c>
      <c r="E59" s="222">
        <v>0</v>
      </c>
      <c r="F59" s="285" t="str">
        <f t="shared" si="11"/>
        <v>-</v>
      </c>
      <c r="G59" s="285" t="str">
        <f t="shared" si="12"/>
        <v>-</v>
      </c>
      <c r="H59" s="289">
        <f t="shared" si="13"/>
        <v>0</v>
      </c>
      <c r="I59" s="317">
        <f t="shared" si="14"/>
        <v>0</v>
      </c>
      <c r="J59" s="291">
        <f t="shared" si="15"/>
        <v>0</v>
      </c>
      <c r="K59" s="8"/>
    </row>
    <row r="60" spans="1:11">
      <c r="A60" s="307" t="s">
        <v>261</v>
      </c>
      <c r="B60" s="67" t="s">
        <v>262</v>
      </c>
      <c r="C60" s="115" t="s">
        <v>263</v>
      </c>
      <c r="D60" s="30">
        <v>0</v>
      </c>
      <c r="E60" s="382">
        <v>0</v>
      </c>
      <c r="F60" s="285" t="str">
        <f t="shared" si="11"/>
        <v>-</v>
      </c>
      <c r="G60" s="285" t="str">
        <f t="shared" si="12"/>
        <v>-</v>
      </c>
      <c r="H60" s="289">
        <f t="shared" si="13"/>
        <v>0</v>
      </c>
      <c r="I60" s="317">
        <f t="shared" si="14"/>
        <v>0</v>
      </c>
      <c r="J60" s="291">
        <f t="shared" si="15"/>
        <v>0</v>
      </c>
      <c r="K60" s="8"/>
    </row>
    <row r="61" spans="1:11">
      <c r="A61" s="307" t="s">
        <v>264</v>
      </c>
      <c r="B61" s="67" t="s">
        <v>93</v>
      </c>
      <c r="C61" s="62" t="s">
        <v>265</v>
      </c>
      <c r="D61" s="744">
        <v>30983</v>
      </c>
      <c r="E61" s="382">
        <v>0</v>
      </c>
      <c r="F61" s="285">
        <f t="shared" si="11"/>
        <v>1</v>
      </c>
      <c r="G61" s="285">
        <f t="shared" si="12"/>
        <v>0</v>
      </c>
      <c r="H61" s="287">
        <f>(E61+D61)</f>
        <v>30983</v>
      </c>
      <c r="I61" s="290">
        <f>D61</f>
        <v>30983</v>
      </c>
      <c r="J61" s="291">
        <f>E61</f>
        <v>0</v>
      </c>
      <c r="K61" s="8"/>
    </row>
    <row r="62" spans="1:11">
      <c r="A62" s="307" t="s">
        <v>266</v>
      </c>
      <c r="B62" s="67" t="s">
        <v>267</v>
      </c>
      <c r="C62" s="62" t="s">
        <v>268</v>
      </c>
      <c r="D62" s="744">
        <v>0</v>
      </c>
      <c r="E62" s="382">
        <v>0</v>
      </c>
      <c r="F62" s="285" t="str">
        <f t="shared" si="11"/>
        <v>-</v>
      </c>
      <c r="G62" s="285" t="str">
        <f t="shared" si="12"/>
        <v>-</v>
      </c>
      <c r="H62" s="287">
        <f t="shared" ref="H62:H72" si="16">(E62+D62)</f>
        <v>0</v>
      </c>
      <c r="I62" s="290">
        <f>D62</f>
        <v>0</v>
      </c>
      <c r="J62" s="291">
        <f>E62</f>
        <v>0</v>
      </c>
      <c r="K62" s="8"/>
    </row>
    <row r="63" spans="1:11" ht="25.5">
      <c r="A63" s="307"/>
      <c r="B63" s="67"/>
      <c r="C63" s="115" t="s">
        <v>269</v>
      </c>
      <c r="D63" s="30">
        <v>5468.1</v>
      </c>
      <c r="E63" s="222">
        <v>34386.35</v>
      </c>
      <c r="F63" s="285">
        <f t="shared" si="11"/>
        <v>0.13720174284176551</v>
      </c>
      <c r="G63" s="285">
        <f t="shared" si="12"/>
        <v>0.86279825715823455</v>
      </c>
      <c r="H63" s="287">
        <f t="shared" si="16"/>
        <v>39854.449999999997</v>
      </c>
      <c r="I63" s="290">
        <f>D63*(1+0.02+0.03241)+854.3</f>
        <v>6608.9831210000011</v>
      </c>
      <c r="J63" s="291">
        <f>E63*(1+0.02+0.03241)+2822.71</f>
        <v>39011.248603499997</v>
      </c>
      <c r="K63" s="17" t="s">
        <v>270</v>
      </c>
    </row>
    <row r="64" spans="1:11" ht="25.5">
      <c r="A64" s="307"/>
      <c r="B64" s="67"/>
      <c r="C64" s="115" t="s">
        <v>271</v>
      </c>
      <c r="D64" s="744">
        <v>9694.7999999999993</v>
      </c>
      <c r="E64" s="382">
        <v>60966.07</v>
      </c>
      <c r="F64" s="285">
        <f t="shared" si="11"/>
        <v>0.13720182047008478</v>
      </c>
      <c r="G64" s="285">
        <f t="shared" si="12"/>
        <v>0.86279817952991522</v>
      </c>
      <c r="H64" s="287">
        <f t="shared" si="16"/>
        <v>70660.87</v>
      </c>
      <c r="I64" s="290">
        <f>D64*(1+0.02+0.03241)+1514.65</f>
        <v>11717.554468</v>
      </c>
      <c r="J64" s="291">
        <f>E64*(1+0.02+0.03241)+5004.59</f>
        <v>69165.891728700008</v>
      </c>
      <c r="K64" s="17" t="s">
        <v>270</v>
      </c>
    </row>
    <row r="65" spans="1:11" ht="25.5">
      <c r="A65" s="307"/>
      <c r="B65" s="67"/>
      <c r="C65" s="115" t="s">
        <v>272</v>
      </c>
      <c r="D65" s="30">
        <v>355.53</v>
      </c>
      <c r="E65" s="382">
        <v>2235.79</v>
      </c>
      <c r="F65" s="285">
        <f t="shared" si="11"/>
        <v>0.13720034576972354</v>
      </c>
      <c r="G65" s="285">
        <f t="shared" si="12"/>
        <v>0.86279965423027649</v>
      </c>
      <c r="H65" s="287">
        <f t="shared" si="16"/>
        <v>2591.3199999999997</v>
      </c>
      <c r="I65" s="290">
        <f>D65*(1+0.02+0.03241)+55.55</f>
        <v>429.7133273</v>
      </c>
      <c r="J65" s="291">
        <f>E65*(1+0.02+0.03241)+183.53</f>
        <v>2536.4977539000001</v>
      </c>
      <c r="K65" s="17" t="s">
        <v>270</v>
      </c>
    </row>
    <row r="66" spans="1:11">
      <c r="A66" s="307"/>
      <c r="B66" s="67"/>
      <c r="C66" s="115" t="s">
        <v>273</v>
      </c>
      <c r="D66" s="30">
        <v>7669.29</v>
      </c>
      <c r="E66" s="382">
        <v>48228.58</v>
      </c>
      <c r="F66" s="285">
        <f t="shared" si="11"/>
        <v>0.13720182897845659</v>
      </c>
      <c r="G66" s="285">
        <f t="shared" si="12"/>
        <v>0.86279817102154344</v>
      </c>
      <c r="H66" s="287">
        <f t="shared" si="16"/>
        <v>55897.87</v>
      </c>
      <c r="I66" s="290">
        <f>D66*(1)+1198.2</f>
        <v>8867.49</v>
      </c>
      <c r="J66" s="291">
        <f>E66*(1)+3958.99</f>
        <v>52187.57</v>
      </c>
      <c r="K66" s="17" t="s">
        <v>274</v>
      </c>
    </row>
    <row r="67" spans="1:11" ht="25.5">
      <c r="A67" s="307"/>
      <c r="B67" s="67"/>
      <c r="C67" s="115" t="s">
        <v>275</v>
      </c>
      <c r="D67" s="30">
        <v>12704.27</v>
      </c>
      <c r="E67" s="382">
        <v>79891.210000000006</v>
      </c>
      <c r="F67" s="285">
        <f t="shared" si="11"/>
        <v>0.13720183749789946</v>
      </c>
      <c r="G67" s="285">
        <f t="shared" si="12"/>
        <v>0.86279816250210051</v>
      </c>
      <c r="H67" s="287">
        <f t="shared" si="16"/>
        <v>92595.48000000001</v>
      </c>
      <c r="I67" s="290">
        <f>D67*(1+0.02+0.03241)+1984.83</f>
        <v>15354.930790700002</v>
      </c>
      <c r="J67" s="291">
        <f>E67*(1+0.02+0.03241)+6558.12</f>
        <v>90636.428316100006</v>
      </c>
      <c r="K67" s="17" t="s">
        <v>270</v>
      </c>
    </row>
    <row r="68" spans="1:11" ht="25.5">
      <c r="A68" s="307"/>
      <c r="B68" s="67"/>
      <c r="C68" s="115" t="s">
        <v>276</v>
      </c>
      <c r="D68" s="30">
        <v>6260.62</v>
      </c>
      <c r="E68" s="222">
        <v>30319.7</v>
      </c>
      <c r="F68" s="285">
        <f t="shared" si="11"/>
        <v>0.17114721795763405</v>
      </c>
      <c r="G68" s="285">
        <f t="shared" si="12"/>
        <v>0.82885278204236601</v>
      </c>
      <c r="H68" s="287">
        <f t="shared" si="16"/>
        <v>36580.32</v>
      </c>
      <c r="I68" s="290">
        <f t="shared" ref="I68:I70" si="17">D68*(1+0.02+0.03241)</f>
        <v>6588.7390942000002</v>
      </c>
      <c r="J68" s="291">
        <f>E68*(1+0.02+0.03241)+3136.04</f>
        <v>35044.795477</v>
      </c>
      <c r="K68" s="17" t="s">
        <v>270</v>
      </c>
    </row>
    <row r="69" spans="1:11" ht="25.5">
      <c r="A69" s="307"/>
      <c r="B69" s="67"/>
      <c r="C69" s="72" t="s">
        <v>277</v>
      </c>
      <c r="D69" s="744">
        <v>11099.92</v>
      </c>
      <c r="E69" s="382">
        <v>53756.01</v>
      </c>
      <c r="F69" s="285">
        <f t="shared" si="11"/>
        <v>0.17114734149984434</v>
      </c>
      <c r="G69" s="285">
        <f t="shared" si="12"/>
        <v>0.82885265850015566</v>
      </c>
      <c r="H69" s="287">
        <f t="shared" si="16"/>
        <v>64855.93</v>
      </c>
      <c r="I69" s="290">
        <f t="shared" si="17"/>
        <v>11681.666807200001</v>
      </c>
      <c r="J69" s="291">
        <f>E69*(1+0.02+0.03241)+5560.11</f>
        <v>62133.472484100006</v>
      </c>
      <c r="K69" s="17" t="s">
        <v>270</v>
      </c>
    </row>
    <row r="70" spans="1:11" ht="25.5">
      <c r="A70" s="307"/>
      <c r="B70" s="67"/>
      <c r="C70" s="115" t="s">
        <v>278</v>
      </c>
      <c r="D70" s="30">
        <v>407.06</v>
      </c>
      <c r="E70" s="382">
        <v>1971.38</v>
      </c>
      <c r="F70" s="285">
        <f t="shared" si="11"/>
        <v>0.17114579304081667</v>
      </c>
      <c r="G70" s="285">
        <f t="shared" si="12"/>
        <v>0.82885420695918333</v>
      </c>
      <c r="H70" s="287">
        <f t="shared" si="16"/>
        <v>2378.44</v>
      </c>
      <c r="I70" s="290">
        <f t="shared" si="17"/>
        <v>428.39401460000005</v>
      </c>
      <c r="J70" s="291">
        <f>E70*(1+0.02+0.03241)+203.9</f>
        <v>2278.6000258000004</v>
      </c>
      <c r="K70" s="17" t="s">
        <v>270</v>
      </c>
    </row>
    <row r="71" spans="1:11">
      <c r="A71" s="307"/>
      <c r="B71" s="67"/>
      <c r="C71" s="115" t="s">
        <v>279</v>
      </c>
      <c r="D71" s="30">
        <v>8780.84</v>
      </c>
      <c r="E71" s="382">
        <v>42524.9</v>
      </c>
      <c r="F71" s="285">
        <f t="shared" si="11"/>
        <v>0.17114732191758658</v>
      </c>
      <c r="G71" s="285">
        <f t="shared" si="12"/>
        <v>0.82885267808241336</v>
      </c>
      <c r="H71" s="287">
        <f t="shared" si="16"/>
        <v>51305.740000000005</v>
      </c>
      <c r="I71" s="290">
        <f>D71*(1)</f>
        <v>8780.84</v>
      </c>
      <c r="J71" s="291">
        <f>E71*(1)+4398.45</f>
        <v>46923.35</v>
      </c>
      <c r="K71" s="17" t="s">
        <v>274</v>
      </c>
    </row>
    <row r="72" spans="1:11" ht="25.5">
      <c r="A72" s="307"/>
      <c r="B72" s="67"/>
      <c r="C72" s="115" t="s">
        <v>280</v>
      </c>
      <c r="D72" s="809">
        <v>14545.56</v>
      </c>
      <c r="E72" s="806">
        <v>70443</v>
      </c>
      <c r="F72" s="335">
        <f t="shared" si="11"/>
        <v>0.17114726970312238</v>
      </c>
      <c r="G72" s="326">
        <f t="shared" si="12"/>
        <v>0.82885273029687767</v>
      </c>
      <c r="H72" s="331">
        <f t="shared" si="16"/>
        <v>84988.56</v>
      </c>
      <c r="I72" s="332">
        <f>D72*(1+0.02+0.03241)</f>
        <v>15307.8927996</v>
      </c>
      <c r="J72" s="291">
        <f>E72*(1+0.02+0.03241)+7286.09</f>
        <v>81421.007630000007</v>
      </c>
      <c r="K72" s="17" t="s">
        <v>270</v>
      </c>
    </row>
    <row r="73" spans="1:11">
      <c r="A73" s="310"/>
      <c r="B73" s="182"/>
      <c r="C73" s="191" t="s">
        <v>29</v>
      </c>
      <c r="D73" s="183">
        <f>SUM(D39:D72)</f>
        <v>436972.99</v>
      </c>
      <c r="E73" s="184">
        <f>SUM(E39:E72)</f>
        <v>1990483.99</v>
      </c>
      <c r="F73" s="187"/>
      <c r="G73" s="181"/>
      <c r="H73" s="188">
        <f>SUM(H39:H72)</f>
        <v>2427456.9800000004</v>
      </c>
      <c r="I73" s="189">
        <f>SUM(I39:I72)</f>
        <v>463274.19184260012</v>
      </c>
      <c r="J73" s="745">
        <f>SUM(J39:J72)</f>
        <v>2157603.4734691004</v>
      </c>
      <c r="K73" s="774"/>
    </row>
    <row r="74" spans="1:11">
      <c r="A74" s="306"/>
      <c r="C74" s="78"/>
      <c r="D74" s="30"/>
      <c r="E74" s="53"/>
      <c r="F74" s="3"/>
      <c r="G74" s="3"/>
      <c r="H74" s="23"/>
      <c r="I74" s="13"/>
      <c r="J74" s="11"/>
      <c r="K74" s="610"/>
    </row>
    <row r="75" spans="1:11">
      <c r="A75" s="306"/>
      <c r="C75" s="66" t="s">
        <v>281</v>
      </c>
      <c r="D75" s="26"/>
      <c r="E75" s="52"/>
      <c r="F75" s="4"/>
      <c r="G75" s="4"/>
      <c r="H75" s="24"/>
      <c r="I75" s="18"/>
      <c r="J75" s="12"/>
      <c r="K75" s="8"/>
    </row>
    <row r="76" spans="1:11" ht="25.5">
      <c r="A76" s="307" t="s">
        <v>282</v>
      </c>
      <c r="B76" s="67" t="s">
        <v>283</v>
      </c>
      <c r="C76" s="793" t="s">
        <v>284</v>
      </c>
      <c r="D76" s="28">
        <v>85005</v>
      </c>
      <c r="E76" s="382">
        <v>528041</v>
      </c>
      <c r="F76" s="285">
        <f>IFERROR(D76/(E76+D76),"-")</f>
        <v>0.13866006792312485</v>
      </c>
      <c r="G76" s="285">
        <f>IFERROR(E76/(D76+E76),"-")</f>
        <v>0.86133993207687509</v>
      </c>
      <c r="H76" s="287">
        <f>(E76+D76)</f>
        <v>613046</v>
      </c>
      <c r="I76" s="290">
        <f>D76*(1+0.02+0.03241)+39323.13</f>
        <v>128783.24205</v>
      </c>
      <c r="J76" s="291">
        <f>E76*(1+0.02+0.03241)+68196.5</f>
        <v>623912.12881000002</v>
      </c>
      <c r="K76" s="17" t="s">
        <v>208</v>
      </c>
    </row>
    <row r="77" spans="1:11" ht="25.5">
      <c r="A77" s="307" t="s">
        <v>285</v>
      </c>
      <c r="B77" s="67" t="s">
        <v>286</v>
      </c>
      <c r="C77" s="793" t="s">
        <v>12</v>
      </c>
      <c r="D77" s="28">
        <f>0*48168</f>
        <v>0</v>
      </c>
      <c r="E77" s="382">
        <f>0*298919</f>
        <v>0</v>
      </c>
      <c r="F77" s="286" t="str">
        <f t="shared" ref="F77:F93" si="18">IFERROR(D77/(E77+D77),"-")</f>
        <v>-</v>
      </c>
      <c r="G77" s="288" t="str">
        <f t="shared" ref="G77:G93" si="19">IFERROR(E77/(D77+E77),"-")</f>
        <v>-</v>
      </c>
      <c r="H77" s="287">
        <f t="shared" ref="H77:H88" si="20">(E77+D77)</f>
        <v>0</v>
      </c>
      <c r="I77" s="290">
        <f>D77*(1+0.02+0.03241)</f>
        <v>0</v>
      </c>
      <c r="J77" s="291">
        <f>E77*(1+0.02+0.03241)</f>
        <v>0</v>
      </c>
      <c r="K77" s="17" t="s">
        <v>208</v>
      </c>
    </row>
    <row r="78" spans="1:11">
      <c r="A78" s="307" t="s">
        <v>287</v>
      </c>
      <c r="B78" s="67" t="s">
        <v>288</v>
      </c>
      <c r="C78" s="793" t="s">
        <v>289</v>
      </c>
      <c r="D78" s="28">
        <v>454</v>
      </c>
      <c r="E78" s="382">
        <v>17514</v>
      </c>
      <c r="F78" s="286">
        <f t="shared" si="18"/>
        <v>2.5267141585040072E-2</v>
      </c>
      <c r="G78" s="288">
        <f t="shared" si="19"/>
        <v>0.97473285841495994</v>
      </c>
      <c r="H78" s="287">
        <f t="shared" si="20"/>
        <v>17968</v>
      </c>
      <c r="I78" s="290">
        <f t="shared" ref="I78:I87" si="21">D78</f>
        <v>454</v>
      </c>
      <c r="J78" s="291">
        <f t="shared" ref="J78:J87" si="22">E78</f>
        <v>17514</v>
      </c>
      <c r="K78" s="8"/>
    </row>
    <row r="79" spans="1:11">
      <c r="A79" s="307" t="s">
        <v>290</v>
      </c>
      <c r="B79" s="67" t="s">
        <v>291</v>
      </c>
      <c r="C79" s="793" t="s">
        <v>292</v>
      </c>
      <c r="D79" s="28">
        <v>0</v>
      </c>
      <c r="E79" s="382">
        <v>0</v>
      </c>
      <c r="F79" s="286" t="str">
        <f t="shared" si="18"/>
        <v>-</v>
      </c>
      <c r="G79" s="288" t="str">
        <f t="shared" si="19"/>
        <v>-</v>
      </c>
      <c r="H79" s="287">
        <f t="shared" si="20"/>
        <v>0</v>
      </c>
      <c r="I79" s="290">
        <f t="shared" si="21"/>
        <v>0</v>
      </c>
      <c r="J79" s="291">
        <f t="shared" si="22"/>
        <v>0</v>
      </c>
      <c r="K79" s="8"/>
    </row>
    <row r="80" spans="1:11">
      <c r="A80" s="307" t="s">
        <v>293</v>
      </c>
      <c r="B80" s="67" t="s">
        <v>294</v>
      </c>
      <c r="C80" s="793" t="s">
        <v>295</v>
      </c>
      <c r="D80" s="28">
        <v>3500</v>
      </c>
      <c r="E80" s="382">
        <v>3633</v>
      </c>
      <c r="F80" s="286">
        <f t="shared" si="18"/>
        <v>0.49067713444553485</v>
      </c>
      <c r="G80" s="288">
        <f t="shared" si="19"/>
        <v>0.50932286555446515</v>
      </c>
      <c r="H80" s="287">
        <f t="shared" si="20"/>
        <v>7133</v>
      </c>
      <c r="I80" s="290">
        <f t="shared" si="21"/>
        <v>3500</v>
      </c>
      <c r="J80" s="291">
        <f t="shared" si="22"/>
        <v>3633</v>
      </c>
      <c r="K80" s="8"/>
    </row>
    <row r="81" spans="1:11">
      <c r="A81" s="307" t="s">
        <v>296</v>
      </c>
      <c r="B81" s="67" t="s">
        <v>297</v>
      </c>
      <c r="C81" s="793" t="s">
        <v>298</v>
      </c>
      <c r="D81" s="28">
        <v>0</v>
      </c>
      <c r="E81" s="382">
        <v>0</v>
      </c>
      <c r="F81" s="286" t="str">
        <f t="shared" si="18"/>
        <v>-</v>
      </c>
      <c r="G81" s="288" t="str">
        <f t="shared" si="19"/>
        <v>-</v>
      </c>
      <c r="H81" s="287">
        <f t="shared" si="20"/>
        <v>0</v>
      </c>
      <c r="I81" s="290">
        <f t="shared" si="21"/>
        <v>0</v>
      </c>
      <c r="J81" s="291">
        <f t="shared" si="22"/>
        <v>0</v>
      </c>
      <c r="K81" s="8"/>
    </row>
    <row r="82" spans="1:11">
      <c r="A82" s="307" t="s">
        <v>299</v>
      </c>
      <c r="B82" s="67" t="s">
        <v>300</v>
      </c>
      <c r="C82" s="62" t="s">
        <v>301</v>
      </c>
      <c r="D82" s="28">
        <v>63808</v>
      </c>
      <c r="E82" s="382">
        <v>224862</v>
      </c>
      <c r="F82" s="286">
        <f t="shared" si="18"/>
        <v>0.22104132746735025</v>
      </c>
      <c r="G82" s="288">
        <f t="shared" si="19"/>
        <v>0.77895867253264972</v>
      </c>
      <c r="H82" s="287">
        <f t="shared" si="20"/>
        <v>288670</v>
      </c>
      <c r="I82" s="290">
        <f t="shared" si="21"/>
        <v>63808</v>
      </c>
      <c r="J82" s="291">
        <f t="shared" si="22"/>
        <v>224862</v>
      </c>
      <c r="K82" s="8"/>
    </row>
    <row r="83" spans="1:11">
      <c r="A83" s="307" t="s">
        <v>302</v>
      </c>
      <c r="B83" s="67" t="s">
        <v>303</v>
      </c>
      <c r="C83" s="62" t="s">
        <v>304</v>
      </c>
      <c r="D83" s="28">
        <v>0</v>
      </c>
      <c r="E83" s="382">
        <v>28725</v>
      </c>
      <c r="F83" s="286">
        <f t="shared" si="18"/>
        <v>0</v>
      </c>
      <c r="G83" s="288">
        <f t="shared" si="19"/>
        <v>1</v>
      </c>
      <c r="H83" s="287">
        <f t="shared" si="20"/>
        <v>28725</v>
      </c>
      <c r="I83" s="290">
        <f t="shared" si="21"/>
        <v>0</v>
      </c>
      <c r="J83" s="291">
        <f t="shared" si="22"/>
        <v>28725</v>
      </c>
      <c r="K83" s="8"/>
    </row>
    <row r="84" spans="1:11">
      <c r="A84" s="307" t="s">
        <v>305</v>
      </c>
      <c r="B84" s="67" t="s">
        <v>306</v>
      </c>
      <c r="C84" s="62" t="s">
        <v>304</v>
      </c>
      <c r="D84" s="28">
        <v>0</v>
      </c>
      <c r="E84" s="382">
        <v>0</v>
      </c>
      <c r="F84" s="286" t="str">
        <f t="shared" si="18"/>
        <v>-</v>
      </c>
      <c r="G84" s="288" t="str">
        <f t="shared" si="19"/>
        <v>-</v>
      </c>
      <c r="H84" s="287">
        <f t="shared" si="20"/>
        <v>0</v>
      </c>
      <c r="I84" s="290">
        <f t="shared" si="21"/>
        <v>0</v>
      </c>
      <c r="J84" s="291">
        <f t="shared" si="22"/>
        <v>0</v>
      </c>
      <c r="K84" s="8"/>
    </row>
    <row r="85" spans="1:11">
      <c r="A85" s="307" t="s">
        <v>307</v>
      </c>
      <c r="B85" s="67" t="s">
        <v>308</v>
      </c>
      <c r="C85" s="793" t="s">
        <v>309</v>
      </c>
      <c r="D85" s="28">
        <v>32</v>
      </c>
      <c r="E85" s="382">
        <v>79805</v>
      </c>
      <c r="F85" s="286">
        <f t="shared" si="18"/>
        <v>4.0081666395280383E-4</v>
      </c>
      <c r="G85" s="288">
        <f t="shared" si="19"/>
        <v>0.99959918333604725</v>
      </c>
      <c r="H85" s="287">
        <f t="shared" si="20"/>
        <v>79837</v>
      </c>
      <c r="I85" s="290">
        <f t="shared" si="21"/>
        <v>32</v>
      </c>
      <c r="J85" s="291">
        <f t="shared" si="22"/>
        <v>79805</v>
      </c>
      <c r="K85" s="8"/>
    </row>
    <row r="86" spans="1:11">
      <c r="A86" s="307" t="s">
        <v>310</v>
      </c>
      <c r="B86" s="67" t="s">
        <v>311</v>
      </c>
      <c r="C86" s="793" t="s">
        <v>312</v>
      </c>
      <c r="D86" s="28">
        <v>3344</v>
      </c>
      <c r="E86" s="382">
        <v>5784</v>
      </c>
      <c r="F86" s="286">
        <f t="shared" si="18"/>
        <v>0.36634531113058721</v>
      </c>
      <c r="G86" s="288">
        <f t="shared" si="19"/>
        <v>0.63365468886941279</v>
      </c>
      <c r="H86" s="287">
        <f t="shared" si="20"/>
        <v>9128</v>
      </c>
      <c r="I86" s="290">
        <f t="shared" si="21"/>
        <v>3344</v>
      </c>
      <c r="J86" s="291">
        <f t="shared" si="22"/>
        <v>5784</v>
      </c>
      <c r="K86" s="8"/>
    </row>
    <row r="87" spans="1:11">
      <c r="A87" s="307" t="s">
        <v>313</v>
      </c>
      <c r="B87" s="67" t="s">
        <v>314</v>
      </c>
      <c r="C87" s="793" t="s">
        <v>315</v>
      </c>
      <c r="D87" s="28">
        <v>0</v>
      </c>
      <c r="E87" s="382">
        <v>5246</v>
      </c>
      <c r="F87" s="285">
        <f t="shared" si="18"/>
        <v>0</v>
      </c>
      <c r="G87" s="285">
        <f t="shared" si="19"/>
        <v>1</v>
      </c>
      <c r="H87" s="287">
        <f t="shared" si="20"/>
        <v>5246</v>
      </c>
      <c r="I87" s="290">
        <f t="shared" si="21"/>
        <v>0</v>
      </c>
      <c r="J87" s="291">
        <f t="shared" si="22"/>
        <v>5246</v>
      </c>
      <c r="K87" s="8"/>
    </row>
    <row r="88" spans="1:11" ht="25.5">
      <c r="A88" s="307"/>
      <c r="B88" s="67"/>
      <c r="C88" s="115" t="s">
        <v>316</v>
      </c>
      <c r="D88" s="31">
        <v>7338.34</v>
      </c>
      <c r="E88" s="382">
        <v>45539.96</v>
      </c>
      <c r="F88" s="285">
        <f t="shared" si="18"/>
        <v>0.13877791078760096</v>
      </c>
      <c r="G88" s="285">
        <f t="shared" si="19"/>
        <v>0.86122208921239896</v>
      </c>
      <c r="H88" s="287">
        <f t="shared" si="20"/>
        <v>52878.3</v>
      </c>
      <c r="I88" s="290">
        <f>D88*(1+0.02+0.03241)+3368.56</f>
        <v>11091.5023994</v>
      </c>
      <c r="J88" s="291">
        <f>E88*(1+0.02+0.03241)+5841.95</f>
        <v>53768.659303599998</v>
      </c>
      <c r="K88" s="17" t="s">
        <v>317</v>
      </c>
    </row>
    <row r="89" spans="1:11" ht="25.5">
      <c r="A89" s="307"/>
      <c r="B89" s="67"/>
      <c r="C89" s="115" t="s">
        <v>284</v>
      </c>
      <c r="D89" s="744">
        <v>13010.68</v>
      </c>
      <c r="E89" s="382">
        <v>80741.119999999995</v>
      </c>
      <c r="F89" s="285">
        <f t="shared" si="18"/>
        <v>0.13877792213056178</v>
      </c>
      <c r="G89" s="285">
        <f t="shared" si="19"/>
        <v>0.86122207786943827</v>
      </c>
      <c r="H89" s="287">
        <f>(E89+D89)</f>
        <v>93751.799999999988</v>
      </c>
      <c r="I89" s="290">
        <f>D89*(1+0.02+0.03241)+5972.36</f>
        <v>19664.929738800001</v>
      </c>
      <c r="J89" s="291">
        <f>E89*(1+0.02+0.03241)+10357.63</f>
        <v>95330.392099200006</v>
      </c>
      <c r="K89" s="17" t="s">
        <v>317</v>
      </c>
    </row>
    <row r="90" spans="1:11" ht="25.5">
      <c r="A90" s="307"/>
      <c r="B90" s="67"/>
      <c r="C90" s="115" t="s">
        <v>318</v>
      </c>
      <c r="D90" s="31">
        <v>477.14</v>
      </c>
      <c r="E90" s="382">
        <v>2961</v>
      </c>
      <c r="F90" s="285">
        <f t="shared" si="18"/>
        <v>0.13877852559814319</v>
      </c>
      <c r="G90" s="285">
        <f t="shared" si="19"/>
        <v>0.86122147440185681</v>
      </c>
      <c r="H90" s="287">
        <f>(E90+D90)</f>
        <v>3438.14</v>
      </c>
      <c r="I90" s="290">
        <f>D90*(1+0.02+0.03241)+219.02</f>
        <v>721.16690740000001</v>
      </c>
      <c r="J90" s="291">
        <f>E90*(1+0.02+0.03241)+379.84</f>
        <v>3496.0260100000005</v>
      </c>
      <c r="K90" s="17" t="s">
        <v>317</v>
      </c>
    </row>
    <row r="91" spans="1:11">
      <c r="A91" s="307"/>
      <c r="B91" s="67"/>
      <c r="C91" s="115" t="s">
        <v>319</v>
      </c>
      <c r="D91" s="31">
        <v>10292.39</v>
      </c>
      <c r="E91" s="382">
        <v>63872.08</v>
      </c>
      <c r="F91" s="285">
        <f t="shared" si="18"/>
        <v>0.13877790807377172</v>
      </c>
      <c r="G91" s="285">
        <f t="shared" si="19"/>
        <v>0.86122209192622834</v>
      </c>
      <c r="H91" s="287">
        <f>(E91+D91)</f>
        <v>74164.47</v>
      </c>
      <c r="I91" s="290">
        <f>D91*(1)+4724.57</f>
        <v>15016.96</v>
      </c>
      <c r="J91" s="291">
        <f>E91*(1)+8193.64</f>
        <v>72065.72</v>
      </c>
      <c r="K91" s="17" t="s">
        <v>320</v>
      </c>
    </row>
    <row r="92" spans="1:11" ht="25.5">
      <c r="A92" s="307"/>
      <c r="B92" s="67"/>
      <c r="C92" s="115" t="s">
        <v>321</v>
      </c>
      <c r="D92" s="31">
        <v>17049.46</v>
      </c>
      <c r="E92" s="382">
        <v>105804.85</v>
      </c>
      <c r="F92" s="285">
        <f t="shared" si="18"/>
        <v>0.13877787437819641</v>
      </c>
      <c r="G92" s="285">
        <f t="shared" si="19"/>
        <v>0.86122212562180367</v>
      </c>
      <c r="H92" s="287">
        <f>(E92+D92)</f>
        <v>122854.31</v>
      </c>
      <c r="I92" s="290">
        <f>D92*(1+0.02+0.03241)+7826.31</f>
        <v>25769.332198600001</v>
      </c>
      <c r="J92" s="291">
        <f>E92*(1+0.02+0.03241)+13572.85</f>
        <v>124922.93218850002</v>
      </c>
      <c r="K92" s="17" t="s">
        <v>317</v>
      </c>
    </row>
    <row r="93" spans="1:11">
      <c r="A93" s="307"/>
      <c r="B93" s="67"/>
      <c r="C93" s="115" t="s">
        <v>93</v>
      </c>
      <c r="D93" s="323">
        <v>0</v>
      </c>
      <c r="E93" s="806">
        <v>0</v>
      </c>
      <c r="F93" s="325" t="str">
        <f t="shared" si="18"/>
        <v>-</v>
      </c>
      <c r="G93" s="325" t="str">
        <f t="shared" si="19"/>
        <v>-</v>
      </c>
      <c r="H93" s="331">
        <f>(E93+D93)</f>
        <v>0</v>
      </c>
      <c r="I93" s="332">
        <f>D93</f>
        <v>0</v>
      </c>
      <c r="J93" s="330">
        <f>E93</f>
        <v>0</v>
      </c>
      <c r="K93" s="9"/>
    </row>
    <row r="94" spans="1:11">
      <c r="A94" s="310"/>
      <c r="B94" s="182"/>
      <c r="C94" s="191" t="s">
        <v>29</v>
      </c>
      <c r="D94" s="183">
        <f>SUM(D76:D93)</f>
        <v>204311.00999999998</v>
      </c>
      <c r="E94" s="184">
        <f>SUM(E76:E93)</f>
        <v>1192529.01</v>
      </c>
      <c r="F94" s="181"/>
      <c r="G94" s="181"/>
      <c r="H94" s="188">
        <f>SUM(H76:H93)</f>
        <v>1396840.02</v>
      </c>
      <c r="I94" s="189">
        <f>SUM(I76:I93)</f>
        <v>272185.1332942</v>
      </c>
      <c r="J94" s="184">
        <f>SUM(J76:J93)</f>
        <v>1339064.8584112998</v>
      </c>
      <c r="K94" s="775"/>
    </row>
    <row r="95" spans="1:11">
      <c r="A95" s="306"/>
      <c r="C95" s="106"/>
      <c r="D95" s="90"/>
      <c r="E95" s="53"/>
      <c r="F95" s="3"/>
      <c r="G95" s="3"/>
      <c r="H95" s="23"/>
      <c r="I95" s="13"/>
      <c r="J95" s="11"/>
      <c r="K95" s="721"/>
    </row>
    <row r="96" spans="1:11">
      <c r="A96" s="306"/>
      <c r="C96" s="66" t="s">
        <v>322</v>
      </c>
      <c r="D96" s="26"/>
      <c r="E96" s="52"/>
      <c r="F96" s="4"/>
      <c r="G96" s="4"/>
      <c r="H96" s="24"/>
      <c r="I96" s="18"/>
      <c r="J96" s="12"/>
      <c r="K96" s="721"/>
    </row>
    <row r="97" spans="1:17" ht="25.5">
      <c r="A97" s="307" t="s">
        <v>323</v>
      </c>
      <c r="B97" s="67" t="s">
        <v>324</v>
      </c>
      <c r="C97" s="62" t="s">
        <v>284</v>
      </c>
      <c r="D97" s="28">
        <v>95687</v>
      </c>
      <c r="E97" s="805">
        <v>482363</v>
      </c>
      <c r="F97" s="285">
        <f>IFERROR(D97/(E97+D97),"-")</f>
        <v>0.16553412334573134</v>
      </c>
      <c r="G97" s="285">
        <f>IFERROR(E97/(D97+E97),"-")</f>
        <v>0.83446587665426863</v>
      </c>
      <c r="H97" s="287">
        <f>(E97+D97)</f>
        <v>578050</v>
      </c>
      <c r="I97" s="290">
        <f>D97*(1+0.02+0.03241)+1371.71+15714+11446.97+7164.94</f>
        <v>136399.57567000002</v>
      </c>
      <c r="J97" s="291">
        <f>E97*(1+0.02+0.03241)+4532.31+51920.99+37822.2+23673.85</f>
        <v>625592.99482999998</v>
      </c>
      <c r="K97" s="17" t="s">
        <v>325</v>
      </c>
    </row>
    <row r="98" spans="1:17">
      <c r="A98" s="307" t="s">
        <v>326</v>
      </c>
      <c r="B98" s="67" t="s">
        <v>327</v>
      </c>
      <c r="C98" s="62" t="s">
        <v>12</v>
      </c>
      <c r="D98" s="28">
        <f>0*54485</f>
        <v>0</v>
      </c>
      <c r="E98" s="382">
        <f>0*273875</f>
        <v>0</v>
      </c>
      <c r="F98" s="285" t="str">
        <f t="shared" ref="F98:F115" si="23">IFERROR(D98/(E98+D98),"-")</f>
        <v>-</v>
      </c>
      <c r="G98" s="285" t="str">
        <f t="shared" ref="G98:G115" si="24">IFERROR(E98/(D98+E98),"-")</f>
        <v>-</v>
      </c>
      <c r="H98" s="287">
        <f t="shared" ref="H98:H107" si="25">(E98+D98)</f>
        <v>0</v>
      </c>
      <c r="I98" s="290">
        <f>D98*(1+0.02+0.03241)</f>
        <v>0</v>
      </c>
      <c r="J98" s="291">
        <f>E98*(1+0.02+0.03241)</f>
        <v>0</v>
      </c>
      <c r="K98" s="17" t="s">
        <v>133</v>
      </c>
    </row>
    <row r="99" spans="1:17">
      <c r="A99" s="307" t="s">
        <v>328</v>
      </c>
      <c r="B99" s="67" t="s">
        <v>329</v>
      </c>
      <c r="C99" s="793" t="s">
        <v>289</v>
      </c>
      <c r="D99" s="28">
        <v>7022</v>
      </c>
      <c r="E99" s="382">
        <v>31108</v>
      </c>
      <c r="F99" s="285">
        <f t="shared" si="23"/>
        <v>0.1841594544977708</v>
      </c>
      <c r="G99" s="285">
        <f t="shared" si="24"/>
        <v>0.81584054550222918</v>
      </c>
      <c r="H99" s="287">
        <f t="shared" si="25"/>
        <v>38130</v>
      </c>
      <c r="I99" s="290">
        <f t="shared" ref="I99:I107" si="26">D99</f>
        <v>7022</v>
      </c>
      <c r="J99" s="291">
        <f t="shared" ref="J99:J107" si="27">E99</f>
        <v>31108</v>
      </c>
      <c r="K99" s="8"/>
    </row>
    <row r="100" spans="1:17">
      <c r="A100" s="307" t="s">
        <v>330</v>
      </c>
      <c r="B100" s="67" t="s">
        <v>331</v>
      </c>
      <c r="C100" s="62" t="s">
        <v>295</v>
      </c>
      <c r="D100" s="28">
        <v>3500</v>
      </c>
      <c r="E100" s="382">
        <v>3633</v>
      </c>
      <c r="F100" s="285">
        <f t="shared" si="23"/>
        <v>0.49067713444553485</v>
      </c>
      <c r="G100" s="285">
        <f t="shared" si="24"/>
        <v>0.50932286555446515</v>
      </c>
      <c r="H100" s="287">
        <f t="shared" si="25"/>
        <v>7133</v>
      </c>
      <c r="I100" s="290">
        <f t="shared" si="26"/>
        <v>3500</v>
      </c>
      <c r="J100" s="291">
        <f t="shared" si="27"/>
        <v>3633</v>
      </c>
      <c r="K100" s="8"/>
    </row>
    <row r="101" spans="1:17">
      <c r="A101" s="307" t="s">
        <v>332</v>
      </c>
      <c r="B101" s="67" t="s">
        <v>333</v>
      </c>
      <c r="C101" s="62" t="s">
        <v>298</v>
      </c>
      <c r="D101" s="28">
        <v>5136</v>
      </c>
      <c r="E101" s="382">
        <v>16922</v>
      </c>
      <c r="F101" s="285">
        <f t="shared" si="23"/>
        <v>0.23284069271919486</v>
      </c>
      <c r="G101" s="285">
        <f t="shared" si="24"/>
        <v>0.76715930728080517</v>
      </c>
      <c r="H101" s="287">
        <f t="shared" si="25"/>
        <v>22058</v>
      </c>
      <c r="I101" s="290">
        <f t="shared" si="26"/>
        <v>5136</v>
      </c>
      <c r="J101" s="291">
        <f t="shared" si="27"/>
        <v>16922</v>
      </c>
      <c r="K101" s="8"/>
    </row>
    <row r="102" spans="1:17">
      <c r="A102" s="307" t="s">
        <v>334</v>
      </c>
      <c r="B102" s="67" t="s">
        <v>335</v>
      </c>
      <c r="C102" s="62" t="s">
        <v>301</v>
      </c>
      <c r="D102" s="28">
        <v>67075</v>
      </c>
      <c r="E102" s="382">
        <v>318815</v>
      </c>
      <c r="F102" s="285">
        <f t="shared" si="23"/>
        <v>0.17381896395345825</v>
      </c>
      <c r="G102" s="285">
        <f t="shared" si="24"/>
        <v>0.82618103604654181</v>
      </c>
      <c r="H102" s="287">
        <f t="shared" si="25"/>
        <v>385890</v>
      </c>
      <c r="I102" s="290">
        <f t="shared" si="26"/>
        <v>67075</v>
      </c>
      <c r="J102" s="291">
        <f t="shared" si="27"/>
        <v>318815</v>
      </c>
      <c r="K102" s="8"/>
    </row>
    <row r="103" spans="1:17">
      <c r="A103" s="307" t="s">
        <v>336</v>
      </c>
      <c r="B103" s="67" t="s">
        <v>337</v>
      </c>
      <c r="C103" s="62" t="s">
        <v>304</v>
      </c>
      <c r="D103" s="28">
        <v>0</v>
      </c>
      <c r="E103" s="382">
        <v>4924</v>
      </c>
      <c r="F103" s="285">
        <f t="shared" si="23"/>
        <v>0</v>
      </c>
      <c r="G103" s="285">
        <f t="shared" si="24"/>
        <v>1</v>
      </c>
      <c r="H103" s="287">
        <f t="shared" si="25"/>
        <v>4924</v>
      </c>
      <c r="I103" s="290">
        <f t="shared" si="26"/>
        <v>0</v>
      </c>
      <c r="J103" s="291">
        <f t="shared" si="27"/>
        <v>4924</v>
      </c>
      <c r="K103" s="8"/>
    </row>
    <row r="104" spans="1:17">
      <c r="A104" s="307" t="s">
        <v>338</v>
      </c>
      <c r="B104" s="67" t="s">
        <v>339</v>
      </c>
      <c r="C104" s="793" t="s">
        <v>309</v>
      </c>
      <c r="D104" s="28">
        <v>213</v>
      </c>
      <c r="E104" s="382">
        <v>9716</v>
      </c>
      <c r="F104" s="285">
        <f t="shared" si="23"/>
        <v>2.1452311411018228E-2</v>
      </c>
      <c r="G104" s="285">
        <f t="shared" si="24"/>
        <v>0.97854768858898178</v>
      </c>
      <c r="H104" s="287">
        <f t="shared" si="25"/>
        <v>9929</v>
      </c>
      <c r="I104" s="290">
        <f t="shared" si="26"/>
        <v>213</v>
      </c>
      <c r="J104" s="291">
        <f t="shared" si="27"/>
        <v>9716</v>
      </c>
      <c r="K104" s="8"/>
    </row>
    <row r="105" spans="1:17">
      <c r="A105" s="307" t="s">
        <v>340</v>
      </c>
      <c r="B105" s="67" t="s">
        <v>341</v>
      </c>
      <c r="C105" s="62" t="s">
        <v>312</v>
      </c>
      <c r="D105" s="28">
        <v>3344</v>
      </c>
      <c r="E105" s="382">
        <v>5784</v>
      </c>
      <c r="F105" s="285">
        <f t="shared" si="23"/>
        <v>0.36634531113058721</v>
      </c>
      <c r="G105" s="285">
        <f t="shared" si="24"/>
        <v>0.63365468886941279</v>
      </c>
      <c r="H105" s="287">
        <f t="shared" si="25"/>
        <v>9128</v>
      </c>
      <c r="I105" s="290">
        <f t="shared" si="26"/>
        <v>3344</v>
      </c>
      <c r="J105" s="291">
        <f t="shared" si="27"/>
        <v>5784</v>
      </c>
      <c r="K105" s="8"/>
    </row>
    <row r="106" spans="1:17">
      <c r="A106" s="307" t="s">
        <v>342</v>
      </c>
      <c r="B106" s="67" t="s">
        <v>343</v>
      </c>
      <c r="C106" s="62" t="s">
        <v>344</v>
      </c>
      <c r="D106" s="28">
        <v>2545</v>
      </c>
      <c r="E106" s="382">
        <v>2843</v>
      </c>
      <c r="F106" s="285">
        <f t="shared" si="23"/>
        <v>0.47234595397178913</v>
      </c>
      <c r="G106" s="285">
        <f t="shared" si="24"/>
        <v>0.52765404602821087</v>
      </c>
      <c r="H106" s="287">
        <f t="shared" si="25"/>
        <v>5388</v>
      </c>
      <c r="I106" s="290">
        <f t="shared" si="26"/>
        <v>2545</v>
      </c>
      <c r="J106" s="291">
        <f t="shared" si="27"/>
        <v>2843</v>
      </c>
      <c r="K106" s="8"/>
    </row>
    <row r="107" spans="1:17">
      <c r="A107" s="307" t="s">
        <v>345</v>
      </c>
      <c r="B107" s="67" t="s">
        <v>346</v>
      </c>
      <c r="C107" s="62" t="s">
        <v>347</v>
      </c>
      <c r="D107" s="28">
        <v>17777</v>
      </c>
      <c r="E107" s="382">
        <v>50260</v>
      </c>
      <c r="F107" s="285">
        <f t="shared" si="23"/>
        <v>0.26128430118905888</v>
      </c>
      <c r="G107" s="285">
        <f t="shared" si="24"/>
        <v>0.73871569881094112</v>
      </c>
      <c r="H107" s="287">
        <f t="shared" si="25"/>
        <v>68037</v>
      </c>
      <c r="I107" s="290">
        <f t="shared" si="26"/>
        <v>17777</v>
      </c>
      <c r="J107" s="291">
        <f t="shared" si="27"/>
        <v>50260</v>
      </c>
      <c r="K107" s="8"/>
    </row>
    <row r="108" spans="1:17">
      <c r="A108" s="307" t="s">
        <v>348</v>
      </c>
      <c r="B108" s="67" t="s">
        <v>349</v>
      </c>
      <c r="C108" s="62" t="s">
        <v>350</v>
      </c>
      <c r="D108" s="28">
        <v>15000</v>
      </c>
      <c r="E108" s="382">
        <v>15000</v>
      </c>
      <c r="F108" s="285">
        <f t="shared" si="23"/>
        <v>0.5</v>
      </c>
      <c r="G108" s="285">
        <f t="shared" si="24"/>
        <v>0.5</v>
      </c>
      <c r="H108" s="287">
        <f t="shared" ref="H108:H115" si="28">(E108+D108)</f>
        <v>30000</v>
      </c>
      <c r="I108" s="290">
        <f>D108</f>
        <v>15000</v>
      </c>
      <c r="J108" s="291">
        <f>E108</f>
        <v>15000</v>
      </c>
      <c r="K108" s="17"/>
    </row>
    <row r="109" spans="1:17">
      <c r="A109" s="307" t="s">
        <v>351</v>
      </c>
      <c r="B109" s="67" t="s">
        <v>352</v>
      </c>
      <c r="C109" s="62" t="s">
        <v>353</v>
      </c>
      <c r="D109" s="28">
        <v>0</v>
      </c>
      <c r="E109" s="382">
        <v>2295</v>
      </c>
      <c r="F109" s="285">
        <f t="shared" si="23"/>
        <v>0</v>
      </c>
      <c r="G109" s="285">
        <f t="shared" si="24"/>
        <v>1</v>
      </c>
      <c r="H109" s="287">
        <f t="shared" si="28"/>
        <v>2295</v>
      </c>
      <c r="I109" s="290">
        <f t="shared" ref="I109" si="29">D109*(1+0.02+0.03241)</f>
        <v>0</v>
      </c>
      <c r="J109" s="291">
        <f>E109</f>
        <v>2295</v>
      </c>
      <c r="K109" s="17"/>
    </row>
    <row r="110" spans="1:17" ht="25.5">
      <c r="A110" s="307"/>
      <c r="B110" s="67"/>
      <c r="C110" s="115" t="s">
        <v>316</v>
      </c>
      <c r="D110" s="28">
        <v>8300.73</v>
      </c>
      <c r="E110" s="382">
        <v>41724.53</v>
      </c>
      <c r="F110" s="285">
        <f t="shared" si="23"/>
        <v>0.16593077177409973</v>
      </c>
      <c r="G110" s="285">
        <f t="shared" si="24"/>
        <v>0.83406922822590035</v>
      </c>
      <c r="H110" s="287">
        <f t="shared" si="28"/>
        <v>50025.259999999995</v>
      </c>
      <c r="I110" s="290">
        <f>D110*(1+0.02+0.03241)+2966.08</f>
        <v>11701.8512593</v>
      </c>
      <c r="J110" s="291">
        <f>E110*(1+0.02+0.03241)+9800.28</f>
        <v>53711.592617299997</v>
      </c>
      <c r="K110" s="17" t="s">
        <v>325</v>
      </c>
      <c r="Q110" s="107"/>
    </row>
    <row r="111" spans="1:17" ht="25.5">
      <c r="A111" s="307"/>
      <c r="B111" s="67"/>
      <c r="C111" s="115" t="s">
        <v>284</v>
      </c>
      <c r="D111" s="28">
        <v>14716.96</v>
      </c>
      <c r="E111" s="382">
        <v>73976.479999999996</v>
      </c>
      <c r="F111" s="285">
        <f t="shared" si="23"/>
        <v>0.16593064830950291</v>
      </c>
      <c r="G111" s="285">
        <f t="shared" si="24"/>
        <v>0.83406935169049701</v>
      </c>
      <c r="H111" s="287">
        <f t="shared" si="28"/>
        <v>88693.440000000002</v>
      </c>
      <c r="I111" s="290">
        <f>D111*(1+0.02+0.03241)+5258.77</f>
        <v>20747.0458736</v>
      </c>
      <c r="J111" s="291">
        <f>E111*(1+0.02+0.03241)+17375.64</f>
        <v>95229.227316799996</v>
      </c>
      <c r="K111" s="17" t="s">
        <v>325</v>
      </c>
    </row>
    <row r="112" spans="1:17" ht="25.5">
      <c r="A112" s="307"/>
      <c r="B112" s="67"/>
      <c r="C112" s="115" t="s">
        <v>318</v>
      </c>
      <c r="D112" s="28">
        <v>539.71</v>
      </c>
      <c r="E112" s="382">
        <v>2712.92</v>
      </c>
      <c r="F112" s="285">
        <f t="shared" si="23"/>
        <v>0.16593033944838484</v>
      </c>
      <c r="G112" s="285">
        <f t="shared" si="24"/>
        <v>0.83406966055161513</v>
      </c>
      <c r="H112" s="287">
        <f t="shared" si="28"/>
        <v>3252.63</v>
      </c>
      <c r="I112" s="290">
        <f>D112*(1+0.02+0.03241)+192.85</f>
        <v>760.84620110000014</v>
      </c>
      <c r="J112" s="291">
        <f>E112*(1+0.02+0.03241)+637.21</f>
        <v>3492.3141372000005</v>
      </c>
      <c r="K112" s="17" t="s">
        <v>325</v>
      </c>
    </row>
    <row r="113" spans="1:11">
      <c r="A113" s="307"/>
      <c r="B113" s="67"/>
      <c r="C113" s="115" t="s">
        <v>319</v>
      </c>
      <c r="D113" s="28">
        <v>11642.18</v>
      </c>
      <c r="E113" s="382">
        <v>58520.75</v>
      </c>
      <c r="F113" s="285">
        <f t="shared" si="23"/>
        <v>0.16593064172206037</v>
      </c>
      <c r="G113" s="285">
        <f t="shared" si="24"/>
        <v>0.83406935827793971</v>
      </c>
      <c r="H113" s="287">
        <f t="shared" si="28"/>
        <v>70162.929999999993</v>
      </c>
      <c r="I113" s="290">
        <f>D113*(1)+4160.07</f>
        <v>15802.25</v>
      </c>
      <c r="J113" s="291">
        <f>E113*(1)+13745.39</f>
        <v>72266.14</v>
      </c>
      <c r="K113" s="17" t="s">
        <v>274</v>
      </c>
    </row>
    <row r="114" spans="1:11" ht="25.5">
      <c r="A114" s="307"/>
      <c r="B114" s="67"/>
      <c r="C114" s="115" t="s">
        <v>321</v>
      </c>
      <c r="D114" s="28">
        <v>19285.419999999998</v>
      </c>
      <c r="E114" s="382">
        <v>96940.32</v>
      </c>
      <c r="F114" s="285">
        <f t="shared" si="23"/>
        <v>0.16593071379885382</v>
      </c>
      <c r="G114" s="285">
        <f t="shared" si="24"/>
        <v>0.83406928620114618</v>
      </c>
      <c r="H114" s="287">
        <f t="shared" si="28"/>
        <v>116225.74</v>
      </c>
      <c r="I114" s="290">
        <f>D114*(1+0.02+0.03241)+6891.21</f>
        <v>27187.378862199999</v>
      </c>
      <c r="J114" s="291">
        <f>E114*(1+0.02+0.03241)+22769.4</f>
        <v>124790.36217120002</v>
      </c>
      <c r="K114" s="17" t="s">
        <v>325</v>
      </c>
    </row>
    <row r="115" spans="1:11">
      <c r="A115" s="307"/>
      <c r="B115" s="67"/>
      <c r="C115" s="115" t="s">
        <v>93</v>
      </c>
      <c r="D115" s="323">
        <v>0</v>
      </c>
      <c r="E115" s="806">
        <v>0</v>
      </c>
      <c r="F115" s="335" t="str">
        <f t="shared" si="23"/>
        <v>-</v>
      </c>
      <c r="G115" s="326" t="str">
        <f t="shared" si="24"/>
        <v>-</v>
      </c>
      <c r="H115" s="331">
        <f t="shared" si="28"/>
        <v>0</v>
      </c>
      <c r="I115" s="332">
        <f>D115</f>
        <v>0</v>
      </c>
      <c r="J115" s="330">
        <f>E115</f>
        <v>0</v>
      </c>
      <c r="K115" s="8"/>
    </row>
    <row r="116" spans="1:11">
      <c r="A116" s="310"/>
      <c r="B116" s="182"/>
      <c r="C116" s="191" t="s">
        <v>29</v>
      </c>
      <c r="D116" s="189">
        <f>SUM(D97:D115)</f>
        <v>271784</v>
      </c>
      <c r="E116" s="183">
        <f>SUM(E97:E115)</f>
        <v>1217538</v>
      </c>
      <c r="F116" s="187"/>
      <c r="G116" s="181"/>
      <c r="H116" s="188">
        <f>SUM(H97:H115)</f>
        <v>1489321.9999999998</v>
      </c>
      <c r="I116" s="189">
        <f>SUM(I97:I115)</f>
        <v>334210.9478662</v>
      </c>
      <c r="J116" s="184">
        <f>SUM(J97:J115)</f>
        <v>1436382.6310725</v>
      </c>
      <c r="K116" s="774"/>
    </row>
    <row r="117" spans="1:11">
      <c r="A117" s="306"/>
      <c r="C117" s="78"/>
      <c r="D117" s="28"/>
      <c r="E117" s="53"/>
      <c r="F117" s="3"/>
      <c r="G117" s="3"/>
      <c r="H117" s="23"/>
      <c r="I117" s="13"/>
      <c r="J117" s="11"/>
      <c r="K117" s="721"/>
    </row>
    <row r="118" spans="1:11">
      <c r="A118" s="306"/>
      <c r="C118" s="66" t="s">
        <v>102</v>
      </c>
      <c r="D118" s="26"/>
      <c r="E118" s="52"/>
      <c r="F118" s="4"/>
      <c r="G118" s="4"/>
      <c r="H118" s="24"/>
      <c r="I118" s="18"/>
      <c r="J118" s="12"/>
      <c r="K118" s="721"/>
    </row>
    <row r="119" spans="1:11">
      <c r="A119" s="307" t="s">
        <v>354</v>
      </c>
      <c r="B119" s="67" t="s">
        <v>355</v>
      </c>
      <c r="C119" s="62" t="s">
        <v>356</v>
      </c>
      <c r="D119" s="744">
        <v>0</v>
      </c>
      <c r="E119" s="382">
        <v>0</v>
      </c>
      <c r="F119" s="285" t="str">
        <f>IFERROR(D119/(E119+D119),"-")</f>
        <v>-</v>
      </c>
      <c r="G119" s="285" t="str">
        <f>IFERROR(E119/(D119+E119),"-")</f>
        <v>-</v>
      </c>
      <c r="H119" s="287">
        <f t="shared" ref="H119:H131" si="30">(E119+D119)</f>
        <v>0</v>
      </c>
      <c r="I119" s="290">
        <f>D119*(1+0.02+0.03241)</f>
        <v>0</v>
      </c>
      <c r="J119" s="291">
        <f>E119*(1+0.02+0.03241)</f>
        <v>0</v>
      </c>
      <c r="K119" s="17" t="s">
        <v>133</v>
      </c>
    </row>
    <row r="120" spans="1:11">
      <c r="A120" s="307" t="s">
        <v>357</v>
      </c>
      <c r="B120" s="67" t="s">
        <v>358</v>
      </c>
      <c r="C120" s="61" t="s">
        <v>359</v>
      </c>
      <c r="D120" s="744">
        <v>0</v>
      </c>
      <c r="E120" s="382">
        <v>4902</v>
      </c>
      <c r="F120" s="285">
        <f t="shared" ref="F120:F137" si="31">IFERROR(D120/(E120+D120),"-")</f>
        <v>0</v>
      </c>
      <c r="G120" s="285">
        <f t="shared" ref="G120:G137" si="32">IFERROR(E120/(D120+E120),"-")</f>
        <v>1</v>
      </c>
      <c r="H120" s="287">
        <f t="shared" si="30"/>
        <v>4902</v>
      </c>
      <c r="I120" s="290">
        <f t="shared" ref="I120:I131" si="33">D120</f>
        <v>0</v>
      </c>
      <c r="J120" s="291">
        <f t="shared" ref="J120:J131" si="34">E120</f>
        <v>4902</v>
      </c>
      <c r="K120" s="721"/>
    </row>
    <row r="121" spans="1:11">
      <c r="A121" s="307" t="s">
        <v>93</v>
      </c>
      <c r="B121" s="67" t="s">
        <v>360</v>
      </c>
      <c r="C121" s="61" t="s">
        <v>361</v>
      </c>
      <c r="D121" s="744">
        <v>0</v>
      </c>
      <c r="E121" s="382">
        <v>2376</v>
      </c>
      <c r="F121" s="285">
        <f t="shared" si="31"/>
        <v>0</v>
      </c>
      <c r="G121" s="285">
        <f t="shared" si="32"/>
        <v>1</v>
      </c>
      <c r="H121" s="287">
        <f t="shared" si="30"/>
        <v>2376</v>
      </c>
      <c r="I121" s="290">
        <f t="shared" si="33"/>
        <v>0</v>
      </c>
      <c r="J121" s="291">
        <f t="shared" si="34"/>
        <v>2376</v>
      </c>
      <c r="K121" s="721"/>
    </row>
    <row r="122" spans="1:11">
      <c r="A122" s="307" t="s">
        <v>93</v>
      </c>
      <c r="B122" s="67" t="s">
        <v>362</v>
      </c>
      <c r="C122" s="62" t="s">
        <v>363</v>
      </c>
      <c r="D122" s="744">
        <v>0</v>
      </c>
      <c r="E122" s="382">
        <v>0</v>
      </c>
      <c r="F122" s="285" t="str">
        <f t="shared" si="31"/>
        <v>-</v>
      </c>
      <c r="G122" s="285" t="str">
        <f t="shared" si="32"/>
        <v>-</v>
      </c>
      <c r="H122" s="287">
        <f t="shared" si="30"/>
        <v>0</v>
      </c>
      <c r="I122" s="290">
        <f t="shared" si="33"/>
        <v>0</v>
      </c>
      <c r="J122" s="291">
        <f t="shared" si="34"/>
        <v>0</v>
      </c>
      <c r="K122" s="721"/>
    </row>
    <row r="123" spans="1:11">
      <c r="A123" s="307" t="s">
        <v>93</v>
      </c>
      <c r="B123" s="67" t="s">
        <v>364</v>
      </c>
      <c r="C123" s="62" t="s">
        <v>365</v>
      </c>
      <c r="D123" s="744">
        <v>0</v>
      </c>
      <c r="E123" s="382">
        <v>0</v>
      </c>
      <c r="F123" s="285" t="str">
        <f t="shared" si="31"/>
        <v>-</v>
      </c>
      <c r="G123" s="285" t="str">
        <f t="shared" si="32"/>
        <v>-</v>
      </c>
      <c r="H123" s="287">
        <f t="shared" si="30"/>
        <v>0</v>
      </c>
      <c r="I123" s="290">
        <f t="shared" si="33"/>
        <v>0</v>
      </c>
      <c r="J123" s="291">
        <f t="shared" si="34"/>
        <v>0</v>
      </c>
      <c r="K123" s="721"/>
    </row>
    <row r="124" spans="1:11">
      <c r="A124" s="307" t="s">
        <v>366</v>
      </c>
      <c r="B124" s="67" t="s">
        <v>367</v>
      </c>
      <c r="C124" s="62" t="s">
        <v>368</v>
      </c>
      <c r="D124" s="744">
        <v>8006</v>
      </c>
      <c r="E124" s="382">
        <v>20980</v>
      </c>
      <c r="F124" s="285">
        <f t="shared" si="31"/>
        <v>0.27620230456082245</v>
      </c>
      <c r="G124" s="285">
        <f t="shared" si="32"/>
        <v>0.72379769543917749</v>
      </c>
      <c r="H124" s="287">
        <f t="shared" si="30"/>
        <v>28986</v>
      </c>
      <c r="I124" s="290">
        <f t="shared" si="33"/>
        <v>8006</v>
      </c>
      <c r="J124" s="291">
        <f t="shared" si="34"/>
        <v>20980</v>
      </c>
      <c r="K124" s="721"/>
    </row>
    <row r="125" spans="1:11">
      <c r="A125" s="307" t="s">
        <v>369</v>
      </c>
      <c r="B125" s="67" t="s">
        <v>370</v>
      </c>
      <c r="C125" s="62" t="s">
        <v>27</v>
      </c>
      <c r="D125" s="744">
        <v>4466</v>
      </c>
      <c r="E125" s="382">
        <v>20960</v>
      </c>
      <c r="F125" s="285">
        <f t="shared" si="31"/>
        <v>0.17564697553685205</v>
      </c>
      <c r="G125" s="285">
        <f t="shared" si="32"/>
        <v>0.82435302446314795</v>
      </c>
      <c r="H125" s="287">
        <f t="shared" si="30"/>
        <v>25426</v>
      </c>
      <c r="I125" s="290">
        <f t="shared" si="33"/>
        <v>4466</v>
      </c>
      <c r="J125" s="291">
        <f t="shared" si="34"/>
        <v>20960</v>
      </c>
      <c r="K125" s="8"/>
    </row>
    <row r="126" spans="1:11">
      <c r="A126" s="307" t="s">
        <v>371</v>
      </c>
      <c r="B126" s="67" t="s">
        <v>93</v>
      </c>
      <c r="C126" s="62" t="s">
        <v>27</v>
      </c>
      <c r="D126" s="50">
        <v>0</v>
      </c>
      <c r="E126" s="382">
        <v>0</v>
      </c>
      <c r="F126" s="285" t="str">
        <f t="shared" si="31"/>
        <v>-</v>
      </c>
      <c r="G126" s="285" t="str">
        <f t="shared" si="32"/>
        <v>-</v>
      </c>
      <c r="H126" s="287">
        <f t="shared" si="30"/>
        <v>0</v>
      </c>
      <c r="I126" s="290">
        <f t="shared" si="33"/>
        <v>0</v>
      </c>
      <c r="J126" s="291">
        <f t="shared" si="34"/>
        <v>0</v>
      </c>
      <c r="K126" s="17"/>
    </row>
    <row r="127" spans="1:11">
      <c r="A127" s="307" t="s">
        <v>372</v>
      </c>
      <c r="B127" s="67" t="s">
        <v>373</v>
      </c>
      <c r="C127" s="62" t="s">
        <v>374</v>
      </c>
      <c r="D127" s="744">
        <v>0</v>
      </c>
      <c r="E127" s="382">
        <v>-3</v>
      </c>
      <c r="F127" s="285">
        <f t="shared" si="31"/>
        <v>0</v>
      </c>
      <c r="G127" s="285">
        <f t="shared" si="32"/>
        <v>1</v>
      </c>
      <c r="H127" s="287">
        <f t="shared" si="30"/>
        <v>-3</v>
      </c>
      <c r="I127" s="290">
        <f t="shared" si="33"/>
        <v>0</v>
      </c>
      <c r="J127" s="291">
        <f t="shared" si="34"/>
        <v>-3</v>
      </c>
      <c r="K127" s="8"/>
    </row>
    <row r="128" spans="1:11">
      <c r="A128" s="307" t="s">
        <v>375</v>
      </c>
      <c r="B128" s="67" t="s">
        <v>376</v>
      </c>
      <c r="C128" s="62" t="s">
        <v>377</v>
      </c>
      <c r="D128" s="744">
        <v>0</v>
      </c>
      <c r="E128" s="382">
        <v>0</v>
      </c>
      <c r="F128" s="285" t="str">
        <f t="shared" si="31"/>
        <v>-</v>
      </c>
      <c r="G128" s="285" t="str">
        <f t="shared" si="32"/>
        <v>-</v>
      </c>
      <c r="H128" s="287">
        <f t="shared" si="30"/>
        <v>0</v>
      </c>
      <c r="I128" s="290">
        <f t="shared" si="33"/>
        <v>0</v>
      </c>
      <c r="J128" s="291">
        <f t="shared" si="34"/>
        <v>0</v>
      </c>
      <c r="K128" s="8"/>
    </row>
    <row r="129" spans="1:11">
      <c r="A129" s="307" t="s">
        <v>378</v>
      </c>
      <c r="B129" s="67" t="s">
        <v>93</v>
      </c>
      <c r="C129" s="62" t="s">
        <v>379</v>
      </c>
      <c r="D129" s="744">
        <v>-4</v>
      </c>
      <c r="E129" s="382">
        <v>0</v>
      </c>
      <c r="F129" s="285">
        <f t="shared" si="31"/>
        <v>1</v>
      </c>
      <c r="G129" s="285">
        <f t="shared" si="32"/>
        <v>0</v>
      </c>
      <c r="H129" s="287">
        <f t="shared" si="30"/>
        <v>-4</v>
      </c>
      <c r="I129" s="290">
        <f t="shared" si="33"/>
        <v>-4</v>
      </c>
      <c r="J129" s="291">
        <f t="shared" si="34"/>
        <v>0</v>
      </c>
      <c r="K129" s="8"/>
    </row>
    <row r="130" spans="1:11">
      <c r="A130" s="307" t="s">
        <v>380</v>
      </c>
      <c r="B130" s="67" t="s">
        <v>381</v>
      </c>
      <c r="C130" s="62" t="s">
        <v>382</v>
      </c>
      <c r="D130" s="744">
        <v>0</v>
      </c>
      <c r="E130" s="382">
        <v>-11001</v>
      </c>
      <c r="F130" s="285">
        <f t="shared" si="31"/>
        <v>0</v>
      </c>
      <c r="G130" s="285">
        <f t="shared" si="32"/>
        <v>1</v>
      </c>
      <c r="H130" s="287">
        <f t="shared" si="30"/>
        <v>-11001</v>
      </c>
      <c r="I130" s="290">
        <f t="shared" si="33"/>
        <v>0</v>
      </c>
      <c r="J130" s="291">
        <f t="shared" si="34"/>
        <v>-11001</v>
      </c>
      <c r="K130" s="8"/>
    </row>
    <row r="131" spans="1:11">
      <c r="A131" s="307" t="s">
        <v>383</v>
      </c>
      <c r="B131" s="67" t="s">
        <v>384</v>
      </c>
      <c r="C131" s="62" t="s">
        <v>385</v>
      </c>
      <c r="D131" s="744">
        <v>-39712</v>
      </c>
      <c r="E131" s="382">
        <v>3996</v>
      </c>
      <c r="F131" s="285">
        <f t="shared" si="31"/>
        <v>1.1118826296337776</v>
      </c>
      <c r="G131" s="285">
        <f t="shared" si="32"/>
        <v>-0.11188262963377758</v>
      </c>
      <c r="H131" s="287">
        <f t="shared" si="30"/>
        <v>-35716</v>
      </c>
      <c r="I131" s="290">
        <f t="shared" si="33"/>
        <v>-39712</v>
      </c>
      <c r="J131" s="291">
        <f t="shared" si="34"/>
        <v>3996</v>
      </c>
      <c r="K131" s="610"/>
    </row>
    <row r="132" spans="1:11" ht="25.5">
      <c r="A132" s="307"/>
      <c r="B132" s="67"/>
      <c r="C132" s="115" t="s">
        <v>386</v>
      </c>
      <c r="D132" s="744">
        <v>0</v>
      </c>
      <c r="E132" s="382">
        <v>0</v>
      </c>
      <c r="F132" s="285" t="str">
        <f t="shared" si="31"/>
        <v>-</v>
      </c>
      <c r="G132" s="285" t="str">
        <f t="shared" si="32"/>
        <v>-</v>
      </c>
      <c r="H132" s="287">
        <f t="shared" ref="H132:H137" si="35">(E132+D132)</f>
        <v>0</v>
      </c>
      <c r="I132" s="290">
        <f>(76000+9000+35000+5170.8+6000)/3</f>
        <v>43723.6</v>
      </c>
      <c r="J132" s="812">
        <f>(124000+9000+19486.2+35000+6000)/3</f>
        <v>64495.4</v>
      </c>
      <c r="K132" s="810" t="s">
        <v>387</v>
      </c>
    </row>
    <row r="133" spans="1:11">
      <c r="A133" s="307"/>
      <c r="B133" s="67"/>
      <c r="C133" s="115" t="s">
        <v>93</v>
      </c>
      <c r="D133" s="744">
        <v>0</v>
      </c>
      <c r="E133" s="382">
        <v>0</v>
      </c>
      <c r="F133" s="285" t="str">
        <f t="shared" si="31"/>
        <v>-</v>
      </c>
      <c r="G133" s="285" t="str">
        <f t="shared" si="32"/>
        <v>-</v>
      </c>
      <c r="H133" s="287">
        <f t="shared" si="35"/>
        <v>0</v>
      </c>
      <c r="I133" s="290">
        <f t="shared" ref="I133:I137" si="36">D133</f>
        <v>0</v>
      </c>
      <c r="J133" s="291">
        <f t="shared" ref="J133:J137" si="37">E133</f>
        <v>0</v>
      </c>
      <c r="K133" s="721"/>
    </row>
    <row r="134" spans="1:11">
      <c r="A134" s="307"/>
      <c r="B134" s="67"/>
      <c r="C134" s="115" t="s">
        <v>93</v>
      </c>
      <c r="D134" s="28">
        <v>0</v>
      </c>
      <c r="E134" s="53">
        <v>0</v>
      </c>
      <c r="F134" s="285" t="str">
        <f t="shared" si="31"/>
        <v>-</v>
      </c>
      <c r="G134" s="285" t="str">
        <f t="shared" si="32"/>
        <v>-</v>
      </c>
      <c r="H134" s="287">
        <f t="shared" si="35"/>
        <v>0</v>
      </c>
      <c r="I134" s="290">
        <f t="shared" si="36"/>
        <v>0</v>
      </c>
      <c r="J134" s="291">
        <f t="shared" si="37"/>
        <v>0</v>
      </c>
      <c r="K134" s="721"/>
    </row>
    <row r="135" spans="1:11">
      <c r="A135" s="307"/>
      <c r="B135" s="67"/>
      <c r="C135" s="115" t="s">
        <v>93</v>
      </c>
      <c r="D135" s="28">
        <v>0</v>
      </c>
      <c r="E135" s="53">
        <v>0</v>
      </c>
      <c r="F135" s="285" t="str">
        <f t="shared" si="31"/>
        <v>-</v>
      </c>
      <c r="G135" s="285" t="str">
        <f t="shared" si="32"/>
        <v>-</v>
      </c>
      <c r="H135" s="287">
        <f t="shared" si="35"/>
        <v>0</v>
      </c>
      <c r="I135" s="290">
        <f t="shared" si="36"/>
        <v>0</v>
      </c>
      <c r="J135" s="291">
        <f t="shared" si="37"/>
        <v>0</v>
      </c>
      <c r="K135" s="721"/>
    </row>
    <row r="136" spans="1:11">
      <c r="A136" s="307"/>
      <c r="B136" s="67"/>
      <c r="C136" s="115" t="s">
        <v>93</v>
      </c>
      <c r="D136" s="28">
        <v>0</v>
      </c>
      <c r="E136" s="53">
        <v>0</v>
      </c>
      <c r="F136" s="285" t="str">
        <f t="shared" si="31"/>
        <v>-</v>
      </c>
      <c r="G136" s="285" t="str">
        <f t="shared" si="32"/>
        <v>-</v>
      </c>
      <c r="H136" s="287">
        <f t="shared" si="35"/>
        <v>0</v>
      </c>
      <c r="I136" s="290">
        <f t="shared" si="36"/>
        <v>0</v>
      </c>
      <c r="J136" s="291">
        <f t="shared" si="37"/>
        <v>0</v>
      </c>
      <c r="K136" s="721"/>
    </row>
    <row r="137" spans="1:11">
      <c r="A137" s="307"/>
      <c r="B137" s="67"/>
      <c r="C137" s="115" t="s">
        <v>93</v>
      </c>
      <c r="D137" s="323">
        <v>0</v>
      </c>
      <c r="E137" s="52">
        <v>0</v>
      </c>
      <c r="F137" s="335" t="str">
        <f t="shared" si="31"/>
        <v>-</v>
      </c>
      <c r="G137" s="326" t="str">
        <f t="shared" si="32"/>
        <v>-</v>
      </c>
      <c r="H137" s="331">
        <f t="shared" si="35"/>
        <v>0</v>
      </c>
      <c r="I137" s="332">
        <f t="shared" si="36"/>
        <v>0</v>
      </c>
      <c r="J137" s="330">
        <f t="shared" si="37"/>
        <v>0</v>
      </c>
      <c r="K137" s="776"/>
    </row>
    <row r="138" spans="1:11">
      <c r="A138" s="310"/>
      <c r="B138" s="182"/>
      <c r="C138" s="191" t="s">
        <v>29</v>
      </c>
      <c r="D138" s="183">
        <f>SUM(D119:D137)</f>
        <v>-27244</v>
      </c>
      <c r="E138" s="183">
        <f>SUM(E119:E137)</f>
        <v>42210</v>
      </c>
      <c r="F138" s="187"/>
      <c r="G138" s="181"/>
      <c r="H138" s="188">
        <f>SUM(H119:H137)</f>
        <v>14966</v>
      </c>
      <c r="I138" s="189">
        <f>SUM(I119:I137)</f>
        <v>16479.599999999999</v>
      </c>
      <c r="J138" s="184">
        <f>SUM(J119:J137)</f>
        <v>106705.4</v>
      </c>
      <c r="K138" s="775"/>
    </row>
    <row r="139" spans="1:11">
      <c r="A139" s="306"/>
      <c r="C139" s="105"/>
      <c r="D139" s="45"/>
      <c r="E139" s="45"/>
      <c r="F139" s="7"/>
      <c r="H139" s="46"/>
      <c r="I139" s="47"/>
      <c r="J139" s="48"/>
      <c r="K139" s="721"/>
    </row>
    <row r="140" spans="1:11">
      <c r="A140" s="306"/>
      <c r="C140" s="66" t="s">
        <v>388</v>
      </c>
      <c r="D140" s="26"/>
      <c r="E140" s="52"/>
      <c r="F140" s="4"/>
      <c r="G140" s="4"/>
      <c r="H140" s="24"/>
      <c r="I140" s="18"/>
      <c r="J140" s="12"/>
      <c r="K140" s="721"/>
    </row>
    <row r="141" spans="1:11">
      <c r="A141" s="307" t="s">
        <v>389</v>
      </c>
      <c r="B141" s="67"/>
      <c r="C141" s="55" t="s">
        <v>390</v>
      </c>
      <c r="D141" s="35">
        <v>1764</v>
      </c>
      <c r="E141" s="382">
        <v>0</v>
      </c>
      <c r="F141" s="285">
        <f>IFERROR(D141/(E141+D141),"-")</f>
        <v>1</v>
      </c>
      <c r="G141" s="285">
        <f>IFERROR(E141/(D141+E141),"-")</f>
        <v>0</v>
      </c>
      <c r="H141" s="287">
        <f>(E141+D141)</f>
        <v>1764</v>
      </c>
      <c r="I141" s="290">
        <f>D141</f>
        <v>1764</v>
      </c>
      <c r="J141" s="291">
        <f>E141</f>
        <v>0</v>
      </c>
      <c r="K141" s="721"/>
    </row>
    <row r="142" spans="1:11">
      <c r="A142" s="307" t="s">
        <v>391</v>
      </c>
      <c r="B142" s="67" t="s">
        <v>392</v>
      </c>
      <c r="C142" s="56" t="s">
        <v>393</v>
      </c>
      <c r="D142" s="35">
        <v>466097</v>
      </c>
      <c r="E142" s="382">
        <v>205951</v>
      </c>
      <c r="F142" s="285">
        <f t="shared" ref="F142:F172" si="38">IFERROR(D142/(E142+D142),"-")</f>
        <v>0.69354718710568297</v>
      </c>
      <c r="G142" s="285">
        <f t="shared" ref="G142:G172" si="39">IFERROR(E142/(D142+E142),"-")</f>
        <v>0.30645281289431708</v>
      </c>
      <c r="H142" s="287">
        <f t="shared" ref="H142:H166" si="40">(E142+D142)</f>
        <v>672048</v>
      </c>
      <c r="I142" s="290">
        <f>D142+7433.33</f>
        <v>473530.33</v>
      </c>
      <c r="J142" s="291">
        <f>E142</f>
        <v>205951</v>
      </c>
      <c r="K142" s="721" t="s">
        <v>394</v>
      </c>
    </row>
    <row r="143" spans="1:11">
      <c r="A143" s="307" t="s">
        <v>395</v>
      </c>
      <c r="B143" s="67"/>
      <c r="C143" s="56" t="s">
        <v>396</v>
      </c>
      <c r="D143" s="35">
        <v>86689</v>
      </c>
      <c r="E143" s="382">
        <v>0</v>
      </c>
      <c r="F143" s="285">
        <f t="shared" si="38"/>
        <v>1</v>
      </c>
      <c r="G143" s="285">
        <f t="shared" si="39"/>
        <v>0</v>
      </c>
      <c r="H143" s="287">
        <f t="shared" si="40"/>
        <v>86689</v>
      </c>
      <c r="I143" s="290">
        <f t="shared" ref="I143:I166" si="41">D143</f>
        <v>86689</v>
      </c>
      <c r="J143" s="291">
        <f t="shared" ref="J143:J166" si="42">E143</f>
        <v>0</v>
      </c>
      <c r="K143" s="721"/>
    </row>
    <row r="144" spans="1:11">
      <c r="A144" s="307" t="s">
        <v>397</v>
      </c>
      <c r="B144" s="67" t="s">
        <v>398</v>
      </c>
      <c r="C144" s="55" t="s">
        <v>399</v>
      </c>
      <c r="D144" s="35">
        <v>86600</v>
      </c>
      <c r="E144" s="382">
        <v>133962</v>
      </c>
      <c r="F144" s="285">
        <f t="shared" si="38"/>
        <v>0.39263336386140857</v>
      </c>
      <c r="G144" s="285">
        <f t="shared" si="39"/>
        <v>0.60736663613859143</v>
      </c>
      <c r="H144" s="287">
        <f t="shared" si="40"/>
        <v>220562</v>
      </c>
      <c r="I144" s="290">
        <f t="shared" si="41"/>
        <v>86600</v>
      </c>
      <c r="J144" s="291">
        <f t="shared" si="42"/>
        <v>133962</v>
      </c>
      <c r="K144" s="610"/>
    </row>
    <row r="145" spans="1:11">
      <c r="A145" s="307" t="s">
        <v>400</v>
      </c>
      <c r="B145" s="67" t="s">
        <v>401</v>
      </c>
      <c r="C145" s="56" t="s">
        <v>402</v>
      </c>
      <c r="D145" s="35">
        <v>0</v>
      </c>
      <c r="E145" s="382">
        <v>420299</v>
      </c>
      <c r="F145" s="285">
        <f t="shared" si="38"/>
        <v>0</v>
      </c>
      <c r="G145" s="285">
        <f t="shared" si="39"/>
        <v>1</v>
      </c>
      <c r="H145" s="287">
        <f t="shared" si="40"/>
        <v>420299</v>
      </c>
      <c r="I145" s="290">
        <f t="shared" si="41"/>
        <v>0</v>
      </c>
      <c r="J145" s="291">
        <f t="shared" si="42"/>
        <v>420299</v>
      </c>
      <c r="K145" s="610"/>
    </row>
    <row r="146" spans="1:11" ht="25.5">
      <c r="A146" s="307" t="s">
        <v>403</v>
      </c>
      <c r="B146" s="67" t="s">
        <v>404</v>
      </c>
      <c r="C146" s="57" t="s">
        <v>405</v>
      </c>
      <c r="D146" s="35">
        <v>931730</v>
      </c>
      <c r="E146" s="382">
        <v>1112300</v>
      </c>
      <c r="F146" s="285">
        <f t="shared" si="38"/>
        <v>0.45582990464914896</v>
      </c>
      <c r="G146" s="285">
        <f t="shared" si="39"/>
        <v>0.54417009535085104</v>
      </c>
      <c r="H146" s="287">
        <f t="shared" si="40"/>
        <v>2044030</v>
      </c>
      <c r="I146" s="290">
        <f>D146+55215.77</f>
        <v>986945.77</v>
      </c>
      <c r="J146" s="291">
        <f>E146+34266.84+77772.04</f>
        <v>1224338.8800000001</v>
      </c>
      <c r="K146" s="782" t="s">
        <v>406</v>
      </c>
    </row>
    <row r="147" spans="1:11">
      <c r="A147" s="307" t="s">
        <v>407</v>
      </c>
      <c r="B147" s="67" t="s">
        <v>408</v>
      </c>
      <c r="C147" s="56" t="s">
        <v>409</v>
      </c>
      <c r="D147" s="35">
        <v>12441</v>
      </c>
      <c r="E147" s="804">
        <v>62241</v>
      </c>
      <c r="F147" s="285">
        <f t="shared" si="38"/>
        <v>0.1665863260223347</v>
      </c>
      <c r="G147" s="285">
        <f t="shared" si="39"/>
        <v>0.8334136739776653</v>
      </c>
      <c r="H147" s="287">
        <f t="shared" si="40"/>
        <v>74682</v>
      </c>
      <c r="I147" s="290">
        <f>D147+122614.47</f>
        <v>135055.47</v>
      </c>
      <c r="J147" s="291">
        <f>E147+188269.08</f>
        <v>250510.07999999999</v>
      </c>
      <c r="K147" s="610" t="s">
        <v>410</v>
      </c>
    </row>
    <row r="148" spans="1:11">
      <c r="A148" s="307" t="s">
        <v>411</v>
      </c>
      <c r="B148" s="67" t="s">
        <v>412</v>
      </c>
      <c r="C148" s="56" t="s">
        <v>413</v>
      </c>
      <c r="D148" s="35">
        <v>241093</v>
      </c>
      <c r="E148" s="382">
        <v>337967</v>
      </c>
      <c r="F148" s="285">
        <f t="shared" si="38"/>
        <v>0.41635236417642385</v>
      </c>
      <c r="G148" s="285">
        <f t="shared" si="39"/>
        <v>0.58364763582357615</v>
      </c>
      <c r="H148" s="287">
        <f t="shared" si="40"/>
        <v>579060</v>
      </c>
      <c r="I148" s="290">
        <f>D148+37845.39</f>
        <v>278938.39</v>
      </c>
      <c r="J148" s="291">
        <f t="shared" si="42"/>
        <v>337967</v>
      </c>
      <c r="K148" s="721" t="s">
        <v>394</v>
      </c>
    </row>
    <row r="149" spans="1:11">
      <c r="A149" s="307" t="s">
        <v>414</v>
      </c>
      <c r="B149" s="67" t="s">
        <v>415</v>
      </c>
      <c r="C149" s="56" t="s">
        <v>416</v>
      </c>
      <c r="D149" s="35">
        <v>67295</v>
      </c>
      <c r="E149" s="382">
        <v>973066</v>
      </c>
      <c r="F149" s="285">
        <f t="shared" si="38"/>
        <v>6.4684277861242395E-2</v>
      </c>
      <c r="G149" s="285">
        <f t="shared" si="39"/>
        <v>0.93531572213875758</v>
      </c>
      <c r="H149" s="287">
        <f t="shared" si="40"/>
        <v>1040361</v>
      </c>
      <c r="I149" s="290">
        <f t="shared" si="41"/>
        <v>67295</v>
      </c>
      <c r="J149" s="291">
        <f t="shared" si="42"/>
        <v>973066</v>
      </c>
      <c r="K149" s="610"/>
    </row>
    <row r="150" spans="1:11">
      <c r="A150" s="307" t="s">
        <v>417</v>
      </c>
      <c r="B150" s="67" t="s">
        <v>418</v>
      </c>
      <c r="C150" s="57" t="s">
        <v>419</v>
      </c>
      <c r="D150" s="35">
        <v>1661</v>
      </c>
      <c r="E150" s="382">
        <v>179775</v>
      </c>
      <c r="F150" s="285">
        <f t="shared" si="38"/>
        <v>9.154743270354284E-3</v>
      </c>
      <c r="G150" s="285">
        <f t="shared" si="39"/>
        <v>0.99084525672964574</v>
      </c>
      <c r="H150" s="287">
        <f t="shared" si="40"/>
        <v>181436</v>
      </c>
      <c r="I150" s="290">
        <f t="shared" si="41"/>
        <v>1661</v>
      </c>
      <c r="J150" s="291">
        <f>E150+162380</f>
        <v>342155</v>
      </c>
      <c r="K150" s="610" t="s">
        <v>420</v>
      </c>
    </row>
    <row r="151" spans="1:11" ht="25.5">
      <c r="A151" s="307" t="s">
        <v>421</v>
      </c>
      <c r="B151" s="67" t="s">
        <v>422</v>
      </c>
      <c r="C151" s="56" t="s">
        <v>423</v>
      </c>
      <c r="D151" s="35">
        <v>0</v>
      </c>
      <c r="E151" s="382">
        <v>114119</v>
      </c>
      <c r="F151" s="285">
        <f t="shared" si="38"/>
        <v>0</v>
      </c>
      <c r="G151" s="285">
        <f t="shared" si="39"/>
        <v>1</v>
      </c>
      <c r="H151" s="287">
        <f t="shared" si="40"/>
        <v>114119</v>
      </c>
      <c r="I151" s="290">
        <f t="shared" si="41"/>
        <v>0</v>
      </c>
      <c r="J151" s="291">
        <f>E151+8775.2+4206.74</f>
        <v>127100.94</v>
      </c>
      <c r="K151" s="782" t="s">
        <v>406</v>
      </c>
    </row>
    <row r="152" spans="1:11">
      <c r="A152" s="307" t="s">
        <v>424</v>
      </c>
      <c r="B152" s="67" t="s">
        <v>425</v>
      </c>
      <c r="C152" s="56" t="s">
        <v>426</v>
      </c>
      <c r="D152" s="35">
        <v>0</v>
      </c>
      <c r="E152" s="382">
        <v>12</v>
      </c>
      <c r="F152" s="285">
        <f t="shared" si="38"/>
        <v>0</v>
      </c>
      <c r="G152" s="285">
        <f t="shared" si="39"/>
        <v>1</v>
      </c>
      <c r="H152" s="287">
        <f t="shared" si="40"/>
        <v>12</v>
      </c>
      <c r="I152" s="290">
        <f t="shared" si="41"/>
        <v>0</v>
      </c>
      <c r="J152" s="291">
        <f t="shared" si="42"/>
        <v>12</v>
      </c>
      <c r="K152" s="610"/>
    </row>
    <row r="153" spans="1:11">
      <c r="A153" s="307" t="s">
        <v>427</v>
      </c>
      <c r="B153" s="67" t="s">
        <v>428</v>
      </c>
      <c r="C153" s="56" t="s">
        <v>429</v>
      </c>
      <c r="D153" s="35">
        <v>14772</v>
      </c>
      <c r="E153" s="382">
        <v>123372</v>
      </c>
      <c r="F153" s="285">
        <f t="shared" si="38"/>
        <v>0.10693189715079916</v>
      </c>
      <c r="G153" s="285">
        <f t="shared" si="39"/>
        <v>0.8930681028492008</v>
      </c>
      <c r="H153" s="287">
        <f t="shared" si="40"/>
        <v>138144</v>
      </c>
      <c r="I153" s="290">
        <f>D153+22230.34</f>
        <v>37002.339999999997</v>
      </c>
      <c r="J153" s="291">
        <f>E153+73451.81</f>
        <v>196823.81</v>
      </c>
      <c r="K153" s="610" t="s">
        <v>430</v>
      </c>
    </row>
    <row r="154" spans="1:11">
      <c r="A154" s="307" t="s">
        <v>431</v>
      </c>
      <c r="B154" s="67" t="s">
        <v>432</v>
      </c>
      <c r="C154" s="56" t="s">
        <v>433</v>
      </c>
      <c r="D154" s="35">
        <v>3278</v>
      </c>
      <c r="E154" s="382">
        <v>68319</v>
      </c>
      <c r="F154" s="285">
        <f t="shared" si="38"/>
        <v>4.5784041230777825E-2</v>
      </c>
      <c r="G154" s="285">
        <f t="shared" si="39"/>
        <v>0.95421595876922216</v>
      </c>
      <c r="H154" s="287">
        <f t="shared" si="40"/>
        <v>71597</v>
      </c>
      <c r="I154" s="290">
        <f t="shared" si="41"/>
        <v>3278</v>
      </c>
      <c r="J154" s="291">
        <f t="shared" si="42"/>
        <v>68319</v>
      </c>
      <c r="K154" s="610"/>
    </row>
    <row r="155" spans="1:11">
      <c r="A155" s="307" t="s">
        <v>434</v>
      </c>
      <c r="B155" s="67" t="s">
        <v>435</v>
      </c>
      <c r="C155" s="56" t="s">
        <v>436</v>
      </c>
      <c r="D155" s="35">
        <v>0</v>
      </c>
      <c r="E155" s="382">
        <v>0</v>
      </c>
      <c r="F155" s="285" t="str">
        <f t="shared" si="38"/>
        <v>-</v>
      </c>
      <c r="G155" s="285" t="str">
        <f t="shared" si="39"/>
        <v>-</v>
      </c>
      <c r="H155" s="287">
        <f t="shared" si="40"/>
        <v>0</v>
      </c>
      <c r="I155" s="290">
        <f t="shared" si="41"/>
        <v>0</v>
      </c>
      <c r="J155" s="291">
        <f t="shared" si="42"/>
        <v>0</v>
      </c>
      <c r="K155" s="610"/>
    </row>
    <row r="156" spans="1:11">
      <c r="A156" s="307" t="s">
        <v>437</v>
      </c>
      <c r="B156" s="67" t="s">
        <v>438</v>
      </c>
      <c r="C156" s="57" t="s">
        <v>439</v>
      </c>
      <c r="D156" s="35">
        <v>1092</v>
      </c>
      <c r="E156" s="382">
        <v>606</v>
      </c>
      <c r="F156" s="285">
        <f t="shared" si="38"/>
        <v>0.64310954063604242</v>
      </c>
      <c r="G156" s="285">
        <f t="shared" si="39"/>
        <v>0.35689045936395758</v>
      </c>
      <c r="H156" s="287">
        <f t="shared" si="40"/>
        <v>1698</v>
      </c>
      <c r="I156" s="290">
        <f t="shared" si="41"/>
        <v>1092</v>
      </c>
      <c r="J156" s="291">
        <f t="shared" si="42"/>
        <v>606</v>
      </c>
      <c r="K156" s="610"/>
    </row>
    <row r="157" spans="1:11">
      <c r="A157" s="307" t="s">
        <v>440</v>
      </c>
      <c r="B157" s="67" t="s">
        <v>441</v>
      </c>
      <c r="C157" s="55" t="s">
        <v>442</v>
      </c>
      <c r="D157" s="35">
        <v>0</v>
      </c>
      <c r="E157" s="382">
        <v>0</v>
      </c>
      <c r="F157" s="285" t="str">
        <f t="shared" si="38"/>
        <v>-</v>
      </c>
      <c r="G157" s="285" t="str">
        <f t="shared" si="39"/>
        <v>-</v>
      </c>
      <c r="H157" s="287">
        <f t="shared" si="40"/>
        <v>0</v>
      </c>
      <c r="I157" s="290">
        <f t="shared" si="41"/>
        <v>0</v>
      </c>
      <c r="J157" s="291">
        <f t="shared" si="42"/>
        <v>0</v>
      </c>
      <c r="K157" s="610"/>
    </row>
    <row r="158" spans="1:11">
      <c r="A158" s="307" t="s">
        <v>443</v>
      </c>
      <c r="B158" s="67" t="s">
        <v>441</v>
      </c>
      <c r="C158" s="55" t="s">
        <v>444</v>
      </c>
      <c r="D158" s="35">
        <v>950</v>
      </c>
      <c r="E158" s="382">
        <v>0</v>
      </c>
      <c r="F158" s="285">
        <f t="shared" si="38"/>
        <v>1</v>
      </c>
      <c r="G158" s="285">
        <f t="shared" si="39"/>
        <v>0</v>
      </c>
      <c r="H158" s="287">
        <f t="shared" si="40"/>
        <v>950</v>
      </c>
      <c r="I158" s="290">
        <f t="shared" si="41"/>
        <v>950</v>
      </c>
      <c r="J158" s="291">
        <f t="shared" si="42"/>
        <v>0</v>
      </c>
      <c r="K158" s="610"/>
    </row>
    <row r="159" spans="1:11">
      <c r="A159" s="307" t="s">
        <v>445</v>
      </c>
      <c r="B159" s="67" t="s">
        <v>446</v>
      </c>
      <c r="C159" s="56" t="s">
        <v>447</v>
      </c>
      <c r="D159" s="35">
        <v>2814</v>
      </c>
      <c r="E159" s="382">
        <v>21250</v>
      </c>
      <c r="F159" s="285">
        <f t="shared" si="38"/>
        <v>0.11693816489361702</v>
      </c>
      <c r="G159" s="285">
        <f t="shared" si="39"/>
        <v>0.88306183510638303</v>
      </c>
      <c r="H159" s="287">
        <f t="shared" si="40"/>
        <v>24064</v>
      </c>
      <c r="I159" s="290">
        <f t="shared" si="41"/>
        <v>2814</v>
      </c>
      <c r="J159" s="291">
        <f t="shared" si="42"/>
        <v>21250</v>
      </c>
      <c r="K159" s="610"/>
    </row>
    <row r="160" spans="1:11">
      <c r="A160" s="307" t="s">
        <v>448</v>
      </c>
      <c r="B160" s="67" t="s">
        <v>449</v>
      </c>
      <c r="C160" s="58" t="s">
        <v>450</v>
      </c>
      <c r="D160" s="35">
        <v>0</v>
      </c>
      <c r="E160" s="382">
        <v>0</v>
      </c>
      <c r="F160" s="285" t="str">
        <f t="shared" si="38"/>
        <v>-</v>
      </c>
      <c r="G160" s="285" t="str">
        <f t="shared" si="39"/>
        <v>-</v>
      </c>
      <c r="H160" s="287">
        <f t="shared" si="40"/>
        <v>0</v>
      </c>
      <c r="I160" s="290">
        <f t="shared" si="41"/>
        <v>0</v>
      </c>
      <c r="J160" s="291">
        <f t="shared" si="42"/>
        <v>0</v>
      </c>
      <c r="K160" s="610"/>
    </row>
    <row r="161" spans="1:14">
      <c r="A161" s="307" t="s">
        <v>93</v>
      </c>
      <c r="B161" s="67" t="s">
        <v>451</v>
      </c>
      <c r="C161" s="59" t="s">
        <v>393</v>
      </c>
      <c r="D161" s="35">
        <v>0</v>
      </c>
      <c r="E161" s="382">
        <v>0</v>
      </c>
      <c r="F161" s="285" t="str">
        <f t="shared" si="38"/>
        <v>-</v>
      </c>
      <c r="G161" s="285" t="str">
        <f t="shared" si="39"/>
        <v>-</v>
      </c>
      <c r="H161" s="287">
        <f t="shared" si="40"/>
        <v>0</v>
      </c>
      <c r="I161" s="290">
        <f t="shared" si="41"/>
        <v>0</v>
      </c>
      <c r="J161" s="291">
        <f>E161+123171.44</f>
        <v>123171.44</v>
      </c>
      <c r="K161" s="610" t="s">
        <v>452</v>
      </c>
    </row>
    <row r="162" spans="1:14">
      <c r="A162" s="307"/>
      <c r="B162" s="67" t="s">
        <v>453</v>
      </c>
      <c r="C162" s="59" t="s">
        <v>454</v>
      </c>
      <c r="D162" s="35">
        <v>0</v>
      </c>
      <c r="E162" s="382">
        <v>5988</v>
      </c>
      <c r="F162" s="285">
        <f t="shared" si="38"/>
        <v>0</v>
      </c>
      <c r="G162" s="285">
        <f t="shared" si="39"/>
        <v>1</v>
      </c>
      <c r="H162" s="287">
        <f t="shared" si="40"/>
        <v>5988</v>
      </c>
      <c r="I162" s="290">
        <f t="shared" si="41"/>
        <v>0</v>
      </c>
      <c r="J162" s="291">
        <f t="shared" si="42"/>
        <v>5988</v>
      </c>
      <c r="K162" s="610"/>
    </row>
    <row r="163" spans="1:14">
      <c r="A163" s="307"/>
      <c r="B163" s="67" t="s">
        <v>455</v>
      </c>
      <c r="C163" s="59" t="s">
        <v>456</v>
      </c>
      <c r="D163" s="35">
        <v>0</v>
      </c>
      <c r="E163" s="382">
        <v>4116</v>
      </c>
      <c r="F163" s="285">
        <f t="shared" si="38"/>
        <v>0</v>
      </c>
      <c r="G163" s="285">
        <f t="shared" si="39"/>
        <v>1</v>
      </c>
      <c r="H163" s="287">
        <f t="shared" si="40"/>
        <v>4116</v>
      </c>
      <c r="I163" s="290">
        <f t="shared" si="41"/>
        <v>0</v>
      </c>
      <c r="J163" s="291">
        <f t="shared" si="42"/>
        <v>4116</v>
      </c>
      <c r="K163" s="610"/>
    </row>
    <row r="164" spans="1:14">
      <c r="A164" s="307"/>
      <c r="B164" s="67" t="s">
        <v>457</v>
      </c>
      <c r="C164" s="59" t="s">
        <v>458</v>
      </c>
      <c r="D164" s="35">
        <v>0</v>
      </c>
      <c r="E164" s="382">
        <v>0</v>
      </c>
      <c r="F164" s="285" t="str">
        <f t="shared" si="38"/>
        <v>-</v>
      </c>
      <c r="G164" s="285" t="str">
        <f t="shared" si="39"/>
        <v>-</v>
      </c>
      <c r="H164" s="287">
        <f t="shared" si="40"/>
        <v>0</v>
      </c>
      <c r="I164" s="290">
        <f t="shared" si="41"/>
        <v>0</v>
      </c>
      <c r="J164" s="291">
        <f t="shared" si="42"/>
        <v>0</v>
      </c>
      <c r="K164" s="610"/>
    </row>
    <row r="165" spans="1:14">
      <c r="A165" s="307"/>
      <c r="B165" s="67" t="s">
        <v>459</v>
      </c>
      <c r="C165" s="59" t="s">
        <v>460</v>
      </c>
      <c r="D165" s="35">
        <v>0</v>
      </c>
      <c r="E165" s="382">
        <v>0</v>
      </c>
      <c r="F165" s="285" t="str">
        <f t="shared" si="38"/>
        <v>-</v>
      </c>
      <c r="G165" s="285" t="str">
        <f t="shared" si="39"/>
        <v>-</v>
      </c>
      <c r="H165" s="287">
        <f t="shared" si="40"/>
        <v>0</v>
      </c>
      <c r="I165" s="290">
        <f t="shared" si="41"/>
        <v>0</v>
      </c>
      <c r="J165" s="291">
        <f t="shared" si="42"/>
        <v>0</v>
      </c>
      <c r="K165" s="610"/>
    </row>
    <row r="166" spans="1:14">
      <c r="A166" s="307"/>
      <c r="B166" s="67" t="s">
        <v>461</v>
      </c>
      <c r="C166" s="59" t="s">
        <v>462</v>
      </c>
      <c r="D166" s="35">
        <v>0</v>
      </c>
      <c r="E166" s="382">
        <v>6</v>
      </c>
      <c r="F166" s="285">
        <f t="shared" si="38"/>
        <v>0</v>
      </c>
      <c r="G166" s="285">
        <f t="shared" si="39"/>
        <v>1</v>
      </c>
      <c r="H166" s="287">
        <f t="shared" si="40"/>
        <v>6</v>
      </c>
      <c r="I166" s="290">
        <f t="shared" si="41"/>
        <v>0</v>
      </c>
      <c r="J166" s="291">
        <f t="shared" si="42"/>
        <v>6</v>
      </c>
      <c r="K166" s="610"/>
    </row>
    <row r="167" spans="1:14">
      <c r="A167" s="307"/>
      <c r="B167" s="67"/>
      <c r="C167" s="115" t="s">
        <v>93</v>
      </c>
      <c r="D167" s="35">
        <v>0</v>
      </c>
      <c r="E167" s="382">
        <v>0</v>
      </c>
      <c r="F167" s="285" t="str">
        <f t="shared" si="38"/>
        <v>-</v>
      </c>
      <c r="G167" s="285" t="str">
        <f t="shared" si="39"/>
        <v>-</v>
      </c>
      <c r="H167" s="287">
        <f t="shared" ref="H167:H172" si="43">(E167+D167)</f>
        <v>0</v>
      </c>
      <c r="I167" s="290">
        <f t="shared" ref="I167:I172" si="44">D167</f>
        <v>0</v>
      </c>
      <c r="J167" s="291">
        <f t="shared" ref="J167:J172" si="45">E167</f>
        <v>0</v>
      </c>
      <c r="K167" s="721"/>
    </row>
    <row r="168" spans="1:14">
      <c r="A168" s="307"/>
      <c r="B168" s="67"/>
      <c r="C168" s="115" t="s">
        <v>93</v>
      </c>
      <c r="D168" s="35">
        <v>0</v>
      </c>
      <c r="E168" s="382">
        <v>0</v>
      </c>
      <c r="F168" s="285" t="str">
        <f t="shared" si="38"/>
        <v>-</v>
      </c>
      <c r="G168" s="285" t="str">
        <f t="shared" si="39"/>
        <v>-</v>
      </c>
      <c r="H168" s="287">
        <f t="shared" si="43"/>
        <v>0</v>
      </c>
      <c r="I168" s="290">
        <f t="shared" si="44"/>
        <v>0</v>
      </c>
      <c r="J168" s="291">
        <f t="shared" si="45"/>
        <v>0</v>
      </c>
      <c r="K168" s="721"/>
    </row>
    <row r="169" spans="1:14">
      <c r="A169" s="307"/>
      <c r="B169" s="67"/>
      <c r="C169" s="115" t="s">
        <v>93</v>
      </c>
      <c r="D169" s="35">
        <v>0</v>
      </c>
      <c r="E169" s="53">
        <v>0</v>
      </c>
      <c r="F169" s="285" t="str">
        <f t="shared" si="38"/>
        <v>-</v>
      </c>
      <c r="G169" s="285" t="str">
        <f t="shared" si="39"/>
        <v>-</v>
      </c>
      <c r="H169" s="287">
        <f t="shared" si="43"/>
        <v>0</v>
      </c>
      <c r="I169" s="290">
        <f t="shared" si="44"/>
        <v>0</v>
      </c>
      <c r="J169" s="291">
        <f t="shared" si="45"/>
        <v>0</v>
      </c>
      <c r="K169" s="721"/>
    </row>
    <row r="170" spans="1:14">
      <c r="A170" s="307"/>
      <c r="B170" s="67"/>
      <c r="C170" s="115" t="s">
        <v>93</v>
      </c>
      <c r="D170" s="35">
        <v>0</v>
      </c>
      <c r="E170" s="53">
        <v>0</v>
      </c>
      <c r="F170" s="285" t="str">
        <f t="shared" si="38"/>
        <v>-</v>
      </c>
      <c r="G170" s="285" t="str">
        <f t="shared" si="39"/>
        <v>-</v>
      </c>
      <c r="H170" s="287">
        <f t="shared" si="43"/>
        <v>0</v>
      </c>
      <c r="I170" s="290">
        <f t="shared" si="44"/>
        <v>0</v>
      </c>
      <c r="J170" s="291">
        <f t="shared" si="45"/>
        <v>0</v>
      </c>
      <c r="K170" s="721"/>
    </row>
    <row r="171" spans="1:14">
      <c r="A171" s="307"/>
      <c r="B171" s="67"/>
      <c r="C171" s="115" t="s">
        <v>93</v>
      </c>
      <c r="D171" s="35">
        <v>0</v>
      </c>
      <c r="E171" s="53">
        <v>0</v>
      </c>
      <c r="F171" s="285" t="str">
        <f t="shared" si="38"/>
        <v>-</v>
      </c>
      <c r="G171" s="285" t="str">
        <f t="shared" si="39"/>
        <v>-</v>
      </c>
      <c r="H171" s="287">
        <f t="shared" si="43"/>
        <v>0</v>
      </c>
      <c r="I171" s="290">
        <f t="shared" si="44"/>
        <v>0</v>
      </c>
      <c r="J171" s="291">
        <f t="shared" si="45"/>
        <v>0</v>
      </c>
      <c r="K171" s="721"/>
    </row>
    <row r="172" spans="1:14">
      <c r="A172" s="307"/>
      <c r="B172" s="67"/>
      <c r="C172" s="115" t="s">
        <v>93</v>
      </c>
      <c r="D172" s="333">
        <v>0</v>
      </c>
      <c r="E172" s="52">
        <v>0</v>
      </c>
      <c r="F172" s="335" t="str">
        <f t="shared" si="38"/>
        <v>-</v>
      </c>
      <c r="G172" s="326" t="str">
        <f t="shared" si="39"/>
        <v>-</v>
      </c>
      <c r="H172" s="331">
        <f t="shared" si="43"/>
        <v>0</v>
      </c>
      <c r="I172" s="332">
        <f t="shared" si="44"/>
        <v>0</v>
      </c>
      <c r="J172" s="330">
        <f t="shared" si="45"/>
        <v>0</v>
      </c>
      <c r="K172" s="776"/>
    </row>
    <row r="173" spans="1:14">
      <c r="A173" s="310"/>
      <c r="B173" s="182"/>
      <c r="C173" s="186" t="s">
        <v>29</v>
      </c>
      <c r="D173" s="183">
        <f>SUM(D141:D172)</f>
        <v>1918276</v>
      </c>
      <c r="E173" s="183">
        <f>SUM(E141:E172)</f>
        <v>3763349</v>
      </c>
      <c r="F173" s="187"/>
      <c r="G173" s="181"/>
      <c r="H173" s="188">
        <f>SUM(H141:H172)</f>
        <v>5681625</v>
      </c>
      <c r="I173" s="189">
        <f>SUM(I141:I172)</f>
        <v>2163615.2999999998</v>
      </c>
      <c r="J173" s="184">
        <f>SUM(J141:J172)</f>
        <v>4435642.1500000004</v>
      </c>
      <c r="K173" s="775"/>
    </row>
    <row r="174" spans="1:14">
      <c r="A174" s="306"/>
      <c r="C174" s="105"/>
      <c r="D174" s="45"/>
      <c r="E174" s="45"/>
      <c r="F174" s="7"/>
      <c r="H174" s="46"/>
      <c r="I174" s="47"/>
      <c r="J174" s="48"/>
      <c r="K174" s="721"/>
    </row>
    <row r="175" spans="1:14">
      <c r="A175" s="306"/>
      <c r="C175" s="66" t="s">
        <v>34</v>
      </c>
      <c r="D175" s="26"/>
      <c r="E175" s="52"/>
      <c r="F175" s="4"/>
      <c r="G175" s="4"/>
      <c r="H175" s="24"/>
      <c r="I175" s="18"/>
      <c r="J175" s="12"/>
      <c r="K175" s="610"/>
    </row>
    <row r="176" spans="1:14">
      <c r="A176" s="307" t="s">
        <v>463</v>
      </c>
      <c r="B176" s="67" t="s">
        <v>464</v>
      </c>
      <c r="C176" s="55" t="s">
        <v>465</v>
      </c>
      <c r="D176" s="35">
        <v>0</v>
      </c>
      <c r="E176" s="53">
        <v>0</v>
      </c>
      <c r="F176" s="285" t="str">
        <f>IFERROR(D176/(E176+D176),"-")</f>
        <v>-</v>
      </c>
      <c r="G176" s="285" t="str">
        <f>IFERROR(E176/(D176+E176),"-")</f>
        <v>-</v>
      </c>
      <c r="H176" s="287">
        <f>(E176+D176)</f>
        <v>0</v>
      </c>
      <c r="I176" s="290">
        <f>D176*1.2</f>
        <v>0</v>
      </c>
      <c r="J176" s="291">
        <f>E176*1.2</f>
        <v>0</v>
      </c>
      <c r="K176" s="610" t="s">
        <v>466</v>
      </c>
      <c r="M176" s="107"/>
      <c r="N176" s="107"/>
    </row>
    <row r="177" spans="1:14">
      <c r="A177" s="307" t="s">
        <v>467</v>
      </c>
      <c r="B177" s="67" t="s">
        <v>468</v>
      </c>
      <c r="C177" s="55" t="s">
        <v>469</v>
      </c>
      <c r="D177" s="35">
        <v>0</v>
      </c>
      <c r="E177" s="53">
        <v>0</v>
      </c>
      <c r="F177" s="285" t="str">
        <f t="shared" ref="F177:F221" si="46">IFERROR(D177/(E177+D177),"-")</f>
        <v>-</v>
      </c>
      <c r="G177" s="285" t="str">
        <f t="shared" ref="G177:G221" si="47">IFERROR(E177/(D177+E177),"-")</f>
        <v>-</v>
      </c>
      <c r="H177" s="287">
        <f t="shared" ref="H177:H221" si="48">(E177+D177)</f>
        <v>0</v>
      </c>
      <c r="I177" s="290">
        <f t="shared" ref="I177:I221" si="49">D177*1.2</f>
        <v>0</v>
      </c>
      <c r="J177" s="291">
        <f t="shared" ref="J177:J221" si="50">E177*1.2</f>
        <v>0</v>
      </c>
      <c r="K177" s="721" t="s">
        <v>466</v>
      </c>
      <c r="N177" s="107"/>
    </row>
    <row r="178" spans="1:14">
      <c r="A178" s="307" t="s">
        <v>470</v>
      </c>
      <c r="B178" s="67" t="s">
        <v>471</v>
      </c>
      <c r="C178" s="55" t="s">
        <v>472</v>
      </c>
      <c r="D178" s="35">
        <v>0</v>
      </c>
      <c r="E178" s="53">
        <v>0</v>
      </c>
      <c r="F178" s="285" t="str">
        <f t="shared" si="46"/>
        <v>-</v>
      </c>
      <c r="G178" s="285" t="str">
        <f t="shared" si="47"/>
        <v>-</v>
      </c>
      <c r="H178" s="287">
        <f t="shared" si="48"/>
        <v>0</v>
      </c>
      <c r="I178" s="290">
        <f t="shared" si="49"/>
        <v>0</v>
      </c>
      <c r="J178" s="291">
        <f t="shared" si="50"/>
        <v>0</v>
      </c>
      <c r="K178" s="721" t="s">
        <v>466</v>
      </c>
    </row>
    <row r="179" spans="1:14">
      <c r="A179" s="307" t="s">
        <v>473</v>
      </c>
      <c r="B179" s="67"/>
      <c r="C179" s="55" t="s">
        <v>474</v>
      </c>
      <c r="D179" s="35">
        <v>0</v>
      </c>
      <c r="E179" s="53">
        <v>0</v>
      </c>
      <c r="F179" s="285" t="str">
        <f t="shared" si="46"/>
        <v>-</v>
      </c>
      <c r="G179" s="285" t="str">
        <f t="shared" si="47"/>
        <v>-</v>
      </c>
      <c r="H179" s="287">
        <f t="shared" si="48"/>
        <v>0</v>
      </c>
      <c r="I179" s="290">
        <f t="shared" si="49"/>
        <v>0</v>
      </c>
      <c r="J179" s="291">
        <f t="shared" si="50"/>
        <v>0</v>
      </c>
      <c r="K179" s="721" t="s">
        <v>466</v>
      </c>
      <c r="M179" s="107"/>
      <c r="N179" s="107"/>
    </row>
    <row r="180" spans="1:14">
      <c r="A180" s="307" t="s">
        <v>475</v>
      </c>
      <c r="B180" s="67"/>
      <c r="C180" s="56" t="s">
        <v>476</v>
      </c>
      <c r="D180" s="35">
        <v>0</v>
      </c>
      <c r="E180" s="53">
        <v>0</v>
      </c>
      <c r="F180" s="285" t="str">
        <f t="shared" si="46"/>
        <v>-</v>
      </c>
      <c r="G180" s="285" t="str">
        <f t="shared" si="47"/>
        <v>-</v>
      </c>
      <c r="H180" s="287">
        <f t="shared" si="48"/>
        <v>0</v>
      </c>
      <c r="I180" s="290">
        <f t="shared" si="49"/>
        <v>0</v>
      </c>
      <c r="J180" s="291">
        <f t="shared" si="50"/>
        <v>0</v>
      </c>
      <c r="K180" s="721" t="s">
        <v>466</v>
      </c>
      <c r="N180" s="107"/>
    </row>
    <row r="181" spans="1:14">
      <c r="A181" s="307" t="s">
        <v>477</v>
      </c>
      <c r="B181" s="67"/>
      <c r="C181" s="57" t="s">
        <v>478</v>
      </c>
      <c r="D181" s="35">
        <v>14819</v>
      </c>
      <c r="E181" s="53">
        <v>0</v>
      </c>
      <c r="F181" s="285">
        <f t="shared" si="46"/>
        <v>1</v>
      </c>
      <c r="G181" s="285">
        <f t="shared" si="47"/>
        <v>0</v>
      </c>
      <c r="H181" s="287">
        <f t="shared" si="48"/>
        <v>14819</v>
      </c>
      <c r="I181" s="290">
        <f t="shared" si="49"/>
        <v>17782.8</v>
      </c>
      <c r="J181" s="291">
        <f t="shared" si="50"/>
        <v>0</v>
      </c>
      <c r="K181" s="721" t="s">
        <v>466</v>
      </c>
      <c r="L181" s="7"/>
    </row>
    <row r="182" spans="1:14">
      <c r="A182" s="307" t="s">
        <v>479</v>
      </c>
      <c r="B182" s="67"/>
      <c r="C182" s="56" t="s">
        <v>480</v>
      </c>
      <c r="D182" s="35">
        <v>0</v>
      </c>
      <c r="E182" s="53">
        <v>0</v>
      </c>
      <c r="F182" s="285" t="str">
        <f t="shared" si="46"/>
        <v>-</v>
      </c>
      <c r="G182" s="285" t="str">
        <f t="shared" si="47"/>
        <v>-</v>
      </c>
      <c r="H182" s="287">
        <f t="shared" si="48"/>
        <v>0</v>
      </c>
      <c r="I182" s="290">
        <f t="shared" si="49"/>
        <v>0</v>
      </c>
      <c r="J182" s="291">
        <f t="shared" si="50"/>
        <v>0</v>
      </c>
      <c r="K182" s="721" t="s">
        <v>466</v>
      </c>
    </row>
    <row r="183" spans="1:14">
      <c r="A183" s="307" t="s">
        <v>481</v>
      </c>
      <c r="B183" s="67"/>
      <c r="C183" s="56" t="s">
        <v>482</v>
      </c>
      <c r="D183" s="35">
        <v>14144</v>
      </c>
      <c r="E183" s="53">
        <v>0</v>
      </c>
      <c r="F183" s="285">
        <f t="shared" si="46"/>
        <v>1</v>
      </c>
      <c r="G183" s="285">
        <f t="shared" si="47"/>
        <v>0</v>
      </c>
      <c r="H183" s="287">
        <f t="shared" si="48"/>
        <v>14144</v>
      </c>
      <c r="I183" s="290">
        <f>AVERAGE(13011,11739,10428)*1.2</f>
        <v>14071.199999999999</v>
      </c>
      <c r="J183" s="291">
        <f t="shared" si="50"/>
        <v>0</v>
      </c>
      <c r="K183" s="721" t="s">
        <v>466</v>
      </c>
      <c r="M183" s="107"/>
      <c r="N183" s="107"/>
    </row>
    <row r="184" spans="1:14">
      <c r="A184" s="307" t="s">
        <v>483</v>
      </c>
      <c r="B184" s="67"/>
      <c r="C184" s="57" t="s">
        <v>484</v>
      </c>
      <c r="D184" s="35">
        <v>1292</v>
      </c>
      <c r="E184" s="53">
        <v>0</v>
      </c>
      <c r="F184" s="285">
        <f t="shared" si="46"/>
        <v>1</v>
      </c>
      <c r="G184" s="285">
        <f t="shared" si="47"/>
        <v>0</v>
      </c>
      <c r="H184" s="287">
        <f t="shared" si="48"/>
        <v>1292</v>
      </c>
      <c r="I184" s="290">
        <f>AVERAGE(1121,817,521)*1.2</f>
        <v>983.59999999999991</v>
      </c>
      <c r="J184" s="291">
        <f t="shared" si="50"/>
        <v>0</v>
      </c>
      <c r="K184" s="721" t="s">
        <v>466</v>
      </c>
      <c r="N184" s="107"/>
    </row>
    <row r="185" spans="1:14">
      <c r="A185" s="307" t="s">
        <v>485</v>
      </c>
      <c r="B185" s="67"/>
      <c r="C185" s="56" t="s">
        <v>486</v>
      </c>
      <c r="D185" s="35">
        <v>0</v>
      </c>
      <c r="E185" s="53">
        <v>0</v>
      </c>
      <c r="F185" s="285" t="str">
        <f t="shared" si="46"/>
        <v>-</v>
      </c>
      <c r="G185" s="285" t="str">
        <f t="shared" si="47"/>
        <v>-</v>
      </c>
      <c r="H185" s="287">
        <f t="shared" si="48"/>
        <v>0</v>
      </c>
      <c r="I185" s="290">
        <f t="shared" si="49"/>
        <v>0</v>
      </c>
      <c r="J185" s="291">
        <f t="shared" si="50"/>
        <v>0</v>
      </c>
      <c r="K185" s="721" t="s">
        <v>466</v>
      </c>
    </row>
    <row r="186" spans="1:14">
      <c r="A186" s="307" t="s">
        <v>487</v>
      </c>
      <c r="B186" s="67"/>
      <c r="C186" s="55" t="s">
        <v>488</v>
      </c>
      <c r="D186" s="35">
        <v>36109</v>
      </c>
      <c r="E186" s="53">
        <v>0</v>
      </c>
      <c r="F186" s="285">
        <f t="shared" si="46"/>
        <v>1</v>
      </c>
      <c r="G186" s="285">
        <f t="shared" si="47"/>
        <v>0</v>
      </c>
      <c r="H186" s="287">
        <f t="shared" si="48"/>
        <v>36109</v>
      </c>
      <c r="I186" s="290">
        <f>AVERAGE(34532,32777,30988)*1.2</f>
        <v>39318.800000000003</v>
      </c>
      <c r="J186" s="291">
        <f t="shared" si="50"/>
        <v>0</v>
      </c>
      <c r="K186" s="721" t="s">
        <v>466</v>
      </c>
    </row>
    <row r="187" spans="1:14">
      <c r="A187" s="307" t="s">
        <v>489</v>
      </c>
      <c r="B187" s="67"/>
      <c r="C187" s="56" t="s">
        <v>490</v>
      </c>
      <c r="D187" s="35">
        <v>35129</v>
      </c>
      <c r="E187" s="53">
        <v>0</v>
      </c>
      <c r="F187" s="285">
        <f t="shared" si="46"/>
        <v>1</v>
      </c>
      <c r="G187" s="285">
        <f t="shared" si="47"/>
        <v>0</v>
      </c>
      <c r="H187" s="287">
        <f t="shared" si="48"/>
        <v>35129</v>
      </c>
      <c r="I187" s="290">
        <f>AVERAGE(32544,28082,24256)*1.2</f>
        <v>33952.799999999996</v>
      </c>
      <c r="J187" s="291">
        <f t="shared" si="50"/>
        <v>0</v>
      </c>
      <c r="K187" s="721" t="s">
        <v>466</v>
      </c>
    </row>
    <row r="188" spans="1:14">
      <c r="A188" s="307" t="s">
        <v>491</v>
      </c>
      <c r="B188" s="67"/>
      <c r="C188" s="55" t="s">
        <v>492</v>
      </c>
      <c r="D188" s="35">
        <v>277409</v>
      </c>
      <c r="E188" s="53">
        <v>0</v>
      </c>
      <c r="F188" s="285">
        <f t="shared" si="46"/>
        <v>1</v>
      </c>
      <c r="G188" s="285">
        <f t="shared" si="47"/>
        <v>0</v>
      </c>
      <c r="H188" s="287">
        <f t="shared" si="48"/>
        <v>277409</v>
      </c>
      <c r="I188" s="290">
        <f>288912*1.2</f>
        <v>346694.39999999997</v>
      </c>
      <c r="J188" s="291">
        <f t="shared" si="50"/>
        <v>0</v>
      </c>
      <c r="K188" s="721" t="s">
        <v>466</v>
      </c>
    </row>
    <row r="189" spans="1:14">
      <c r="A189" s="307" t="s">
        <v>493</v>
      </c>
      <c r="B189" s="67"/>
      <c r="C189" s="56" t="s">
        <v>494</v>
      </c>
      <c r="D189" s="35">
        <v>4926</v>
      </c>
      <c r="E189" s="53">
        <v>0</v>
      </c>
      <c r="F189" s="285">
        <f t="shared" si="46"/>
        <v>1</v>
      </c>
      <c r="G189" s="285">
        <f t="shared" si="47"/>
        <v>0</v>
      </c>
      <c r="H189" s="287">
        <f t="shared" si="48"/>
        <v>4926</v>
      </c>
      <c r="I189" s="290">
        <f t="shared" si="49"/>
        <v>5911.2</v>
      </c>
      <c r="J189" s="291">
        <f t="shared" si="50"/>
        <v>0</v>
      </c>
      <c r="K189" s="721" t="s">
        <v>466</v>
      </c>
    </row>
    <row r="190" spans="1:14">
      <c r="A190" s="307" t="s">
        <v>495</v>
      </c>
      <c r="B190" s="67"/>
      <c r="C190" s="58" t="s">
        <v>496</v>
      </c>
      <c r="D190" s="35">
        <v>0</v>
      </c>
      <c r="E190" s="53">
        <v>0</v>
      </c>
      <c r="F190" s="285" t="str">
        <f t="shared" si="46"/>
        <v>-</v>
      </c>
      <c r="G190" s="285" t="str">
        <f t="shared" si="47"/>
        <v>-</v>
      </c>
      <c r="H190" s="287">
        <f t="shared" si="48"/>
        <v>0</v>
      </c>
      <c r="I190" s="290">
        <f t="shared" si="49"/>
        <v>0</v>
      </c>
      <c r="J190" s="291">
        <f t="shared" si="50"/>
        <v>0</v>
      </c>
      <c r="K190" s="721" t="s">
        <v>466</v>
      </c>
    </row>
    <row r="191" spans="1:14">
      <c r="A191" s="307" t="s">
        <v>497</v>
      </c>
      <c r="B191" s="67"/>
      <c r="C191" s="59" t="s">
        <v>498</v>
      </c>
      <c r="D191" s="50">
        <v>0</v>
      </c>
      <c r="E191" s="53">
        <v>0</v>
      </c>
      <c r="F191" s="285" t="str">
        <f t="shared" si="46"/>
        <v>-</v>
      </c>
      <c r="G191" s="285" t="str">
        <f t="shared" si="47"/>
        <v>-</v>
      </c>
      <c r="H191" s="287">
        <f t="shared" si="48"/>
        <v>0</v>
      </c>
      <c r="I191" s="290">
        <f t="shared" si="49"/>
        <v>0</v>
      </c>
      <c r="J191" s="291">
        <f t="shared" si="50"/>
        <v>0</v>
      </c>
      <c r="K191" s="721" t="s">
        <v>466</v>
      </c>
    </row>
    <row r="192" spans="1:14">
      <c r="A192" s="307" t="s">
        <v>499</v>
      </c>
      <c r="B192" s="67"/>
      <c r="C192" s="59" t="s">
        <v>500</v>
      </c>
      <c r="D192" s="50">
        <v>-12259</v>
      </c>
      <c r="E192" s="53">
        <v>0</v>
      </c>
      <c r="F192" s="285">
        <f t="shared" si="46"/>
        <v>1</v>
      </c>
      <c r="G192" s="285">
        <f t="shared" si="47"/>
        <v>0</v>
      </c>
      <c r="H192" s="287">
        <f t="shared" si="48"/>
        <v>-12259</v>
      </c>
      <c r="I192" s="290">
        <f>D192</f>
        <v>-12259</v>
      </c>
      <c r="J192" s="291">
        <f t="shared" si="50"/>
        <v>0</v>
      </c>
      <c r="K192" s="721"/>
    </row>
    <row r="193" spans="1:11">
      <c r="A193" s="307"/>
      <c r="B193" s="67" t="s">
        <v>501</v>
      </c>
      <c r="C193" s="59" t="s">
        <v>502</v>
      </c>
      <c r="D193" s="50">
        <v>0</v>
      </c>
      <c r="E193" s="53">
        <v>0</v>
      </c>
      <c r="F193" s="285" t="str">
        <f t="shared" si="46"/>
        <v>-</v>
      </c>
      <c r="G193" s="285" t="str">
        <f t="shared" si="47"/>
        <v>-</v>
      </c>
      <c r="H193" s="287">
        <f t="shared" si="48"/>
        <v>0</v>
      </c>
      <c r="I193" s="290">
        <f t="shared" si="49"/>
        <v>0</v>
      </c>
      <c r="J193" s="291">
        <f t="shared" si="50"/>
        <v>0</v>
      </c>
      <c r="K193" s="721" t="s">
        <v>466</v>
      </c>
    </row>
    <row r="194" spans="1:11">
      <c r="A194" s="307"/>
      <c r="B194" s="67" t="s">
        <v>503</v>
      </c>
      <c r="C194" s="59" t="s">
        <v>504</v>
      </c>
      <c r="D194" s="50">
        <v>0</v>
      </c>
      <c r="E194" s="382">
        <v>0</v>
      </c>
      <c r="F194" s="285" t="str">
        <f t="shared" si="46"/>
        <v>-</v>
      </c>
      <c r="G194" s="285" t="str">
        <f t="shared" si="47"/>
        <v>-</v>
      </c>
      <c r="H194" s="287">
        <f t="shared" si="48"/>
        <v>0</v>
      </c>
      <c r="I194" s="290">
        <f t="shared" si="49"/>
        <v>0</v>
      </c>
      <c r="J194" s="291">
        <f t="shared" si="50"/>
        <v>0</v>
      </c>
      <c r="K194" s="721" t="s">
        <v>466</v>
      </c>
    </row>
    <row r="195" spans="1:11">
      <c r="A195" s="307"/>
      <c r="B195" s="67" t="s">
        <v>505</v>
      </c>
      <c r="C195" s="59" t="s">
        <v>506</v>
      </c>
      <c r="D195" s="50">
        <v>0</v>
      </c>
      <c r="E195" s="382">
        <v>0</v>
      </c>
      <c r="F195" s="285" t="str">
        <f t="shared" si="46"/>
        <v>-</v>
      </c>
      <c r="G195" s="285" t="str">
        <f t="shared" si="47"/>
        <v>-</v>
      </c>
      <c r="H195" s="287">
        <f t="shared" si="48"/>
        <v>0</v>
      </c>
      <c r="I195" s="290">
        <f t="shared" si="49"/>
        <v>0</v>
      </c>
      <c r="J195" s="291">
        <f t="shared" si="50"/>
        <v>0</v>
      </c>
      <c r="K195" s="721" t="s">
        <v>466</v>
      </c>
    </row>
    <row r="196" spans="1:11">
      <c r="A196" s="307"/>
      <c r="B196" s="67" t="s">
        <v>507</v>
      </c>
      <c r="C196" s="59" t="s">
        <v>508</v>
      </c>
      <c r="D196" s="50">
        <v>0</v>
      </c>
      <c r="E196" s="382">
        <v>39540</v>
      </c>
      <c r="F196" s="285">
        <f t="shared" si="46"/>
        <v>0</v>
      </c>
      <c r="G196" s="285">
        <f t="shared" si="47"/>
        <v>1</v>
      </c>
      <c r="H196" s="287">
        <f t="shared" si="48"/>
        <v>39540</v>
      </c>
      <c r="I196" s="290">
        <f t="shared" si="49"/>
        <v>0</v>
      </c>
      <c r="J196" s="291">
        <f>AVERAGE(38866,37698,36486)*1.2</f>
        <v>45220</v>
      </c>
      <c r="K196" s="721" t="s">
        <v>466</v>
      </c>
    </row>
    <row r="197" spans="1:11">
      <c r="A197" s="307"/>
      <c r="B197" s="67" t="s">
        <v>509</v>
      </c>
      <c r="C197" s="59" t="s">
        <v>93</v>
      </c>
      <c r="D197" s="50">
        <v>0</v>
      </c>
      <c r="E197" s="382">
        <v>0</v>
      </c>
      <c r="F197" s="285" t="str">
        <f t="shared" si="46"/>
        <v>-</v>
      </c>
      <c r="G197" s="285" t="str">
        <f t="shared" si="47"/>
        <v>-</v>
      </c>
      <c r="H197" s="287">
        <f t="shared" si="48"/>
        <v>0</v>
      </c>
      <c r="I197" s="290">
        <f t="shared" si="49"/>
        <v>0</v>
      </c>
      <c r="J197" s="291">
        <f t="shared" si="50"/>
        <v>0</v>
      </c>
      <c r="K197" s="721" t="s">
        <v>466</v>
      </c>
    </row>
    <row r="198" spans="1:11">
      <c r="A198" s="307"/>
      <c r="B198" s="67" t="s">
        <v>510</v>
      </c>
      <c r="C198" s="59" t="s">
        <v>511</v>
      </c>
      <c r="D198" s="50">
        <v>0</v>
      </c>
      <c r="E198" s="382">
        <v>0</v>
      </c>
      <c r="F198" s="285" t="str">
        <f t="shared" si="46"/>
        <v>-</v>
      </c>
      <c r="G198" s="285" t="str">
        <f t="shared" si="47"/>
        <v>-</v>
      </c>
      <c r="H198" s="287">
        <f t="shared" si="48"/>
        <v>0</v>
      </c>
      <c r="I198" s="290">
        <f t="shared" si="49"/>
        <v>0</v>
      </c>
      <c r="J198" s="291">
        <f t="shared" si="50"/>
        <v>0</v>
      </c>
      <c r="K198" s="721" t="s">
        <v>466</v>
      </c>
    </row>
    <row r="199" spans="1:11">
      <c r="A199" s="307"/>
      <c r="B199" s="67" t="s">
        <v>512</v>
      </c>
      <c r="C199" s="59" t="s">
        <v>513</v>
      </c>
      <c r="D199" s="50">
        <v>0</v>
      </c>
      <c r="E199" s="382">
        <v>0</v>
      </c>
      <c r="F199" s="285" t="str">
        <f t="shared" si="46"/>
        <v>-</v>
      </c>
      <c r="G199" s="285" t="str">
        <f t="shared" si="47"/>
        <v>-</v>
      </c>
      <c r="H199" s="287">
        <f t="shared" si="48"/>
        <v>0</v>
      </c>
      <c r="I199" s="290">
        <f t="shared" si="49"/>
        <v>0</v>
      </c>
      <c r="J199" s="291">
        <f t="shared" si="50"/>
        <v>0</v>
      </c>
      <c r="K199" s="721" t="s">
        <v>466</v>
      </c>
    </row>
    <row r="200" spans="1:11">
      <c r="A200" s="307"/>
      <c r="B200" s="67" t="s">
        <v>514</v>
      </c>
      <c r="C200" s="59" t="s">
        <v>515</v>
      </c>
      <c r="D200" s="50">
        <v>0</v>
      </c>
      <c r="E200" s="382">
        <v>0</v>
      </c>
      <c r="F200" s="285" t="str">
        <f t="shared" si="46"/>
        <v>-</v>
      </c>
      <c r="G200" s="285" t="str">
        <f t="shared" si="47"/>
        <v>-</v>
      </c>
      <c r="H200" s="287">
        <f t="shared" si="48"/>
        <v>0</v>
      </c>
      <c r="I200" s="290">
        <f t="shared" si="49"/>
        <v>0</v>
      </c>
      <c r="J200" s="291">
        <f t="shared" si="50"/>
        <v>0</v>
      </c>
      <c r="K200" s="721" t="s">
        <v>466</v>
      </c>
    </row>
    <row r="201" spans="1:11">
      <c r="A201" s="307"/>
      <c r="B201" s="67" t="s">
        <v>516</v>
      </c>
      <c r="C201" s="59" t="s">
        <v>517</v>
      </c>
      <c r="D201" s="50">
        <v>0</v>
      </c>
      <c r="E201" s="382">
        <v>0</v>
      </c>
      <c r="F201" s="285" t="str">
        <f t="shared" si="46"/>
        <v>-</v>
      </c>
      <c r="G201" s="285" t="str">
        <f t="shared" si="47"/>
        <v>-</v>
      </c>
      <c r="H201" s="287">
        <f t="shared" si="48"/>
        <v>0</v>
      </c>
      <c r="I201" s="290">
        <f t="shared" si="49"/>
        <v>0</v>
      </c>
      <c r="J201" s="291">
        <f t="shared" si="50"/>
        <v>0</v>
      </c>
      <c r="K201" s="721" t="s">
        <v>466</v>
      </c>
    </row>
    <row r="202" spans="1:11">
      <c r="A202" s="307"/>
      <c r="B202" s="67" t="s">
        <v>518</v>
      </c>
      <c r="C202" s="75" t="s">
        <v>480</v>
      </c>
      <c r="D202" s="50">
        <v>0</v>
      </c>
      <c r="E202" s="382">
        <v>0</v>
      </c>
      <c r="F202" s="285" t="str">
        <f t="shared" si="46"/>
        <v>-</v>
      </c>
      <c r="G202" s="285" t="str">
        <f t="shared" si="47"/>
        <v>-</v>
      </c>
      <c r="H202" s="287">
        <f t="shared" si="48"/>
        <v>0</v>
      </c>
      <c r="I202" s="290">
        <f t="shared" si="49"/>
        <v>0</v>
      </c>
      <c r="J202" s="291">
        <f t="shared" si="50"/>
        <v>0</v>
      </c>
      <c r="K202" s="721" t="s">
        <v>466</v>
      </c>
    </row>
    <row r="203" spans="1:11">
      <c r="A203" s="307"/>
      <c r="B203" s="67" t="s">
        <v>519</v>
      </c>
      <c r="C203" s="75" t="s">
        <v>484</v>
      </c>
      <c r="D203" s="50">
        <v>0</v>
      </c>
      <c r="E203" s="382">
        <v>18892</v>
      </c>
      <c r="F203" s="285">
        <f t="shared" si="46"/>
        <v>0</v>
      </c>
      <c r="G203" s="285">
        <f t="shared" si="47"/>
        <v>1</v>
      </c>
      <c r="H203" s="287">
        <f t="shared" si="48"/>
        <v>18892</v>
      </c>
      <c r="I203" s="290">
        <f t="shared" si="49"/>
        <v>0</v>
      </c>
      <c r="J203" s="291">
        <f>AVERAGE(15918,11592,7389)*1.2</f>
        <v>13959.6</v>
      </c>
      <c r="K203" s="721" t="s">
        <v>466</v>
      </c>
    </row>
    <row r="204" spans="1:11">
      <c r="A204" s="307"/>
      <c r="B204" s="67" t="s">
        <v>520</v>
      </c>
      <c r="C204" s="63" t="s">
        <v>521</v>
      </c>
      <c r="D204" s="50">
        <v>0</v>
      </c>
      <c r="E204" s="382">
        <v>37922</v>
      </c>
      <c r="F204" s="285">
        <f t="shared" si="46"/>
        <v>0</v>
      </c>
      <c r="G204" s="285">
        <f t="shared" si="47"/>
        <v>1</v>
      </c>
      <c r="H204" s="287">
        <f t="shared" si="48"/>
        <v>37922</v>
      </c>
      <c r="I204" s="290">
        <f t="shared" si="49"/>
        <v>0</v>
      </c>
      <c r="J204" s="291">
        <f>AVERAGE(35756,31219,25694)*1.2</f>
        <v>37067.599999999999</v>
      </c>
      <c r="K204" s="721" t="s">
        <v>466</v>
      </c>
    </row>
    <row r="205" spans="1:11">
      <c r="A205" s="307"/>
      <c r="B205" s="67" t="s">
        <v>522</v>
      </c>
      <c r="C205" s="59" t="s">
        <v>523</v>
      </c>
      <c r="D205" s="50">
        <v>0</v>
      </c>
      <c r="E205" s="382">
        <v>54693</v>
      </c>
      <c r="F205" s="285">
        <f t="shared" si="46"/>
        <v>0</v>
      </c>
      <c r="G205" s="285">
        <f t="shared" si="47"/>
        <v>1</v>
      </c>
      <c r="H205" s="287">
        <f t="shared" si="48"/>
        <v>54693</v>
      </c>
      <c r="I205" s="290">
        <f t="shared" si="49"/>
        <v>0</v>
      </c>
      <c r="J205" s="291">
        <f t="shared" si="50"/>
        <v>65631.599999999991</v>
      </c>
      <c r="K205" s="721" t="s">
        <v>466</v>
      </c>
    </row>
    <row r="206" spans="1:11">
      <c r="A206" s="307"/>
      <c r="B206" s="67" t="s">
        <v>524</v>
      </c>
      <c r="C206" s="59" t="s">
        <v>490</v>
      </c>
      <c r="D206" s="50">
        <v>0</v>
      </c>
      <c r="E206" s="382">
        <v>43655</v>
      </c>
      <c r="F206" s="285">
        <f t="shared" si="46"/>
        <v>0</v>
      </c>
      <c r="G206" s="285">
        <f t="shared" si="47"/>
        <v>1</v>
      </c>
      <c r="H206" s="287">
        <f t="shared" si="48"/>
        <v>43655</v>
      </c>
      <c r="I206" s="290">
        <f t="shared" si="49"/>
        <v>0</v>
      </c>
      <c r="J206" s="291">
        <f>AVERAGE(39706,32481,27275)*1.2</f>
        <v>39784.799999999996</v>
      </c>
      <c r="K206" s="721" t="s">
        <v>466</v>
      </c>
    </row>
    <row r="207" spans="1:11">
      <c r="A207" s="307"/>
      <c r="B207" s="67" t="s">
        <v>525</v>
      </c>
      <c r="C207" s="59" t="s">
        <v>492</v>
      </c>
      <c r="D207" s="50">
        <v>0</v>
      </c>
      <c r="E207" s="382">
        <v>104697</v>
      </c>
      <c r="F207" s="285">
        <f t="shared" si="46"/>
        <v>0</v>
      </c>
      <c r="G207" s="285">
        <f t="shared" si="47"/>
        <v>1</v>
      </c>
      <c r="H207" s="287">
        <f t="shared" si="48"/>
        <v>104697</v>
      </c>
      <c r="I207" s="290">
        <f t="shared" si="49"/>
        <v>0</v>
      </c>
      <c r="J207" s="291">
        <f>109038*1.2</f>
        <v>130845.59999999999</v>
      </c>
      <c r="K207" s="721" t="s">
        <v>466</v>
      </c>
    </row>
    <row r="208" spans="1:11">
      <c r="A208" s="307"/>
      <c r="B208" s="67" t="s">
        <v>526</v>
      </c>
      <c r="C208" s="59" t="s">
        <v>494</v>
      </c>
      <c r="D208" s="50">
        <v>0</v>
      </c>
      <c r="E208" s="382">
        <v>15005</v>
      </c>
      <c r="F208" s="285">
        <f t="shared" si="46"/>
        <v>0</v>
      </c>
      <c r="G208" s="285">
        <f t="shared" si="47"/>
        <v>1</v>
      </c>
      <c r="H208" s="287">
        <f t="shared" si="48"/>
        <v>15005</v>
      </c>
      <c r="I208" s="290">
        <f t="shared" si="49"/>
        <v>0</v>
      </c>
      <c r="J208" s="291">
        <f>E208</f>
        <v>15005</v>
      </c>
      <c r="K208" s="721"/>
    </row>
    <row r="209" spans="1:14">
      <c r="A209" s="307"/>
      <c r="B209" s="67" t="s">
        <v>527</v>
      </c>
      <c r="C209" s="63" t="s">
        <v>496</v>
      </c>
      <c r="D209" s="50">
        <v>0</v>
      </c>
      <c r="E209" s="382">
        <v>0</v>
      </c>
      <c r="F209" s="285" t="str">
        <f t="shared" si="46"/>
        <v>-</v>
      </c>
      <c r="G209" s="285" t="str">
        <f t="shared" si="47"/>
        <v>-</v>
      </c>
      <c r="H209" s="287">
        <f t="shared" si="48"/>
        <v>0</v>
      </c>
      <c r="I209" s="290">
        <f t="shared" si="49"/>
        <v>0</v>
      </c>
      <c r="J209" s="291">
        <f t="shared" si="50"/>
        <v>0</v>
      </c>
      <c r="K209" s="721" t="s">
        <v>466</v>
      </c>
    </row>
    <row r="210" spans="1:14" ht="25.5">
      <c r="A210" s="307"/>
      <c r="B210" s="67" t="s">
        <v>528</v>
      </c>
      <c r="C210" s="869" t="s">
        <v>529</v>
      </c>
      <c r="D210" s="50">
        <v>0</v>
      </c>
      <c r="E210" s="382">
        <v>0</v>
      </c>
      <c r="F210" s="285" t="str">
        <f t="shared" si="46"/>
        <v>-</v>
      </c>
      <c r="G210" s="285" t="str">
        <f t="shared" si="47"/>
        <v>-</v>
      </c>
      <c r="H210" s="287">
        <f t="shared" si="48"/>
        <v>0</v>
      </c>
      <c r="I210" s="290">
        <f t="shared" si="49"/>
        <v>0</v>
      </c>
      <c r="J210" s="291">
        <f t="shared" si="50"/>
        <v>0</v>
      </c>
      <c r="K210" s="721" t="s">
        <v>466</v>
      </c>
    </row>
    <row r="211" spans="1:14" ht="25.5">
      <c r="A211" s="307"/>
      <c r="B211" s="67" t="s">
        <v>530</v>
      </c>
      <c r="C211" s="869" t="s">
        <v>531</v>
      </c>
      <c r="D211" s="50">
        <v>0</v>
      </c>
      <c r="E211" s="382">
        <v>0</v>
      </c>
      <c r="F211" s="285" t="str">
        <f t="shared" si="46"/>
        <v>-</v>
      </c>
      <c r="G211" s="285" t="str">
        <f t="shared" si="47"/>
        <v>-</v>
      </c>
      <c r="H211" s="287">
        <f t="shared" si="48"/>
        <v>0</v>
      </c>
      <c r="I211" s="290">
        <f t="shared" si="49"/>
        <v>0</v>
      </c>
      <c r="J211" s="291">
        <f t="shared" si="50"/>
        <v>0</v>
      </c>
      <c r="K211" s="721" t="s">
        <v>466</v>
      </c>
    </row>
    <row r="212" spans="1:14" ht="25.5">
      <c r="A212" s="307"/>
      <c r="B212" s="67" t="s">
        <v>532</v>
      </c>
      <c r="C212" s="869" t="s">
        <v>533</v>
      </c>
      <c r="D212" s="50">
        <v>0</v>
      </c>
      <c r="E212" s="382">
        <v>0</v>
      </c>
      <c r="F212" s="285" t="str">
        <f t="shared" si="46"/>
        <v>-</v>
      </c>
      <c r="G212" s="285" t="str">
        <f t="shared" si="47"/>
        <v>-</v>
      </c>
      <c r="H212" s="287">
        <f t="shared" si="48"/>
        <v>0</v>
      </c>
      <c r="I212" s="290">
        <f t="shared" si="49"/>
        <v>0</v>
      </c>
      <c r="J212" s="291">
        <f t="shared" si="50"/>
        <v>0</v>
      </c>
      <c r="K212" s="721" t="s">
        <v>466</v>
      </c>
    </row>
    <row r="213" spans="1:14" ht="25.5">
      <c r="A213" s="307"/>
      <c r="B213" s="67" t="s">
        <v>534</v>
      </c>
      <c r="C213" s="869" t="s">
        <v>535</v>
      </c>
      <c r="D213" s="50">
        <v>0</v>
      </c>
      <c r="E213" s="382">
        <v>844</v>
      </c>
      <c r="F213" s="285">
        <f t="shared" si="46"/>
        <v>0</v>
      </c>
      <c r="G213" s="285">
        <f t="shared" si="47"/>
        <v>1</v>
      </c>
      <c r="H213" s="287">
        <f t="shared" si="48"/>
        <v>844</v>
      </c>
      <c r="I213" s="290">
        <f t="shared" si="49"/>
        <v>0</v>
      </c>
      <c r="J213" s="291">
        <f t="shared" si="50"/>
        <v>1012.8</v>
      </c>
      <c r="K213" s="721" t="s">
        <v>466</v>
      </c>
    </row>
    <row r="214" spans="1:14" ht="25.5">
      <c r="A214" s="307"/>
      <c r="B214" s="67" t="s">
        <v>536</v>
      </c>
      <c r="C214" s="869" t="s">
        <v>537</v>
      </c>
      <c r="D214" s="50">
        <v>0</v>
      </c>
      <c r="E214" s="382">
        <v>-1973</v>
      </c>
      <c r="F214" s="285">
        <f t="shared" si="46"/>
        <v>0</v>
      </c>
      <c r="G214" s="285">
        <f t="shared" si="47"/>
        <v>1</v>
      </c>
      <c r="H214" s="287">
        <f t="shared" si="48"/>
        <v>-1973</v>
      </c>
      <c r="I214" s="290">
        <f t="shared" si="49"/>
        <v>0</v>
      </c>
      <c r="J214" s="291">
        <f>E214</f>
        <v>-1973</v>
      </c>
      <c r="K214" s="721"/>
    </row>
    <row r="215" spans="1:14" ht="25.5">
      <c r="A215" s="307"/>
      <c r="B215" s="67" t="s">
        <v>538</v>
      </c>
      <c r="C215" s="869" t="s">
        <v>539</v>
      </c>
      <c r="D215" s="50">
        <v>0</v>
      </c>
      <c r="E215" s="382">
        <v>-11561</v>
      </c>
      <c r="F215" s="285">
        <f t="shared" si="46"/>
        <v>0</v>
      </c>
      <c r="G215" s="285">
        <f t="shared" si="47"/>
        <v>1</v>
      </c>
      <c r="H215" s="287">
        <f t="shared" si="48"/>
        <v>-11561</v>
      </c>
      <c r="I215" s="290">
        <f t="shared" si="49"/>
        <v>0</v>
      </c>
      <c r="J215" s="291">
        <f>E215</f>
        <v>-11561</v>
      </c>
      <c r="K215" s="721"/>
    </row>
    <row r="216" spans="1:14">
      <c r="A216" s="307"/>
      <c r="B216" s="67"/>
      <c r="C216" s="115" t="s">
        <v>93</v>
      </c>
      <c r="D216" s="50">
        <v>0</v>
      </c>
      <c r="E216" s="382">
        <v>0</v>
      </c>
      <c r="F216" s="285" t="str">
        <f t="shared" si="46"/>
        <v>-</v>
      </c>
      <c r="G216" s="285" t="str">
        <f t="shared" si="47"/>
        <v>-</v>
      </c>
      <c r="H216" s="287">
        <f t="shared" si="48"/>
        <v>0</v>
      </c>
      <c r="I216" s="290">
        <f t="shared" si="49"/>
        <v>0</v>
      </c>
      <c r="J216" s="291">
        <f t="shared" si="50"/>
        <v>0</v>
      </c>
      <c r="K216" s="721"/>
    </row>
    <row r="217" spans="1:14">
      <c r="A217" s="307"/>
      <c r="B217" s="67"/>
      <c r="C217" s="115" t="s">
        <v>93</v>
      </c>
      <c r="D217" s="50">
        <v>0</v>
      </c>
      <c r="E217" s="382">
        <v>0</v>
      </c>
      <c r="F217" s="285" t="str">
        <f t="shared" si="46"/>
        <v>-</v>
      </c>
      <c r="G217" s="285" t="str">
        <f t="shared" si="47"/>
        <v>-</v>
      </c>
      <c r="H217" s="287">
        <f>(E217+D217)</f>
        <v>0</v>
      </c>
      <c r="I217" s="290">
        <f t="shared" si="49"/>
        <v>0</v>
      </c>
      <c r="J217" s="291">
        <f t="shared" si="50"/>
        <v>0</v>
      </c>
      <c r="K217" s="721"/>
    </row>
    <row r="218" spans="1:14">
      <c r="A218" s="307"/>
      <c r="B218" s="67"/>
      <c r="C218" s="115" t="s">
        <v>93</v>
      </c>
      <c r="D218" s="50">
        <v>0</v>
      </c>
      <c r="E218" s="53">
        <v>0</v>
      </c>
      <c r="F218" s="285" t="str">
        <f t="shared" si="46"/>
        <v>-</v>
      </c>
      <c r="G218" s="285" t="str">
        <f t="shared" si="47"/>
        <v>-</v>
      </c>
      <c r="H218" s="287">
        <f>(E218+D218)</f>
        <v>0</v>
      </c>
      <c r="I218" s="290">
        <f t="shared" si="49"/>
        <v>0</v>
      </c>
      <c r="J218" s="291">
        <f t="shared" si="50"/>
        <v>0</v>
      </c>
      <c r="K218" s="721"/>
    </row>
    <row r="219" spans="1:14">
      <c r="A219" s="307"/>
      <c r="B219" s="67"/>
      <c r="C219" s="115" t="s">
        <v>93</v>
      </c>
      <c r="D219" s="50">
        <v>0</v>
      </c>
      <c r="E219" s="53">
        <v>0</v>
      </c>
      <c r="F219" s="285" t="str">
        <f t="shared" si="46"/>
        <v>-</v>
      </c>
      <c r="G219" s="285" t="str">
        <f t="shared" si="47"/>
        <v>-</v>
      </c>
      <c r="H219" s="287">
        <f t="shared" si="48"/>
        <v>0</v>
      </c>
      <c r="I219" s="290">
        <f t="shared" si="49"/>
        <v>0</v>
      </c>
      <c r="J219" s="291">
        <f t="shared" si="50"/>
        <v>0</v>
      </c>
      <c r="K219" s="721"/>
    </row>
    <row r="220" spans="1:14">
      <c r="A220" s="307"/>
      <c r="B220" s="67"/>
      <c r="C220" s="115" t="s">
        <v>93</v>
      </c>
      <c r="D220" s="50">
        <v>0</v>
      </c>
      <c r="E220" s="53">
        <v>0</v>
      </c>
      <c r="F220" s="285" t="str">
        <f t="shared" si="46"/>
        <v>-</v>
      </c>
      <c r="G220" s="285" t="str">
        <f t="shared" si="47"/>
        <v>-</v>
      </c>
      <c r="H220" s="287">
        <f>(E220+D220)</f>
        <v>0</v>
      </c>
      <c r="I220" s="290">
        <f t="shared" si="49"/>
        <v>0</v>
      </c>
      <c r="J220" s="291">
        <f t="shared" si="50"/>
        <v>0</v>
      </c>
      <c r="K220" s="721"/>
    </row>
    <row r="221" spans="1:14">
      <c r="A221" s="307"/>
      <c r="B221" s="67"/>
      <c r="C221" s="115" t="s">
        <v>93</v>
      </c>
      <c r="D221" s="334">
        <v>0</v>
      </c>
      <c r="E221" s="52">
        <v>0</v>
      </c>
      <c r="F221" s="335" t="str">
        <f t="shared" si="46"/>
        <v>-</v>
      </c>
      <c r="G221" s="326" t="str">
        <f t="shared" si="47"/>
        <v>-</v>
      </c>
      <c r="H221" s="331">
        <f t="shared" si="48"/>
        <v>0</v>
      </c>
      <c r="I221" s="332">
        <f t="shared" si="49"/>
        <v>0</v>
      </c>
      <c r="J221" s="330">
        <f t="shared" si="50"/>
        <v>0</v>
      </c>
      <c r="K221" s="776"/>
    </row>
    <row r="222" spans="1:14">
      <c r="A222" s="310"/>
      <c r="B222" s="182"/>
      <c r="C222" s="191" t="s">
        <v>29</v>
      </c>
      <c r="D222" s="183">
        <f>SUM(D176:D221)</f>
        <v>371569</v>
      </c>
      <c r="E222" s="183">
        <f>SUM(E176:E221)</f>
        <v>301714</v>
      </c>
      <c r="F222" s="187"/>
      <c r="G222" s="181"/>
      <c r="H222" s="188">
        <f>SUM(H176:H221)</f>
        <v>673283</v>
      </c>
      <c r="I222" s="189">
        <f>SUM(I176:I221)</f>
        <v>446455.8</v>
      </c>
      <c r="J222" s="184">
        <f>SUM(J176:J221)</f>
        <v>334992.99999999994</v>
      </c>
      <c r="K222" s="775"/>
      <c r="M222" s="107"/>
      <c r="N222" s="107"/>
    </row>
    <row r="223" spans="1:14">
      <c r="A223" s="306"/>
      <c r="C223" s="103"/>
      <c r="D223" s="45"/>
      <c r="E223" s="60"/>
      <c r="H223" s="46"/>
      <c r="I223" s="47"/>
      <c r="J223" s="48"/>
      <c r="K223" s="721"/>
    </row>
    <row r="224" spans="1:14">
      <c r="A224" s="306"/>
      <c r="C224" s="66" t="s">
        <v>35</v>
      </c>
      <c r="D224" s="26"/>
      <c r="E224" s="52"/>
      <c r="F224" s="4"/>
      <c r="G224" s="4"/>
      <c r="H224" s="24"/>
      <c r="I224" s="18"/>
      <c r="J224" s="12"/>
      <c r="K224" s="721"/>
    </row>
    <row r="225" spans="1:14">
      <c r="A225" s="307" t="s">
        <v>540</v>
      </c>
      <c r="B225" s="67" t="s">
        <v>541</v>
      </c>
      <c r="C225" s="55" t="s">
        <v>498</v>
      </c>
      <c r="D225" s="35">
        <v>0</v>
      </c>
      <c r="E225" s="53">
        <v>0</v>
      </c>
      <c r="F225" s="285" t="str">
        <f>IFERROR(D225/(E225+D225),"-")</f>
        <v>-</v>
      </c>
      <c r="G225" s="285" t="str">
        <f>IFERROR(E225/(D225+E225),"-")</f>
        <v>-</v>
      </c>
      <c r="H225" s="287">
        <f t="shared" ref="H225:H244" si="51">(E225+D225)</f>
        <v>0</v>
      </c>
      <c r="I225" s="290">
        <f t="shared" ref="I225:J227" si="52">D225*1</f>
        <v>0</v>
      </c>
      <c r="J225" s="291">
        <f t="shared" si="52"/>
        <v>0</v>
      </c>
      <c r="K225" s="721"/>
    </row>
    <row r="226" spans="1:14" ht="25.5">
      <c r="A226" s="307"/>
      <c r="B226" s="67" t="s">
        <v>542</v>
      </c>
      <c r="C226" s="870" t="s">
        <v>543</v>
      </c>
      <c r="D226" s="54">
        <v>0</v>
      </c>
      <c r="E226" s="53">
        <v>1192</v>
      </c>
      <c r="F226" s="285">
        <f t="shared" ref="F226:F244" si="53">IFERROR(D226/(E226+D226),"-")</f>
        <v>0</v>
      </c>
      <c r="G226" s="285">
        <f t="shared" ref="G226:G244" si="54">IFERROR(E226/(D226+E226),"-")</f>
        <v>1</v>
      </c>
      <c r="H226" s="287">
        <f t="shared" si="51"/>
        <v>1192</v>
      </c>
      <c r="I226" s="290">
        <f t="shared" si="52"/>
        <v>0</v>
      </c>
      <c r="J226" s="291">
        <f t="shared" si="52"/>
        <v>1192</v>
      </c>
      <c r="K226" s="867"/>
      <c r="L226" s="7"/>
      <c r="M226" s="107"/>
      <c r="N226" s="107"/>
    </row>
    <row r="227" spans="1:14" ht="25.5">
      <c r="A227" s="307" t="s">
        <v>544</v>
      </c>
      <c r="B227" s="67" t="s">
        <v>545</v>
      </c>
      <c r="C227" s="870" t="s">
        <v>546</v>
      </c>
      <c r="D227" s="35">
        <v>0</v>
      </c>
      <c r="E227" s="53">
        <v>2055</v>
      </c>
      <c r="F227" s="285">
        <f t="shared" si="53"/>
        <v>0</v>
      </c>
      <c r="G227" s="285">
        <f t="shared" si="54"/>
        <v>1</v>
      </c>
      <c r="H227" s="287">
        <f t="shared" si="51"/>
        <v>2055</v>
      </c>
      <c r="I227" s="290">
        <f t="shared" si="52"/>
        <v>0</v>
      </c>
      <c r="J227" s="291">
        <f t="shared" si="52"/>
        <v>2055</v>
      </c>
      <c r="K227" s="867"/>
      <c r="M227" s="107"/>
      <c r="N227" s="107"/>
    </row>
    <row r="228" spans="1:14">
      <c r="A228" s="307" t="s">
        <v>547</v>
      </c>
      <c r="B228" s="67"/>
      <c r="C228" s="56" t="s">
        <v>498</v>
      </c>
      <c r="D228" s="35">
        <v>-7049</v>
      </c>
      <c r="E228" s="53">
        <v>0</v>
      </c>
      <c r="F228" s="285">
        <f t="shared" si="53"/>
        <v>1</v>
      </c>
      <c r="G228" s="285">
        <f t="shared" si="54"/>
        <v>0</v>
      </c>
      <c r="H228" s="287">
        <f t="shared" si="51"/>
        <v>-7049</v>
      </c>
      <c r="I228" s="290">
        <f>D228</f>
        <v>-7049</v>
      </c>
      <c r="J228" s="291">
        <f>E228</f>
        <v>0</v>
      </c>
      <c r="K228" s="867"/>
    </row>
    <row r="229" spans="1:14">
      <c r="A229" s="307"/>
      <c r="B229" s="67" t="s">
        <v>548</v>
      </c>
      <c r="C229" s="55" t="s">
        <v>549</v>
      </c>
      <c r="D229" s="35">
        <v>0</v>
      </c>
      <c r="E229" s="53">
        <v>-2384</v>
      </c>
      <c r="F229" s="285">
        <f t="shared" si="53"/>
        <v>0</v>
      </c>
      <c r="G229" s="285">
        <f t="shared" si="54"/>
        <v>1</v>
      </c>
      <c r="H229" s="287">
        <f t="shared" si="51"/>
        <v>-2384</v>
      </c>
      <c r="I229" s="290">
        <f>D229</f>
        <v>0</v>
      </c>
      <c r="J229" s="291">
        <f>E229</f>
        <v>-2384</v>
      </c>
      <c r="K229" s="867"/>
    </row>
    <row r="230" spans="1:14">
      <c r="A230" s="307" t="s">
        <v>550</v>
      </c>
      <c r="B230" s="67" t="s">
        <v>551</v>
      </c>
      <c r="C230" s="56" t="s">
        <v>36</v>
      </c>
      <c r="D230" s="35">
        <v>8618</v>
      </c>
      <c r="E230" s="53">
        <v>29230</v>
      </c>
      <c r="F230" s="285">
        <f t="shared" si="53"/>
        <v>0.2277002747833439</v>
      </c>
      <c r="G230" s="285">
        <f t="shared" si="54"/>
        <v>0.77229972521665613</v>
      </c>
      <c r="H230" s="287">
        <f t="shared" si="51"/>
        <v>37848</v>
      </c>
      <c r="I230" s="290">
        <f>D230*1</f>
        <v>8618</v>
      </c>
      <c r="J230" s="291">
        <f>E230*1</f>
        <v>29230</v>
      </c>
      <c r="K230" s="867"/>
      <c r="M230" s="107"/>
    </row>
    <row r="231" spans="1:14">
      <c r="A231" s="307"/>
      <c r="B231" s="67"/>
      <c r="C231" s="56" t="s">
        <v>552</v>
      </c>
      <c r="D231" s="35">
        <f>7500*1</f>
        <v>7500</v>
      </c>
      <c r="E231" s="53"/>
      <c r="F231" s="285">
        <f t="shared" si="53"/>
        <v>1</v>
      </c>
      <c r="G231" s="285">
        <f t="shared" si="54"/>
        <v>0</v>
      </c>
      <c r="H231" s="287">
        <f t="shared" si="51"/>
        <v>7500</v>
      </c>
      <c r="I231" s="290">
        <f>AVERAGE(8000,8000,8500)*1.2</f>
        <v>9800</v>
      </c>
      <c r="J231" s="291">
        <f t="shared" ref="J231:J244" si="55">E231*1.2</f>
        <v>0</v>
      </c>
      <c r="K231" s="721" t="s">
        <v>466</v>
      </c>
      <c r="N231" s="107"/>
    </row>
    <row r="232" spans="1:14">
      <c r="A232" s="307"/>
      <c r="B232" s="67"/>
      <c r="C232" s="396" t="s">
        <v>553</v>
      </c>
      <c r="D232" s="35">
        <f>40586.54*1</f>
        <v>40586.54</v>
      </c>
      <c r="E232" s="53"/>
      <c r="F232" s="285">
        <f t="shared" si="53"/>
        <v>1</v>
      </c>
      <c r="G232" s="285">
        <f t="shared" si="54"/>
        <v>0</v>
      </c>
      <c r="H232" s="287">
        <f t="shared" si="51"/>
        <v>40586.54</v>
      </c>
      <c r="I232" s="290">
        <f>AVERAGE(41821,43093,44404)*1.2</f>
        <v>51727.199999999997</v>
      </c>
      <c r="J232" s="291">
        <f t="shared" si="55"/>
        <v>0</v>
      </c>
      <c r="K232" s="721" t="s">
        <v>466</v>
      </c>
    </row>
    <row r="233" spans="1:14">
      <c r="A233" s="307"/>
      <c r="B233" s="67"/>
      <c r="C233" s="571" t="s">
        <v>554</v>
      </c>
      <c r="D233" s="35">
        <f>9870.95*1</f>
        <v>9870.9500000000007</v>
      </c>
      <c r="E233" s="53">
        <v>0</v>
      </c>
      <c r="F233" s="285">
        <f t="shared" si="53"/>
        <v>1</v>
      </c>
      <c r="G233" s="285">
        <f t="shared" si="54"/>
        <v>0</v>
      </c>
      <c r="H233" s="287">
        <f t="shared" si="51"/>
        <v>9870.9500000000007</v>
      </c>
      <c r="I233" s="290">
        <f>AVERAGE(10200,10200,9213)*1.2</f>
        <v>11845.199999999999</v>
      </c>
      <c r="J233" s="291">
        <f t="shared" si="55"/>
        <v>0</v>
      </c>
      <c r="K233" s="721" t="s">
        <v>466</v>
      </c>
    </row>
    <row r="234" spans="1:14" ht="15">
      <c r="A234" s="307"/>
      <c r="B234" s="67"/>
      <c r="C234" s="56" t="s">
        <v>555</v>
      </c>
      <c r="D234" s="35">
        <f>85570.44*1</f>
        <v>85570.44</v>
      </c>
      <c r="E234" s="53">
        <v>0</v>
      </c>
      <c r="F234" s="285">
        <f t="shared" si="53"/>
        <v>1</v>
      </c>
      <c r="G234" s="285">
        <f t="shared" si="54"/>
        <v>0</v>
      </c>
      <c r="H234" s="287">
        <f t="shared" si="51"/>
        <v>85570.44</v>
      </c>
      <c r="I234" s="290">
        <f>AVERAGE(87290,89045,90835)*1.2</f>
        <v>106868</v>
      </c>
      <c r="J234" s="291">
        <f t="shared" si="55"/>
        <v>0</v>
      </c>
      <c r="K234" s="721" t="s">
        <v>466</v>
      </c>
      <c r="N234" s="868"/>
    </row>
    <row r="235" spans="1:14">
      <c r="A235" s="307"/>
      <c r="B235" s="67"/>
      <c r="C235" s="115" t="s">
        <v>556</v>
      </c>
      <c r="D235" s="35">
        <f>100000*1</f>
        <v>100000</v>
      </c>
      <c r="E235" s="53">
        <f>155000*1</f>
        <v>155000</v>
      </c>
      <c r="F235" s="285">
        <f t="shared" si="53"/>
        <v>0.39215686274509803</v>
      </c>
      <c r="G235" s="285">
        <f t="shared" si="54"/>
        <v>0.60784313725490191</v>
      </c>
      <c r="H235" s="287">
        <f t="shared" si="51"/>
        <v>255000</v>
      </c>
      <c r="I235" s="290">
        <f>AVERAGE(105000,105000,75000)*1.2</f>
        <v>114000</v>
      </c>
      <c r="J235" s="291">
        <f>AVERAGE(160000,180000,65000)*1.2</f>
        <v>162000</v>
      </c>
      <c r="K235" s="721" t="s">
        <v>466</v>
      </c>
    </row>
    <row r="236" spans="1:14">
      <c r="A236" s="307"/>
      <c r="B236" s="67"/>
      <c r="C236" s="115" t="s">
        <v>557</v>
      </c>
      <c r="D236" s="585">
        <v>0</v>
      </c>
      <c r="E236" s="382">
        <v>0</v>
      </c>
      <c r="F236" s="285" t="str">
        <f t="shared" si="53"/>
        <v>-</v>
      </c>
      <c r="G236" s="285" t="str">
        <f t="shared" si="54"/>
        <v>-</v>
      </c>
      <c r="H236" s="287">
        <f t="shared" si="51"/>
        <v>0</v>
      </c>
      <c r="I236" s="290">
        <f t="shared" ref="I236:I244" si="56">D236*1.2</f>
        <v>0</v>
      </c>
      <c r="J236" s="291">
        <f t="shared" si="55"/>
        <v>0</v>
      </c>
      <c r="K236" s="721" t="s">
        <v>466</v>
      </c>
    </row>
    <row r="237" spans="1:14">
      <c r="A237" s="307"/>
      <c r="B237" s="67"/>
      <c r="C237" s="115" t="s">
        <v>558</v>
      </c>
      <c r="D237" s="35">
        <v>0</v>
      </c>
      <c r="E237" s="53">
        <f>26000*1</f>
        <v>26000</v>
      </c>
      <c r="F237" s="285">
        <f t="shared" si="53"/>
        <v>0</v>
      </c>
      <c r="G237" s="285">
        <f t="shared" si="54"/>
        <v>1</v>
      </c>
      <c r="H237" s="287">
        <f t="shared" si="51"/>
        <v>26000</v>
      </c>
      <c r="I237" s="290">
        <f t="shared" si="56"/>
        <v>0</v>
      </c>
      <c r="J237" s="291">
        <f>AVERAGE(27000,28000,29000)*1.2</f>
        <v>33600</v>
      </c>
      <c r="K237" s="721" t="s">
        <v>466</v>
      </c>
    </row>
    <row r="238" spans="1:14">
      <c r="A238" s="307"/>
      <c r="B238" s="67"/>
      <c r="C238" s="115" t="s">
        <v>559</v>
      </c>
      <c r="D238" s="35">
        <v>0</v>
      </c>
      <c r="E238" s="53">
        <v>140129.04999999999</v>
      </c>
      <c r="F238" s="285">
        <f t="shared" si="53"/>
        <v>0</v>
      </c>
      <c r="G238" s="285">
        <f t="shared" si="54"/>
        <v>1</v>
      </c>
      <c r="H238" s="287">
        <f t="shared" si="51"/>
        <v>140129.04999999999</v>
      </c>
      <c r="I238" s="290">
        <f t="shared" si="56"/>
        <v>0</v>
      </c>
      <c r="J238" s="291">
        <f>AVERAGE(144800,144800,130787)*1.2</f>
        <v>168154.8</v>
      </c>
      <c r="K238" s="721" t="s">
        <v>466</v>
      </c>
    </row>
    <row r="239" spans="1:14">
      <c r="A239" s="307"/>
      <c r="B239" s="67"/>
      <c r="C239" s="115" t="s">
        <v>560</v>
      </c>
      <c r="D239" s="35">
        <v>0</v>
      </c>
      <c r="E239" s="53">
        <f>165000*1</f>
        <v>165000</v>
      </c>
      <c r="F239" s="285">
        <f t="shared" si="53"/>
        <v>0</v>
      </c>
      <c r="G239" s="285">
        <f t="shared" si="54"/>
        <v>1</v>
      </c>
      <c r="H239" s="287">
        <f t="shared" si="51"/>
        <v>165000</v>
      </c>
      <c r="I239" s="290">
        <f t="shared" si="56"/>
        <v>0</v>
      </c>
      <c r="J239" s="291">
        <f>AVERAGE(165000,165000,175000)*1.2</f>
        <v>202000</v>
      </c>
      <c r="K239" s="721" t="s">
        <v>466</v>
      </c>
    </row>
    <row r="240" spans="1:14">
      <c r="A240" s="307"/>
      <c r="B240" s="67"/>
      <c r="C240" s="115" t="s">
        <v>561</v>
      </c>
      <c r="D240" s="35">
        <v>0</v>
      </c>
      <c r="E240" s="53">
        <f>78818.14*1</f>
        <v>78818.14</v>
      </c>
      <c r="F240" s="285">
        <f t="shared" si="53"/>
        <v>0</v>
      </c>
      <c r="G240" s="285">
        <f t="shared" si="54"/>
        <v>1</v>
      </c>
      <c r="H240" s="287">
        <f t="shared" si="51"/>
        <v>78818.14</v>
      </c>
      <c r="I240" s="290">
        <f t="shared" si="56"/>
        <v>0</v>
      </c>
      <c r="J240" s="291">
        <f>AVERAGE(81200,83655,86183)*1.2</f>
        <v>100415.2</v>
      </c>
      <c r="K240" s="721" t="s">
        <v>466</v>
      </c>
    </row>
    <row r="241" spans="1:14">
      <c r="A241" s="307"/>
      <c r="B241" s="67"/>
      <c r="C241" s="115" t="s">
        <v>93</v>
      </c>
      <c r="D241" s="35">
        <v>0</v>
      </c>
      <c r="E241" s="53">
        <v>0</v>
      </c>
      <c r="F241" s="285" t="str">
        <f t="shared" si="53"/>
        <v>-</v>
      </c>
      <c r="G241" s="285" t="str">
        <f t="shared" si="54"/>
        <v>-</v>
      </c>
      <c r="H241" s="287">
        <f t="shared" si="51"/>
        <v>0</v>
      </c>
      <c r="I241" s="290">
        <f t="shared" si="56"/>
        <v>0</v>
      </c>
      <c r="J241" s="291">
        <v>0</v>
      </c>
      <c r="K241" s="721" t="s">
        <v>466</v>
      </c>
    </row>
    <row r="242" spans="1:14">
      <c r="A242" s="307"/>
      <c r="B242" s="67"/>
      <c r="C242" s="240" t="s">
        <v>93</v>
      </c>
      <c r="D242" s="35">
        <v>0</v>
      </c>
      <c r="E242" s="53">
        <v>0</v>
      </c>
      <c r="F242" s="285" t="str">
        <f t="shared" si="53"/>
        <v>-</v>
      </c>
      <c r="G242" s="285" t="str">
        <f t="shared" si="54"/>
        <v>-</v>
      </c>
      <c r="H242" s="287">
        <f t="shared" si="51"/>
        <v>0</v>
      </c>
      <c r="I242" s="290">
        <f t="shared" si="56"/>
        <v>0</v>
      </c>
      <c r="J242" s="291">
        <v>0</v>
      </c>
      <c r="K242" s="721"/>
    </row>
    <row r="243" spans="1:14">
      <c r="A243" s="307"/>
      <c r="B243" s="67"/>
      <c r="C243" s="115" t="s">
        <v>93</v>
      </c>
      <c r="D243" s="35">
        <v>0</v>
      </c>
      <c r="E243" s="53">
        <v>0</v>
      </c>
      <c r="F243" s="285" t="str">
        <f t="shared" si="53"/>
        <v>-</v>
      </c>
      <c r="G243" s="285" t="str">
        <f t="shared" si="54"/>
        <v>-</v>
      </c>
      <c r="H243" s="287">
        <f t="shared" si="51"/>
        <v>0</v>
      </c>
      <c r="I243" s="290">
        <f t="shared" si="56"/>
        <v>0</v>
      </c>
      <c r="J243" s="291">
        <f t="shared" si="55"/>
        <v>0</v>
      </c>
      <c r="K243" s="721"/>
    </row>
    <row r="244" spans="1:14">
      <c r="A244" s="307"/>
      <c r="B244" s="67"/>
      <c r="C244" s="115" t="s">
        <v>93</v>
      </c>
      <c r="D244" s="333">
        <v>0</v>
      </c>
      <c r="E244" s="52">
        <v>0</v>
      </c>
      <c r="F244" s="325" t="str">
        <f t="shared" si="53"/>
        <v>-</v>
      </c>
      <c r="G244" s="325" t="str">
        <f t="shared" si="54"/>
        <v>-</v>
      </c>
      <c r="H244" s="327">
        <f t="shared" si="51"/>
        <v>0</v>
      </c>
      <c r="I244" s="332">
        <f t="shared" si="56"/>
        <v>0</v>
      </c>
      <c r="J244" s="330">
        <f t="shared" si="55"/>
        <v>0</v>
      </c>
      <c r="K244" s="776"/>
    </row>
    <row r="245" spans="1:14">
      <c r="A245" s="310"/>
      <c r="B245" s="182"/>
      <c r="C245" s="191" t="s">
        <v>29</v>
      </c>
      <c r="D245" s="183">
        <f>SUM(D225:D244)</f>
        <v>245096.93</v>
      </c>
      <c r="E245" s="183">
        <f>SUM(E225:E244)</f>
        <v>595040.18999999994</v>
      </c>
      <c r="F245" s="187"/>
      <c r="G245" s="181"/>
      <c r="H245" s="188">
        <f>SUM(H225:H244)</f>
        <v>840137.12</v>
      </c>
      <c r="I245" s="188">
        <f>SUM(I225:I244)</f>
        <v>295809.40000000002</v>
      </c>
      <c r="J245" s="192">
        <f>SUM(J225:J244)</f>
        <v>696263</v>
      </c>
      <c r="K245" s="775"/>
      <c r="M245" s="107"/>
      <c r="N245" s="107"/>
    </row>
    <row r="246" spans="1:14">
      <c r="A246" s="306"/>
      <c r="C246" s="104"/>
      <c r="D246" s="45"/>
      <c r="E246" s="45"/>
      <c r="F246" s="7"/>
      <c r="H246" s="46"/>
      <c r="I246" s="47"/>
      <c r="J246" s="48"/>
      <c r="K246" s="721"/>
    </row>
    <row r="247" spans="1:14" ht="14.5" thickBot="1">
      <c r="A247" s="311"/>
      <c r="B247" s="212"/>
      <c r="C247" s="213" t="s">
        <v>37</v>
      </c>
      <c r="D247" s="214">
        <f>SUM(D36,D73,D94,D116,D138,D173,D222,D245)</f>
        <v>6961912.9299999997</v>
      </c>
      <c r="E247" s="215">
        <f>SUM(E36,E73,E94,E116,E138,E173,E222,E245)</f>
        <v>17800297.190000001</v>
      </c>
      <c r="F247" s="216"/>
      <c r="G247" s="217"/>
      <c r="H247" s="218">
        <f>SUM(H36,H73,H94,H116,H138,H173,H222,H245)</f>
        <v>24762210.120000001</v>
      </c>
      <c r="I247" s="218">
        <f>SUM(I36,I73,I94,I116,I138,I173,I222,I245)</f>
        <v>7533177.3730030004</v>
      </c>
      <c r="J247" s="207">
        <f>SUM(J36,J73,J94,J116,J138,J173,J222,J245)</f>
        <v>19204087.512952901</v>
      </c>
      <c r="K247" s="777"/>
      <c r="M247" s="107"/>
    </row>
    <row r="248" spans="1:14">
      <c r="A248" s="312"/>
      <c r="B248" s="22"/>
    </row>
    <row r="249" spans="1:14">
      <c r="A249" s="377" t="s">
        <v>123</v>
      </c>
      <c r="B249" s="370"/>
      <c r="C249" s="116"/>
      <c r="D249" s="54"/>
      <c r="H249" s="107"/>
    </row>
    <row r="250" spans="1:14">
      <c r="A250" s="889" t="s">
        <v>124</v>
      </c>
      <c r="B250" s="889"/>
      <c r="C250" s="889"/>
      <c r="H250" s="107"/>
    </row>
    <row r="251" spans="1:14">
      <c r="A251" s="889" t="s">
        <v>125</v>
      </c>
      <c r="B251" s="889"/>
      <c r="C251" s="889"/>
    </row>
    <row r="252" spans="1:14">
      <c r="A252" s="889" t="s">
        <v>562</v>
      </c>
      <c r="B252" s="892"/>
      <c r="C252" s="892"/>
    </row>
    <row r="253" spans="1:14">
      <c r="A253" s="889" t="s">
        <v>563</v>
      </c>
      <c r="B253" s="892"/>
      <c r="C253" s="892"/>
    </row>
    <row r="254" spans="1:14">
      <c r="A254" s="889" t="s">
        <v>564</v>
      </c>
      <c r="B254" s="889"/>
      <c r="C254" s="889"/>
    </row>
    <row r="255" spans="1:14">
      <c r="A255" s="116" t="s">
        <v>565</v>
      </c>
      <c r="B255" s="116"/>
      <c r="C255" s="116"/>
    </row>
    <row r="256" spans="1:14">
      <c r="A256" s="116" t="s">
        <v>566</v>
      </c>
      <c r="B256" s="116"/>
      <c r="C256" s="116"/>
    </row>
    <row r="257" spans="1:3">
      <c r="A257" s="835" t="s">
        <v>567</v>
      </c>
      <c r="B257" s="701"/>
      <c r="C257" s="225"/>
    </row>
    <row r="258" spans="1:3">
      <c r="B258" s="22"/>
    </row>
    <row r="259" spans="1:3">
      <c r="B259" s="22"/>
    </row>
    <row r="260" spans="1:3">
      <c r="B260" s="22"/>
    </row>
    <row r="261" spans="1:3">
      <c r="B261" s="22"/>
    </row>
    <row r="262" spans="1:3">
      <c r="B262" s="22"/>
    </row>
    <row r="263" spans="1:3">
      <c r="B263" s="22"/>
    </row>
    <row r="264" spans="1:3">
      <c r="B264" s="22"/>
    </row>
    <row r="265" spans="1:3">
      <c r="B265" s="22"/>
    </row>
    <row r="266" spans="1:3">
      <c r="B266" s="22"/>
    </row>
    <row r="267" spans="1:3">
      <c r="B267" s="22"/>
    </row>
    <row r="268" spans="1:3">
      <c r="B268" s="22"/>
    </row>
    <row r="269" spans="1:3">
      <c r="B269" s="22"/>
    </row>
    <row r="270" spans="1:3">
      <c r="B270" s="22"/>
    </row>
    <row r="271" spans="1:3">
      <c r="B271" s="22"/>
    </row>
    <row r="272" spans="1:3">
      <c r="B272" s="22"/>
    </row>
    <row r="273" spans="1:2">
      <c r="B273" s="22"/>
    </row>
    <row r="274" spans="1:2">
      <c r="B274" s="22"/>
    </row>
    <row r="275" spans="1:2">
      <c r="B275" s="22"/>
    </row>
    <row r="276" spans="1:2">
      <c r="B276" s="22"/>
    </row>
    <row r="277" spans="1:2">
      <c r="A277"/>
      <c r="B277" s="22"/>
    </row>
    <row r="278" spans="1:2">
      <c r="A278"/>
      <c r="B278" s="22"/>
    </row>
    <row r="279" spans="1:2">
      <c r="A279"/>
      <c r="B279" s="22"/>
    </row>
    <row r="280" spans="1:2">
      <c r="A280"/>
      <c r="B280" s="22"/>
    </row>
    <row r="281" spans="1:2">
      <c r="A281"/>
      <c r="B281" s="22"/>
    </row>
    <row r="282" spans="1:2">
      <c r="A282"/>
      <c r="B282" s="22"/>
    </row>
    <row r="283" spans="1:2">
      <c r="A283"/>
      <c r="B283" s="22"/>
    </row>
    <row r="284" spans="1:2">
      <c r="A284"/>
      <c r="B284" s="22"/>
    </row>
    <row r="285" spans="1:2">
      <c r="A285"/>
      <c r="B285" s="22"/>
    </row>
    <row r="286" spans="1:2">
      <c r="A286"/>
      <c r="B286" s="22"/>
    </row>
    <row r="287" spans="1:2">
      <c r="A287"/>
      <c r="B287" s="22"/>
    </row>
    <row r="288" spans="1:2">
      <c r="A288"/>
      <c r="B288" s="22"/>
    </row>
    <row r="289" spans="1:2">
      <c r="A289"/>
      <c r="B289" s="22"/>
    </row>
    <row r="290" spans="1:2">
      <c r="A290"/>
      <c r="B290" s="22"/>
    </row>
    <row r="291" spans="1:2">
      <c r="A291"/>
      <c r="B291" s="22"/>
    </row>
    <row r="292" spans="1:2">
      <c r="A292"/>
      <c r="B292" s="22"/>
    </row>
    <row r="293" spans="1:2">
      <c r="A293"/>
      <c r="B293" s="22"/>
    </row>
    <row r="294" spans="1:2">
      <c r="A294"/>
      <c r="B294" s="22"/>
    </row>
    <row r="295" spans="1:2">
      <c r="A295"/>
      <c r="B295" s="22"/>
    </row>
    <row r="296" spans="1:2">
      <c r="A296"/>
      <c r="B296" s="22"/>
    </row>
    <row r="297" spans="1:2">
      <c r="A297"/>
      <c r="B297" s="22"/>
    </row>
    <row r="298" spans="1:2">
      <c r="A298"/>
      <c r="B298" s="22"/>
    </row>
    <row r="299" spans="1:2">
      <c r="A299"/>
      <c r="B299" s="22"/>
    </row>
    <row r="300" spans="1:2">
      <c r="A300"/>
      <c r="B300" s="22"/>
    </row>
    <row r="301" spans="1:2">
      <c r="A301"/>
      <c r="B301" s="22"/>
    </row>
    <row r="302" spans="1:2">
      <c r="A302"/>
      <c r="B302" s="22"/>
    </row>
    <row r="303" spans="1:2">
      <c r="A303"/>
      <c r="B303" s="22"/>
    </row>
    <row r="304" spans="1:2">
      <c r="A304"/>
      <c r="B304" s="22"/>
    </row>
    <row r="305" spans="1:2">
      <c r="A305"/>
      <c r="B305" s="22"/>
    </row>
    <row r="306" spans="1:2">
      <c r="A306"/>
      <c r="B306" s="22"/>
    </row>
    <row r="307" spans="1:2">
      <c r="A307"/>
      <c r="B307" s="22"/>
    </row>
    <row r="308" spans="1:2">
      <c r="A308"/>
      <c r="B308" s="22"/>
    </row>
    <row r="309" spans="1:2">
      <c r="A309"/>
      <c r="B309" s="22"/>
    </row>
    <row r="310" spans="1:2">
      <c r="A310"/>
      <c r="B310" s="22"/>
    </row>
    <row r="311" spans="1:2">
      <c r="A311"/>
      <c r="B311" s="22"/>
    </row>
    <row r="312" spans="1:2">
      <c r="A312"/>
      <c r="B312" s="22"/>
    </row>
    <row r="313" spans="1:2">
      <c r="A313"/>
      <c r="B313" s="22"/>
    </row>
    <row r="314" spans="1:2">
      <c r="A314"/>
      <c r="B314" s="22"/>
    </row>
    <row r="315" spans="1:2">
      <c r="A315"/>
      <c r="B315" s="22"/>
    </row>
    <row r="316" spans="1:2">
      <c r="A316"/>
      <c r="B316" s="22"/>
    </row>
    <row r="317" spans="1:2">
      <c r="A317"/>
      <c r="B317" s="22"/>
    </row>
    <row r="318" spans="1:2">
      <c r="A318"/>
      <c r="B318" s="22"/>
    </row>
    <row r="319" spans="1:2">
      <c r="A319"/>
      <c r="B319" s="22"/>
    </row>
    <row r="320" spans="1:2">
      <c r="A320"/>
      <c r="B320" s="22"/>
    </row>
    <row r="321" spans="1:2">
      <c r="A321"/>
      <c r="B321" s="22"/>
    </row>
    <row r="322" spans="1:2">
      <c r="A322"/>
      <c r="B322" s="22"/>
    </row>
    <row r="323" spans="1:2">
      <c r="A323"/>
      <c r="B323" s="22"/>
    </row>
    <row r="324" spans="1:2">
      <c r="A324"/>
      <c r="B324" s="22"/>
    </row>
    <row r="325" spans="1:2">
      <c r="A325"/>
      <c r="B325" s="22"/>
    </row>
    <row r="326" spans="1:2">
      <c r="A326"/>
      <c r="B326" s="22"/>
    </row>
    <row r="327" spans="1:2">
      <c r="A327"/>
      <c r="B327" s="22"/>
    </row>
    <row r="328" spans="1:2">
      <c r="A328"/>
      <c r="B328" s="22"/>
    </row>
    <row r="329" spans="1:2">
      <c r="A329"/>
      <c r="B329" s="22"/>
    </row>
    <row r="330" spans="1:2">
      <c r="A330"/>
      <c r="B330" s="22"/>
    </row>
    <row r="331" spans="1:2">
      <c r="A331"/>
      <c r="B331" s="22"/>
    </row>
    <row r="332" spans="1:2">
      <c r="A332"/>
      <c r="B332" s="22"/>
    </row>
    <row r="333" spans="1:2">
      <c r="A333"/>
      <c r="B333" s="22"/>
    </row>
    <row r="334" spans="1:2">
      <c r="A334"/>
      <c r="B334" s="22"/>
    </row>
    <row r="335" spans="1:2">
      <c r="A335"/>
      <c r="B335" s="22"/>
    </row>
    <row r="336" spans="1:2">
      <c r="A336"/>
      <c r="B336" s="22"/>
    </row>
    <row r="337" spans="1:2">
      <c r="A337"/>
      <c r="B337" s="22"/>
    </row>
    <row r="338" spans="1:2">
      <c r="A338"/>
      <c r="B338" s="22"/>
    </row>
    <row r="339" spans="1:2">
      <c r="A339"/>
      <c r="B339" s="22"/>
    </row>
    <row r="340" spans="1:2">
      <c r="A340"/>
      <c r="B340" s="22"/>
    </row>
    <row r="341" spans="1:2">
      <c r="A341"/>
      <c r="B341" s="22"/>
    </row>
    <row r="342" spans="1:2">
      <c r="A342"/>
      <c r="B342" s="22"/>
    </row>
    <row r="343" spans="1:2">
      <c r="A343"/>
      <c r="B343" s="22"/>
    </row>
    <row r="344" spans="1:2">
      <c r="A344"/>
      <c r="B344" s="22"/>
    </row>
    <row r="345" spans="1:2">
      <c r="A345"/>
      <c r="B345" s="22"/>
    </row>
    <row r="346" spans="1:2">
      <c r="A346"/>
      <c r="B346" s="22"/>
    </row>
    <row r="347" spans="1:2">
      <c r="A347"/>
      <c r="B347" s="22"/>
    </row>
    <row r="348" spans="1:2">
      <c r="A348"/>
      <c r="B348" s="22"/>
    </row>
    <row r="349" spans="1:2">
      <c r="A349"/>
      <c r="B349" s="22"/>
    </row>
    <row r="350" spans="1:2">
      <c r="A350"/>
      <c r="B350" s="22"/>
    </row>
    <row r="351" spans="1:2">
      <c r="A351"/>
      <c r="B351" s="22"/>
    </row>
    <row r="352" spans="1:2">
      <c r="A352"/>
      <c r="B352" s="22"/>
    </row>
    <row r="353" spans="1:2">
      <c r="A353"/>
      <c r="B353" s="22"/>
    </row>
    <row r="354" spans="1:2">
      <c r="A354"/>
      <c r="B354" s="22"/>
    </row>
    <row r="355" spans="1:2">
      <c r="A355"/>
      <c r="B355" s="22"/>
    </row>
    <row r="356" spans="1:2">
      <c r="A356"/>
      <c r="B356" s="22"/>
    </row>
    <row r="357" spans="1:2">
      <c r="A357"/>
      <c r="B357" s="22"/>
    </row>
    <row r="358" spans="1:2">
      <c r="A358"/>
      <c r="B358" s="22"/>
    </row>
    <row r="359" spans="1:2">
      <c r="A359"/>
      <c r="B359" s="22"/>
    </row>
    <row r="360" spans="1:2">
      <c r="A360"/>
      <c r="B360" s="22"/>
    </row>
    <row r="361" spans="1:2">
      <c r="A361"/>
      <c r="B361" s="22"/>
    </row>
    <row r="362" spans="1:2">
      <c r="A362"/>
      <c r="B362" s="22"/>
    </row>
    <row r="363" spans="1:2">
      <c r="A363"/>
      <c r="B363" s="22"/>
    </row>
    <row r="364" spans="1:2">
      <c r="A364"/>
      <c r="B364" s="22"/>
    </row>
    <row r="365" spans="1:2">
      <c r="A365"/>
      <c r="B365" s="22"/>
    </row>
    <row r="366" spans="1:2">
      <c r="A366"/>
      <c r="B366" s="22"/>
    </row>
    <row r="367" spans="1:2">
      <c r="A367"/>
      <c r="B367" s="22"/>
    </row>
    <row r="368" spans="1:2">
      <c r="A368"/>
      <c r="B368" s="22"/>
    </row>
    <row r="369" spans="1:2">
      <c r="A369"/>
      <c r="B369" s="22"/>
    </row>
    <row r="370" spans="1:2">
      <c r="A370"/>
      <c r="B370" s="22"/>
    </row>
    <row r="371" spans="1:2">
      <c r="A371"/>
      <c r="B371" s="22"/>
    </row>
    <row r="372" spans="1:2">
      <c r="A372"/>
      <c r="B372" s="22"/>
    </row>
    <row r="373" spans="1:2">
      <c r="A373"/>
      <c r="B373" s="22"/>
    </row>
    <row r="374" spans="1:2">
      <c r="A374"/>
      <c r="B374" s="22"/>
    </row>
    <row r="375" spans="1:2">
      <c r="A375"/>
      <c r="B375" s="22"/>
    </row>
    <row r="376" spans="1:2">
      <c r="A376"/>
      <c r="B376" s="22"/>
    </row>
    <row r="377" spans="1:2">
      <c r="A377"/>
      <c r="B377" s="22"/>
    </row>
    <row r="378" spans="1:2">
      <c r="A378"/>
      <c r="B378" s="22"/>
    </row>
    <row r="379" spans="1:2">
      <c r="A379"/>
      <c r="B379" s="22"/>
    </row>
    <row r="380" spans="1:2">
      <c r="A380"/>
      <c r="B380" s="22"/>
    </row>
    <row r="381" spans="1:2">
      <c r="A381"/>
      <c r="B381" s="22"/>
    </row>
    <row r="382" spans="1:2">
      <c r="A382"/>
      <c r="B382" s="22"/>
    </row>
    <row r="383" spans="1:2">
      <c r="A383"/>
      <c r="B383" s="22"/>
    </row>
    <row r="384" spans="1:2">
      <c r="A384"/>
      <c r="B384" s="22"/>
    </row>
    <row r="385" spans="1:2">
      <c r="A385"/>
      <c r="B385" s="22"/>
    </row>
    <row r="386" spans="1:2">
      <c r="A386"/>
      <c r="B386" s="22"/>
    </row>
    <row r="387" spans="1:2">
      <c r="A387"/>
      <c r="B387" s="22"/>
    </row>
    <row r="388" spans="1:2">
      <c r="A388"/>
      <c r="B388" s="22"/>
    </row>
    <row r="389" spans="1:2">
      <c r="A389"/>
      <c r="B389" s="22"/>
    </row>
    <row r="390" spans="1:2">
      <c r="A390"/>
      <c r="B390" s="22"/>
    </row>
    <row r="391" spans="1:2">
      <c r="A391"/>
      <c r="B391" s="22"/>
    </row>
    <row r="392" spans="1:2">
      <c r="A392"/>
      <c r="B392" s="22"/>
    </row>
    <row r="393" spans="1:2">
      <c r="A393"/>
      <c r="B393" s="22"/>
    </row>
    <row r="394" spans="1:2">
      <c r="A394"/>
      <c r="B394" s="22"/>
    </row>
    <row r="395" spans="1:2">
      <c r="A395"/>
      <c r="B395" s="22"/>
    </row>
    <row r="396" spans="1:2">
      <c r="A396"/>
      <c r="B396" s="22"/>
    </row>
    <row r="397" spans="1:2">
      <c r="A397"/>
      <c r="B397" s="22"/>
    </row>
    <row r="398" spans="1:2">
      <c r="A398"/>
      <c r="B398" s="22"/>
    </row>
    <row r="399" spans="1:2">
      <c r="A399"/>
      <c r="B399" s="22"/>
    </row>
    <row r="400" spans="1:2">
      <c r="A400"/>
      <c r="B400" s="22"/>
    </row>
    <row r="401" spans="1:2">
      <c r="A401"/>
      <c r="B401" s="22"/>
    </row>
    <row r="402" spans="1:2">
      <c r="A402"/>
      <c r="B402" s="22"/>
    </row>
    <row r="403" spans="1:2">
      <c r="A403"/>
      <c r="B403" s="22"/>
    </row>
    <row r="404" spans="1:2">
      <c r="A404"/>
      <c r="B404" s="22"/>
    </row>
    <row r="405" spans="1:2">
      <c r="A405"/>
      <c r="B405" s="22"/>
    </row>
    <row r="406" spans="1:2">
      <c r="A406"/>
      <c r="B406" s="22"/>
    </row>
    <row r="407" spans="1:2">
      <c r="A407"/>
      <c r="B407" s="22"/>
    </row>
    <row r="408" spans="1:2">
      <c r="A408"/>
      <c r="B408" s="22"/>
    </row>
    <row r="409" spans="1:2">
      <c r="A409"/>
      <c r="B409" s="22"/>
    </row>
    <row r="410" spans="1:2">
      <c r="A410"/>
      <c r="B410" s="22"/>
    </row>
    <row r="411" spans="1:2">
      <c r="A411"/>
      <c r="B411" s="22"/>
    </row>
    <row r="412" spans="1:2">
      <c r="A412"/>
      <c r="B412" s="22"/>
    </row>
    <row r="413" spans="1:2">
      <c r="A413"/>
      <c r="B413" s="22"/>
    </row>
    <row r="414" spans="1:2">
      <c r="A414"/>
      <c r="B414" s="22"/>
    </row>
    <row r="415" spans="1:2">
      <c r="A415"/>
      <c r="B415" s="22"/>
    </row>
    <row r="416" spans="1:2">
      <c r="A416"/>
      <c r="B416" s="22"/>
    </row>
    <row r="417" spans="1:2">
      <c r="A417"/>
      <c r="B417" s="22"/>
    </row>
    <row r="418" spans="1:2">
      <c r="A418"/>
      <c r="B418" s="22"/>
    </row>
    <row r="419" spans="1:2">
      <c r="A419"/>
      <c r="B419" s="22"/>
    </row>
    <row r="420" spans="1:2">
      <c r="A420"/>
      <c r="B420" s="22"/>
    </row>
    <row r="421" spans="1:2">
      <c r="A421"/>
      <c r="B421" s="22"/>
    </row>
    <row r="422" spans="1:2">
      <c r="A422"/>
      <c r="B422" s="22"/>
    </row>
    <row r="423" spans="1:2">
      <c r="A423"/>
      <c r="B423" s="22"/>
    </row>
    <row r="424" spans="1:2">
      <c r="A424"/>
      <c r="B424" s="22"/>
    </row>
    <row r="425" spans="1:2">
      <c r="A425"/>
      <c r="B425" s="22"/>
    </row>
    <row r="426" spans="1:2">
      <c r="A426"/>
      <c r="B426" s="22"/>
    </row>
    <row r="427" spans="1:2">
      <c r="A427"/>
      <c r="B427" s="22"/>
    </row>
    <row r="428" spans="1:2">
      <c r="A428"/>
      <c r="B428" s="22"/>
    </row>
    <row r="429" spans="1:2">
      <c r="A429"/>
      <c r="B429" s="22"/>
    </row>
    <row r="430" spans="1:2">
      <c r="A430"/>
      <c r="B430" s="22"/>
    </row>
    <row r="431" spans="1:2">
      <c r="A431"/>
      <c r="B431" s="22"/>
    </row>
    <row r="432" spans="1:2">
      <c r="A432"/>
      <c r="B432" s="22"/>
    </row>
    <row r="433" spans="1:2">
      <c r="A433"/>
      <c r="B433" s="22"/>
    </row>
    <row r="434" spans="1:2">
      <c r="A434"/>
      <c r="B434" s="22"/>
    </row>
    <row r="435" spans="1:2">
      <c r="A435"/>
      <c r="B435" s="22"/>
    </row>
    <row r="436" spans="1:2">
      <c r="A436"/>
      <c r="B436" s="22"/>
    </row>
    <row r="437" spans="1:2">
      <c r="A437"/>
      <c r="B437" s="22"/>
    </row>
    <row r="438" spans="1:2">
      <c r="A438"/>
      <c r="B438" s="22"/>
    </row>
    <row r="439" spans="1:2">
      <c r="A439"/>
      <c r="B439" s="22"/>
    </row>
    <row r="440" spans="1:2">
      <c r="A440"/>
      <c r="B440" s="22"/>
    </row>
    <row r="441" spans="1:2">
      <c r="A441"/>
      <c r="B441" s="22"/>
    </row>
    <row r="442" spans="1:2">
      <c r="A442"/>
      <c r="B442" s="22"/>
    </row>
    <row r="443" spans="1:2">
      <c r="A443"/>
      <c r="B443" s="22"/>
    </row>
    <row r="444" spans="1:2">
      <c r="A444"/>
      <c r="B444" s="22"/>
    </row>
    <row r="445" spans="1:2">
      <c r="A445"/>
      <c r="B445" s="22"/>
    </row>
    <row r="446" spans="1:2">
      <c r="A446"/>
      <c r="B446" s="22"/>
    </row>
    <row r="447" spans="1:2">
      <c r="A447"/>
      <c r="B447" s="22"/>
    </row>
    <row r="448" spans="1:2">
      <c r="A448"/>
      <c r="B448" s="22"/>
    </row>
    <row r="449" spans="1:2">
      <c r="A449"/>
      <c r="B449" s="22"/>
    </row>
    <row r="450" spans="1:2">
      <c r="A450"/>
      <c r="B450" s="22"/>
    </row>
    <row r="451" spans="1:2">
      <c r="A451"/>
      <c r="B451" s="22"/>
    </row>
    <row r="452" spans="1:2">
      <c r="A452"/>
      <c r="B452" s="22"/>
    </row>
    <row r="453" spans="1:2">
      <c r="A453"/>
      <c r="B453" s="22"/>
    </row>
    <row r="454" spans="1:2">
      <c r="A454"/>
      <c r="B454" s="22"/>
    </row>
    <row r="455" spans="1:2">
      <c r="A455"/>
      <c r="B455" s="22"/>
    </row>
    <row r="456" spans="1:2">
      <c r="A456"/>
      <c r="B456" s="22"/>
    </row>
    <row r="457" spans="1:2">
      <c r="A457"/>
      <c r="B457" s="22"/>
    </row>
    <row r="458" spans="1:2">
      <c r="A458"/>
      <c r="B458" s="22"/>
    </row>
    <row r="459" spans="1:2">
      <c r="A459"/>
      <c r="B459" s="22"/>
    </row>
    <row r="460" spans="1:2">
      <c r="A460"/>
      <c r="B460" s="22"/>
    </row>
    <row r="461" spans="1:2">
      <c r="A461"/>
      <c r="B461" s="22"/>
    </row>
    <row r="462" spans="1:2">
      <c r="A462"/>
      <c r="B462" s="22"/>
    </row>
    <row r="463" spans="1:2">
      <c r="A463"/>
      <c r="B463" s="22"/>
    </row>
    <row r="464" spans="1:2">
      <c r="A464"/>
      <c r="B464" s="22"/>
    </row>
    <row r="465" spans="1:2">
      <c r="A465"/>
      <c r="B465" s="22"/>
    </row>
    <row r="466" spans="1:2">
      <c r="A466"/>
      <c r="B466" s="22"/>
    </row>
    <row r="467" spans="1:2">
      <c r="A467"/>
      <c r="B467" s="22"/>
    </row>
    <row r="468" spans="1:2">
      <c r="A468"/>
      <c r="B468" s="22"/>
    </row>
    <row r="469" spans="1:2">
      <c r="A469"/>
      <c r="B469" s="22"/>
    </row>
    <row r="470" spans="1:2">
      <c r="A470"/>
      <c r="B470" s="22"/>
    </row>
    <row r="471" spans="1:2">
      <c r="A471"/>
      <c r="B471" s="22"/>
    </row>
    <row r="472" spans="1:2">
      <c r="A472"/>
      <c r="B472" s="22"/>
    </row>
    <row r="473" spans="1:2">
      <c r="A473"/>
      <c r="B473" s="22"/>
    </row>
    <row r="474" spans="1:2">
      <c r="A474"/>
      <c r="B474" s="22"/>
    </row>
    <row r="475" spans="1:2">
      <c r="A475"/>
      <c r="B475" s="22"/>
    </row>
    <row r="476" spans="1:2">
      <c r="A476"/>
      <c r="B476" s="22"/>
    </row>
    <row r="477" spans="1:2">
      <c r="A477"/>
      <c r="B477" s="22"/>
    </row>
    <row r="478" spans="1:2">
      <c r="A478"/>
      <c r="B478" s="22"/>
    </row>
    <row r="479" spans="1:2">
      <c r="A479"/>
      <c r="B479" s="22"/>
    </row>
    <row r="480" spans="1:2">
      <c r="A480"/>
      <c r="B480" s="22"/>
    </row>
    <row r="481" spans="1:2">
      <c r="A481"/>
      <c r="B481" s="22"/>
    </row>
    <row r="482" spans="1:2">
      <c r="A482"/>
      <c r="B482" s="22"/>
    </row>
    <row r="483" spans="1:2">
      <c r="A483"/>
      <c r="B483" s="22"/>
    </row>
    <row r="484" spans="1:2">
      <c r="A484"/>
      <c r="B484" s="22"/>
    </row>
    <row r="485" spans="1:2">
      <c r="A485"/>
      <c r="B485" s="22"/>
    </row>
    <row r="486" spans="1:2">
      <c r="A486"/>
      <c r="B486" s="22"/>
    </row>
    <row r="487" spans="1:2">
      <c r="A487"/>
      <c r="B487" s="22"/>
    </row>
    <row r="488" spans="1:2">
      <c r="A488"/>
      <c r="B488" s="22"/>
    </row>
    <row r="489" spans="1:2">
      <c r="A489"/>
      <c r="B489" s="22"/>
    </row>
    <row r="490" spans="1:2">
      <c r="A490"/>
      <c r="B490" s="22"/>
    </row>
    <row r="491" spans="1:2">
      <c r="A491"/>
      <c r="B491" s="22"/>
    </row>
    <row r="492" spans="1:2">
      <c r="A492"/>
      <c r="B492" s="22"/>
    </row>
    <row r="493" spans="1:2">
      <c r="A493"/>
      <c r="B493" s="22"/>
    </row>
    <row r="494" spans="1:2">
      <c r="A494"/>
      <c r="B494" s="22"/>
    </row>
    <row r="495" spans="1:2">
      <c r="A495"/>
      <c r="B495" s="22"/>
    </row>
    <row r="496" spans="1:2">
      <c r="A496"/>
      <c r="B496" s="22"/>
    </row>
    <row r="497" spans="1:2">
      <c r="A497"/>
      <c r="B497" s="22"/>
    </row>
    <row r="498" spans="1:2">
      <c r="A498"/>
      <c r="B498" s="22"/>
    </row>
    <row r="499" spans="1:2">
      <c r="A499"/>
      <c r="B499" s="22"/>
    </row>
    <row r="500" spans="1:2">
      <c r="A500"/>
      <c r="B500" s="22"/>
    </row>
    <row r="501" spans="1:2">
      <c r="A501"/>
      <c r="B501" s="22"/>
    </row>
    <row r="502" spans="1:2">
      <c r="A502"/>
      <c r="B502" s="22"/>
    </row>
    <row r="503" spans="1:2">
      <c r="A503"/>
      <c r="B503" s="22"/>
    </row>
    <row r="504" spans="1:2">
      <c r="A504"/>
      <c r="B504" s="22"/>
    </row>
    <row r="505" spans="1:2">
      <c r="A505"/>
      <c r="B505" s="22"/>
    </row>
    <row r="506" spans="1:2">
      <c r="A506"/>
      <c r="B506" s="22"/>
    </row>
    <row r="507" spans="1:2">
      <c r="A507"/>
      <c r="B507" s="22"/>
    </row>
    <row r="508" spans="1:2">
      <c r="A508"/>
      <c r="B508" s="22"/>
    </row>
    <row r="509" spans="1:2">
      <c r="A509"/>
      <c r="B509" s="22"/>
    </row>
    <row r="510" spans="1:2">
      <c r="A510"/>
      <c r="B510" s="22"/>
    </row>
    <row r="511" spans="1:2">
      <c r="A511"/>
      <c r="B511" s="22"/>
    </row>
    <row r="512" spans="1:2">
      <c r="A512"/>
      <c r="B512" s="22"/>
    </row>
    <row r="513" spans="1:2">
      <c r="A513"/>
      <c r="B513" s="22"/>
    </row>
    <row r="514" spans="1:2">
      <c r="A514"/>
      <c r="B514" s="22"/>
    </row>
    <row r="515" spans="1:2">
      <c r="A515"/>
      <c r="B515" s="22"/>
    </row>
    <row r="516" spans="1:2">
      <c r="A516"/>
      <c r="B516" s="22"/>
    </row>
    <row r="517" spans="1:2">
      <c r="A517"/>
      <c r="B517" s="22"/>
    </row>
    <row r="518" spans="1:2">
      <c r="A518"/>
      <c r="B518" s="22"/>
    </row>
    <row r="519" spans="1:2">
      <c r="A519"/>
      <c r="B519" s="22"/>
    </row>
    <row r="520" spans="1:2">
      <c r="A520"/>
      <c r="B520" s="22"/>
    </row>
    <row r="521" spans="1:2">
      <c r="A521"/>
      <c r="B521" s="22"/>
    </row>
    <row r="522" spans="1:2">
      <c r="A522"/>
      <c r="B522" s="22"/>
    </row>
    <row r="523" spans="1:2">
      <c r="A523"/>
      <c r="B523" s="22"/>
    </row>
    <row r="524" spans="1:2">
      <c r="A524"/>
      <c r="B524" s="22"/>
    </row>
    <row r="525" spans="1:2">
      <c r="A525"/>
      <c r="B525" s="22"/>
    </row>
    <row r="526" spans="1:2">
      <c r="A526"/>
      <c r="B526" s="22"/>
    </row>
    <row r="527" spans="1:2">
      <c r="A527"/>
      <c r="B527" s="22"/>
    </row>
    <row r="528" spans="1:2">
      <c r="A528"/>
      <c r="B528" s="22"/>
    </row>
    <row r="529" spans="1:2">
      <c r="A529"/>
      <c r="B529" s="22"/>
    </row>
    <row r="530" spans="1:2">
      <c r="A530"/>
      <c r="B530" s="22"/>
    </row>
    <row r="531" spans="1:2">
      <c r="A531"/>
      <c r="B531" s="22"/>
    </row>
    <row r="532" spans="1:2">
      <c r="A532"/>
      <c r="B532" s="22"/>
    </row>
    <row r="533" spans="1:2">
      <c r="A533"/>
      <c r="B533" s="22"/>
    </row>
    <row r="534" spans="1:2">
      <c r="A534"/>
      <c r="B534" s="22"/>
    </row>
    <row r="535" spans="1:2">
      <c r="A535"/>
      <c r="B535" s="22"/>
    </row>
    <row r="536" spans="1:2">
      <c r="A536"/>
      <c r="B536" s="22"/>
    </row>
    <row r="537" spans="1:2">
      <c r="A537"/>
      <c r="B537" s="22"/>
    </row>
    <row r="538" spans="1:2">
      <c r="A538"/>
      <c r="B538" s="22"/>
    </row>
    <row r="539" spans="1:2">
      <c r="A539"/>
      <c r="B539" s="22"/>
    </row>
    <row r="540" spans="1:2">
      <c r="A540"/>
      <c r="B540" s="22"/>
    </row>
    <row r="541" spans="1:2">
      <c r="A541"/>
      <c r="B541" s="22"/>
    </row>
    <row r="542" spans="1:2">
      <c r="A542"/>
      <c r="B542" s="22"/>
    </row>
    <row r="543" spans="1:2">
      <c r="A543"/>
      <c r="B543" s="22"/>
    </row>
    <row r="544" spans="1:2">
      <c r="A544"/>
      <c r="B544" s="22"/>
    </row>
    <row r="545" spans="1:2">
      <c r="A545"/>
      <c r="B545" s="22"/>
    </row>
    <row r="546" spans="1:2">
      <c r="A546"/>
      <c r="B546" s="22"/>
    </row>
    <row r="547" spans="1:2">
      <c r="A547"/>
      <c r="B547" s="22"/>
    </row>
    <row r="548" spans="1:2">
      <c r="A548"/>
      <c r="B548" s="22"/>
    </row>
    <row r="549" spans="1:2">
      <c r="A549"/>
      <c r="B549" s="22"/>
    </row>
    <row r="550" spans="1:2">
      <c r="A550"/>
      <c r="B550" s="22"/>
    </row>
    <row r="551" spans="1:2">
      <c r="A551"/>
      <c r="B551" s="22"/>
    </row>
    <row r="552" spans="1:2">
      <c r="A552"/>
      <c r="B552" s="22"/>
    </row>
    <row r="553" spans="1:2">
      <c r="A553"/>
      <c r="B553" s="22"/>
    </row>
    <row r="554" spans="1:2">
      <c r="A554"/>
      <c r="B554" s="22"/>
    </row>
    <row r="555" spans="1:2">
      <c r="A555"/>
      <c r="B555" s="22"/>
    </row>
    <row r="556" spans="1:2">
      <c r="A556"/>
      <c r="B556" s="22"/>
    </row>
    <row r="557" spans="1:2">
      <c r="A557"/>
      <c r="B557" s="22"/>
    </row>
    <row r="558" spans="1:2">
      <c r="A558"/>
      <c r="B558" s="22"/>
    </row>
    <row r="559" spans="1:2">
      <c r="A559"/>
      <c r="B559" s="22"/>
    </row>
    <row r="560" spans="1:2">
      <c r="A560"/>
      <c r="B560" s="22"/>
    </row>
    <row r="561" spans="1:2">
      <c r="A561"/>
      <c r="B561" s="22"/>
    </row>
    <row r="562" spans="1:2">
      <c r="A562"/>
      <c r="B562" s="22"/>
    </row>
    <row r="563" spans="1:2">
      <c r="A563"/>
      <c r="B563" s="22"/>
    </row>
    <row r="564" spans="1:2">
      <c r="A564"/>
      <c r="B564" s="22"/>
    </row>
    <row r="565" spans="1:2">
      <c r="A565"/>
      <c r="B565" s="22"/>
    </row>
    <row r="566" spans="1:2">
      <c r="A566"/>
      <c r="B566" s="22"/>
    </row>
    <row r="567" spans="1:2">
      <c r="A567"/>
      <c r="B567" s="22"/>
    </row>
    <row r="568" spans="1:2">
      <c r="A568"/>
      <c r="B568" s="22"/>
    </row>
    <row r="569" spans="1:2">
      <c r="A569"/>
      <c r="B569" s="22"/>
    </row>
    <row r="570" spans="1:2">
      <c r="A570"/>
      <c r="B570" s="22"/>
    </row>
    <row r="571" spans="1:2">
      <c r="A571"/>
      <c r="B571" s="22"/>
    </row>
    <row r="572" spans="1:2">
      <c r="A572"/>
      <c r="B572" s="22"/>
    </row>
    <row r="573" spans="1:2">
      <c r="A573"/>
      <c r="B573" s="22"/>
    </row>
    <row r="574" spans="1:2">
      <c r="A574"/>
      <c r="B574" s="22"/>
    </row>
    <row r="575" spans="1:2">
      <c r="A575"/>
      <c r="B575" s="22"/>
    </row>
    <row r="576" spans="1:2">
      <c r="A576"/>
      <c r="B576" s="22"/>
    </row>
    <row r="577" spans="1:2">
      <c r="A577"/>
      <c r="B577" s="22"/>
    </row>
    <row r="578" spans="1:2">
      <c r="A578"/>
      <c r="B578" s="22"/>
    </row>
    <row r="579" spans="1:2">
      <c r="A579"/>
      <c r="B579" s="22"/>
    </row>
    <row r="580" spans="1:2">
      <c r="A580"/>
      <c r="B580" s="22"/>
    </row>
    <row r="581" spans="1:2">
      <c r="A581"/>
      <c r="B581" s="22"/>
    </row>
    <row r="582" spans="1:2">
      <c r="A582"/>
      <c r="B582" s="22"/>
    </row>
    <row r="583" spans="1:2">
      <c r="A583"/>
      <c r="B583" s="22"/>
    </row>
    <row r="584" spans="1:2">
      <c r="A584"/>
      <c r="B584" s="22"/>
    </row>
    <row r="585" spans="1:2">
      <c r="A585"/>
      <c r="B585" s="22"/>
    </row>
    <row r="586" spans="1:2">
      <c r="A586"/>
      <c r="B586" s="22"/>
    </row>
    <row r="587" spans="1:2">
      <c r="A587"/>
      <c r="B587" s="22"/>
    </row>
    <row r="588" spans="1:2">
      <c r="A588"/>
      <c r="B588" s="22"/>
    </row>
    <row r="589" spans="1:2">
      <c r="A589"/>
      <c r="B589" s="22"/>
    </row>
    <row r="590" spans="1:2">
      <c r="A590"/>
      <c r="B590" s="22"/>
    </row>
    <row r="591" spans="1:2">
      <c r="A591"/>
      <c r="B591" s="22"/>
    </row>
    <row r="592" spans="1:2">
      <c r="A592"/>
      <c r="B592" s="22"/>
    </row>
    <row r="593" spans="1:2">
      <c r="A593"/>
      <c r="B593" s="22"/>
    </row>
    <row r="594" spans="1:2">
      <c r="A594"/>
      <c r="B594" s="22"/>
    </row>
    <row r="595" spans="1:2">
      <c r="A595"/>
      <c r="B595" s="22"/>
    </row>
    <row r="596" spans="1:2">
      <c r="A596"/>
      <c r="B596" s="22"/>
    </row>
    <row r="597" spans="1:2">
      <c r="A597"/>
      <c r="B597" s="22"/>
    </row>
    <row r="598" spans="1:2">
      <c r="A598"/>
      <c r="B598" s="22"/>
    </row>
    <row r="599" spans="1:2">
      <c r="A599"/>
      <c r="B599" s="22"/>
    </row>
    <row r="600" spans="1:2">
      <c r="A600"/>
      <c r="B600" s="22"/>
    </row>
    <row r="601" spans="1:2">
      <c r="A601"/>
      <c r="B601" s="22"/>
    </row>
    <row r="602" spans="1:2">
      <c r="A602"/>
      <c r="B602" s="22"/>
    </row>
    <row r="603" spans="1:2">
      <c r="A603"/>
      <c r="B603" s="22"/>
    </row>
    <row r="604" spans="1:2">
      <c r="A604"/>
      <c r="B604" s="22"/>
    </row>
    <row r="605" spans="1:2">
      <c r="A605"/>
      <c r="B605" s="22"/>
    </row>
    <row r="606" spans="1:2">
      <c r="A606"/>
      <c r="B606" s="22"/>
    </row>
    <row r="607" spans="1:2">
      <c r="A607"/>
      <c r="B607" s="22"/>
    </row>
    <row r="608" spans="1:2">
      <c r="A608"/>
      <c r="B608" s="22"/>
    </row>
    <row r="609" spans="1:2">
      <c r="A609"/>
      <c r="B609" s="22"/>
    </row>
    <row r="610" spans="1:2">
      <c r="A610"/>
      <c r="B610" s="22"/>
    </row>
    <row r="611" spans="1:2">
      <c r="A611"/>
      <c r="B611" s="22"/>
    </row>
    <row r="612" spans="1:2">
      <c r="A612"/>
      <c r="B612" s="22"/>
    </row>
    <row r="613" spans="1:2">
      <c r="A613"/>
      <c r="B613" s="22"/>
    </row>
    <row r="614" spans="1:2">
      <c r="A614"/>
      <c r="B614" s="22"/>
    </row>
    <row r="615" spans="1:2">
      <c r="A615"/>
      <c r="B615" s="22"/>
    </row>
    <row r="616" spans="1:2">
      <c r="A616"/>
      <c r="B616" s="22"/>
    </row>
    <row r="617" spans="1:2">
      <c r="A617"/>
      <c r="B617" s="22"/>
    </row>
    <row r="618" spans="1:2">
      <c r="A618"/>
      <c r="B618" s="22"/>
    </row>
    <row r="619" spans="1:2">
      <c r="A619"/>
      <c r="B619" s="22"/>
    </row>
    <row r="620" spans="1:2">
      <c r="A620"/>
      <c r="B620" s="22"/>
    </row>
    <row r="621" spans="1:2">
      <c r="A621"/>
      <c r="B621" s="22"/>
    </row>
    <row r="622" spans="1:2">
      <c r="A622"/>
      <c r="B622" s="22"/>
    </row>
    <row r="623" spans="1:2">
      <c r="A623"/>
      <c r="B623" s="22"/>
    </row>
    <row r="624" spans="1:2">
      <c r="A624"/>
      <c r="B624" s="22"/>
    </row>
    <row r="625" spans="1:2">
      <c r="A625"/>
      <c r="B625" s="22"/>
    </row>
    <row r="626" spans="1:2">
      <c r="A626"/>
      <c r="B626" s="22"/>
    </row>
    <row r="627" spans="1:2">
      <c r="A627"/>
      <c r="B627" s="22"/>
    </row>
    <row r="628" spans="1:2">
      <c r="A628"/>
      <c r="B628" s="22"/>
    </row>
    <row r="629" spans="1:2">
      <c r="A629"/>
      <c r="B629" s="22"/>
    </row>
    <row r="630" spans="1:2">
      <c r="A630"/>
      <c r="B630" s="22"/>
    </row>
    <row r="631" spans="1:2">
      <c r="A631"/>
      <c r="B631" s="22"/>
    </row>
    <row r="632" spans="1:2">
      <c r="A632"/>
      <c r="B632" s="22"/>
    </row>
    <row r="633" spans="1:2">
      <c r="A633"/>
      <c r="B633" s="22"/>
    </row>
    <row r="634" spans="1:2">
      <c r="A634"/>
      <c r="B634" s="22"/>
    </row>
    <row r="635" spans="1:2">
      <c r="A635"/>
      <c r="B635" s="22"/>
    </row>
    <row r="636" spans="1:2">
      <c r="A636"/>
      <c r="B636" s="22"/>
    </row>
    <row r="637" spans="1:2">
      <c r="A637"/>
      <c r="B637" s="22"/>
    </row>
    <row r="638" spans="1:2">
      <c r="A638"/>
      <c r="B638" s="22"/>
    </row>
    <row r="639" spans="1:2">
      <c r="A639"/>
      <c r="B639" s="22"/>
    </row>
    <row r="640" spans="1:2">
      <c r="A640"/>
      <c r="B640" s="22"/>
    </row>
    <row r="641" spans="1:2">
      <c r="A641"/>
      <c r="B641" s="22"/>
    </row>
    <row r="642" spans="1:2">
      <c r="A642"/>
      <c r="B642" s="22"/>
    </row>
    <row r="643" spans="1:2">
      <c r="A643"/>
      <c r="B643" s="22"/>
    </row>
    <row r="644" spans="1:2">
      <c r="A644"/>
      <c r="B644" s="22"/>
    </row>
    <row r="645" spans="1:2">
      <c r="A645"/>
      <c r="B645" s="22"/>
    </row>
    <row r="646" spans="1:2">
      <c r="A646"/>
      <c r="B646" s="22"/>
    </row>
    <row r="647" spans="1:2">
      <c r="A647"/>
      <c r="B647" s="22"/>
    </row>
    <row r="648" spans="1:2">
      <c r="A648"/>
      <c r="B648" s="22"/>
    </row>
    <row r="649" spans="1:2">
      <c r="A649"/>
      <c r="B649" s="22"/>
    </row>
    <row r="650" spans="1:2">
      <c r="A650"/>
      <c r="B650" s="22"/>
    </row>
    <row r="651" spans="1:2">
      <c r="A651"/>
      <c r="B651" s="22"/>
    </row>
    <row r="652" spans="1:2">
      <c r="A652"/>
      <c r="B652" s="22"/>
    </row>
    <row r="653" spans="1:2">
      <c r="A653"/>
      <c r="B653" s="22"/>
    </row>
    <row r="654" spans="1:2">
      <c r="A654"/>
      <c r="B654" s="22"/>
    </row>
    <row r="655" spans="1:2">
      <c r="A655"/>
      <c r="B655" s="22"/>
    </row>
    <row r="656" spans="1:2">
      <c r="A656"/>
      <c r="B656" s="22"/>
    </row>
    <row r="657" spans="1:2">
      <c r="A657"/>
      <c r="B657" s="22"/>
    </row>
    <row r="658" spans="1:2">
      <c r="A658"/>
      <c r="B658" s="22"/>
    </row>
    <row r="659" spans="1:2">
      <c r="A659"/>
      <c r="B659" s="22"/>
    </row>
    <row r="660" spans="1:2">
      <c r="A660"/>
      <c r="B660" s="22"/>
    </row>
    <row r="661" spans="1:2">
      <c r="A661"/>
      <c r="B661" s="22"/>
    </row>
    <row r="662" spans="1:2">
      <c r="A662"/>
      <c r="B662" s="22"/>
    </row>
    <row r="663" spans="1:2">
      <c r="A663"/>
      <c r="B663" s="22"/>
    </row>
    <row r="664" spans="1:2">
      <c r="A664"/>
      <c r="B664" s="22"/>
    </row>
    <row r="665" spans="1:2">
      <c r="A665"/>
      <c r="B665" s="22"/>
    </row>
    <row r="666" spans="1:2">
      <c r="A666"/>
      <c r="B666" s="22"/>
    </row>
    <row r="667" spans="1:2">
      <c r="A667"/>
      <c r="B667" s="22"/>
    </row>
    <row r="668" spans="1:2">
      <c r="A668"/>
      <c r="B668" s="22"/>
    </row>
    <row r="669" spans="1:2">
      <c r="A669"/>
      <c r="B669" s="22"/>
    </row>
    <row r="670" spans="1:2">
      <c r="A670"/>
      <c r="B670" s="22"/>
    </row>
    <row r="671" spans="1:2">
      <c r="A671"/>
      <c r="B671" s="22"/>
    </row>
    <row r="672" spans="1:2">
      <c r="A672"/>
      <c r="B672" s="22"/>
    </row>
    <row r="673" spans="1:2">
      <c r="A673"/>
      <c r="B673" s="22"/>
    </row>
    <row r="674" spans="1:2">
      <c r="A674"/>
      <c r="B674" s="22"/>
    </row>
    <row r="675" spans="1:2">
      <c r="A675"/>
      <c r="B675" s="22"/>
    </row>
    <row r="676" spans="1:2">
      <c r="A676"/>
      <c r="B676" s="22"/>
    </row>
    <row r="677" spans="1:2">
      <c r="A677"/>
      <c r="B677" s="22"/>
    </row>
    <row r="678" spans="1:2">
      <c r="A678"/>
      <c r="B678" s="22"/>
    </row>
    <row r="679" spans="1:2">
      <c r="A679"/>
      <c r="B679" s="22"/>
    </row>
    <row r="680" spans="1:2">
      <c r="A680"/>
      <c r="B680" s="22"/>
    </row>
    <row r="681" spans="1:2">
      <c r="A681"/>
      <c r="B681" s="22"/>
    </row>
    <row r="682" spans="1:2">
      <c r="A682"/>
      <c r="B682" s="22"/>
    </row>
    <row r="683" spans="1:2">
      <c r="A683"/>
      <c r="B683" s="22"/>
    </row>
    <row r="684" spans="1:2">
      <c r="A684"/>
      <c r="B684" s="22"/>
    </row>
    <row r="685" spans="1:2">
      <c r="A685"/>
      <c r="B685" s="22"/>
    </row>
    <row r="686" spans="1:2">
      <c r="A686"/>
      <c r="B686" s="22"/>
    </row>
    <row r="687" spans="1:2">
      <c r="A687"/>
      <c r="B687" s="22"/>
    </row>
    <row r="688" spans="1:2">
      <c r="A688"/>
      <c r="B688" s="22"/>
    </row>
    <row r="689" spans="1:2">
      <c r="A689"/>
      <c r="B689" s="22"/>
    </row>
    <row r="690" spans="1:2">
      <c r="A690"/>
      <c r="B690" s="22"/>
    </row>
    <row r="691" spans="1:2">
      <c r="A691"/>
      <c r="B691" s="22"/>
    </row>
    <row r="692" spans="1:2">
      <c r="A692"/>
      <c r="B692" s="22"/>
    </row>
    <row r="693" spans="1:2">
      <c r="A693"/>
      <c r="B693" s="22"/>
    </row>
    <row r="694" spans="1:2">
      <c r="A694"/>
      <c r="B694" s="22"/>
    </row>
    <row r="695" spans="1:2">
      <c r="A695"/>
      <c r="B695" s="22"/>
    </row>
    <row r="696" spans="1:2">
      <c r="A696"/>
      <c r="B696" s="22"/>
    </row>
    <row r="697" spans="1:2">
      <c r="A697"/>
      <c r="B697" s="22"/>
    </row>
    <row r="698" spans="1:2">
      <c r="A698"/>
      <c r="B698" s="22"/>
    </row>
    <row r="699" spans="1:2">
      <c r="A699"/>
      <c r="B699" s="22"/>
    </row>
    <row r="700" spans="1:2">
      <c r="A700"/>
      <c r="B700" s="22"/>
    </row>
    <row r="701" spans="1:2">
      <c r="A701"/>
      <c r="B701" s="22"/>
    </row>
    <row r="702" spans="1:2">
      <c r="A702"/>
      <c r="B702" s="22"/>
    </row>
    <row r="703" spans="1:2">
      <c r="A703"/>
      <c r="B703" s="22"/>
    </row>
    <row r="704" spans="1:2">
      <c r="A704"/>
      <c r="B704" s="22"/>
    </row>
    <row r="705" spans="1:2">
      <c r="A705"/>
      <c r="B705" s="22"/>
    </row>
    <row r="706" spans="1:2">
      <c r="A706"/>
      <c r="B706" s="22"/>
    </row>
    <row r="707" spans="1:2">
      <c r="A707"/>
      <c r="B707" s="22"/>
    </row>
    <row r="708" spans="1:2">
      <c r="A708"/>
      <c r="B708" s="22"/>
    </row>
    <row r="709" spans="1:2">
      <c r="A709"/>
      <c r="B709" s="22"/>
    </row>
    <row r="710" spans="1:2">
      <c r="A710"/>
      <c r="B710" s="22"/>
    </row>
    <row r="711" spans="1:2">
      <c r="A711"/>
      <c r="B711" s="22"/>
    </row>
    <row r="712" spans="1:2">
      <c r="A712"/>
      <c r="B712" s="22"/>
    </row>
    <row r="713" spans="1:2">
      <c r="A713"/>
      <c r="B713" s="22"/>
    </row>
    <row r="714" spans="1:2">
      <c r="A714"/>
      <c r="B714" s="22"/>
    </row>
    <row r="715" spans="1:2">
      <c r="A715"/>
      <c r="B715" s="22"/>
    </row>
    <row r="716" spans="1:2">
      <c r="A716"/>
      <c r="B716" s="22"/>
    </row>
    <row r="717" spans="1:2">
      <c r="A717"/>
      <c r="B717" s="22"/>
    </row>
    <row r="718" spans="1:2">
      <c r="A718"/>
      <c r="B718" s="22"/>
    </row>
    <row r="719" spans="1:2">
      <c r="A719"/>
      <c r="B719" s="22"/>
    </row>
    <row r="720" spans="1:2">
      <c r="A720"/>
      <c r="B720" s="22"/>
    </row>
    <row r="721" spans="1:2">
      <c r="A721"/>
      <c r="B721" s="22"/>
    </row>
    <row r="722" spans="1:2">
      <c r="A722"/>
      <c r="B722" s="22"/>
    </row>
    <row r="723" spans="1:2">
      <c r="A723"/>
      <c r="B723" s="22"/>
    </row>
    <row r="724" spans="1:2">
      <c r="A724"/>
      <c r="B724" s="22"/>
    </row>
    <row r="725" spans="1:2">
      <c r="A725"/>
      <c r="B725" s="22"/>
    </row>
    <row r="726" spans="1:2">
      <c r="A726"/>
      <c r="B726" s="22"/>
    </row>
    <row r="727" spans="1:2">
      <c r="A727"/>
      <c r="B727" s="22"/>
    </row>
    <row r="728" spans="1:2">
      <c r="A728"/>
      <c r="B728" s="22"/>
    </row>
    <row r="729" spans="1:2">
      <c r="A729"/>
      <c r="B729" s="22"/>
    </row>
    <row r="730" spans="1:2">
      <c r="A730"/>
      <c r="B730" s="22"/>
    </row>
    <row r="731" spans="1:2">
      <c r="A731"/>
      <c r="B731" s="22"/>
    </row>
    <row r="732" spans="1:2">
      <c r="A732"/>
      <c r="B732" s="22"/>
    </row>
    <row r="733" spans="1:2">
      <c r="A733"/>
      <c r="B733" s="22"/>
    </row>
    <row r="734" spans="1:2">
      <c r="A734"/>
      <c r="B734" s="22"/>
    </row>
    <row r="735" spans="1:2">
      <c r="A735"/>
      <c r="B735" s="22"/>
    </row>
    <row r="736" spans="1:2">
      <c r="A736"/>
      <c r="B736" s="22"/>
    </row>
    <row r="737" spans="1:2">
      <c r="A737"/>
      <c r="B737" s="22"/>
    </row>
    <row r="738" spans="1:2">
      <c r="A738"/>
      <c r="B738" s="22"/>
    </row>
    <row r="739" spans="1:2">
      <c r="A739"/>
      <c r="B739" s="22"/>
    </row>
    <row r="740" spans="1:2">
      <c r="A740"/>
      <c r="B740" s="22"/>
    </row>
    <row r="741" spans="1:2">
      <c r="A741"/>
      <c r="B741" s="22"/>
    </row>
    <row r="742" spans="1:2">
      <c r="A742"/>
      <c r="B742" s="22"/>
    </row>
    <row r="743" spans="1:2">
      <c r="A743"/>
      <c r="B743" s="22"/>
    </row>
    <row r="744" spans="1:2">
      <c r="A744"/>
      <c r="B744" s="22"/>
    </row>
    <row r="745" spans="1:2">
      <c r="A745"/>
      <c r="B745" s="22"/>
    </row>
    <row r="746" spans="1:2">
      <c r="A746"/>
      <c r="B746" s="22"/>
    </row>
    <row r="747" spans="1:2">
      <c r="A747"/>
      <c r="B747" s="22"/>
    </row>
    <row r="748" spans="1:2">
      <c r="A748"/>
      <c r="B748" s="22"/>
    </row>
    <row r="749" spans="1:2">
      <c r="A749"/>
      <c r="B749" s="22"/>
    </row>
    <row r="750" spans="1:2">
      <c r="A750"/>
      <c r="B750" s="22"/>
    </row>
    <row r="751" spans="1:2">
      <c r="A751"/>
      <c r="B751" s="22"/>
    </row>
    <row r="752" spans="1:2">
      <c r="A752"/>
      <c r="B752" s="22"/>
    </row>
    <row r="753" spans="1:2">
      <c r="A753"/>
      <c r="B753" s="22"/>
    </row>
    <row r="754" spans="1:2">
      <c r="A754"/>
      <c r="B754" s="22"/>
    </row>
    <row r="755" spans="1:2">
      <c r="A755"/>
      <c r="B755" s="22"/>
    </row>
    <row r="756" spans="1:2">
      <c r="A756"/>
      <c r="B756" s="22"/>
    </row>
    <row r="757" spans="1:2">
      <c r="A757"/>
      <c r="B757" s="22"/>
    </row>
    <row r="758" spans="1:2">
      <c r="A758"/>
      <c r="B758" s="22"/>
    </row>
    <row r="759" spans="1:2">
      <c r="A759"/>
      <c r="B759" s="22"/>
    </row>
    <row r="760" spans="1:2">
      <c r="A760"/>
      <c r="B760" s="22"/>
    </row>
    <row r="761" spans="1:2">
      <c r="A761"/>
      <c r="B761" s="22"/>
    </row>
    <row r="762" spans="1:2">
      <c r="A762"/>
      <c r="B762" s="22"/>
    </row>
    <row r="763" spans="1:2">
      <c r="A763"/>
      <c r="B763" s="22"/>
    </row>
    <row r="764" spans="1:2">
      <c r="A764"/>
      <c r="B764" s="22"/>
    </row>
    <row r="765" spans="1:2">
      <c r="A765"/>
      <c r="B765" s="22"/>
    </row>
    <row r="766" spans="1:2">
      <c r="A766"/>
      <c r="B766" s="22"/>
    </row>
    <row r="767" spans="1:2">
      <c r="A767"/>
      <c r="B767" s="22"/>
    </row>
    <row r="768" spans="1:2">
      <c r="A768"/>
      <c r="B768" s="22"/>
    </row>
    <row r="769" spans="1:2">
      <c r="A769"/>
      <c r="B769" s="22"/>
    </row>
    <row r="770" spans="1:2">
      <c r="A770"/>
      <c r="B770" s="22"/>
    </row>
    <row r="771" spans="1:2">
      <c r="A771"/>
      <c r="B771" s="22"/>
    </row>
    <row r="772" spans="1:2">
      <c r="A772"/>
      <c r="B772" s="22"/>
    </row>
    <row r="773" spans="1:2">
      <c r="A773"/>
      <c r="B773" s="22"/>
    </row>
    <row r="774" spans="1:2">
      <c r="A774"/>
      <c r="B774" s="22"/>
    </row>
    <row r="775" spans="1:2">
      <c r="A775"/>
      <c r="B775" s="22"/>
    </row>
    <row r="776" spans="1:2">
      <c r="A776"/>
      <c r="B776" s="22"/>
    </row>
    <row r="777" spans="1:2">
      <c r="A777"/>
      <c r="B777" s="22"/>
    </row>
    <row r="778" spans="1:2">
      <c r="A778"/>
      <c r="B778" s="22"/>
    </row>
    <row r="779" spans="1:2">
      <c r="A779"/>
      <c r="B779" s="22"/>
    </row>
    <row r="780" spans="1:2">
      <c r="A780"/>
      <c r="B780" s="22"/>
    </row>
    <row r="781" spans="1:2">
      <c r="A781"/>
      <c r="B781" s="22"/>
    </row>
    <row r="782" spans="1:2">
      <c r="A782"/>
      <c r="B782" s="22"/>
    </row>
    <row r="783" spans="1:2">
      <c r="A783"/>
      <c r="B783" s="22"/>
    </row>
    <row r="784" spans="1:2">
      <c r="A784"/>
      <c r="B784" s="22"/>
    </row>
    <row r="785" spans="1:2">
      <c r="A785"/>
      <c r="B785" s="22"/>
    </row>
    <row r="786" spans="1:2">
      <c r="A786"/>
      <c r="B786" s="22"/>
    </row>
    <row r="787" spans="1:2">
      <c r="A787"/>
      <c r="B787" s="22"/>
    </row>
    <row r="788" spans="1:2">
      <c r="A788"/>
      <c r="B788" s="22"/>
    </row>
    <row r="789" spans="1:2">
      <c r="A789"/>
      <c r="B789" s="22"/>
    </row>
    <row r="790" spans="1:2">
      <c r="A790"/>
      <c r="B790" s="22"/>
    </row>
    <row r="791" spans="1:2">
      <c r="A791"/>
      <c r="B791" s="22"/>
    </row>
    <row r="792" spans="1:2">
      <c r="A792"/>
      <c r="B792" s="22"/>
    </row>
    <row r="793" spans="1:2">
      <c r="A793"/>
      <c r="B793" s="22"/>
    </row>
    <row r="794" spans="1:2">
      <c r="A794"/>
      <c r="B794" s="22"/>
    </row>
    <row r="795" spans="1:2">
      <c r="A795"/>
      <c r="B795" s="22"/>
    </row>
    <row r="796" spans="1:2">
      <c r="A796"/>
      <c r="B796" s="22"/>
    </row>
    <row r="797" spans="1:2">
      <c r="A797"/>
      <c r="B797" s="22"/>
    </row>
    <row r="798" spans="1:2">
      <c r="A798"/>
      <c r="B798" s="22"/>
    </row>
    <row r="799" spans="1:2">
      <c r="A799"/>
      <c r="B799" s="22"/>
    </row>
    <row r="800" spans="1:2">
      <c r="A800"/>
      <c r="B800" s="22"/>
    </row>
    <row r="801" spans="1:2">
      <c r="A801"/>
      <c r="B801" s="22"/>
    </row>
    <row r="802" spans="1:2">
      <c r="A802"/>
      <c r="B802" s="22"/>
    </row>
    <row r="803" spans="1:2">
      <c r="A803"/>
      <c r="B803" s="22"/>
    </row>
    <row r="804" spans="1:2">
      <c r="A804"/>
      <c r="B804" s="22"/>
    </row>
    <row r="805" spans="1:2">
      <c r="A805"/>
      <c r="B805" s="22"/>
    </row>
    <row r="806" spans="1:2">
      <c r="A806"/>
      <c r="B806" s="22"/>
    </row>
    <row r="807" spans="1:2">
      <c r="A807"/>
      <c r="B807" s="22"/>
    </row>
    <row r="808" spans="1:2">
      <c r="A808"/>
      <c r="B808" s="22"/>
    </row>
    <row r="809" spans="1:2">
      <c r="A809"/>
      <c r="B809" s="22"/>
    </row>
    <row r="810" spans="1:2">
      <c r="A810"/>
      <c r="B810" s="22"/>
    </row>
    <row r="811" spans="1:2">
      <c r="A811"/>
      <c r="B811" s="22"/>
    </row>
    <row r="812" spans="1:2">
      <c r="A812"/>
      <c r="B812" s="22"/>
    </row>
    <row r="813" spans="1:2">
      <c r="A813"/>
      <c r="B813" s="22"/>
    </row>
    <row r="814" spans="1:2">
      <c r="A814"/>
      <c r="B814" s="22"/>
    </row>
    <row r="815" spans="1:2">
      <c r="A815"/>
      <c r="B815" s="22"/>
    </row>
    <row r="816" spans="1:2">
      <c r="A816"/>
      <c r="B816" s="22"/>
    </row>
    <row r="817" spans="1:2">
      <c r="A817"/>
      <c r="B817" s="22"/>
    </row>
    <row r="818" spans="1:2">
      <c r="A818"/>
      <c r="B818" s="22"/>
    </row>
    <row r="819" spans="1:2">
      <c r="A819"/>
      <c r="B819" s="22"/>
    </row>
    <row r="820" spans="1:2">
      <c r="A820"/>
      <c r="B820" s="22"/>
    </row>
    <row r="821" spans="1:2">
      <c r="A821"/>
      <c r="B821" s="22"/>
    </row>
    <row r="822" spans="1:2">
      <c r="A822"/>
      <c r="B822" s="22"/>
    </row>
    <row r="823" spans="1:2">
      <c r="A823"/>
      <c r="B823" s="22"/>
    </row>
    <row r="824" spans="1:2">
      <c r="A824"/>
      <c r="B824" s="22"/>
    </row>
    <row r="825" spans="1:2">
      <c r="A825"/>
      <c r="B825" s="22"/>
    </row>
    <row r="826" spans="1:2">
      <c r="A826"/>
      <c r="B826" s="22"/>
    </row>
    <row r="827" spans="1:2">
      <c r="A827"/>
      <c r="B827" s="22"/>
    </row>
    <row r="828" spans="1:2">
      <c r="A828"/>
      <c r="B828" s="22"/>
    </row>
    <row r="829" spans="1:2">
      <c r="A829"/>
      <c r="B829" s="22"/>
    </row>
    <row r="830" spans="1:2">
      <c r="A830"/>
      <c r="B830" s="22"/>
    </row>
    <row r="831" spans="1:2">
      <c r="A831"/>
      <c r="B831" s="22"/>
    </row>
    <row r="832" spans="1:2">
      <c r="A832"/>
      <c r="B832" s="22"/>
    </row>
    <row r="833" spans="1:2">
      <c r="A833"/>
      <c r="B833" s="22"/>
    </row>
    <row r="834" spans="1:2">
      <c r="A834"/>
      <c r="B834" s="22"/>
    </row>
    <row r="835" spans="1:2">
      <c r="A835"/>
      <c r="B835" s="22"/>
    </row>
    <row r="836" spans="1:2">
      <c r="A836"/>
      <c r="B836" s="22"/>
    </row>
    <row r="837" spans="1:2">
      <c r="A837"/>
      <c r="B837" s="22"/>
    </row>
    <row r="838" spans="1:2">
      <c r="A838"/>
      <c r="B838" s="22"/>
    </row>
    <row r="839" spans="1:2">
      <c r="A839"/>
      <c r="B839" s="22"/>
    </row>
    <row r="840" spans="1:2">
      <c r="A840"/>
      <c r="B840" s="22"/>
    </row>
    <row r="841" spans="1:2">
      <c r="A841"/>
      <c r="B841" s="22"/>
    </row>
    <row r="842" spans="1:2">
      <c r="A842"/>
      <c r="B842" s="22"/>
    </row>
    <row r="843" spans="1:2">
      <c r="A843"/>
      <c r="B843" s="22"/>
    </row>
    <row r="844" spans="1:2">
      <c r="A844"/>
      <c r="B844" s="22"/>
    </row>
    <row r="845" spans="1:2">
      <c r="A845"/>
      <c r="B845" s="22"/>
    </row>
    <row r="846" spans="1:2">
      <c r="A846"/>
      <c r="B846" s="22"/>
    </row>
    <row r="847" spans="1:2">
      <c r="A847"/>
      <c r="B847" s="22"/>
    </row>
    <row r="848" spans="1:2">
      <c r="A848"/>
      <c r="B848" s="22"/>
    </row>
    <row r="849" spans="1:2">
      <c r="A849"/>
      <c r="B849" s="22"/>
    </row>
    <row r="850" spans="1:2">
      <c r="A850"/>
      <c r="B850" s="22"/>
    </row>
    <row r="851" spans="1:2">
      <c r="A851"/>
      <c r="B851" s="22"/>
    </row>
    <row r="852" spans="1:2">
      <c r="A852"/>
      <c r="B852" s="22"/>
    </row>
    <row r="853" spans="1:2">
      <c r="A853"/>
      <c r="B853" s="22"/>
    </row>
    <row r="854" spans="1:2">
      <c r="A854"/>
      <c r="B854" s="22"/>
    </row>
    <row r="855" spans="1:2">
      <c r="A855"/>
      <c r="B855" s="22"/>
    </row>
    <row r="856" spans="1:2">
      <c r="A856"/>
      <c r="B856" s="22"/>
    </row>
    <row r="857" spans="1:2">
      <c r="A857"/>
      <c r="B857" s="22"/>
    </row>
    <row r="858" spans="1:2">
      <c r="A858"/>
      <c r="B858" s="22"/>
    </row>
    <row r="859" spans="1:2">
      <c r="A859"/>
      <c r="B859" s="22"/>
    </row>
    <row r="860" spans="1:2">
      <c r="A860"/>
      <c r="B860" s="22"/>
    </row>
    <row r="861" spans="1:2">
      <c r="A861"/>
      <c r="B861" s="22"/>
    </row>
    <row r="862" spans="1:2">
      <c r="A862"/>
      <c r="B862" s="22"/>
    </row>
    <row r="863" spans="1:2">
      <c r="A863"/>
      <c r="B863" s="22"/>
    </row>
    <row r="864" spans="1:2">
      <c r="A864"/>
      <c r="B864" s="22"/>
    </row>
    <row r="865" spans="1:2">
      <c r="A865"/>
      <c r="B865" s="22"/>
    </row>
    <row r="866" spans="1:2">
      <c r="A866"/>
      <c r="B866" s="22"/>
    </row>
    <row r="867" spans="1:2">
      <c r="A867"/>
      <c r="B867" s="22"/>
    </row>
    <row r="868" spans="1:2">
      <c r="A868"/>
      <c r="B868" s="22"/>
    </row>
    <row r="869" spans="1:2">
      <c r="A869"/>
      <c r="B869" s="22"/>
    </row>
    <row r="870" spans="1:2">
      <c r="A870"/>
      <c r="B870" s="22"/>
    </row>
    <row r="871" spans="1:2">
      <c r="A871"/>
      <c r="B871" s="22"/>
    </row>
    <row r="872" spans="1:2">
      <c r="A872"/>
      <c r="B872" s="22"/>
    </row>
    <row r="873" spans="1:2">
      <c r="A873"/>
      <c r="B873" s="22"/>
    </row>
    <row r="874" spans="1:2">
      <c r="A874"/>
      <c r="B874" s="22"/>
    </row>
    <row r="875" spans="1:2">
      <c r="A875"/>
      <c r="B875" s="22"/>
    </row>
    <row r="876" spans="1:2">
      <c r="A876"/>
      <c r="B876" s="22"/>
    </row>
    <row r="877" spans="1:2">
      <c r="A877"/>
      <c r="B877" s="22"/>
    </row>
    <row r="878" spans="1:2">
      <c r="A878"/>
      <c r="B878" s="22"/>
    </row>
    <row r="879" spans="1:2">
      <c r="A879"/>
      <c r="B879" s="22"/>
    </row>
    <row r="880" spans="1:2">
      <c r="A880"/>
      <c r="B880" s="22"/>
    </row>
    <row r="881" spans="1:2">
      <c r="A881"/>
      <c r="B881" s="22"/>
    </row>
    <row r="882" spans="1:2">
      <c r="A882"/>
      <c r="B882" s="22"/>
    </row>
    <row r="883" spans="1:2">
      <c r="A883"/>
      <c r="B883" s="22"/>
    </row>
    <row r="884" spans="1:2">
      <c r="A884"/>
      <c r="B884" s="22"/>
    </row>
    <row r="885" spans="1:2">
      <c r="A885"/>
      <c r="B885" s="22"/>
    </row>
    <row r="886" spans="1:2">
      <c r="A886"/>
      <c r="B886" s="22"/>
    </row>
    <row r="887" spans="1:2">
      <c r="A887"/>
      <c r="B887" s="22"/>
    </row>
    <row r="888" spans="1:2">
      <c r="A888"/>
      <c r="B888" s="22"/>
    </row>
    <row r="889" spans="1:2">
      <c r="A889"/>
      <c r="B889" s="22"/>
    </row>
    <row r="890" spans="1:2">
      <c r="A890"/>
      <c r="B890" s="22"/>
    </row>
    <row r="891" spans="1:2">
      <c r="A891"/>
      <c r="B891" s="22"/>
    </row>
    <row r="892" spans="1:2">
      <c r="A892"/>
      <c r="B892" s="22"/>
    </row>
    <row r="893" spans="1:2">
      <c r="A893"/>
      <c r="B893" s="22"/>
    </row>
    <row r="894" spans="1:2">
      <c r="A894"/>
      <c r="B894" s="22"/>
    </row>
    <row r="895" spans="1:2">
      <c r="A895"/>
      <c r="B895" s="22"/>
    </row>
    <row r="896" spans="1:2">
      <c r="A896"/>
      <c r="B896" s="22"/>
    </row>
    <row r="897" spans="1:2">
      <c r="A897"/>
      <c r="B897" s="22"/>
    </row>
    <row r="898" spans="1:2">
      <c r="A898"/>
      <c r="B898" s="22"/>
    </row>
    <row r="899" spans="1:2">
      <c r="A899"/>
      <c r="B899" s="22"/>
    </row>
    <row r="900" spans="1:2">
      <c r="A900"/>
      <c r="B900" s="22"/>
    </row>
    <row r="901" spans="1:2">
      <c r="A901"/>
      <c r="B901" s="22"/>
    </row>
    <row r="902" spans="1:2">
      <c r="A902"/>
      <c r="B902" s="22"/>
    </row>
    <row r="903" spans="1:2">
      <c r="A903"/>
      <c r="B903" s="22"/>
    </row>
    <row r="904" spans="1:2">
      <c r="A904"/>
      <c r="B904" s="22"/>
    </row>
    <row r="905" spans="1:2">
      <c r="A905"/>
      <c r="B905" s="22"/>
    </row>
    <row r="906" spans="1:2">
      <c r="A906"/>
      <c r="B906" s="22"/>
    </row>
    <row r="907" spans="1:2">
      <c r="A907"/>
      <c r="B907" s="22"/>
    </row>
    <row r="908" spans="1:2">
      <c r="A908"/>
      <c r="B908" s="22"/>
    </row>
    <row r="909" spans="1:2">
      <c r="A909"/>
      <c r="B909" s="22"/>
    </row>
    <row r="910" spans="1:2">
      <c r="A910"/>
      <c r="B910" s="22"/>
    </row>
    <row r="911" spans="1:2">
      <c r="A911"/>
      <c r="B911" s="22"/>
    </row>
    <row r="912" spans="1:2">
      <c r="A912"/>
      <c r="B912" s="22"/>
    </row>
    <row r="913" spans="1:2">
      <c r="A913"/>
      <c r="B913" s="22"/>
    </row>
    <row r="914" spans="1:2">
      <c r="A914"/>
      <c r="B914" s="22"/>
    </row>
    <row r="915" spans="1:2">
      <c r="A915"/>
      <c r="B915" s="22"/>
    </row>
    <row r="916" spans="1:2">
      <c r="A916"/>
      <c r="B916" s="22"/>
    </row>
    <row r="917" spans="1:2">
      <c r="A917"/>
      <c r="B917" s="22"/>
    </row>
    <row r="918" spans="1:2">
      <c r="A918"/>
      <c r="B918" s="22"/>
    </row>
    <row r="919" spans="1:2">
      <c r="A919"/>
      <c r="B919" s="22"/>
    </row>
    <row r="920" spans="1:2">
      <c r="A920"/>
      <c r="B920" s="22"/>
    </row>
    <row r="921" spans="1:2">
      <c r="A921"/>
      <c r="B921" s="22"/>
    </row>
    <row r="922" spans="1:2">
      <c r="A922"/>
      <c r="B922" s="22"/>
    </row>
    <row r="923" spans="1:2">
      <c r="A923"/>
      <c r="B923" s="22"/>
    </row>
    <row r="924" spans="1:2">
      <c r="A924"/>
      <c r="B924" s="22"/>
    </row>
    <row r="925" spans="1:2">
      <c r="A925"/>
      <c r="B925" s="22"/>
    </row>
    <row r="926" spans="1:2">
      <c r="A926"/>
      <c r="B926" s="22"/>
    </row>
    <row r="927" spans="1:2">
      <c r="A927"/>
      <c r="B927" s="22"/>
    </row>
    <row r="928" spans="1:2">
      <c r="A928"/>
      <c r="B928" s="22"/>
    </row>
    <row r="929" spans="1:2">
      <c r="A929"/>
      <c r="B929" s="22"/>
    </row>
    <row r="930" spans="1:2">
      <c r="A930"/>
      <c r="B930" s="22"/>
    </row>
    <row r="931" spans="1:2">
      <c r="A931"/>
      <c r="B931" s="22"/>
    </row>
    <row r="932" spans="1:2">
      <c r="A932"/>
      <c r="B932" s="22"/>
    </row>
    <row r="933" spans="1:2">
      <c r="A933"/>
      <c r="B933" s="22"/>
    </row>
    <row r="934" spans="1:2">
      <c r="A934"/>
      <c r="B934" s="22"/>
    </row>
    <row r="935" spans="1:2">
      <c r="A935"/>
      <c r="B935" s="22"/>
    </row>
    <row r="936" spans="1:2">
      <c r="A936"/>
      <c r="B936" s="22"/>
    </row>
    <row r="937" spans="1:2">
      <c r="A937"/>
      <c r="B937" s="22"/>
    </row>
    <row r="938" spans="1:2">
      <c r="A938"/>
      <c r="B938" s="22"/>
    </row>
    <row r="939" spans="1:2">
      <c r="A939"/>
      <c r="B939" s="22"/>
    </row>
    <row r="940" spans="1:2">
      <c r="A940"/>
      <c r="B940" s="22"/>
    </row>
    <row r="941" spans="1:2">
      <c r="A941"/>
      <c r="B941" s="22"/>
    </row>
    <row r="942" spans="1:2">
      <c r="A942"/>
      <c r="B942" s="22"/>
    </row>
    <row r="943" spans="1:2">
      <c r="A943"/>
      <c r="B943" s="22"/>
    </row>
    <row r="944" spans="1:2">
      <c r="A944"/>
      <c r="B944" s="22"/>
    </row>
    <row r="945" spans="1:2">
      <c r="A945"/>
      <c r="B945" s="22"/>
    </row>
    <row r="946" spans="1:2">
      <c r="A946"/>
      <c r="B946" s="22"/>
    </row>
    <row r="947" spans="1:2">
      <c r="A947"/>
      <c r="B947" s="22"/>
    </row>
    <row r="948" spans="1:2">
      <c r="A948"/>
      <c r="B948" s="22"/>
    </row>
    <row r="949" spans="1:2">
      <c r="A949"/>
      <c r="B949" s="22"/>
    </row>
    <row r="950" spans="1:2">
      <c r="A950"/>
      <c r="B950" s="22"/>
    </row>
    <row r="951" spans="1:2">
      <c r="A951"/>
      <c r="B951" s="22"/>
    </row>
    <row r="952" spans="1:2">
      <c r="A952"/>
      <c r="B952" s="22"/>
    </row>
    <row r="953" spans="1:2">
      <c r="A953"/>
      <c r="B953" s="22"/>
    </row>
    <row r="954" spans="1:2">
      <c r="A954"/>
      <c r="B954" s="22"/>
    </row>
    <row r="955" spans="1:2">
      <c r="A955"/>
      <c r="B955" s="22"/>
    </row>
    <row r="956" spans="1:2">
      <c r="A956"/>
      <c r="B956" s="22"/>
    </row>
    <row r="957" spans="1:2">
      <c r="A957"/>
      <c r="B957" s="22"/>
    </row>
    <row r="958" spans="1:2">
      <c r="A958"/>
      <c r="B958" s="22"/>
    </row>
    <row r="959" spans="1:2">
      <c r="A959"/>
      <c r="B959" s="22"/>
    </row>
    <row r="960" spans="1:2">
      <c r="A960"/>
      <c r="B960" s="22"/>
    </row>
    <row r="961" spans="1:2">
      <c r="A961"/>
      <c r="B961" s="22"/>
    </row>
    <row r="962" spans="1:2">
      <c r="A962"/>
      <c r="B962" s="22"/>
    </row>
    <row r="963" spans="1:2">
      <c r="A963"/>
      <c r="B963" s="22"/>
    </row>
    <row r="964" spans="1:2">
      <c r="A964"/>
      <c r="B964" s="22"/>
    </row>
    <row r="965" spans="1:2">
      <c r="A965"/>
      <c r="B965" s="22"/>
    </row>
    <row r="966" spans="1:2">
      <c r="A966"/>
      <c r="B966" s="22"/>
    </row>
    <row r="967" spans="1:2">
      <c r="A967"/>
      <c r="B967" s="22"/>
    </row>
    <row r="968" spans="1:2">
      <c r="A968"/>
      <c r="B968" s="22"/>
    </row>
    <row r="969" spans="1:2">
      <c r="A969"/>
      <c r="B969" s="22"/>
    </row>
    <row r="970" spans="1:2">
      <c r="A970"/>
      <c r="B970" s="22"/>
    </row>
    <row r="971" spans="1:2">
      <c r="A971"/>
      <c r="B971" s="22"/>
    </row>
    <row r="972" spans="1:2">
      <c r="A972"/>
      <c r="B972" s="22"/>
    </row>
    <row r="973" spans="1:2">
      <c r="A973"/>
      <c r="B973" s="22"/>
    </row>
    <row r="974" spans="1:2">
      <c r="A974"/>
      <c r="B974" s="22"/>
    </row>
    <row r="975" spans="1:2">
      <c r="A975"/>
      <c r="B975" s="22"/>
    </row>
    <row r="976" spans="1:2">
      <c r="A976"/>
      <c r="B976" s="22"/>
    </row>
    <row r="977" spans="1:2">
      <c r="A977"/>
      <c r="B977" s="22"/>
    </row>
    <row r="978" spans="1:2">
      <c r="A978"/>
      <c r="B978" s="22"/>
    </row>
    <row r="979" spans="1:2">
      <c r="A979"/>
      <c r="B979" s="22"/>
    </row>
    <row r="980" spans="1:2">
      <c r="A980"/>
      <c r="B980" s="22"/>
    </row>
    <row r="981" spans="1:2">
      <c r="A981"/>
      <c r="B981" s="22"/>
    </row>
    <row r="982" spans="1:2">
      <c r="A982"/>
      <c r="B982" s="22"/>
    </row>
    <row r="983" spans="1:2">
      <c r="A983"/>
      <c r="B983" s="22"/>
    </row>
    <row r="984" spans="1:2">
      <c r="A984"/>
      <c r="B984" s="22"/>
    </row>
    <row r="985" spans="1:2">
      <c r="A985"/>
      <c r="B985" s="22"/>
    </row>
    <row r="986" spans="1:2">
      <c r="A986"/>
      <c r="B986" s="22"/>
    </row>
    <row r="987" spans="1:2">
      <c r="A987"/>
      <c r="B987" s="22"/>
    </row>
    <row r="988" spans="1:2">
      <c r="A988"/>
      <c r="B988" s="22"/>
    </row>
    <row r="989" spans="1:2">
      <c r="A989"/>
      <c r="B989" s="22"/>
    </row>
    <row r="990" spans="1:2">
      <c r="B990" s="22"/>
    </row>
    <row r="991" spans="1:2">
      <c r="B991" s="22"/>
    </row>
    <row r="992" spans="1:2">
      <c r="B992" s="22"/>
    </row>
    <row r="993" spans="2:2">
      <c r="B993" s="22"/>
    </row>
    <row r="994" spans="2:2">
      <c r="B994" s="22"/>
    </row>
    <row r="995" spans="2:2">
      <c r="B995" s="22"/>
    </row>
    <row r="996" spans="2:2">
      <c r="B996" s="22"/>
    </row>
    <row r="997" spans="2:2">
      <c r="B997" s="22"/>
    </row>
    <row r="998" spans="2:2">
      <c r="B998" s="22"/>
    </row>
    <row r="999" spans="2:2">
      <c r="B999" s="22"/>
    </row>
    <row r="1000" spans="2:2">
      <c r="B1000" s="22"/>
    </row>
    <row r="1001" spans="2:2">
      <c r="B1001" s="22"/>
    </row>
    <row r="1002" spans="2:2">
      <c r="B1002" s="22"/>
    </row>
    <row r="1003" spans="2:2">
      <c r="B1003" s="22"/>
    </row>
    <row r="1004" spans="2:2">
      <c r="B1004" s="22"/>
    </row>
    <row r="1005" spans="2:2">
      <c r="B1005" s="22"/>
    </row>
    <row r="1006" spans="2:2">
      <c r="B1006" s="22"/>
    </row>
    <row r="1007" spans="2:2">
      <c r="B1007" s="22"/>
    </row>
    <row r="1008" spans="2:2">
      <c r="B1008" s="22"/>
    </row>
    <row r="1009" spans="2:2">
      <c r="B1009" s="22"/>
    </row>
    <row r="1010" spans="2:2">
      <c r="B1010" s="22"/>
    </row>
    <row r="1011" spans="2:2">
      <c r="B1011" s="22"/>
    </row>
    <row r="1012" spans="2:2">
      <c r="B1012" s="22"/>
    </row>
    <row r="1013" spans="2:2">
      <c r="B1013" s="22"/>
    </row>
    <row r="1014" spans="2:2">
      <c r="B1014" s="22"/>
    </row>
    <row r="1015" spans="2:2">
      <c r="B1015" s="22"/>
    </row>
    <row r="1016" spans="2:2">
      <c r="B1016" s="22"/>
    </row>
    <row r="1017" spans="2:2">
      <c r="B1017" s="22"/>
    </row>
    <row r="1018" spans="2:2">
      <c r="B1018" s="22"/>
    </row>
    <row r="1019" spans="2:2">
      <c r="B1019" s="22"/>
    </row>
    <row r="1020" spans="2:2">
      <c r="B1020" s="22"/>
    </row>
    <row r="1021" spans="2:2">
      <c r="B1021" s="22"/>
    </row>
    <row r="1022" spans="2:2">
      <c r="B1022" s="22"/>
    </row>
    <row r="1023" spans="2:2">
      <c r="B1023" s="22"/>
    </row>
    <row r="1024" spans="2:2">
      <c r="B1024" s="22"/>
    </row>
    <row r="1025" spans="2:2">
      <c r="B1025" s="22"/>
    </row>
    <row r="1026" spans="2:2">
      <c r="B1026" s="22"/>
    </row>
    <row r="1027" spans="2:2">
      <c r="B1027" s="22"/>
    </row>
    <row r="1028" spans="2:2">
      <c r="B1028" s="22"/>
    </row>
    <row r="1029" spans="2:2">
      <c r="B1029" s="22"/>
    </row>
    <row r="1030" spans="2:2">
      <c r="B1030" s="22"/>
    </row>
    <row r="1031" spans="2:2">
      <c r="B1031" s="22"/>
    </row>
    <row r="1032" spans="2:2">
      <c r="B1032" s="22"/>
    </row>
    <row r="1033" spans="2:2">
      <c r="B1033" s="22"/>
    </row>
    <row r="1034" spans="2:2">
      <c r="B1034" s="22"/>
    </row>
    <row r="1035" spans="2:2">
      <c r="B1035" s="22"/>
    </row>
    <row r="1036" spans="2:2">
      <c r="B1036" s="22"/>
    </row>
    <row r="1037" spans="2:2">
      <c r="B1037" s="22"/>
    </row>
    <row r="1038" spans="2:2">
      <c r="B1038" s="22"/>
    </row>
    <row r="1039" spans="2:2">
      <c r="B1039" s="22"/>
    </row>
    <row r="1040" spans="2:2">
      <c r="B1040" s="22"/>
    </row>
    <row r="1041" spans="2:2">
      <c r="B1041" s="22"/>
    </row>
    <row r="1042" spans="2:2">
      <c r="B1042" s="22"/>
    </row>
    <row r="1043" spans="2:2">
      <c r="B1043" s="22"/>
    </row>
    <row r="1044" spans="2:2">
      <c r="B1044" s="22"/>
    </row>
    <row r="1045" spans="2:2">
      <c r="B1045" s="22"/>
    </row>
    <row r="1046" spans="2:2">
      <c r="B1046" s="22"/>
    </row>
    <row r="1047" spans="2:2">
      <c r="B1047" s="22"/>
    </row>
    <row r="1048" spans="2:2">
      <c r="B1048" s="22"/>
    </row>
    <row r="1049" spans="2:2">
      <c r="B1049" s="22"/>
    </row>
    <row r="1050" spans="2:2">
      <c r="B1050" s="22"/>
    </row>
    <row r="1051" spans="2:2">
      <c r="B1051" s="22"/>
    </row>
    <row r="1052" spans="2:2">
      <c r="B1052" s="22"/>
    </row>
    <row r="1053" spans="2:2">
      <c r="B1053" s="22"/>
    </row>
    <row r="1054" spans="2:2">
      <c r="B1054" s="22"/>
    </row>
    <row r="1055" spans="2:2">
      <c r="B1055" s="22"/>
    </row>
    <row r="1056" spans="2:2">
      <c r="B1056" s="22"/>
    </row>
    <row r="1057" spans="2:2">
      <c r="B1057" s="22"/>
    </row>
    <row r="1058" spans="2:2">
      <c r="B1058" s="22"/>
    </row>
    <row r="1059" spans="2:2">
      <c r="B1059" s="22"/>
    </row>
    <row r="1060" spans="2:2">
      <c r="B1060" s="22"/>
    </row>
    <row r="1061" spans="2:2">
      <c r="B1061" s="22"/>
    </row>
    <row r="1062" spans="2:2">
      <c r="B1062" s="22"/>
    </row>
    <row r="1063" spans="2:2">
      <c r="B1063" s="22"/>
    </row>
    <row r="1064" spans="2:2">
      <c r="B1064" s="22"/>
    </row>
    <row r="1065" spans="2:2">
      <c r="B1065" s="22"/>
    </row>
    <row r="1066" spans="2:2">
      <c r="B1066" s="22"/>
    </row>
    <row r="1067" spans="2:2">
      <c r="B1067" s="22"/>
    </row>
    <row r="1068" spans="2:2">
      <c r="B1068" s="22"/>
    </row>
    <row r="1069" spans="2:2">
      <c r="B1069" s="22"/>
    </row>
    <row r="1070" spans="2:2">
      <c r="B1070" s="22"/>
    </row>
    <row r="1071" spans="2:2">
      <c r="B1071" s="22"/>
    </row>
    <row r="1072" spans="2:2">
      <c r="B1072" s="22"/>
    </row>
    <row r="1073" spans="2:2">
      <c r="B1073" s="22"/>
    </row>
    <row r="1074" spans="2:2">
      <c r="B1074" s="22"/>
    </row>
    <row r="1075" spans="2:2">
      <c r="B1075" s="22"/>
    </row>
    <row r="1076" spans="2:2">
      <c r="B1076" s="22"/>
    </row>
    <row r="1077" spans="2:2">
      <c r="B1077" s="22"/>
    </row>
    <row r="1078" spans="2:2">
      <c r="B1078" s="22"/>
    </row>
    <row r="1079" spans="2:2">
      <c r="B1079" s="22"/>
    </row>
    <row r="1080" spans="2:2">
      <c r="B1080" s="22"/>
    </row>
    <row r="1081" spans="2:2">
      <c r="B1081" s="22"/>
    </row>
    <row r="1082" spans="2:2">
      <c r="B1082" s="22"/>
    </row>
    <row r="1083" spans="2:2">
      <c r="B1083" s="22"/>
    </row>
    <row r="1084" spans="2:2">
      <c r="B1084" s="22"/>
    </row>
    <row r="1085" spans="2:2">
      <c r="B1085" s="22"/>
    </row>
    <row r="1086" spans="2:2">
      <c r="B1086" s="22"/>
    </row>
    <row r="1087" spans="2:2">
      <c r="B1087" s="22"/>
    </row>
    <row r="1088" spans="2:2">
      <c r="B1088" s="22"/>
    </row>
    <row r="1089" spans="2:2">
      <c r="B1089" s="22"/>
    </row>
    <row r="1090" spans="2:2">
      <c r="B1090" s="22"/>
    </row>
    <row r="1091" spans="2:2">
      <c r="B1091" s="22"/>
    </row>
    <row r="1092" spans="2:2">
      <c r="B1092" s="22"/>
    </row>
    <row r="1093" spans="2:2">
      <c r="B1093" s="22"/>
    </row>
    <row r="1094" spans="2:2">
      <c r="B1094" s="22"/>
    </row>
    <row r="1095" spans="2:2">
      <c r="B1095" s="22"/>
    </row>
    <row r="1096" spans="2:2">
      <c r="B1096" s="22"/>
    </row>
    <row r="1097" spans="2:2">
      <c r="B1097" s="22"/>
    </row>
    <row r="1098" spans="2:2">
      <c r="B1098" s="22"/>
    </row>
    <row r="1099" spans="2:2">
      <c r="B1099" s="22"/>
    </row>
    <row r="1100" spans="2:2">
      <c r="B1100" s="22"/>
    </row>
    <row r="1101" spans="2:2">
      <c r="B1101" s="22"/>
    </row>
    <row r="1102" spans="2:2">
      <c r="B1102" s="22"/>
    </row>
    <row r="1103" spans="2:2">
      <c r="B1103" s="22"/>
    </row>
    <row r="1104" spans="2:2">
      <c r="B1104" s="22"/>
    </row>
    <row r="1105" spans="2:2">
      <c r="B1105" s="22"/>
    </row>
    <row r="1106" spans="2:2">
      <c r="B1106" s="22"/>
    </row>
    <row r="1107" spans="2:2">
      <c r="B1107" s="22"/>
    </row>
    <row r="1108" spans="2:2">
      <c r="B1108" s="22"/>
    </row>
    <row r="1109" spans="2:2">
      <c r="B1109" s="22"/>
    </row>
    <row r="1110" spans="2:2">
      <c r="B1110" s="22"/>
    </row>
    <row r="1111" spans="2:2">
      <c r="B1111" s="22"/>
    </row>
    <row r="1112" spans="2:2">
      <c r="B1112" s="22"/>
    </row>
    <row r="1113" spans="2:2">
      <c r="B1113" s="22"/>
    </row>
    <row r="1114" spans="2:2">
      <c r="B1114" s="22"/>
    </row>
    <row r="1115" spans="2:2">
      <c r="B1115" s="22"/>
    </row>
    <row r="1116" spans="2:2">
      <c r="B1116" s="22"/>
    </row>
    <row r="1117" spans="2:2">
      <c r="B1117" s="22"/>
    </row>
    <row r="1118" spans="2:2">
      <c r="B1118" s="22"/>
    </row>
    <row r="1119" spans="2:2">
      <c r="B1119" s="22"/>
    </row>
    <row r="1120" spans="2:2">
      <c r="B1120" s="22"/>
    </row>
    <row r="1121" spans="2:2">
      <c r="B1121" s="22"/>
    </row>
    <row r="1122" spans="2:2">
      <c r="B1122" s="22"/>
    </row>
    <row r="1123" spans="2:2">
      <c r="B1123" s="22"/>
    </row>
    <row r="1124" spans="2:2">
      <c r="B1124" s="22"/>
    </row>
    <row r="1125" spans="2:2">
      <c r="B1125" s="22"/>
    </row>
    <row r="1126" spans="2:2">
      <c r="B1126" s="22"/>
    </row>
    <row r="1127" spans="2:2">
      <c r="B1127" s="22"/>
    </row>
    <row r="1128" spans="2:2">
      <c r="B1128" s="22"/>
    </row>
    <row r="1129" spans="2:2">
      <c r="B1129" s="22"/>
    </row>
    <row r="1130" spans="2:2">
      <c r="B1130" s="22"/>
    </row>
    <row r="1131" spans="2:2">
      <c r="B1131" s="22"/>
    </row>
    <row r="1132" spans="2:2">
      <c r="B1132" s="22"/>
    </row>
    <row r="1133" spans="2:2">
      <c r="B1133" s="22"/>
    </row>
    <row r="1134" spans="2:2">
      <c r="B1134" s="22"/>
    </row>
    <row r="1135" spans="2:2">
      <c r="B1135" s="22"/>
    </row>
    <row r="1136" spans="2:2">
      <c r="B1136" s="22"/>
    </row>
    <row r="1137" spans="2:2">
      <c r="B1137" s="22"/>
    </row>
    <row r="1138" spans="2:2">
      <c r="B1138" s="22"/>
    </row>
    <row r="1139" spans="2:2">
      <c r="B1139" s="22"/>
    </row>
    <row r="1140" spans="2:2">
      <c r="B1140" s="22"/>
    </row>
    <row r="1141" spans="2:2">
      <c r="B1141" s="22"/>
    </row>
    <row r="1142" spans="2:2">
      <c r="B1142" s="22"/>
    </row>
    <row r="1143" spans="2:2">
      <c r="B1143" s="22"/>
    </row>
    <row r="1144" spans="2:2">
      <c r="B1144" s="22"/>
    </row>
    <row r="1145" spans="2:2">
      <c r="B1145" s="22"/>
    </row>
    <row r="1146" spans="2:2">
      <c r="B1146" s="22"/>
    </row>
    <row r="1147" spans="2:2">
      <c r="B1147" s="22"/>
    </row>
    <row r="1148" spans="2:2">
      <c r="B1148" s="22"/>
    </row>
    <row r="1149" spans="2:2">
      <c r="B1149" s="22"/>
    </row>
    <row r="1150" spans="2:2">
      <c r="B1150" s="22"/>
    </row>
    <row r="1151" spans="2:2">
      <c r="B1151" s="22"/>
    </row>
    <row r="1152" spans="2:2">
      <c r="B1152" s="22"/>
    </row>
    <row r="1153" spans="2:2">
      <c r="B1153" s="22"/>
    </row>
    <row r="1154" spans="2:2">
      <c r="B1154" s="22"/>
    </row>
    <row r="1155" spans="2:2">
      <c r="B1155" s="22"/>
    </row>
    <row r="1156" spans="2:2">
      <c r="B1156" s="22"/>
    </row>
    <row r="1157" spans="2:2">
      <c r="B1157" s="22"/>
    </row>
    <row r="1158" spans="2:2">
      <c r="B1158" s="22"/>
    </row>
    <row r="1159" spans="2:2">
      <c r="B1159" s="22"/>
    </row>
    <row r="1160" spans="2:2">
      <c r="B1160" s="22"/>
    </row>
    <row r="1161" spans="2:2">
      <c r="B1161" s="22"/>
    </row>
    <row r="1162" spans="2:2">
      <c r="B1162" s="22"/>
    </row>
    <row r="1163" spans="2:2">
      <c r="B1163" s="22"/>
    </row>
    <row r="1164" spans="2:2">
      <c r="B1164" s="22"/>
    </row>
    <row r="1165" spans="2:2">
      <c r="B1165" s="22"/>
    </row>
    <row r="1166" spans="2:2">
      <c r="B1166" s="22"/>
    </row>
    <row r="1167" spans="2:2">
      <c r="B1167" s="22"/>
    </row>
    <row r="1168" spans="2:2">
      <c r="B1168" s="22"/>
    </row>
    <row r="1169" spans="2:2">
      <c r="B1169" s="22"/>
    </row>
    <row r="1170" spans="2:2">
      <c r="B1170" s="22"/>
    </row>
    <row r="1171" spans="2:2">
      <c r="B1171" s="22"/>
    </row>
    <row r="1172" spans="2:2">
      <c r="B1172" s="22"/>
    </row>
    <row r="1173" spans="2:2">
      <c r="B1173" s="22"/>
    </row>
    <row r="1174" spans="2:2">
      <c r="B1174" s="22"/>
    </row>
    <row r="1175" spans="2:2">
      <c r="B1175" s="22"/>
    </row>
    <row r="1176" spans="2:2">
      <c r="B1176" s="22"/>
    </row>
    <row r="1177" spans="2:2">
      <c r="B1177" s="22"/>
    </row>
    <row r="1178" spans="2:2">
      <c r="B1178" s="22"/>
    </row>
    <row r="1179" spans="2:2">
      <c r="B1179" s="22"/>
    </row>
    <row r="1180" spans="2:2">
      <c r="B1180" s="22"/>
    </row>
    <row r="1181" spans="2:2">
      <c r="B1181" s="22"/>
    </row>
    <row r="1182" spans="2:2">
      <c r="B1182" s="22"/>
    </row>
    <row r="1183" spans="2:2">
      <c r="B1183" s="22"/>
    </row>
    <row r="1184" spans="2:2">
      <c r="B1184" s="22"/>
    </row>
    <row r="1185" spans="2:2">
      <c r="B1185" s="22"/>
    </row>
    <row r="1186" spans="2:2">
      <c r="B1186" s="22"/>
    </row>
    <row r="1187" spans="2:2">
      <c r="B1187" s="22"/>
    </row>
    <row r="1188" spans="2:2">
      <c r="B1188" s="22"/>
    </row>
    <row r="1189" spans="2:2">
      <c r="B1189" s="22"/>
    </row>
    <row r="1190" spans="2:2">
      <c r="B1190" s="22"/>
    </row>
    <row r="1191" spans="2:2">
      <c r="B1191" s="22"/>
    </row>
    <row r="1192" spans="2:2">
      <c r="B1192" s="22"/>
    </row>
    <row r="1193" spans="2:2">
      <c r="B1193" s="22"/>
    </row>
    <row r="1194" spans="2:2">
      <c r="B1194" s="22"/>
    </row>
    <row r="1195" spans="2:2">
      <c r="B1195" s="22"/>
    </row>
    <row r="1196" spans="2:2">
      <c r="B1196" s="22"/>
    </row>
    <row r="1197" spans="2:2">
      <c r="B1197" s="22"/>
    </row>
    <row r="1198" spans="2:2">
      <c r="B1198" s="22"/>
    </row>
    <row r="1199" spans="2:2">
      <c r="B1199" s="22"/>
    </row>
    <row r="1200" spans="2:2">
      <c r="B1200" s="22"/>
    </row>
    <row r="1201" spans="2:2">
      <c r="B1201" s="22"/>
    </row>
    <row r="1202" spans="2:2">
      <c r="B1202" s="22"/>
    </row>
    <row r="1203" spans="2:2">
      <c r="B1203" s="22"/>
    </row>
    <row r="1204" spans="2:2">
      <c r="B1204" s="22"/>
    </row>
    <row r="1205" spans="2:2">
      <c r="B1205" s="22"/>
    </row>
    <row r="1206" spans="2:2">
      <c r="B1206" s="22"/>
    </row>
    <row r="1207" spans="2:2">
      <c r="B1207" s="22"/>
    </row>
    <row r="1208" spans="2:2">
      <c r="B1208" s="22"/>
    </row>
    <row r="1209" spans="2:2">
      <c r="B1209" s="22"/>
    </row>
    <row r="1210" spans="2:2">
      <c r="B1210" s="22"/>
    </row>
    <row r="1211" spans="2:2">
      <c r="B1211" s="22"/>
    </row>
    <row r="1212" spans="2:2">
      <c r="B1212" s="22"/>
    </row>
    <row r="1213" spans="2:2">
      <c r="B1213" s="22"/>
    </row>
    <row r="1214" spans="2:2">
      <c r="B1214" s="22"/>
    </row>
    <row r="1215" spans="2:2">
      <c r="B1215" s="22"/>
    </row>
    <row r="1216" spans="2:2">
      <c r="B1216" s="22"/>
    </row>
    <row r="1217" spans="2:2">
      <c r="B1217" s="22"/>
    </row>
    <row r="1218" spans="2:2">
      <c r="B1218" s="22"/>
    </row>
    <row r="1219" spans="2:2">
      <c r="B1219" s="22"/>
    </row>
    <row r="1220" spans="2:2">
      <c r="B1220" s="22"/>
    </row>
    <row r="1221" spans="2:2">
      <c r="B1221" s="22"/>
    </row>
    <row r="1222" spans="2:2">
      <c r="B1222" s="22"/>
    </row>
    <row r="1223" spans="2:2">
      <c r="B1223" s="22"/>
    </row>
    <row r="1224" spans="2:2">
      <c r="B1224" s="22"/>
    </row>
    <row r="1225" spans="2:2">
      <c r="B1225" s="22"/>
    </row>
    <row r="1226" spans="2:2">
      <c r="B1226" s="22"/>
    </row>
    <row r="1227" spans="2:2">
      <c r="B1227" s="22"/>
    </row>
    <row r="1228" spans="2:2">
      <c r="B1228" s="22"/>
    </row>
    <row r="1229" spans="2:2">
      <c r="B1229" s="22"/>
    </row>
    <row r="1230" spans="2:2">
      <c r="B1230" s="22"/>
    </row>
    <row r="1231" spans="2:2">
      <c r="B1231" s="22"/>
    </row>
    <row r="1232" spans="2:2">
      <c r="B1232" s="22"/>
    </row>
    <row r="1233" spans="2:2">
      <c r="B1233" s="22"/>
    </row>
    <row r="1234" spans="2:2">
      <c r="B1234" s="22"/>
    </row>
    <row r="1235" spans="2:2">
      <c r="B1235" s="22"/>
    </row>
    <row r="1236" spans="2:2">
      <c r="B1236" s="22"/>
    </row>
    <row r="1237" spans="2:2">
      <c r="B1237" s="22"/>
    </row>
    <row r="1238" spans="2:2">
      <c r="B1238" s="22"/>
    </row>
    <row r="1239" spans="2:2">
      <c r="B1239" s="22"/>
    </row>
    <row r="1240" spans="2:2">
      <c r="B1240" s="22"/>
    </row>
    <row r="1241" spans="2:2">
      <c r="B1241" s="22"/>
    </row>
    <row r="1242" spans="2:2">
      <c r="B1242" s="22"/>
    </row>
    <row r="1243" spans="2:2">
      <c r="B1243" s="22"/>
    </row>
    <row r="1244" spans="2:2">
      <c r="B1244" s="22"/>
    </row>
    <row r="1245" spans="2:2">
      <c r="B1245" s="22"/>
    </row>
    <row r="1246" spans="2:2">
      <c r="B1246" s="22"/>
    </row>
    <row r="1247" spans="2:2">
      <c r="B1247" s="22"/>
    </row>
    <row r="1248" spans="2:2">
      <c r="B1248" s="22"/>
    </row>
    <row r="1249" spans="2:2">
      <c r="B1249" s="22"/>
    </row>
    <row r="1250" spans="2:2">
      <c r="B1250" s="22"/>
    </row>
    <row r="1251" spans="2:2">
      <c r="B1251" s="22"/>
    </row>
    <row r="1252" spans="2:2">
      <c r="B1252" s="22"/>
    </row>
    <row r="1253" spans="2:2">
      <c r="B1253" s="22"/>
    </row>
    <row r="1254" spans="2:2">
      <c r="B1254" s="22"/>
    </row>
    <row r="1255" spans="2:2">
      <c r="B1255" s="22"/>
    </row>
    <row r="1256" spans="2:2">
      <c r="B1256" s="22"/>
    </row>
    <row r="1257" spans="2:2">
      <c r="B1257" s="22"/>
    </row>
    <row r="1258" spans="2:2">
      <c r="B1258" s="22"/>
    </row>
    <row r="1259" spans="2:2">
      <c r="B1259" s="22"/>
    </row>
    <row r="1260" spans="2:2">
      <c r="B1260" s="22"/>
    </row>
    <row r="1261" spans="2:2">
      <c r="B1261" s="22"/>
    </row>
    <row r="1262" spans="2:2">
      <c r="B1262" s="22"/>
    </row>
    <row r="1263" spans="2:2">
      <c r="B1263" s="22"/>
    </row>
    <row r="1264" spans="2:2">
      <c r="B1264" s="22"/>
    </row>
    <row r="1265" spans="2:2">
      <c r="B1265" s="22"/>
    </row>
    <row r="1266" spans="2:2">
      <c r="B1266" s="22"/>
    </row>
    <row r="1267" spans="2:2">
      <c r="B1267" s="22"/>
    </row>
    <row r="1268" spans="2:2">
      <c r="B1268" s="22"/>
    </row>
    <row r="1269" spans="2:2">
      <c r="B1269" s="22"/>
    </row>
    <row r="1270" spans="2:2">
      <c r="B1270" s="22"/>
    </row>
    <row r="1271" spans="2:2">
      <c r="B1271" s="22"/>
    </row>
    <row r="1272" spans="2:2">
      <c r="B1272" s="22"/>
    </row>
    <row r="1273" spans="2:2">
      <c r="B1273" s="22"/>
    </row>
    <row r="1274" spans="2:2">
      <c r="B1274" s="22"/>
    </row>
    <row r="1275" spans="2:2">
      <c r="B1275" s="22"/>
    </row>
    <row r="1276" spans="2:2">
      <c r="B1276" s="22"/>
    </row>
    <row r="1277" spans="2:2">
      <c r="B1277" s="22"/>
    </row>
    <row r="1278" spans="2:2">
      <c r="B1278" s="22"/>
    </row>
    <row r="1279" spans="2:2">
      <c r="B1279" s="22"/>
    </row>
    <row r="1280" spans="2:2">
      <c r="B1280" s="22"/>
    </row>
    <row r="1281" spans="2:2">
      <c r="B1281" s="22"/>
    </row>
    <row r="1282" spans="2:2">
      <c r="B1282" s="22"/>
    </row>
    <row r="1283" spans="2:2">
      <c r="B1283" s="22"/>
    </row>
    <row r="1284" spans="2:2">
      <c r="B1284" s="22"/>
    </row>
    <row r="1285" spans="2:2">
      <c r="B1285" s="22"/>
    </row>
    <row r="1286" spans="2:2">
      <c r="B1286" s="22"/>
    </row>
    <row r="1287" spans="2:2">
      <c r="B1287" s="22"/>
    </row>
    <row r="1288" spans="2:2">
      <c r="B1288" s="22"/>
    </row>
    <row r="1289" spans="2:2">
      <c r="B1289" s="22"/>
    </row>
    <row r="1290" spans="2:2">
      <c r="B1290" s="22"/>
    </row>
    <row r="1291" spans="2:2">
      <c r="B1291" s="22"/>
    </row>
    <row r="1292" spans="2:2">
      <c r="B1292" s="22"/>
    </row>
    <row r="1293" spans="2:2">
      <c r="B1293" s="22"/>
    </row>
    <row r="1294" spans="2:2">
      <c r="B1294" s="22"/>
    </row>
    <row r="1295" spans="2:2">
      <c r="B1295" s="22"/>
    </row>
    <row r="1296" spans="2:2">
      <c r="B1296" s="22"/>
    </row>
    <row r="1297" spans="2:2">
      <c r="B1297" s="22"/>
    </row>
    <row r="1298" spans="2:2">
      <c r="B1298" s="22"/>
    </row>
    <row r="1299" spans="2:2">
      <c r="B1299" s="22"/>
    </row>
    <row r="1300" spans="2:2">
      <c r="B1300" s="22"/>
    </row>
    <row r="1301" spans="2:2">
      <c r="B1301" s="22"/>
    </row>
    <row r="1302" spans="2:2">
      <c r="B1302" s="22"/>
    </row>
    <row r="1303" spans="2:2">
      <c r="B1303" s="22"/>
    </row>
    <row r="1304" spans="2:2">
      <c r="B1304" s="22"/>
    </row>
    <row r="1305" spans="2:2">
      <c r="B1305" s="22"/>
    </row>
    <row r="1306" spans="2:2">
      <c r="B1306" s="22"/>
    </row>
    <row r="1307" spans="2:2">
      <c r="B1307" s="22"/>
    </row>
    <row r="1308" spans="2:2">
      <c r="B1308" s="22"/>
    </row>
    <row r="1309" spans="2:2">
      <c r="B1309" s="22"/>
    </row>
    <row r="1310" spans="2:2">
      <c r="B1310" s="22"/>
    </row>
    <row r="1311" spans="2:2">
      <c r="B1311" s="22"/>
    </row>
    <row r="1312" spans="2:2">
      <c r="B1312" s="22"/>
    </row>
    <row r="1313" spans="2:2">
      <c r="B1313" s="22"/>
    </row>
    <row r="1314" spans="2:2">
      <c r="B1314" s="22"/>
    </row>
    <row r="1315" spans="2:2">
      <c r="B1315" s="22"/>
    </row>
    <row r="1316" spans="2:2">
      <c r="B1316" s="22"/>
    </row>
    <row r="1317" spans="2:2">
      <c r="B1317" s="22"/>
    </row>
    <row r="1318" spans="2:2">
      <c r="B1318" s="22"/>
    </row>
    <row r="1319" spans="2:2">
      <c r="B1319" s="22"/>
    </row>
    <row r="1320" spans="2:2">
      <c r="B1320" s="22"/>
    </row>
    <row r="1321" spans="2:2">
      <c r="B1321" s="22"/>
    </row>
    <row r="1322" spans="2:2">
      <c r="B1322" s="22"/>
    </row>
    <row r="1323" spans="2:2">
      <c r="B1323" s="22"/>
    </row>
    <row r="1324" spans="2:2">
      <c r="B1324" s="22"/>
    </row>
    <row r="1325" spans="2:2">
      <c r="B1325" s="22"/>
    </row>
    <row r="1326" spans="2:2">
      <c r="B1326" s="22"/>
    </row>
    <row r="1327" spans="2:2">
      <c r="B1327" s="22"/>
    </row>
    <row r="1328" spans="2:2">
      <c r="B1328" s="22"/>
    </row>
    <row r="1329" spans="2:2">
      <c r="B1329" s="22"/>
    </row>
    <row r="1330" spans="2:2">
      <c r="B1330" s="22"/>
    </row>
    <row r="1331" spans="2:2">
      <c r="B1331" s="22"/>
    </row>
    <row r="1332" spans="2:2">
      <c r="B1332" s="22"/>
    </row>
    <row r="1333" spans="2:2">
      <c r="B1333" s="22"/>
    </row>
    <row r="1334" spans="2:2">
      <c r="B1334" s="22"/>
    </row>
    <row r="1335" spans="2:2">
      <c r="B1335" s="22"/>
    </row>
    <row r="1336" spans="2:2">
      <c r="B1336" s="22"/>
    </row>
    <row r="1337" spans="2:2">
      <c r="B1337" s="22"/>
    </row>
    <row r="1338" spans="2:2">
      <c r="B1338" s="22"/>
    </row>
    <row r="1339" spans="2:2">
      <c r="B1339" s="22"/>
    </row>
    <row r="1340" spans="2:2">
      <c r="B1340" s="22"/>
    </row>
    <row r="1341" spans="2:2">
      <c r="B1341" s="22"/>
    </row>
    <row r="1342" spans="2:2">
      <c r="B1342" s="22"/>
    </row>
    <row r="1343" spans="2:2">
      <c r="B1343" s="22"/>
    </row>
    <row r="1344" spans="2:2">
      <c r="B1344" s="22"/>
    </row>
    <row r="1345" spans="2:2">
      <c r="B1345" s="22"/>
    </row>
    <row r="1346" spans="2:2">
      <c r="B1346" s="22"/>
    </row>
    <row r="1347" spans="2:2">
      <c r="B1347" s="22"/>
    </row>
    <row r="1348" spans="2:2">
      <c r="B1348" s="22"/>
    </row>
    <row r="1349" spans="2:2">
      <c r="B1349" s="22"/>
    </row>
    <row r="1350" spans="2:2">
      <c r="B1350" s="22"/>
    </row>
    <row r="1351" spans="2:2">
      <c r="B1351" s="22"/>
    </row>
    <row r="1352" spans="2:2">
      <c r="B1352" s="22"/>
    </row>
    <row r="1353" spans="2:2">
      <c r="B1353" s="22"/>
    </row>
    <row r="1354" spans="2:2">
      <c r="B1354" s="22"/>
    </row>
    <row r="1355" spans="2:2">
      <c r="B1355" s="22"/>
    </row>
    <row r="1356" spans="2:2">
      <c r="B1356" s="22"/>
    </row>
    <row r="1357" spans="2:2">
      <c r="B1357" s="22"/>
    </row>
    <row r="1358" spans="2:2">
      <c r="B1358" s="22"/>
    </row>
    <row r="1359" spans="2:2">
      <c r="B1359" s="22"/>
    </row>
    <row r="1360" spans="2:2">
      <c r="B1360" s="22"/>
    </row>
    <row r="1361" spans="2:2">
      <c r="B1361" s="22"/>
    </row>
    <row r="1362" spans="2:2">
      <c r="B1362" s="22"/>
    </row>
    <row r="1363" spans="2:2">
      <c r="B1363" s="22"/>
    </row>
    <row r="1364" spans="2:2">
      <c r="B1364" s="22"/>
    </row>
    <row r="1365" spans="2:2">
      <c r="B1365" s="22"/>
    </row>
    <row r="1366" spans="2:2">
      <c r="B1366" s="22"/>
    </row>
    <row r="1367" spans="2:2">
      <c r="B1367" s="22"/>
    </row>
    <row r="1368" spans="2:2">
      <c r="B1368" s="22"/>
    </row>
    <row r="1369" spans="2:2">
      <c r="B1369" s="22"/>
    </row>
    <row r="1370" spans="2:2">
      <c r="B1370" s="22"/>
    </row>
    <row r="1371" spans="2:2">
      <c r="B1371" s="22"/>
    </row>
    <row r="1372" spans="2:2">
      <c r="B1372" s="22"/>
    </row>
    <row r="1373" spans="2:2">
      <c r="B1373" s="22"/>
    </row>
    <row r="1374" spans="2:2">
      <c r="B1374" s="22"/>
    </row>
    <row r="1375" spans="2:2">
      <c r="B1375" s="22"/>
    </row>
    <row r="1376" spans="2:2">
      <c r="B1376" s="22"/>
    </row>
    <row r="1377" spans="2:2">
      <c r="B1377" s="22"/>
    </row>
    <row r="1378" spans="2:2">
      <c r="B1378" s="22"/>
    </row>
    <row r="1379" spans="2:2">
      <c r="B1379" s="22"/>
    </row>
    <row r="1380" spans="2:2">
      <c r="B1380" s="22"/>
    </row>
    <row r="1381" spans="2:2">
      <c r="B1381" s="22"/>
    </row>
    <row r="1382" spans="2:2">
      <c r="B1382" s="22"/>
    </row>
    <row r="1383" spans="2:2">
      <c r="B1383" s="22"/>
    </row>
    <row r="1384" spans="2:2">
      <c r="B1384" s="22"/>
    </row>
    <row r="1385" spans="2:2">
      <c r="B1385" s="22"/>
    </row>
    <row r="1386" spans="2:2">
      <c r="B1386" s="22"/>
    </row>
    <row r="1387" spans="2:2">
      <c r="B1387" s="22"/>
    </row>
    <row r="1388" spans="2:2">
      <c r="B1388" s="22"/>
    </row>
    <row r="1389" spans="2:2">
      <c r="B1389" s="22"/>
    </row>
    <row r="1390" spans="2:2">
      <c r="B1390" s="22"/>
    </row>
    <row r="1391" spans="2:2">
      <c r="B1391" s="22"/>
    </row>
    <row r="1392" spans="2:2">
      <c r="B1392" s="22"/>
    </row>
    <row r="1393" spans="2:2">
      <c r="B1393" s="22"/>
    </row>
    <row r="1394" spans="2:2">
      <c r="B1394" s="22"/>
    </row>
    <row r="1395" spans="2:2">
      <c r="B1395" s="22"/>
    </row>
    <row r="1396" spans="2:2">
      <c r="B1396" s="22"/>
    </row>
    <row r="1397" spans="2:2">
      <c r="B1397" s="22"/>
    </row>
    <row r="1398" spans="2:2">
      <c r="B1398" s="22"/>
    </row>
    <row r="1399" spans="2:2">
      <c r="B1399" s="22"/>
    </row>
    <row r="1400" spans="2:2">
      <c r="B1400" s="22"/>
    </row>
    <row r="1401" spans="2:2">
      <c r="B1401" s="22"/>
    </row>
    <row r="1402" spans="2:2">
      <c r="B1402" s="22"/>
    </row>
    <row r="1403" spans="2:2">
      <c r="B1403" s="22"/>
    </row>
    <row r="1404" spans="2:2">
      <c r="B1404" s="22"/>
    </row>
    <row r="1405" spans="2:2">
      <c r="B1405" s="22"/>
    </row>
    <row r="1406" spans="2:2">
      <c r="B1406" s="22"/>
    </row>
    <row r="1407" spans="2:2">
      <c r="B1407" s="22"/>
    </row>
    <row r="1408" spans="2:2">
      <c r="B1408" s="22"/>
    </row>
    <row r="1409" spans="2:2">
      <c r="B1409" s="22"/>
    </row>
    <row r="1410" spans="2:2">
      <c r="B1410" s="22"/>
    </row>
    <row r="1411" spans="2:2">
      <c r="B1411" s="22"/>
    </row>
    <row r="1412" spans="2:2">
      <c r="B1412" s="22"/>
    </row>
    <row r="1413" spans="2:2">
      <c r="B1413" s="22"/>
    </row>
    <row r="1414" spans="2:2">
      <c r="B1414" s="22"/>
    </row>
    <row r="1415" spans="2:2">
      <c r="B1415" s="22"/>
    </row>
    <row r="1416" spans="2:2">
      <c r="B1416" s="22"/>
    </row>
    <row r="1417" spans="2:2">
      <c r="B1417" s="22"/>
    </row>
    <row r="1418" spans="2:2">
      <c r="B1418" s="22"/>
    </row>
    <row r="1419" spans="2:2">
      <c r="B1419" s="22"/>
    </row>
    <row r="1420" spans="2:2">
      <c r="B1420" s="22"/>
    </row>
    <row r="1421" spans="2:2">
      <c r="B1421" s="22"/>
    </row>
    <row r="1422" spans="2:2">
      <c r="B1422" s="22"/>
    </row>
    <row r="1423" spans="2:2">
      <c r="B1423" s="22"/>
    </row>
    <row r="1424" spans="2:2">
      <c r="B1424" s="22"/>
    </row>
    <row r="1425" spans="2:2">
      <c r="B1425" s="22"/>
    </row>
    <row r="1426" spans="2:2">
      <c r="B1426" s="22"/>
    </row>
    <row r="1427" spans="2:2">
      <c r="B1427" s="22"/>
    </row>
    <row r="1428" spans="2:2">
      <c r="B1428" s="22"/>
    </row>
    <row r="1429" spans="2:2">
      <c r="B1429" s="22"/>
    </row>
    <row r="1430" spans="2:2">
      <c r="B1430" s="22"/>
    </row>
    <row r="1431" spans="2:2">
      <c r="B1431" s="22"/>
    </row>
    <row r="1432" spans="2:2">
      <c r="B1432" s="22"/>
    </row>
    <row r="1433" spans="2:2">
      <c r="B1433" s="22"/>
    </row>
    <row r="1434" spans="2:2">
      <c r="B1434" s="22"/>
    </row>
    <row r="1435" spans="2:2">
      <c r="B1435" s="22"/>
    </row>
    <row r="1436" spans="2:2">
      <c r="B1436" s="22"/>
    </row>
    <row r="1437" spans="2:2">
      <c r="B1437" s="22"/>
    </row>
    <row r="1438" spans="2:2">
      <c r="B1438" s="22"/>
    </row>
    <row r="1439" spans="2:2">
      <c r="B1439" s="22"/>
    </row>
    <row r="1440" spans="2:2">
      <c r="B1440" s="22"/>
    </row>
    <row r="1441" spans="2:2">
      <c r="B1441" s="22"/>
    </row>
    <row r="1442" spans="2:2">
      <c r="B1442" s="22"/>
    </row>
    <row r="1443" spans="2:2">
      <c r="B1443" s="22"/>
    </row>
    <row r="1444" spans="2:2">
      <c r="B1444" s="22"/>
    </row>
    <row r="1445" spans="2:2">
      <c r="B1445" s="22"/>
    </row>
    <row r="1446" spans="2:2">
      <c r="B1446" s="22"/>
    </row>
    <row r="1447" spans="2:2">
      <c r="B1447" s="22"/>
    </row>
    <row r="1448" spans="2:2">
      <c r="B1448" s="22"/>
    </row>
    <row r="1449" spans="2:2">
      <c r="B1449" s="22"/>
    </row>
    <row r="1450" spans="2:2">
      <c r="B1450" s="22"/>
    </row>
    <row r="1451" spans="2:2">
      <c r="B1451" s="22"/>
    </row>
    <row r="1452" spans="2:2">
      <c r="B1452" s="22"/>
    </row>
    <row r="1453" spans="2:2">
      <c r="B1453" s="22"/>
    </row>
    <row r="1454" spans="2:2">
      <c r="B1454" s="22"/>
    </row>
    <row r="1455" spans="2:2">
      <c r="B1455" s="22"/>
    </row>
    <row r="1456" spans="2:2">
      <c r="B1456" s="22"/>
    </row>
    <row r="1457" spans="2:2">
      <c r="B1457" s="22"/>
    </row>
    <row r="1458" spans="2:2">
      <c r="B1458" s="22"/>
    </row>
    <row r="1459" spans="2:2">
      <c r="B1459" s="22"/>
    </row>
    <row r="1460" spans="2:2">
      <c r="B1460" s="22"/>
    </row>
    <row r="1461" spans="2:2">
      <c r="B1461" s="22"/>
    </row>
    <row r="1462" spans="2:2">
      <c r="B1462" s="22"/>
    </row>
    <row r="1463" spans="2:2">
      <c r="B1463" s="22"/>
    </row>
    <row r="1464" spans="2:2">
      <c r="B1464" s="22"/>
    </row>
    <row r="1465" spans="2:2">
      <c r="B1465" s="22"/>
    </row>
    <row r="1466" spans="2:2">
      <c r="B1466" s="22"/>
    </row>
    <row r="1467" spans="2:2">
      <c r="B1467" s="22"/>
    </row>
    <row r="1468" spans="2:2">
      <c r="B1468" s="22"/>
    </row>
    <row r="1469" spans="2:2">
      <c r="B1469" s="22"/>
    </row>
    <row r="1470" spans="2:2">
      <c r="B1470" s="22"/>
    </row>
    <row r="1471" spans="2:2">
      <c r="B1471" s="22"/>
    </row>
    <row r="1472" spans="2:2">
      <c r="B1472" s="22"/>
    </row>
    <row r="1473" spans="2:2">
      <c r="B1473" s="22"/>
    </row>
    <row r="1474" spans="2:2">
      <c r="B1474" s="22"/>
    </row>
    <row r="1475" spans="2:2">
      <c r="B1475" s="22"/>
    </row>
    <row r="1476" spans="2:2">
      <c r="B1476" s="22"/>
    </row>
    <row r="1477" spans="2:2">
      <c r="B1477" s="22"/>
    </row>
    <row r="1478" spans="2:2">
      <c r="B1478" s="22"/>
    </row>
    <row r="1479" spans="2:2">
      <c r="B1479" s="22"/>
    </row>
    <row r="1480" spans="2:2">
      <c r="B1480" s="22"/>
    </row>
    <row r="1481" spans="2:2">
      <c r="B1481" s="22"/>
    </row>
    <row r="1482" spans="2:2">
      <c r="B1482" s="22"/>
    </row>
    <row r="1483" spans="2:2">
      <c r="B1483" s="22"/>
    </row>
    <row r="1484" spans="2:2">
      <c r="B1484" s="22"/>
    </row>
    <row r="1485" spans="2:2">
      <c r="B1485" s="22"/>
    </row>
    <row r="1486" spans="2:2">
      <c r="B1486" s="22"/>
    </row>
    <row r="1487" spans="2:2">
      <c r="B1487" s="22"/>
    </row>
    <row r="1488" spans="2:2">
      <c r="B1488" s="22"/>
    </row>
    <row r="1489" spans="2:2">
      <c r="B1489" s="22"/>
    </row>
    <row r="1490" spans="2:2">
      <c r="B1490" s="22"/>
    </row>
    <row r="1491" spans="2:2">
      <c r="B1491" s="22"/>
    </row>
    <row r="1492" spans="2:2">
      <c r="B1492" s="22"/>
    </row>
    <row r="1493" spans="2:2">
      <c r="B1493" s="22"/>
    </row>
    <row r="1494" spans="2:2">
      <c r="B1494" s="22"/>
    </row>
    <row r="1495" spans="2:2">
      <c r="B1495" s="22"/>
    </row>
    <row r="1496" spans="2:2">
      <c r="B1496" s="22"/>
    </row>
    <row r="1497" spans="2:2">
      <c r="B1497" s="22"/>
    </row>
    <row r="1498" spans="2:2">
      <c r="B1498" s="22"/>
    </row>
    <row r="1499" spans="2:2">
      <c r="B1499" s="22"/>
    </row>
    <row r="1500" spans="2:2">
      <c r="B1500" s="22"/>
    </row>
    <row r="1501" spans="2:2">
      <c r="B1501" s="22"/>
    </row>
    <row r="1502" spans="2:2">
      <c r="B1502" s="22"/>
    </row>
    <row r="1503" spans="2:2">
      <c r="B1503" s="22"/>
    </row>
    <row r="1504" spans="2:2">
      <c r="B1504" s="22"/>
    </row>
    <row r="1505" spans="2:2">
      <c r="B1505" s="22"/>
    </row>
    <row r="1506" spans="2:2">
      <c r="B1506" s="22"/>
    </row>
    <row r="1507" spans="2:2">
      <c r="B1507" s="22"/>
    </row>
    <row r="1508" spans="2:2">
      <c r="B1508" s="22"/>
    </row>
    <row r="1509" spans="2:2">
      <c r="B1509" s="22"/>
    </row>
    <row r="1510" spans="2:2">
      <c r="B1510" s="22"/>
    </row>
    <row r="1511" spans="2:2">
      <c r="B1511" s="22"/>
    </row>
    <row r="1512" spans="2:2">
      <c r="B1512" s="22"/>
    </row>
    <row r="1513" spans="2:2">
      <c r="B1513" s="22"/>
    </row>
    <row r="1514" spans="2:2">
      <c r="B1514" s="22"/>
    </row>
    <row r="1515" spans="2:2">
      <c r="B1515" s="22"/>
    </row>
    <row r="1516" spans="2:2">
      <c r="B1516" s="22"/>
    </row>
    <row r="1517" spans="2:2">
      <c r="B1517" s="22"/>
    </row>
    <row r="1518" spans="2:2">
      <c r="B1518" s="22"/>
    </row>
    <row r="1519" spans="2:2">
      <c r="B1519" s="22"/>
    </row>
    <row r="1520" spans="2:2">
      <c r="B1520" s="22"/>
    </row>
    <row r="1521" spans="2:2">
      <c r="B1521" s="22"/>
    </row>
    <row r="1522" spans="2:2">
      <c r="B1522" s="22"/>
    </row>
    <row r="1523" spans="2:2">
      <c r="B1523" s="22"/>
    </row>
    <row r="1524" spans="2:2">
      <c r="B1524" s="22"/>
    </row>
    <row r="1525" spans="2:2">
      <c r="B1525" s="22"/>
    </row>
    <row r="1526" spans="2:2">
      <c r="B1526" s="22"/>
    </row>
    <row r="1527" spans="2:2">
      <c r="B1527" s="22"/>
    </row>
    <row r="1528" spans="2:2">
      <c r="B1528" s="22"/>
    </row>
    <row r="1529" spans="2:2">
      <c r="B1529" s="22"/>
    </row>
    <row r="1530" spans="2:2">
      <c r="B1530" s="22"/>
    </row>
    <row r="1531" spans="2:2">
      <c r="B1531" s="22"/>
    </row>
    <row r="1532" spans="2:2">
      <c r="B1532" s="22"/>
    </row>
    <row r="1533" spans="2:2">
      <c r="B1533" s="22"/>
    </row>
    <row r="1534" spans="2:2">
      <c r="B1534" s="22"/>
    </row>
    <row r="1535" spans="2:2">
      <c r="B1535" s="22"/>
    </row>
    <row r="1536" spans="2:2">
      <c r="B1536" s="22"/>
    </row>
    <row r="1537" spans="2:2">
      <c r="B1537" s="22"/>
    </row>
    <row r="1538" spans="2:2">
      <c r="B1538" s="22"/>
    </row>
    <row r="1539" spans="2:2">
      <c r="B1539" s="22"/>
    </row>
    <row r="1540" spans="2:2">
      <c r="B1540" s="22"/>
    </row>
    <row r="1541" spans="2:2">
      <c r="B1541" s="22"/>
    </row>
    <row r="1542" spans="2:2">
      <c r="B1542" s="22"/>
    </row>
    <row r="1543" spans="2:2">
      <c r="B1543" s="22"/>
    </row>
    <row r="1544" spans="2:2">
      <c r="B1544" s="22"/>
    </row>
    <row r="1545" spans="2:2">
      <c r="B1545" s="22"/>
    </row>
    <row r="1546" spans="2:2">
      <c r="B1546" s="22"/>
    </row>
    <row r="1547" spans="2:2">
      <c r="B1547" s="22"/>
    </row>
    <row r="1548" spans="2:2">
      <c r="B1548" s="22"/>
    </row>
    <row r="1549" spans="2:2">
      <c r="B1549" s="22"/>
    </row>
    <row r="1550" spans="2:2">
      <c r="B1550" s="22"/>
    </row>
    <row r="1551" spans="2:2">
      <c r="B1551" s="22"/>
    </row>
    <row r="1552" spans="2:2">
      <c r="B1552" s="22"/>
    </row>
    <row r="1553" spans="2:2">
      <c r="B1553" s="22"/>
    </row>
    <row r="1554" spans="2:2">
      <c r="B1554" s="22"/>
    </row>
    <row r="1555" spans="2:2">
      <c r="B1555" s="22"/>
    </row>
    <row r="1556" spans="2:2">
      <c r="B1556" s="22"/>
    </row>
    <row r="1557" spans="2:2">
      <c r="B1557" s="22"/>
    </row>
    <row r="1558" spans="2:2">
      <c r="B1558" s="22"/>
    </row>
    <row r="1559" spans="2:2">
      <c r="B1559" s="22"/>
    </row>
    <row r="1560" spans="2:2">
      <c r="B1560" s="22"/>
    </row>
    <row r="1561" spans="2:2">
      <c r="B1561" s="22"/>
    </row>
    <row r="1562" spans="2:2">
      <c r="B1562" s="22"/>
    </row>
    <row r="1563" spans="2:2">
      <c r="B1563" s="22"/>
    </row>
    <row r="1564" spans="2:2">
      <c r="B1564" s="22"/>
    </row>
    <row r="1565" spans="2:2">
      <c r="B1565" s="22"/>
    </row>
    <row r="1566" spans="2:2">
      <c r="B1566" s="22"/>
    </row>
    <row r="1567" spans="2:2">
      <c r="B1567" s="22"/>
    </row>
    <row r="1568" spans="2:2">
      <c r="B1568" s="22"/>
    </row>
    <row r="1569" spans="2:2">
      <c r="B1569" s="22"/>
    </row>
    <row r="1570" spans="2:2">
      <c r="B1570" s="22"/>
    </row>
    <row r="1571" spans="2:2">
      <c r="B1571" s="22"/>
    </row>
    <row r="1572" spans="2:2">
      <c r="B1572" s="22"/>
    </row>
    <row r="1573" spans="2:2">
      <c r="B1573" s="22"/>
    </row>
    <row r="1574" spans="2:2">
      <c r="B1574" s="22"/>
    </row>
    <row r="1575" spans="2:2">
      <c r="B1575" s="22"/>
    </row>
    <row r="1576" spans="2:2">
      <c r="B1576" s="22"/>
    </row>
    <row r="1577" spans="2:2">
      <c r="B1577" s="22"/>
    </row>
    <row r="1578" spans="2:2">
      <c r="B1578" s="22"/>
    </row>
    <row r="1579" spans="2:2">
      <c r="B1579" s="22"/>
    </row>
    <row r="1580" spans="2:2">
      <c r="B1580" s="22"/>
    </row>
    <row r="1581" spans="2:2">
      <c r="B1581" s="22"/>
    </row>
    <row r="1582" spans="2:2">
      <c r="B1582" s="22"/>
    </row>
    <row r="1583" spans="2:2">
      <c r="B1583" s="22"/>
    </row>
    <row r="1584" spans="2:2">
      <c r="B1584" s="22"/>
    </row>
    <row r="1585" spans="2:2">
      <c r="B1585" s="22"/>
    </row>
    <row r="1586" spans="2:2">
      <c r="B1586" s="22"/>
    </row>
    <row r="1587" spans="2:2">
      <c r="B1587" s="22"/>
    </row>
    <row r="1588" spans="2:2">
      <c r="B1588" s="22"/>
    </row>
    <row r="1589" spans="2:2">
      <c r="B1589" s="22"/>
    </row>
    <row r="1590" spans="2:2">
      <c r="B1590" s="22"/>
    </row>
    <row r="1591" spans="2:2">
      <c r="B1591" s="22"/>
    </row>
    <row r="1592" spans="2:2">
      <c r="B1592" s="22"/>
    </row>
    <row r="1593" spans="2:2">
      <c r="B1593" s="22"/>
    </row>
    <row r="1594" spans="2:2">
      <c r="B1594" s="22"/>
    </row>
    <row r="1595" spans="2:2">
      <c r="B1595" s="22"/>
    </row>
    <row r="1596" spans="2:2">
      <c r="B1596" s="22"/>
    </row>
    <row r="1597" spans="2:2">
      <c r="B1597" s="22"/>
    </row>
    <row r="1598" spans="2:2">
      <c r="B1598" s="22"/>
    </row>
    <row r="1599" spans="2:2">
      <c r="B1599" s="22"/>
    </row>
    <row r="1600" spans="2:2">
      <c r="B1600" s="22"/>
    </row>
    <row r="1601" spans="2:2">
      <c r="B1601" s="22"/>
    </row>
    <row r="1602" spans="2:2">
      <c r="B1602" s="22"/>
    </row>
    <row r="1603" spans="2:2">
      <c r="B1603" s="22"/>
    </row>
    <row r="1604" spans="2:2">
      <c r="B1604" s="22"/>
    </row>
    <row r="1605" spans="2:2">
      <c r="B1605" s="22"/>
    </row>
    <row r="1606" spans="2:2">
      <c r="B1606" s="22"/>
    </row>
    <row r="1607" spans="2:2">
      <c r="B1607" s="22"/>
    </row>
    <row r="1608" spans="2:2">
      <c r="B1608" s="22"/>
    </row>
    <row r="1609" spans="2:2">
      <c r="B1609" s="22"/>
    </row>
    <row r="1610" spans="2:2">
      <c r="B1610" s="22"/>
    </row>
    <row r="1611" spans="2:2">
      <c r="B1611" s="22"/>
    </row>
    <row r="1612" spans="2:2">
      <c r="B1612" s="22"/>
    </row>
    <row r="1613" spans="2:2">
      <c r="B1613" s="22"/>
    </row>
    <row r="1614" spans="2:2">
      <c r="B1614" s="22"/>
    </row>
    <row r="1615" spans="2:2">
      <c r="B1615" s="22"/>
    </row>
    <row r="1616" spans="2:2">
      <c r="B1616" s="22"/>
    </row>
    <row r="1617" spans="2:2">
      <c r="B1617" s="22"/>
    </row>
    <row r="1618" spans="2:2">
      <c r="B1618" s="22"/>
    </row>
    <row r="1619" spans="2:2">
      <c r="B1619" s="22"/>
    </row>
    <row r="1620" spans="2:2">
      <c r="B1620" s="22"/>
    </row>
    <row r="1621" spans="2:2">
      <c r="B1621" s="22"/>
    </row>
    <row r="1622" spans="2:2">
      <c r="B1622" s="22"/>
    </row>
    <row r="1623" spans="2:2">
      <c r="B1623" s="22"/>
    </row>
    <row r="1624" spans="2:2">
      <c r="B1624" s="22"/>
    </row>
    <row r="1625" spans="2:2">
      <c r="B1625" s="22"/>
    </row>
    <row r="1626" spans="2:2">
      <c r="B1626" s="22"/>
    </row>
    <row r="1627" spans="2:2">
      <c r="B1627" s="22"/>
    </row>
    <row r="1628" spans="2:2">
      <c r="B1628" s="22"/>
    </row>
    <row r="1629" spans="2:2">
      <c r="B1629" s="22"/>
    </row>
    <row r="1630" spans="2:2">
      <c r="B1630" s="22"/>
    </row>
    <row r="1631" spans="2:2">
      <c r="B1631" s="22"/>
    </row>
    <row r="1632" spans="2:2">
      <c r="B1632" s="22"/>
    </row>
    <row r="1633" spans="2:2">
      <c r="B1633" s="22"/>
    </row>
    <row r="1634" spans="2:2">
      <c r="B1634" s="22"/>
    </row>
    <row r="1635" spans="2:2">
      <c r="B1635" s="22"/>
    </row>
    <row r="1636" spans="2:2">
      <c r="B1636" s="22"/>
    </row>
    <row r="1637" spans="2:2">
      <c r="B1637" s="22"/>
    </row>
    <row r="1638" spans="2:2">
      <c r="B1638" s="22"/>
    </row>
    <row r="1639" spans="2:2">
      <c r="B1639" s="22"/>
    </row>
    <row r="1640" spans="2:2">
      <c r="B1640" s="22"/>
    </row>
    <row r="1641" spans="2:2">
      <c r="B1641" s="22"/>
    </row>
    <row r="1642" spans="2:2">
      <c r="B1642" s="22"/>
    </row>
    <row r="1643" spans="2:2">
      <c r="B1643" s="22"/>
    </row>
    <row r="1644" spans="2:2">
      <c r="B1644" s="22"/>
    </row>
    <row r="1645" spans="2:2">
      <c r="B1645" s="22"/>
    </row>
    <row r="1646" spans="2:2">
      <c r="B1646" s="22"/>
    </row>
    <row r="1647" spans="2:2">
      <c r="B1647" s="22"/>
    </row>
    <row r="1648" spans="2:2">
      <c r="B1648" s="22"/>
    </row>
    <row r="1649" spans="2:2">
      <c r="B1649" s="22"/>
    </row>
    <row r="1650" spans="2:2">
      <c r="B1650" s="22"/>
    </row>
    <row r="1651" spans="2:2">
      <c r="B1651" s="22"/>
    </row>
    <row r="1652" spans="2:2">
      <c r="B1652" s="22"/>
    </row>
    <row r="1653" spans="2:2">
      <c r="B1653" s="22"/>
    </row>
    <row r="1654" spans="2:2">
      <c r="B1654" s="22"/>
    </row>
    <row r="1655" spans="2:2">
      <c r="B1655" s="22"/>
    </row>
    <row r="1656" spans="2:2">
      <c r="B1656" s="22"/>
    </row>
    <row r="1657" spans="2:2">
      <c r="B1657" s="22"/>
    </row>
    <row r="1658" spans="2:2">
      <c r="B1658" s="22"/>
    </row>
    <row r="1659" spans="2:2">
      <c r="B1659" s="22"/>
    </row>
    <row r="1660" spans="2:2">
      <c r="B1660" s="22"/>
    </row>
    <row r="1661" spans="2:2">
      <c r="B1661" s="22"/>
    </row>
    <row r="1662" spans="2:2">
      <c r="B1662" s="22"/>
    </row>
    <row r="1663" spans="2:2">
      <c r="B1663" s="22"/>
    </row>
    <row r="1664" spans="2:2">
      <c r="B1664" s="22"/>
    </row>
    <row r="1665" spans="2:2">
      <c r="B1665" s="22"/>
    </row>
    <row r="1666" spans="2:2">
      <c r="B1666" s="22"/>
    </row>
    <row r="1667" spans="2:2">
      <c r="B1667" s="22"/>
    </row>
    <row r="1668" spans="2:2">
      <c r="B1668" s="22"/>
    </row>
    <row r="1669" spans="2:2">
      <c r="B1669" s="22"/>
    </row>
    <row r="1670" spans="2:2">
      <c r="B1670" s="22"/>
    </row>
    <row r="1671" spans="2:2">
      <c r="B1671" s="22"/>
    </row>
    <row r="1672" spans="2:2">
      <c r="B1672" s="22"/>
    </row>
    <row r="1673" spans="2:2">
      <c r="B1673" s="22"/>
    </row>
    <row r="1674" spans="2:2">
      <c r="B1674" s="22"/>
    </row>
    <row r="1675" spans="2:2">
      <c r="B1675" s="22"/>
    </row>
    <row r="1676" spans="2:2">
      <c r="B1676" s="22"/>
    </row>
    <row r="1677" spans="2:2">
      <c r="B1677" s="22"/>
    </row>
    <row r="1678" spans="2:2">
      <c r="B1678" s="22"/>
    </row>
    <row r="1679" spans="2:2">
      <c r="B1679" s="22"/>
    </row>
    <row r="1680" spans="2:2">
      <c r="B1680" s="22"/>
    </row>
    <row r="1681" spans="2:2">
      <c r="B1681" s="22"/>
    </row>
    <row r="1682" spans="2:2">
      <c r="B1682" s="22"/>
    </row>
    <row r="1683" spans="2:2">
      <c r="B1683" s="22"/>
    </row>
    <row r="1684" spans="2:2">
      <c r="B1684" s="22"/>
    </row>
    <row r="1685" spans="2:2">
      <c r="B1685" s="22"/>
    </row>
    <row r="1686" spans="2:2">
      <c r="B1686" s="22"/>
    </row>
    <row r="1687" spans="2:2">
      <c r="B1687" s="22"/>
    </row>
    <row r="1688" spans="2:2">
      <c r="B1688" s="22"/>
    </row>
    <row r="1689" spans="2:2">
      <c r="B1689" s="22"/>
    </row>
    <row r="1690" spans="2:2">
      <c r="B1690" s="22"/>
    </row>
    <row r="1691" spans="2:2">
      <c r="B1691" s="22"/>
    </row>
    <row r="1692" spans="2:2">
      <c r="B1692" s="22"/>
    </row>
    <row r="1693" spans="2:2">
      <c r="B1693" s="22"/>
    </row>
    <row r="1694" spans="2:2">
      <c r="B1694" s="22"/>
    </row>
    <row r="1695" spans="2:2">
      <c r="B1695" s="22"/>
    </row>
    <row r="1696" spans="2:2">
      <c r="B1696" s="22"/>
    </row>
    <row r="1697" spans="2:2">
      <c r="B1697" s="22"/>
    </row>
    <row r="1698" spans="2:2">
      <c r="B1698" s="22"/>
    </row>
    <row r="1699" spans="2:2">
      <c r="B1699" s="22"/>
    </row>
    <row r="1700" spans="2:2">
      <c r="B1700" s="22"/>
    </row>
    <row r="1701" spans="2:2">
      <c r="B1701" s="22"/>
    </row>
    <row r="1702" spans="2:2">
      <c r="B1702" s="22"/>
    </row>
    <row r="1703" spans="2:2">
      <c r="B1703" s="22"/>
    </row>
    <row r="1704" spans="2:2">
      <c r="B1704" s="22"/>
    </row>
    <row r="1705" spans="2:2">
      <c r="B1705" s="22"/>
    </row>
    <row r="1706" spans="2:2">
      <c r="B1706" s="22"/>
    </row>
    <row r="1707" spans="2:2">
      <c r="B1707" s="22"/>
    </row>
    <row r="1708" spans="2:2">
      <c r="B1708" s="22"/>
    </row>
    <row r="1709" spans="2:2">
      <c r="B1709" s="22"/>
    </row>
    <row r="1710" spans="2:2">
      <c r="B1710" s="22"/>
    </row>
    <row r="1711" spans="2:2">
      <c r="B1711" s="22"/>
    </row>
    <row r="1712" spans="2:2">
      <c r="B1712" s="22"/>
    </row>
    <row r="1713" spans="2:2">
      <c r="B1713" s="22"/>
    </row>
    <row r="1714" spans="2:2">
      <c r="B1714" s="22"/>
    </row>
    <row r="1715" spans="2:2">
      <c r="B1715" s="22"/>
    </row>
    <row r="1716" spans="2:2">
      <c r="B1716" s="22"/>
    </row>
    <row r="1717" spans="2:2">
      <c r="B1717" s="22"/>
    </row>
    <row r="1718" spans="2:2">
      <c r="B1718" s="22"/>
    </row>
    <row r="1719" spans="2:2">
      <c r="B1719" s="22"/>
    </row>
    <row r="1720" spans="2:2">
      <c r="B1720" s="22"/>
    </row>
    <row r="1721" spans="2:2">
      <c r="B1721" s="22"/>
    </row>
    <row r="1722" spans="2:2">
      <c r="B1722" s="22"/>
    </row>
    <row r="1723" spans="2:2">
      <c r="B1723" s="22"/>
    </row>
    <row r="1724" spans="2:2">
      <c r="B1724" s="22"/>
    </row>
    <row r="1725" spans="2:2">
      <c r="B1725" s="22"/>
    </row>
    <row r="1726" spans="2:2">
      <c r="B1726" s="22"/>
    </row>
    <row r="1727" spans="2:2">
      <c r="B1727" s="22"/>
    </row>
    <row r="1728" spans="2:2">
      <c r="B1728" s="22"/>
    </row>
    <row r="1729" spans="2:2">
      <c r="B1729" s="22"/>
    </row>
    <row r="1730" spans="2:2">
      <c r="B1730" s="22"/>
    </row>
    <row r="1731" spans="2:2">
      <c r="B1731" s="22"/>
    </row>
    <row r="1732" spans="2:2">
      <c r="B1732" s="22"/>
    </row>
    <row r="1733" spans="2:2">
      <c r="B1733" s="22"/>
    </row>
    <row r="1734" spans="2:2">
      <c r="B1734" s="22"/>
    </row>
    <row r="1735" spans="2:2">
      <c r="B1735" s="22"/>
    </row>
    <row r="1736" spans="2:2">
      <c r="B1736" s="22"/>
    </row>
    <row r="1737" spans="2:2">
      <c r="B1737" s="22"/>
    </row>
    <row r="1738" spans="2:2">
      <c r="B1738" s="22"/>
    </row>
    <row r="1739" spans="2:2">
      <c r="B1739" s="22"/>
    </row>
    <row r="1740" spans="2:2">
      <c r="B1740" s="22"/>
    </row>
    <row r="1741" spans="2:2">
      <c r="B1741" s="22"/>
    </row>
    <row r="1742" spans="2:2">
      <c r="B1742" s="22"/>
    </row>
    <row r="1743" spans="2:2">
      <c r="B1743" s="22"/>
    </row>
    <row r="1744" spans="2:2">
      <c r="B1744" s="22"/>
    </row>
    <row r="1745" spans="2:2">
      <c r="B1745" s="22"/>
    </row>
    <row r="1746" spans="2:2">
      <c r="B1746" s="22"/>
    </row>
    <row r="1747" spans="2:2">
      <c r="B1747" s="22"/>
    </row>
    <row r="1748" spans="2:2">
      <c r="B1748" s="22"/>
    </row>
    <row r="1749" spans="2:2">
      <c r="B1749" s="22"/>
    </row>
    <row r="1750" spans="2:2">
      <c r="B1750" s="22"/>
    </row>
    <row r="1751" spans="2:2">
      <c r="B1751" s="22"/>
    </row>
    <row r="1752" spans="2:2">
      <c r="B1752" s="22"/>
    </row>
    <row r="1753" spans="2:2">
      <c r="B1753" s="22"/>
    </row>
    <row r="1754" spans="2:2">
      <c r="B1754" s="22"/>
    </row>
    <row r="1755" spans="2:2">
      <c r="B1755" s="22"/>
    </row>
    <row r="1756" spans="2:2">
      <c r="B1756" s="22"/>
    </row>
    <row r="1757" spans="2:2">
      <c r="B1757" s="22"/>
    </row>
    <row r="1758" spans="2:2">
      <c r="B1758" s="22"/>
    </row>
    <row r="1759" spans="2:2">
      <c r="B1759" s="22"/>
    </row>
    <row r="1760" spans="2:2">
      <c r="B1760" s="22"/>
    </row>
    <row r="1761" spans="2:2">
      <c r="B1761" s="22"/>
    </row>
    <row r="1762" spans="2:2">
      <c r="B1762" s="22"/>
    </row>
    <row r="1763" spans="2:2">
      <c r="B1763" s="22"/>
    </row>
    <row r="1764" spans="2:2">
      <c r="B1764" s="22"/>
    </row>
    <row r="1765" spans="2:2">
      <c r="B1765" s="22"/>
    </row>
    <row r="1766" spans="2:2">
      <c r="B1766" s="22"/>
    </row>
    <row r="1767" spans="2:2">
      <c r="B1767" s="22"/>
    </row>
    <row r="1768" spans="2:2">
      <c r="B1768" s="22"/>
    </row>
    <row r="1769" spans="2:2">
      <c r="B1769" s="22"/>
    </row>
    <row r="1770" spans="2:2">
      <c r="B1770" s="22"/>
    </row>
    <row r="1771" spans="2:2">
      <c r="B1771" s="22"/>
    </row>
    <row r="1772" spans="2:2">
      <c r="B1772" s="22"/>
    </row>
    <row r="1773" spans="2:2">
      <c r="B1773" s="22"/>
    </row>
    <row r="1774" spans="2:2">
      <c r="B1774" s="22"/>
    </row>
    <row r="1775" spans="2:2">
      <c r="B1775" s="22"/>
    </row>
    <row r="1776" spans="2:2">
      <c r="B1776" s="22"/>
    </row>
    <row r="1777" spans="2:2">
      <c r="B1777" s="22"/>
    </row>
    <row r="1778" spans="2:2">
      <c r="B1778" s="22"/>
    </row>
    <row r="1779" spans="2:2">
      <c r="B1779" s="22"/>
    </row>
    <row r="1780" spans="2:2">
      <c r="B1780" s="22"/>
    </row>
    <row r="1781" spans="2:2">
      <c r="B1781" s="22"/>
    </row>
    <row r="1782" spans="2:2">
      <c r="B1782" s="22"/>
    </row>
    <row r="1783" spans="2:2">
      <c r="B1783" s="22"/>
    </row>
    <row r="1784" spans="2:2">
      <c r="B1784" s="22"/>
    </row>
    <row r="1785" spans="2:2">
      <c r="B1785" s="22"/>
    </row>
    <row r="1786" spans="2:2">
      <c r="B1786" s="22"/>
    </row>
    <row r="1787" spans="2:2">
      <c r="B1787" s="22"/>
    </row>
    <row r="1788" spans="2:2">
      <c r="B1788" s="22"/>
    </row>
    <row r="1789" spans="2:2">
      <c r="B1789" s="22"/>
    </row>
    <row r="1790" spans="2:2">
      <c r="B1790" s="22"/>
    </row>
    <row r="1791" spans="2:2">
      <c r="B1791" s="22"/>
    </row>
    <row r="1792" spans="2:2">
      <c r="B1792" s="22"/>
    </row>
    <row r="1793" spans="2:2">
      <c r="B1793" s="22"/>
    </row>
    <row r="1794" spans="2:2">
      <c r="B1794" s="22"/>
    </row>
    <row r="1795" spans="2:2">
      <c r="B1795" s="22"/>
    </row>
    <row r="1796" spans="2:2">
      <c r="B1796" s="22"/>
    </row>
    <row r="1797" spans="2:2">
      <c r="B1797" s="22"/>
    </row>
    <row r="1798" spans="2:2">
      <c r="B1798" s="22"/>
    </row>
    <row r="1799" spans="2:2">
      <c r="B1799" s="22"/>
    </row>
    <row r="1800" spans="2:2">
      <c r="B1800" s="22"/>
    </row>
    <row r="1801" spans="2:2">
      <c r="B1801" s="22"/>
    </row>
    <row r="1802" spans="2:2">
      <c r="B1802" s="22"/>
    </row>
    <row r="1803" spans="2:2">
      <c r="B1803" s="22"/>
    </row>
    <row r="1804" spans="2:2">
      <c r="B1804" s="22"/>
    </row>
    <row r="1805" spans="2:2">
      <c r="B1805" s="22"/>
    </row>
    <row r="1806" spans="2:2">
      <c r="B1806" s="22"/>
    </row>
    <row r="1807" spans="2:2">
      <c r="B1807" s="22"/>
    </row>
    <row r="1808" spans="2:2">
      <c r="B1808" s="22"/>
    </row>
    <row r="1809" spans="2:2">
      <c r="B1809" s="22"/>
    </row>
    <row r="1810" spans="2:2">
      <c r="B1810" s="22"/>
    </row>
    <row r="1811" spans="2:2">
      <c r="B1811" s="22"/>
    </row>
    <row r="1812" spans="2:2">
      <c r="B1812" s="22"/>
    </row>
    <row r="1813" spans="2:2">
      <c r="B1813" s="22"/>
    </row>
    <row r="1814" spans="2:2">
      <c r="B1814" s="22"/>
    </row>
    <row r="1815" spans="2:2">
      <c r="B1815" s="22"/>
    </row>
    <row r="1816" spans="2:2">
      <c r="B1816" s="22"/>
    </row>
    <row r="1817" spans="2:2">
      <c r="B1817" s="22"/>
    </row>
    <row r="1818" spans="2:2">
      <c r="B1818" s="22"/>
    </row>
    <row r="1819" spans="2:2">
      <c r="B1819" s="22"/>
    </row>
    <row r="1820" spans="2:2">
      <c r="B1820" s="22"/>
    </row>
    <row r="1821" spans="2:2">
      <c r="B1821" s="22"/>
    </row>
    <row r="1822" spans="2:2">
      <c r="B1822" s="22"/>
    </row>
    <row r="1823" spans="2:2">
      <c r="B1823" s="22"/>
    </row>
    <row r="1824" spans="2:2">
      <c r="B1824" s="22"/>
    </row>
    <row r="1825" spans="2:2">
      <c r="B1825" s="22"/>
    </row>
    <row r="1826" spans="2:2">
      <c r="B1826" s="22"/>
    </row>
    <row r="1827" spans="2:2">
      <c r="B1827" s="22"/>
    </row>
    <row r="1828" spans="2:2">
      <c r="B1828" s="22"/>
    </row>
    <row r="1829" spans="2:2">
      <c r="B1829" s="22"/>
    </row>
    <row r="1830" spans="2:2">
      <c r="B1830" s="22"/>
    </row>
    <row r="1831" spans="2:2">
      <c r="B1831" s="22"/>
    </row>
    <row r="1832" spans="2:2">
      <c r="B1832" s="22"/>
    </row>
    <row r="1833" spans="2:2">
      <c r="B1833" s="22"/>
    </row>
    <row r="1834" spans="2:2">
      <c r="B1834" s="22"/>
    </row>
    <row r="1835" spans="2:2">
      <c r="B1835" s="22"/>
    </row>
    <row r="1836" spans="2:2">
      <c r="B1836" s="22"/>
    </row>
    <row r="1837" spans="2:2">
      <c r="B1837" s="22"/>
    </row>
    <row r="1838" spans="2:2">
      <c r="B1838" s="22"/>
    </row>
    <row r="1839" spans="2:2">
      <c r="B1839" s="22"/>
    </row>
    <row r="1840" spans="2:2">
      <c r="B1840" s="22"/>
    </row>
    <row r="1841" spans="2:2">
      <c r="B1841" s="22"/>
    </row>
    <row r="1842" spans="2:2">
      <c r="B1842" s="22"/>
    </row>
    <row r="1843" spans="2:2">
      <c r="B1843" s="22"/>
    </row>
    <row r="1844" spans="2:2">
      <c r="B1844" s="22"/>
    </row>
    <row r="1845" spans="2:2">
      <c r="B1845" s="22"/>
    </row>
    <row r="1846" spans="2:2">
      <c r="B1846" s="22"/>
    </row>
    <row r="1847" spans="2:2">
      <c r="B1847" s="22"/>
    </row>
    <row r="1848" spans="2:2">
      <c r="B1848" s="22"/>
    </row>
    <row r="1849" spans="2:2">
      <c r="B1849" s="22"/>
    </row>
    <row r="1850" spans="2:2">
      <c r="B1850" s="22"/>
    </row>
    <row r="1851" spans="2:2">
      <c r="B1851" s="22"/>
    </row>
    <row r="1852" spans="2:2">
      <c r="B1852" s="22"/>
    </row>
    <row r="1853" spans="2:2">
      <c r="B1853" s="22"/>
    </row>
    <row r="1854" spans="2:2">
      <c r="B1854" s="22"/>
    </row>
    <row r="1855" spans="2:2">
      <c r="B1855" s="22"/>
    </row>
    <row r="1856" spans="2:2">
      <c r="B1856" s="22"/>
    </row>
    <row r="1857" spans="2:2">
      <c r="B1857" s="22"/>
    </row>
    <row r="1858" spans="2:2">
      <c r="B1858" s="22"/>
    </row>
    <row r="1859" spans="2:2">
      <c r="B1859" s="22"/>
    </row>
    <row r="1860" spans="2:2">
      <c r="B1860" s="22"/>
    </row>
    <row r="1861" spans="2:2">
      <c r="B1861" s="22"/>
    </row>
    <row r="1862" spans="2:2">
      <c r="B1862" s="22"/>
    </row>
    <row r="1863" spans="2:2">
      <c r="B1863" s="22"/>
    </row>
    <row r="1864" spans="2:2">
      <c r="B1864" s="22"/>
    </row>
    <row r="1865" spans="2:2">
      <c r="B1865" s="22"/>
    </row>
    <row r="1866" spans="2:2">
      <c r="B1866" s="22"/>
    </row>
    <row r="1867" spans="2:2">
      <c r="B1867" s="22"/>
    </row>
    <row r="1868" spans="2:2">
      <c r="B1868" s="22"/>
    </row>
    <row r="1869" spans="2:2">
      <c r="B1869" s="22"/>
    </row>
    <row r="1870" spans="2:2">
      <c r="B1870" s="22"/>
    </row>
    <row r="1871" spans="2:2">
      <c r="B1871" s="22"/>
    </row>
    <row r="1872" spans="2:2">
      <c r="B1872" s="22"/>
    </row>
    <row r="1873" spans="2:2">
      <c r="B1873" s="22"/>
    </row>
    <row r="1874" spans="2:2">
      <c r="B1874" s="22"/>
    </row>
    <row r="1875" spans="2:2">
      <c r="B1875" s="22"/>
    </row>
    <row r="1876" spans="2:2">
      <c r="B1876" s="22"/>
    </row>
    <row r="1877" spans="2:2">
      <c r="B1877" s="22"/>
    </row>
    <row r="1878" spans="2:2">
      <c r="B1878" s="22"/>
    </row>
    <row r="1879" spans="2:2">
      <c r="B1879" s="22"/>
    </row>
    <row r="1880" spans="2:2">
      <c r="B1880" s="22"/>
    </row>
    <row r="1881" spans="2:2">
      <c r="B1881" s="22"/>
    </row>
    <row r="1882" spans="2:2">
      <c r="B1882" s="22"/>
    </row>
    <row r="1883" spans="2:2">
      <c r="B1883" s="22"/>
    </row>
    <row r="1884" spans="2:2">
      <c r="B1884" s="22"/>
    </row>
    <row r="1885" spans="2:2">
      <c r="B1885" s="22"/>
    </row>
    <row r="1886" spans="2:2">
      <c r="B1886" s="22"/>
    </row>
    <row r="1887" spans="2:2">
      <c r="B1887" s="22"/>
    </row>
    <row r="1888" spans="2:2">
      <c r="B1888" s="22"/>
    </row>
    <row r="1889" spans="2:2">
      <c r="B1889" s="22"/>
    </row>
    <row r="1890" spans="2:2">
      <c r="B1890" s="22"/>
    </row>
    <row r="1891" spans="2:2">
      <c r="B1891" s="22"/>
    </row>
    <row r="1892" spans="2:2">
      <c r="B1892" s="22"/>
    </row>
    <row r="1893" spans="2:2">
      <c r="B1893" s="22"/>
    </row>
    <row r="1894" spans="2:2">
      <c r="B1894" s="22"/>
    </row>
    <row r="1895" spans="2:2">
      <c r="B1895" s="22"/>
    </row>
    <row r="1896" spans="2:2">
      <c r="B1896" s="22"/>
    </row>
    <row r="1897" spans="2:2">
      <c r="B1897" s="22"/>
    </row>
    <row r="1898" spans="2:2">
      <c r="B1898" s="22"/>
    </row>
    <row r="1899" spans="2:2">
      <c r="B1899" s="22"/>
    </row>
    <row r="1900" spans="2:2">
      <c r="B1900" s="22"/>
    </row>
    <row r="1901" spans="2:2">
      <c r="B1901" s="22"/>
    </row>
    <row r="1902" spans="2:2">
      <c r="B1902" s="22"/>
    </row>
    <row r="1903" spans="2:2">
      <c r="B1903" s="22"/>
    </row>
    <row r="1904" spans="2:2">
      <c r="B1904" s="22"/>
    </row>
    <row r="1905" spans="2:2">
      <c r="B1905" s="22"/>
    </row>
    <row r="1906" spans="2:2">
      <c r="B1906" s="22"/>
    </row>
    <row r="1907" spans="2:2">
      <c r="B1907" s="22"/>
    </row>
    <row r="1908" spans="2:2">
      <c r="B1908" s="22"/>
    </row>
    <row r="1909" spans="2:2">
      <c r="B1909" s="22"/>
    </row>
    <row r="1910" spans="2:2">
      <c r="B1910" s="22"/>
    </row>
    <row r="1911" spans="2:2">
      <c r="B1911" s="22"/>
    </row>
    <row r="1912" spans="2:2">
      <c r="B1912" s="22"/>
    </row>
    <row r="1913" spans="2:2">
      <c r="B1913" s="22"/>
    </row>
    <row r="1914" spans="2:2">
      <c r="B1914" s="22"/>
    </row>
    <row r="1915" spans="2:2">
      <c r="B1915" s="22"/>
    </row>
    <row r="1916" spans="2:2">
      <c r="B1916" s="22"/>
    </row>
    <row r="1917" spans="2:2">
      <c r="B1917" s="22"/>
    </row>
    <row r="1918" spans="2:2">
      <c r="B1918" s="22"/>
    </row>
    <row r="1919" spans="2:2">
      <c r="B1919" s="22"/>
    </row>
    <row r="1920" spans="2:2">
      <c r="B1920" s="22"/>
    </row>
    <row r="1921" spans="2:2">
      <c r="B1921" s="22"/>
    </row>
    <row r="1922" spans="2:2">
      <c r="B1922" s="22"/>
    </row>
    <row r="1923" spans="2:2">
      <c r="B1923" s="22"/>
    </row>
    <row r="1924" spans="2:2">
      <c r="B1924" s="22"/>
    </row>
    <row r="1925" spans="2:2">
      <c r="B1925" s="22"/>
    </row>
    <row r="1926" spans="2:2">
      <c r="B1926" s="22"/>
    </row>
    <row r="1927" spans="2:2">
      <c r="B1927" s="22"/>
    </row>
    <row r="1928" spans="2:2">
      <c r="B1928" s="22"/>
    </row>
    <row r="1929" spans="2:2">
      <c r="B1929" s="22"/>
    </row>
    <row r="1930" spans="2:2">
      <c r="B1930" s="22"/>
    </row>
    <row r="1931" spans="2:2">
      <c r="B1931" s="22"/>
    </row>
    <row r="1932" spans="2:2">
      <c r="B1932" s="22"/>
    </row>
    <row r="1933" spans="2:2">
      <c r="B1933" s="22"/>
    </row>
    <row r="1934" spans="2:2">
      <c r="B1934" s="22"/>
    </row>
    <row r="1935" spans="2:2">
      <c r="B1935" s="22"/>
    </row>
    <row r="1936" spans="2:2">
      <c r="B1936" s="22"/>
    </row>
    <row r="1937" spans="2:2">
      <c r="B1937" s="22"/>
    </row>
    <row r="1938" spans="2:2">
      <c r="B1938" s="22"/>
    </row>
    <row r="1939" spans="2:2">
      <c r="B1939" s="22"/>
    </row>
    <row r="1940" spans="2:2">
      <c r="B1940" s="22"/>
    </row>
    <row r="1941" spans="2:2">
      <c r="B1941" s="22"/>
    </row>
    <row r="1942" spans="2:2">
      <c r="B1942" s="22"/>
    </row>
    <row r="1943" spans="2:2">
      <c r="B1943" s="22"/>
    </row>
    <row r="1944" spans="2:2">
      <c r="B1944" s="22"/>
    </row>
    <row r="1945" spans="2:2">
      <c r="B1945" s="22"/>
    </row>
    <row r="1946" spans="2:2">
      <c r="B1946" s="22"/>
    </row>
    <row r="1947" spans="2:2">
      <c r="B1947" s="22"/>
    </row>
    <row r="1948" spans="2:2">
      <c r="B1948" s="22"/>
    </row>
    <row r="1949" spans="2:2">
      <c r="B1949" s="22"/>
    </row>
    <row r="1950" spans="2:2">
      <c r="B1950" s="22"/>
    </row>
    <row r="1951" spans="2:2">
      <c r="B1951" s="22"/>
    </row>
    <row r="1952" spans="2:2">
      <c r="B1952" s="22"/>
    </row>
    <row r="1953" spans="2:2">
      <c r="B1953" s="22"/>
    </row>
    <row r="1954" spans="2:2">
      <c r="B1954" s="22"/>
    </row>
    <row r="1955" spans="2:2">
      <c r="B1955" s="22"/>
    </row>
    <row r="1956" spans="2:2">
      <c r="B1956" s="22"/>
    </row>
    <row r="1957" spans="2:2">
      <c r="B1957" s="22"/>
    </row>
    <row r="1958" spans="2:2">
      <c r="B1958" s="22"/>
    </row>
    <row r="1959" spans="2:2">
      <c r="B1959" s="22"/>
    </row>
    <row r="1960" spans="2:2">
      <c r="B1960" s="22"/>
    </row>
    <row r="1961" spans="2:2">
      <c r="B1961" s="22"/>
    </row>
    <row r="1962" spans="2:2">
      <c r="B1962" s="22"/>
    </row>
    <row r="1963" spans="2:2">
      <c r="B1963" s="22"/>
    </row>
    <row r="1964" spans="2:2">
      <c r="B1964" s="22"/>
    </row>
    <row r="1965" spans="2:2">
      <c r="B1965" s="22"/>
    </row>
    <row r="1966" spans="2:2">
      <c r="B1966" s="22"/>
    </row>
    <row r="1967" spans="2:2">
      <c r="B1967" s="22"/>
    </row>
    <row r="1968" spans="2:2">
      <c r="B1968" s="22"/>
    </row>
    <row r="1969" spans="2:2">
      <c r="B1969" s="22"/>
    </row>
    <row r="1970" spans="2:2">
      <c r="B1970" s="22"/>
    </row>
    <row r="1971" spans="2:2">
      <c r="B1971" s="22"/>
    </row>
    <row r="1972" spans="2:2">
      <c r="B1972" s="22"/>
    </row>
    <row r="1973" spans="2:2">
      <c r="B1973" s="22"/>
    </row>
    <row r="1974" spans="2:2">
      <c r="B1974" s="22"/>
    </row>
    <row r="1975" spans="2:2">
      <c r="B1975" s="22"/>
    </row>
    <row r="1976" spans="2:2">
      <c r="B1976" s="22"/>
    </row>
    <row r="1977" spans="2:2">
      <c r="B1977" s="22"/>
    </row>
    <row r="1978" spans="2:2">
      <c r="B1978" s="22"/>
    </row>
    <row r="1979" spans="2:2">
      <c r="B1979" s="22"/>
    </row>
    <row r="1980" spans="2:2">
      <c r="B1980" s="22"/>
    </row>
    <row r="1981" spans="2:2">
      <c r="B1981" s="22"/>
    </row>
    <row r="1982" spans="2:2">
      <c r="B1982" s="22"/>
    </row>
    <row r="1983" spans="2:2">
      <c r="B1983" s="22"/>
    </row>
    <row r="1984" spans="2:2">
      <c r="B1984" s="22"/>
    </row>
    <row r="1985" spans="2:2">
      <c r="B1985" s="22"/>
    </row>
    <row r="1986" spans="2:2">
      <c r="B1986" s="22"/>
    </row>
    <row r="1987" spans="2:2">
      <c r="B1987" s="22"/>
    </row>
    <row r="1988" spans="2:2">
      <c r="B1988" s="22"/>
    </row>
    <row r="1989" spans="2:2">
      <c r="B1989" s="22"/>
    </row>
    <row r="1990" spans="2:2">
      <c r="B1990" s="22"/>
    </row>
    <row r="1991" spans="2:2">
      <c r="B1991" s="22"/>
    </row>
    <row r="1992" spans="2:2">
      <c r="B1992" s="22"/>
    </row>
    <row r="1993" spans="2:2">
      <c r="B1993" s="22"/>
    </row>
    <row r="1994" spans="2:2">
      <c r="B1994" s="22"/>
    </row>
    <row r="1995" spans="2:2">
      <c r="B1995" s="22"/>
    </row>
    <row r="1996" spans="2:2">
      <c r="B1996" s="22"/>
    </row>
    <row r="1997" spans="2:2">
      <c r="B1997" s="22"/>
    </row>
    <row r="1998" spans="2:2">
      <c r="B1998" s="22"/>
    </row>
    <row r="1999" spans="2:2">
      <c r="B1999" s="22"/>
    </row>
    <row r="2000" spans="2:2">
      <c r="B2000" s="22"/>
    </row>
    <row r="2001" spans="2:2">
      <c r="B2001" s="22"/>
    </row>
    <row r="2002" spans="2:2">
      <c r="B2002" s="22"/>
    </row>
    <row r="2003" spans="2:2">
      <c r="B2003" s="22"/>
    </row>
    <row r="2004" spans="2:2">
      <c r="B2004" s="22"/>
    </row>
    <row r="2005" spans="2:2">
      <c r="B2005" s="22"/>
    </row>
    <row r="2006" spans="2:2">
      <c r="B2006" s="22"/>
    </row>
    <row r="2007" spans="2:2">
      <c r="B2007" s="22"/>
    </row>
    <row r="2008" spans="2:2">
      <c r="B2008" s="22"/>
    </row>
    <row r="2009" spans="2:2">
      <c r="B2009" s="22"/>
    </row>
    <row r="2010" spans="2:2">
      <c r="B2010" s="22"/>
    </row>
    <row r="2011" spans="2:2">
      <c r="B2011" s="22"/>
    </row>
    <row r="2012" spans="2:2">
      <c r="B2012" s="22"/>
    </row>
    <row r="2013" spans="2:2">
      <c r="B2013" s="22"/>
    </row>
    <row r="2014" spans="2:2">
      <c r="B2014" s="22"/>
    </row>
    <row r="2015" spans="2:2">
      <c r="B2015" s="22"/>
    </row>
    <row r="2016" spans="2:2">
      <c r="B2016" s="22"/>
    </row>
    <row r="2017" spans="2:2">
      <c r="B2017" s="22"/>
    </row>
    <row r="2018" spans="2:2">
      <c r="B2018" s="22"/>
    </row>
    <row r="2019" spans="2:2">
      <c r="B2019" s="22"/>
    </row>
    <row r="2020" spans="2:2">
      <c r="B2020" s="22"/>
    </row>
    <row r="2021" spans="2:2">
      <c r="B2021" s="22"/>
    </row>
    <row r="2022" spans="2:2">
      <c r="B2022" s="22"/>
    </row>
    <row r="2023" spans="2:2">
      <c r="B2023" s="22"/>
    </row>
    <row r="2024" spans="2:2">
      <c r="B2024" s="22"/>
    </row>
    <row r="2025" spans="2:2">
      <c r="B2025" s="22"/>
    </row>
    <row r="2026" spans="2:2">
      <c r="B2026" s="22"/>
    </row>
    <row r="2027" spans="2:2">
      <c r="B2027" s="22"/>
    </row>
    <row r="2028" spans="2:2">
      <c r="B2028" s="22"/>
    </row>
    <row r="2029" spans="2:2">
      <c r="B2029" s="22"/>
    </row>
    <row r="2030" spans="2:2">
      <c r="B2030" s="22"/>
    </row>
    <row r="2031" spans="2:2">
      <c r="B2031" s="22"/>
    </row>
    <row r="2032" spans="2:2">
      <c r="B2032" s="22"/>
    </row>
    <row r="2033" spans="2:2">
      <c r="B2033" s="22"/>
    </row>
    <row r="2034" spans="2:2">
      <c r="B2034" s="22"/>
    </row>
    <row r="2035" spans="2:2">
      <c r="B2035" s="22"/>
    </row>
    <row r="2036" spans="2:2">
      <c r="B2036" s="22"/>
    </row>
    <row r="2037" spans="2:2">
      <c r="B2037" s="22"/>
    </row>
    <row r="2038" spans="2:2">
      <c r="B2038" s="22"/>
    </row>
    <row r="2039" spans="2:2">
      <c r="B2039" s="22"/>
    </row>
    <row r="2040" spans="2:2">
      <c r="B2040" s="22"/>
    </row>
    <row r="2041" spans="2:2">
      <c r="B2041" s="22"/>
    </row>
    <row r="2042" spans="2:2">
      <c r="B2042" s="22"/>
    </row>
    <row r="2043" spans="2:2">
      <c r="B2043" s="22"/>
    </row>
    <row r="2044" spans="2:2">
      <c r="B2044" s="22"/>
    </row>
    <row r="2045" spans="2:2">
      <c r="B2045" s="22"/>
    </row>
    <row r="2046" spans="2:2">
      <c r="B2046" s="22"/>
    </row>
    <row r="2047" spans="2:2">
      <c r="B2047" s="22"/>
    </row>
    <row r="2048" spans="2:2">
      <c r="B2048" s="22"/>
    </row>
    <row r="2049" spans="2:2">
      <c r="B2049" s="22"/>
    </row>
    <row r="2050" spans="2:2">
      <c r="B2050" s="22"/>
    </row>
    <row r="2051" spans="2:2">
      <c r="B2051" s="22"/>
    </row>
    <row r="2052" spans="2:2">
      <c r="B2052" s="22"/>
    </row>
    <row r="2053" spans="2:2">
      <c r="B2053" s="22"/>
    </row>
    <row r="2054" spans="2:2">
      <c r="B2054" s="22"/>
    </row>
    <row r="2055" spans="2:2">
      <c r="B2055" s="22"/>
    </row>
    <row r="2056" spans="2:2">
      <c r="B2056" s="22"/>
    </row>
    <row r="2057" spans="2:2">
      <c r="B2057" s="22"/>
    </row>
    <row r="2058" spans="2:2">
      <c r="B2058" s="22"/>
    </row>
    <row r="2059" spans="2:2">
      <c r="B2059" s="22"/>
    </row>
    <row r="2060" spans="2:2">
      <c r="B2060" s="22"/>
    </row>
    <row r="2061" spans="2:2">
      <c r="B2061" s="22"/>
    </row>
    <row r="2062" spans="2:2">
      <c r="B2062" s="22"/>
    </row>
    <row r="2063" spans="2:2">
      <c r="B2063" s="22"/>
    </row>
    <row r="2064" spans="2:2">
      <c r="B2064" s="22"/>
    </row>
    <row r="2065" spans="2:2">
      <c r="B2065" s="22"/>
    </row>
    <row r="2066" spans="2:2">
      <c r="B2066" s="22"/>
    </row>
    <row r="2067" spans="2:2">
      <c r="B2067" s="22"/>
    </row>
    <row r="2068" spans="2:2">
      <c r="B2068" s="22"/>
    </row>
    <row r="2069" spans="2:2">
      <c r="B2069" s="22"/>
    </row>
    <row r="2070" spans="2:2">
      <c r="B2070" s="22"/>
    </row>
    <row r="2071" spans="2:2">
      <c r="B2071" s="22"/>
    </row>
    <row r="2072" spans="2:2">
      <c r="B2072" s="22"/>
    </row>
    <row r="2073" spans="2:2">
      <c r="B2073" s="22"/>
    </row>
    <row r="2074" spans="2:2">
      <c r="B2074" s="22"/>
    </row>
    <row r="2075" spans="2:2">
      <c r="B2075" s="22"/>
    </row>
    <row r="2076" spans="2:2">
      <c r="B2076" s="22"/>
    </row>
    <row r="2077" spans="2:2">
      <c r="B2077" s="22"/>
    </row>
    <row r="2078" spans="2:2">
      <c r="B2078" s="22"/>
    </row>
    <row r="2079" spans="2:2">
      <c r="B2079" s="22"/>
    </row>
    <row r="2080" spans="2:2">
      <c r="B2080" s="22"/>
    </row>
    <row r="2081" spans="2:2">
      <c r="B2081" s="22"/>
    </row>
    <row r="2082" spans="2:2">
      <c r="B2082" s="22"/>
    </row>
    <row r="2083" spans="2:2">
      <c r="B2083" s="22"/>
    </row>
    <row r="2084" spans="2:2">
      <c r="B2084" s="22"/>
    </row>
    <row r="2085" spans="2:2">
      <c r="B2085" s="22"/>
    </row>
    <row r="2086" spans="2:2">
      <c r="B2086" s="22"/>
    </row>
    <row r="2087" spans="2:2">
      <c r="B2087" s="22"/>
    </row>
    <row r="2088" spans="2:2">
      <c r="B2088" s="22"/>
    </row>
    <row r="2089" spans="2:2">
      <c r="B2089" s="22"/>
    </row>
    <row r="2090" spans="2:2">
      <c r="B2090" s="22"/>
    </row>
    <row r="2091" spans="2:2">
      <c r="B2091" s="22"/>
    </row>
    <row r="2092" spans="2:2">
      <c r="B2092" s="22"/>
    </row>
    <row r="2093" spans="2:2">
      <c r="B2093" s="22"/>
    </row>
    <row r="2094" spans="2:2">
      <c r="B2094" s="22"/>
    </row>
    <row r="2095" spans="2:2">
      <c r="B2095" s="22"/>
    </row>
    <row r="2096" spans="2:2">
      <c r="B2096" s="22"/>
    </row>
    <row r="2097" spans="2:2">
      <c r="B2097" s="22"/>
    </row>
    <row r="2098" spans="2:2">
      <c r="B2098" s="22"/>
    </row>
    <row r="2099" spans="2:2">
      <c r="B2099" s="22"/>
    </row>
    <row r="2100" spans="2:2">
      <c r="B2100" s="22"/>
    </row>
    <row r="2101" spans="2:2">
      <c r="B2101" s="22"/>
    </row>
    <row r="2102" spans="2:2">
      <c r="B2102" s="22"/>
    </row>
    <row r="2103" spans="2:2">
      <c r="B2103" s="22"/>
    </row>
    <row r="2104" spans="2:2">
      <c r="B2104" s="22"/>
    </row>
    <row r="2105" spans="2:2">
      <c r="B2105" s="22"/>
    </row>
    <row r="2106" spans="2:2">
      <c r="B2106" s="22"/>
    </row>
    <row r="2107" spans="2:2">
      <c r="B2107" s="22"/>
    </row>
    <row r="2108" spans="2:2">
      <c r="B2108" s="22"/>
    </row>
    <row r="2109" spans="2:2">
      <c r="B2109" s="22"/>
    </row>
    <row r="2110" spans="2:2">
      <c r="B2110" s="22"/>
    </row>
    <row r="2111" spans="2:2">
      <c r="B2111" s="22"/>
    </row>
    <row r="2112" spans="2:2">
      <c r="B2112" s="22"/>
    </row>
    <row r="2113" spans="2:4">
      <c r="B2113" s="22"/>
    </row>
    <row r="2114" spans="2:4">
      <c r="B2114" s="22"/>
    </row>
    <row r="2115" spans="2:4">
      <c r="B2115" s="22"/>
      <c r="D2115" s="801"/>
    </row>
    <row r="2116" spans="2:4">
      <c r="B2116" s="22"/>
      <c r="D2116" s="801"/>
    </row>
    <row r="2117" spans="2:4">
      <c r="B2117" s="22"/>
      <c r="D2117" s="801"/>
    </row>
    <row r="2118" spans="2:4">
      <c r="B2118" s="22"/>
      <c r="D2118" s="801"/>
    </row>
    <row r="2119" spans="2:4">
      <c r="B2119" s="22"/>
      <c r="C2119" s="22"/>
      <c r="D2119" s="801"/>
    </row>
    <row r="2120" spans="2:4">
      <c r="B2120" s="22"/>
      <c r="C2120" s="22"/>
      <c r="D2120" s="801"/>
    </row>
    <row r="2121" spans="2:4">
      <c r="B2121" s="22"/>
      <c r="C2121" s="22"/>
      <c r="D2121" s="801"/>
    </row>
    <row r="2122" spans="2:4">
      <c r="B2122" s="22"/>
      <c r="C2122" s="22"/>
      <c r="D2122" s="801"/>
    </row>
    <row r="2123" spans="2:4">
      <c r="B2123" s="22"/>
      <c r="C2123" s="22"/>
      <c r="D2123" s="801"/>
    </row>
    <row r="2124" spans="2:4">
      <c r="B2124" s="22"/>
      <c r="C2124" s="22"/>
      <c r="D2124" s="801"/>
    </row>
    <row r="2125" spans="2:4">
      <c r="B2125" s="22"/>
      <c r="C2125" s="22"/>
      <c r="D2125" s="801"/>
    </row>
    <row r="2126" spans="2:4">
      <c r="B2126" s="22"/>
      <c r="C2126" s="22"/>
      <c r="D2126" s="801"/>
    </row>
    <row r="2127" spans="2:4">
      <c r="B2127" s="22"/>
      <c r="D2127" s="801"/>
    </row>
    <row r="2128" spans="2:4">
      <c r="B2128" s="22"/>
      <c r="D2128" s="801"/>
    </row>
    <row r="2129" spans="2:4">
      <c r="B2129" s="22"/>
      <c r="D2129" s="801"/>
    </row>
    <row r="2130" spans="2:4">
      <c r="B2130" s="22"/>
      <c r="D2130" s="801"/>
    </row>
    <row r="2131" spans="2:4">
      <c r="B2131" s="22"/>
      <c r="D2131" s="801"/>
    </row>
    <row r="2132" spans="2:4">
      <c r="B2132" s="22"/>
      <c r="D2132" s="801"/>
    </row>
    <row r="2133" spans="2:4">
      <c r="B2133" s="22"/>
      <c r="D2133" s="801"/>
    </row>
    <row r="2134" spans="2:4">
      <c r="B2134" s="22"/>
      <c r="D2134" s="801"/>
    </row>
    <row r="2135" spans="2:4">
      <c r="B2135" s="22"/>
      <c r="D2135" s="801"/>
    </row>
    <row r="2136" spans="2:4">
      <c r="B2136" s="22"/>
      <c r="D2136" s="801"/>
    </row>
    <row r="2137" spans="2:4">
      <c r="B2137" s="22"/>
      <c r="D2137" s="801"/>
    </row>
    <row r="2138" spans="2:4">
      <c r="B2138" s="22"/>
      <c r="D2138" s="801"/>
    </row>
    <row r="2139" spans="2:4">
      <c r="B2139" s="22"/>
      <c r="D2139" s="801"/>
    </row>
    <row r="2140" spans="2:4">
      <c r="B2140" s="22"/>
      <c r="D2140" s="801"/>
    </row>
    <row r="2141" spans="2:4">
      <c r="B2141" s="22"/>
      <c r="D2141" s="801"/>
    </row>
    <row r="2142" spans="2:4">
      <c r="B2142" s="22"/>
      <c r="D2142" s="801"/>
    </row>
    <row r="2143" spans="2:4">
      <c r="B2143" s="22"/>
      <c r="D2143" s="801"/>
    </row>
    <row r="2144" spans="2:4">
      <c r="B2144" s="22"/>
      <c r="D2144" s="801"/>
    </row>
    <row r="2145" spans="2:4">
      <c r="B2145" s="22"/>
      <c r="D2145" s="801"/>
    </row>
    <row r="2146" spans="2:4">
      <c r="B2146" s="22"/>
      <c r="D2146" s="801"/>
    </row>
    <row r="2147" spans="2:4">
      <c r="B2147" s="22"/>
      <c r="D2147" s="801"/>
    </row>
    <row r="2148" spans="2:4">
      <c r="B2148" s="22"/>
      <c r="D2148" s="801"/>
    </row>
    <row r="2149" spans="2:4">
      <c r="B2149" s="22"/>
      <c r="D2149" s="801"/>
    </row>
    <row r="2150" spans="2:4">
      <c r="B2150" s="22"/>
      <c r="D2150" s="801"/>
    </row>
    <row r="2151" spans="2:4">
      <c r="B2151" s="22"/>
      <c r="D2151" s="801"/>
    </row>
    <row r="2152" spans="2:4">
      <c r="B2152" s="22"/>
      <c r="D2152" s="801"/>
    </row>
    <row r="2153" spans="2:4">
      <c r="B2153" s="22"/>
      <c r="D2153" s="801"/>
    </row>
    <row r="2154" spans="2:4">
      <c r="B2154" s="22"/>
      <c r="D2154" s="801"/>
    </row>
    <row r="2155" spans="2:4">
      <c r="B2155" s="22"/>
      <c r="D2155" s="801"/>
    </row>
    <row r="2156" spans="2:4">
      <c r="B2156" s="22"/>
      <c r="D2156" s="801"/>
    </row>
    <row r="2157" spans="2:4">
      <c r="B2157" s="22"/>
      <c r="D2157" s="801"/>
    </row>
    <row r="2158" spans="2:4">
      <c r="B2158" s="22"/>
      <c r="D2158" s="801"/>
    </row>
    <row r="2159" spans="2:4">
      <c r="B2159" s="22"/>
      <c r="D2159" s="801"/>
    </row>
    <row r="2160" spans="2:4">
      <c r="B2160" s="22"/>
      <c r="D2160" s="801"/>
    </row>
    <row r="2161" spans="2:4">
      <c r="B2161" s="22"/>
      <c r="D2161" s="801"/>
    </row>
    <row r="2162" spans="2:4">
      <c r="B2162" s="22"/>
      <c r="D2162" s="801"/>
    </row>
    <row r="2163" spans="2:4">
      <c r="B2163" s="22"/>
      <c r="D2163" s="801"/>
    </row>
    <row r="2164" spans="2:4">
      <c r="B2164" s="22"/>
      <c r="D2164" s="801"/>
    </row>
    <row r="2165" spans="2:4">
      <c r="B2165" s="22"/>
      <c r="D2165" s="801"/>
    </row>
    <row r="2166" spans="2:4">
      <c r="B2166" s="22"/>
      <c r="D2166" s="801"/>
    </row>
    <row r="2167" spans="2:4">
      <c r="B2167" s="22"/>
      <c r="D2167" s="801"/>
    </row>
    <row r="2168" spans="2:4">
      <c r="B2168" s="22"/>
      <c r="D2168" s="801"/>
    </row>
    <row r="2169" spans="2:4">
      <c r="B2169" s="22"/>
      <c r="D2169" s="801"/>
    </row>
    <row r="2170" spans="2:4">
      <c r="B2170" s="22"/>
      <c r="D2170" s="801"/>
    </row>
    <row r="2171" spans="2:4">
      <c r="B2171" s="22"/>
      <c r="D2171" s="801"/>
    </row>
    <row r="2172" spans="2:4">
      <c r="B2172" s="22"/>
      <c r="D2172" s="801"/>
    </row>
    <row r="2173" spans="2:4">
      <c r="B2173" s="22"/>
      <c r="D2173" s="801"/>
    </row>
    <row r="2174" spans="2:4">
      <c r="B2174" s="22"/>
      <c r="D2174" s="801"/>
    </row>
    <row r="2175" spans="2:4">
      <c r="B2175" s="22"/>
      <c r="D2175" s="801"/>
    </row>
    <row r="2176" spans="2:4">
      <c r="B2176" s="22"/>
      <c r="D2176" s="801"/>
    </row>
    <row r="2177" spans="2:4">
      <c r="B2177" s="22"/>
      <c r="D2177" s="801"/>
    </row>
    <row r="2178" spans="2:4">
      <c r="B2178" s="22"/>
      <c r="D2178" s="801"/>
    </row>
    <row r="2179" spans="2:4">
      <c r="B2179" s="22"/>
      <c r="D2179" s="801"/>
    </row>
    <row r="2180" spans="2:4">
      <c r="B2180" s="22"/>
      <c r="D2180" s="801"/>
    </row>
    <row r="2181" spans="2:4">
      <c r="B2181" s="22"/>
      <c r="D2181" s="801"/>
    </row>
    <row r="2182" spans="2:4">
      <c r="B2182" s="22"/>
      <c r="D2182" s="801"/>
    </row>
    <row r="2183" spans="2:4">
      <c r="B2183" s="22"/>
      <c r="D2183" s="801"/>
    </row>
    <row r="2184" spans="2:4">
      <c r="B2184" s="22"/>
      <c r="D2184" s="801"/>
    </row>
    <row r="2185" spans="2:4">
      <c r="B2185" s="22"/>
      <c r="D2185" s="801"/>
    </row>
    <row r="2186" spans="2:4">
      <c r="B2186" s="22"/>
      <c r="D2186" s="801"/>
    </row>
    <row r="2187" spans="2:4">
      <c r="B2187" s="22"/>
      <c r="D2187" s="801"/>
    </row>
    <row r="2188" spans="2:4">
      <c r="B2188" s="22"/>
      <c r="D2188" s="801"/>
    </row>
    <row r="2189" spans="2:4">
      <c r="B2189" s="22"/>
      <c r="D2189" s="801"/>
    </row>
    <row r="2190" spans="2:4">
      <c r="B2190" s="22"/>
      <c r="D2190" s="801"/>
    </row>
    <row r="2191" spans="2:4">
      <c r="B2191" s="22"/>
      <c r="D2191" s="801"/>
    </row>
    <row r="2192" spans="2:4">
      <c r="B2192" s="22"/>
      <c r="D2192" s="801"/>
    </row>
    <row r="2193" spans="2:4">
      <c r="B2193" s="22"/>
      <c r="D2193" s="801"/>
    </row>
    <row r="2194" spans="2:4">
      <c r="B2194" s="22"/>
      <c r="D2194" s="801"/>
    </row>
    <row r="2195" spans="2:4">
      <c r="B2195" s="22"/>
      <c r="D2195" s="801"/>
    </row>
    <row r="2196" spans="2:4">
      <c r="B2196" s="22"/>
      <c r="D2196" s="801"/>
    </row>
    <row r="2197" spans="2:4">
      <c r="B2197" s="22"/>
      <c r="D2197" s="801"/>
    </row>
    <row r="2198" spans="2:4">
      <c r="B2198" s="22"/>
      <c r="D2198" s="801"/>
    </row>
    <row r="2199" spans="2:4">
      <c r="B2199" s="22"/>
      <c r="D2199" s="801"/>
    </row>
    <row r="2200" spans="2:4">
      <c r="B2200" s="22"/>
      <c r="D2200" s="801"/>
    </row>
    <row r="2201" spans="2:4">
      <c r="B2201" s="22"/>
      <c r="D2201" s="801"/>
    </row>
    <row r="2202" spans="2:4">
      <c r="B2202" s="22"/>
      <c r="D2202" s="801"/>
    </row>
    <row r="2203" spans="2:4">
      <c r="B2203" s="22"/>
      <c r="D2203" s="801"/>
    </row>
    <row r="2204" spans="2:4">
      <c r="B2204" s="22"/>
      <c r="D2204" s="801"/>
    </row>
    <row r="2205" spans="2:4">
      <c r="B2205" s="22"/>
      <c r="D2205" s="801"/>
    </row>
    <row r="2206" spans="2:4">
      <c r="B2206" s="22"/>
      <c r="D2206" s="801"/>
    </row>
    <row r="2207" spans="2:4">
      <c r="B2207" s="22"/>
      <c r="D2207" s="801"/>
    </row>
    <row r="2208" spans="2:4">
      <c r="B2208" s="22"/>
      <c r="D2208" s="801"/>
    </row>
    <row r="2209" spans="2:4">
      <c r="B2209" s="22"/>
      <c r="D2209" s="801"/>
    </row>
    <row r="2210" spans="2:4">
      <c r="B2210" s="22"/>
      <c r="D2210" s="801"/>
    </row>
    <row r="2211" spans="2:4">
      <c r="B2211" s="22"/>
      <c r="D2211" s="801"/>
    </row>
    <row r="2212" spans="2:4">
      <c r="B2212" s="22"/>
      <c r="D2212" s="801"/>
    </row>
    <row r="2213" spans="2:4">
      <c r="B2213" s="22"/>
      <c r="D2213" s="801"/>
    </row>
    <row r="2214" spans="2:4">
      <c r="B2214" s="22"/>
      <c r="D2214" s="801"/>
    </row>
    <row r="2215" spans="2:4">
      <c r="B2215" s="22"/>
      <c r="D2215" s="801"/>
    </row>
    <row r="2216" spans="2:4">
      <c r="B2216" s="22"/>
      <c r="D2216" s="801"/>
    </row>
    <row r="2217" spans="2:4">
      <c r="B2217" s="22"/>
      <c r="D2217" s="801"/>
    </row>
    <row r="2218" spans="2:4">
      <c r="B2218" s="22"/>
      <c r="D2218" s="801"/>
    </row>
    <row r="2219" spans="2:4">
      <c r="B2219" s="22"/>
      <c r="D2219" s="801"/>
    </row>
    <row r="2220" spans="2:4">
      <c r="B2220" s="22"/>
      <c r="D2220" s="801"/>
    </row>
    <row r="2221" spans="2:4">
      <c r="B2221" s="22"/>
      <c r="D2221" s="801"/>
    </row>
    <row r="2222" spans="2:4">
      <c r="B2222" s="22"/>
      <c r="D2222" s="801"/>
    </row>
    <row r="2223" spans="2:4">
      <c r="B2223" s="22"/>
      <c r="D2223" s="801"/>
    </row>
    <row r="2224" spans="2:4">
      <c r="B2224" s="22"/>
      <c r="D2224" s="801"/>
    </row>
    <row r="2225" spans="2:4">
      <c r="B2225" s="22"/>
      <c r="D2225" s="801"/>
    </row>
    <row r="2226" spans="2:4">
      <c r="B2226" s="22"/>
      <c r="D2226" s="801"/>
    </row>
    <row r="2227" spans="2:4">
      <c r="B2227" s="22"/>
      <c r="D2227" s="801"/>
    </row>
    <row r="2228" spans="2:4">
      <c r="B2228" s="22"/>
      <c r="D2228" s="801"/>
    </row>
    <row r="2229" spans="2:4">
      <c r="B2229" s="22"/>
      <c r="D2229" s="801"/>
    </row>
    <row r="2230" spans="2:4">
      <c r="B2230" s="22"/>
      <c r="D2230" s="801"/>
    </row>
    <row r="2231" spans="2:4">
      <c r="B2231" s="22"/>
      <c r="D2231" s="801"/>
    </row>
    <row r="2232" spans="2:4">
      <c r="B2232" s="22"/>
      <c r="D2232" s="801"/>
    </row>
    <row r="2233" spans="2:4">
      <c r="B2233" s="22"/>
      <c r="D2233" s="801"/>
    </row>
    <row r="2234" spans="2:4">
      <c r="B2234" s="22"/>
      <c r="D2234" s="801"/>
    </row>
    <row r="2235" spans="2:4">
      <c r="B2235" s="22"/>
      <c r="D2235" s="801"/>
    </row>
    <row r="2236" spans="2:4">
      <c r="B2236" s="22"/>
      <c r="D2236" s="801"/>
    </row>
    <row r="2237" spans="2:4">
      <c r="B2237" s="22"/>
      <c r="D2237" s="801"/>
    </row>
    <row r="2238" spans="2:4">
      <c r="B2238" s="22"/>
      <c r="D2238" s="801"/>
    </row>
    <row r="2239" spans="2:4">
      <c r="B2239" s="22"/>
      <c r="D2239" s="801"/>
    </row>
    <row r="2240" spans="2:4">
      <c r="B2240" s="22"/>
      <c r="D2240" s="801"/>
    </row>
    <row r="2241" spans="2:4">
      <c r="B2241" s="22"/>
      <c r="D2241" s="801"/>
    </row>
    <row r="2242" spans="2:4">
      <c r="B2242" s="22"/>
      <c r="D2242" s="801"/>
    </row>
    <row r="2243" spans="2:4">
      <c r="B2243" s="22"/>
      <c r="D2243" s="801"/>
    </row>
    <row r="2244" spans="2:4">
      <c r="B2244" s="22"/>
      <c r="D2244" s="801"/>
    </row>
    <row r="2245" spans="2:4">
      <c r="B2245" s="22"/>
      <c r="D2245" s="801"/>
    </row>
    <row r="2246" spans="2:4">
      <c r="B2246" s="22"/>
      <c r="D2246" s="801"/>
    </row>
    <row r="2247" spans="2:4">
      <c r="B2247" s="22"/>
      <c r="D2247" s="801"/>
    </row>
    <row r="2248" spans="2:4">
      <c r="B2248" s="22"/>
      <c r="D2248" s="801"/>
    </row>
    <row r="2249" spans="2:4">
      <c r="B2249" s="22"/>
      <c r="D2249" s="801"/>
    </row>
    <row r="2250" spans="2:4">
      <c r="B2250" s="22"/>
      <c r="D2250" s="801"/>
    </row>
    <row r="2251" spans="2:4">
      <c r="B2251" s="22"/>
      <c r="D2251" s="801"/>
    </row>
    <row r="2252" spans="2:4">
      <c r="B2252" s="22"/>
      <c r="D2252" s="801"/>
    </row>
    <row r="2253" spans="2:4">
      <c r="B2253" s="22"/>
      <c r="D2253" s="801"/>
    </row>
    <row r="2254" spans="2:4">
      <c r="B2254" s="22"/>
      <c r="D2254" s="801"/>
    </row>
    <row r="2255" spans="2:4">
      <c r="B2255" s="22"/>
      <c r="D2255" s="801"/>
    </row>
    <row r="2256" spans="2:4">
      <c r="B2256" s="22"/>
      <c r="D2256" s="801"/>
    </row>
    <row r="2257" spans="2:4">
      <c r="B2257" s="22"/>
      <c r="D2257" s="801"/>
    </row>
    <row r="2258" spans="2:4">
      <c r="B2258" s="22"/>
      <c r="D2258" s="801"/>
    </row>
    <row r="2259" spans="2:4">
      <c r="B2259" s="22"/>
      <c r="D2259" s="801"/>
    </row>
    <row r="2260" spans="2:4">
      <c r="B2260" s="22"/>
      <c r="D2260" s="801"/>
    </row>
    <row r="2261" spans="2:4">
      <c r="B2261" s="22"/>
      <c r="D2261" s="801"/>
    </row>
    <row r="2262" spans="2:4">
      <c r="B2262" s="22"/>
      <c r="D2262" s="801"/>
    </row>
    <row r="2263" spans="2:4">
      <c r="B2263" s="22"/>
      <c r="D2263" s="801"/>
    </row>
    <row r="2264" spans="2:4">
      <c r="B2264" s="22"/>
      <c r="D2264" s="801"/>
    </row>
    <row r="2265" spans="2:4">
      <c r="B2265" s="22"/>
      <c r="D2265" s="801"/>
    </row>
    <row r="2266" spans="2:4">
      <c r="B2266" s="22"/>
      <c r="D2266" s="801"/>
    </row>
    <row r="2267" spans="2:4">
      <c r="B2267" s="22"/>
      <c r="D2267" s="801"/>
    </row>
    <row r="2268" spans="2:4">
      <c r="B2268" s="22"/>
      <c r="D2268" s="801"/>
    </row>
    <row r="2269" spans="2:4">
      <c r="B2269" s="22"/>
      <c r="D2269" s="801"/>
    </row>
    <row r="2270" spans="2:4">
      <c r="B2270" s="22"/>
      <c r="D2270" s="801"/>
    </row>
    <row r="2271" spans="2:4">
      <c r="B2271" s="22"/>
      <c r="D2271" s="801"/>
    </row>
    <row r="2272" spans="2:4">
      <c r="B2272" s="22"/>
      <c r="D2272" s="801"/>
    </row>
    <row r="2273" spans="2:4">
      <c r="B2273" s="22"/>
      <c r="D2273" s="801"/>
    </row>
    <row r="2274" spans="2:4">
      <c r="B2274" s="22"/>
      <c r="D2274" s="801"/>
    </row>
    <row r="2275" spans="2:4">
      <c r="B2275" s="22"/>
      <c r="D2275" s="801"/>
    </row>
    <row r="2276" spans="2:4">
      <c r="B2276" s="22"/>
      <c r="D2276" s="801"/>
    </row>
    <row r="2277" spans="2:4">
      <c r="B2277" s="22"/>
      <c r="D2277" s="801"/>
    </row>
    <row r="2278" spans="2:4">
      <c r="B2278" s="22"/>
      <c r="D2278" s="801"/>
    </row>
    <row r="2279" spans="2:4">
      <c r="B2279" s="22"/>
      <c r="D2279" s="801"/>
    </row>
    <row r="2280" spans="2:4">
      <c r="B2280" s="22"/>
      <c r="D2280" s="801"/>
    </row>
    <row r="2281" spans="2:4">
      <c r="B2281" s="22"/>
      <c r="D2281" s="801"/>
    </row>
    <row r="2282" spans="2:4">
      <c r="B2282" s="22"/>
      <c r="D2282" s="801"/>
    </row>
    <row r="2283" spans="2:4">
      <c r="B2283" s="22"/>
      <c r="D2283" s="801"/>
    </row>
    <row r="2284" spans="2:4">
      <c r="B2284" s="22"/>
      <c r="D2284" s="801"/>
    </row>
    <row r="2285" spans="2:4">
      <c r="B2285" s="22"/>
      <c r="D2285" s="801"/>
    </row>
    <row r="2286" spans="2:4">
      <c r="B2286" s="22"/>
      <c r="D2286" s="801"/>
    </row>
    <row r="2287" spans="2:4">
      <c r="B2287" s="22"/>
      <c r="D2287" s="801"/>
    </row>
    <row r="2288" spans="2:4">
      <c r="B2288" s="22"/>
      <c r="D2288" s="801"/>
    </row>
    <row r="2289" spans="2:4">
      <c r="B2289" s="22"/>
      <c r="D2289" s="801"/>
    </row>
    <row r="2290" spans="2:4">
      <c r="B2290" s="22"/>
      <c r="D2290" s="801"/>
    </row>
    <row r="2291" spans="2:4">
      <c r="B2291" s="22"/>
      <c r="D2291" s="801"/>
    </row>
    <row r="2292" spans="2:4">
      <c r="B2292" s="22"/>
      <c r="D2292" s="801"/>
    </row>
    <row r="2293" spans="2:4">
      <c r="B2293" s="22"/>
      <c r="D2293" s="801"/>
    </row>
    <row r="2294" spans="2:4">
      <c r="B2294" s="22"/>
      <c r="D2294" s="801"/>
    </row>
    <row r="2295" spans="2:4">
      <c r="B2295" s="22"/>
      <c r="D2295" s="801"/>
    </row>
    <row r="2296" spans="2:4">
      <c r="B2296" s="22"/>
      <c r="D2296" s="801"/>
    </row>
    <row r="2297" spans="2:4">
      <c r="B2297" s="22"/>
      <c r="D2297" s="801"/>
    </row>
    <row r="2298" spans="2:4">
      <c r="B2298" s="22"/>
      <c r="D2298" s="801"/>
    </row>
    <row r="2299" spans="2:4">
      <c r="B2299" s="22"/>
      <c r="D2299" s="801"/>
    </row>
    <row r="2300" spans="2:4">
      <c r="B2300" s="22"/>
      <c r="D2300" s="801"/>
    </row>
    <row r="2301" spans="2:4">
      <c r="B2301" s="22"/>
      <c r="D2301" s="801"/>
    </row>
    <row r="2302" spans="2:4">
      <c r="B2302" s="22"/>
      <c r="D2302" s="801"/>
    </row>
    <row r="2303" spans="2:4">
      <c r="B2303" s="22"/>
      <c r="D2303" s="801"/>
    </row>
    <row r="2304" spans="2:4">
      <c r="B2304" s="22"/>
      <c r="D2304" s="801"/>
    </row>
    <row r="2305" spans="2:4">
      <c r="B2305" s="22"/>
      <c r="D2305" s="801"/>
    </row>
    <row r="2306" spans="2:4">
      <c r="B2306" s="22"/>
      <c r="D2306" s="801"/>
    </row>
    <row r="2307" spans="2:4">
      <c r="B2307" s="22"/>
      <c r="D2307" s="801"/>
    </row>
    <row r="2308" spans="2:4">
      <c r="B2308" s="22"/>
      <c r="D2308" s="801"/>
    </row>
    <row r="2309" spans="2:4">
      <c r="B2309" s="22"/>
      <c r="D2309" s="801"/>
    </row>
    <row r="2310" spans="2:4">
      <c r="B2310" s="22"/>
      <c r="D2310" s="801"/>
    </row>
    <row r="2311" spans="2:4">
      <c r="B2311" s="22"/>
      <c r="D2311" s="801"/>
    </row>
    <row r="2312" spans="2:4">
      <c r="B2312" s="22"/>
      <c r="D2312" s="801"/>
    </row>
    <row r="2313" spans="2:4">
      <c r="B2313" s="22"/>
      <c r="D2313" s="801"/>
    </row>
    <row r="2314" spans="2:4">
      <c r="B2314" s="22"/>
      <c r="D2314" s="801"/>
    </row>
    <row r="2315" spans="2:4">
      <c r="B2315" s="22"/>
      <c r="D2315" s="801"/>
    </row>
    <row r="2316" spans="2:4">
      <c r="B2316" s="22"/>
      <c r="D2316" s="801"/>
    </row>
    <row r="2317" spans="2:4">
      <c r="B2317" s="22"/>
      <c r="D2317" s="801"/>
    </row>
    <row r="2318" spans="2:4">
      <c r="B2318" s="22"/>
      <c r="D2318" s="801"/>
    </row>
    <row r="2319" spans="2:4">
      <c r="B2319" s="22"/>
      <c r="D2319" s="801"/>
    </row>
    <row r="2320" spans="2:4">
      <c r="B2320" s="22"/>
      <c r="D2320" s="801"/>
    </row>
    <row r="2321" spans="2:4">
      <c r="B2321" s="22"/>
      <c r="D2321" s="801"/>
    </row>
    <row r="2322" spans="2:4">
      <c r="B2322" s="22"/>
      <c r="D2322" s="801"/>
    </row>
    <row r="2323" spans="2:4">
      <c r="B2323" s="22"/>
      <c r="D2323" s="801"/>
    </row>
    <row r="2324" spans="2:4">
      <c r="B2324" s="22"/>
      <c r="D2324" s="801"/>
    </row>
    <row r="2325" spans="2:4">
      <c r="B2325" s="22"/>
      <c r="D2325" s="801"/>
    </row>
    <row r="2326" spans="2:4">
      <c r="B2326" s="22"/>
      <c r="D2326" s="801"/>
    </row>
    <row r="2327" spans="2:4">
      <c r="B2327" s="22"/>
      <c r="D2327" s="801"/>
    </row>
    <row r="2328" spans="2:4">
      <c r="B2328" s="22"/>
      <c r="D2328" s="801"/>
    </row>
    <row r="2329" spans="2:4">
      <c r="B2329" s="22"/>
      <c r="D2329" s="801"/>
    </row>
    <row r="2330" spans="2:4">
      <c r="B2330" s="22"/>
      <c r="D2330" s="801"/>
    </row>
    <row r="2331" spans="2:4">
      <c r="B2331" s="22"/>
      <c r="D2331" s="801"/>
    </row>
    <row r="2332" spans="2:4">
      <c r="B2332" s="22"/>
      <c r="D2332" s="801"/>
    </row>
    <row r="2333" spans="2:4">
      <c r="B2333" s="22"/>
      <c r="D2333" s="801"/>
    </row>
    <row r="2334" spans="2:4">
      <c r="B2334" s="22"/>
      <c r="D2334" s="801"/>
    </row>
    <row r="2335" spans="2:4">
      <c r="B2335" s="22"/>
      <c r="D2335" s="801"/>
    </row>
    <row r="2336" spans="2:4">
      <c r="B2336" s="22"/>
      <c r="D2336" s="801"/>
    </row>
    <row r="2337" spans="2:4">
      <c r="B2337" s="22"/>
      <c r="D2337" s="801"/>
    </row>
    <row r="2338" spans="2:4">
      <c r="B2338" s="22"/>
      <c r="D2338" s="801"/>
    </row>
    <row r="2339" spans="2:4">
      <c r="B2339" s="22"/>
      <c r="D2339" s="801"/>
    </row>
    <row r="2340" spans="2:4">
      <c r="B2340" s="22"/>
      <c r="D2340" s="801"/>
    </row>
    <row r="2341" spans="2:4">
      <c r="B2341" s="22"/>
      <c r="D2341" s="801"/>
    </row>
    <row r="2342" spans="2:4">
      <c r="B2342" s="22"/>
      <c r="D2342" s="801"/>
    </row>
    <row r="2343" spans="2:4">
      <c r="B2343" s="22"/>
      <c r="D2343" s="801"/>
    </row>
    <row r="2344" spans="2:4">
      <c r="B2344" s="22"/>
      <c r="D2344" s="801"/>
    </row>
    <row r="2345" spans="2:4">
      <c r="B2345" s="22"/>
      <c r="D2345" s="801"/>
    </row>
    <row r="2346" spans="2:4">
      <c r="B2346" s="22"/>
      <c r="D2346" s="801"/>
    </row>
    <row r="2347" spans="2:4">
      <c r="B2347" s="22"/>
      <c r="D2347" s="801"/>
    </row>
    <row r="2348" spans="2:4">
      <c r="B2348" s="22"/>
      <c r="D2348" s="801"/>
    </row>
    <row r="2349" spans="2:4">
      <c r="B2349" s="22"/>
      <c r="D2349" s="801"/>
    </row>
    <row r="2350" spans="2:4">
      <c r="B2350" s="22"/>
      <c r="D2350" s="801"/>
    </row>
    <row r="2351" spans="2:4">
      <c r="B2351" s="22"/>
      <c r="D2351" s="801"/>
    </row>
    <row r="2352" spans="2:4">
      <c r="B2352" s="22"/>
      <c r="D2352" s="801"/>
    </row>
    <row r="2353" spans="2:4">
      <c r="B2353" s="22"/>
      <c r="D2353" s="801"/>
    </row>
    <row r="2354" spans="2:4">
      <c r="B2354" s="22"/>
      <c r="D2354" s="801"/>
    </row>
    <row r="2355" spans="2:4">
      <c r="B2355" s="22"/>
      <c r="D2355" s="801"/>
    </row>
    <row r="2356" spans="2:4">
      <c r="B2356" s="22"/>
      <c r="D2356" s="801"/>
    </row>
    <row r="2357" spans="2:4">
      <c r="B2357" s="22"/>
      <c r="D2357" s="801"/>
    </row>
    <row r="2358" spans="2:4">
      <c r="B2358" s="22"/>
      <c r="D2358" s="801"/>
    </row>
    <row r="2359" spans="2:4">
      <c r="B2359" s="22"/>
      <c r="D2359" s="801"/>
    </row>
    <row r="2360" spans="2:4">
      <c r="B2360" s="22"/>
      <c r="D2360" s="801"/>
    </row>
    <row r="2361" spans="2:4">
      <c r="B2361" s="22"/>
      <c r="D2361" s="801"/>
    </row>
    <row r="2362" spans="2:4">
      <c r="B2362" s="22"/>
      <c r="D2362" s="801"/>
    </row>
    <row r="2363" spans="2:4">
      <c r="B2363" s="22"/>
      <c r="D2363" s="801"/>
    </row>
    <row r="2364" spans="2:4">
      <c r="B2364" s="22"/>
      <c r="D2364" s="801"/>
    </row>
    <row r="2365" spans="2:4">
      <c r="B2365" s="22"/>
      <c r="D2365" s="801"/>
    </row>
    <row r="2366" spans="2:4">
      <c r="B2366" s="22"/>
      <c r="D2366" s="801"/>
    </row>
    <row r="2367" spans="2:4">
      <c r="B2367" s="22"/>
      <c r="D2367" s="801"/>
    </row>
    <row r="2368" spans="2:4">
      <c r="B2368" s="22"/>
      <c r="D2368" s="801"/>
    </row>
    <row r="2369" spans="2:4">
      <c r="B2369" s="22"/>
      <c r="D2369" s="801"/>
    </row>
    <row r="2370" spans="2:4">
      <c r="B2370" s="22"/>
      <c r="D2370" s="801"/>
    </row>
    <row r="2371" spans="2:4">
      <c r="B2371" s="22"/>
      <c r="D2371" s="801"/>
    </row>
    <row r="2372" spans="2:4">
      <c r="B2372" s="22"/>
      <c r="D2372" s="801"/>
    </row>
    <row r="2373" spans="2:4">
      <c r="B2373" s="22"/>
      <c r="D2373" s="801"/>
    </row>
    <row r="2374" spans="2:4">
      <c r="B2374" s="22"/>
      <c r="D2374" s="801"/>
    </row>
    <row r="2375" spans="2:4">
      <c r="B2375" s="22"/>
      <c r="D2375" s="801"/>
    </row>
    <row r="2376" spans="2:4">
      <c r="B2376" s="22"/>
      <c r="D2376" s="801"/>
    </row>
    <row r="2377" spans="2:4">
      <c r="B2377" s="22"/>
      <c r="D2377" s="801"/>
    </row>
    <row r="2378" spans="2:4">
      <c r="B2378" s="22"/>
      <c r="D2378" s="801"/>
    </row>
    <row r="2379" spans="2:4">
      <c r="B2379" s="22"/>
      <c r="D2379" s="801"/>
    </row>
    <row r="2380" spans="2:4">
      <c r="B2380" s="22"/>
      <c r="D2380" s="801"/>
    </row>
    <row r="2381" spans="2:4">
      <c r="B2381" s="22"/>
      <c r="D2381" s="801"/>
    </row>
    <row r="2382" spans="2:4">
      <c r="B2382" s="22"/>
      <c r="D2382" s="801"/>
    </row>
    <row r="2383" spans="2:4">
      <c r="B2383" s="22"/>
      <c r="D2383" s="801"/>
    </row>
    <row r="2384" spans="2:4">
      <c r="B2384" s="22"/>
      <c r="D2384" s="801"/>
    </row>
    <row r="2385" spans="2:4">
      <c r="B2385" s="22"/>
      <c r="D2385" s="801"/>
    </row>
    <row r="2386" spans="2:4">
      <c r="B2386" s="22"/>
      <c r="D2386" s="801"/>
    </row>
    <row r="2387" spans="2:4">
      <c r="B2387" s="22"/>
      <c r="D2387" s="801"/>
    </row>
    <row r="2388" spans="2:4">
      <c r="B2388" s="22"/>
      <c r="D2388" s="801"/>
    </row>
    <row r="2389" spans="2:4">
      <c r="B2389" s="22"/>
      <c r="D2389" s="801"/>
    </row>
    <row r="2390" spans="2:4">
      <c r="B2390" s="22"/>
      <c r="D2390" s="801"/>
    </row>
    <row r="2391" spans="2:4">
      <c r="B2391" s="22"/>
      <c r="D2391" s="801"/>
    </row>
    <row r="2392" spans="2:4">
      <c r="B2392" s="22"/>
      <c r="D2392" s="801"/>
    </row>
    <row r="2393" spans="2:4">
      <c r="B2393" s="22"/>
      <c r="D2393" s="801"/>
    </row>
    <row r="2394" spans="2:4">
      <c r="B2394" s="22"/>
      <c r="D2394" s="801"/>
    </row>
    <row r="2395" spans="2:4">
      <c r="B2395" s="22"/>
      <c r="D2395" s="801"/>
    </row>
    <row r="2396" spans="2:4">
      <c r="B2396" s="22"/>
      <c r="D2396" s="801"/>
    </row>
    <row r="2397" spans="2:4">
      <c r="B2397" s="22"/>
      <c r="D2397" s="801"/>
    </row>
    <row r="2398" spans="2:4">
      <c r="B2398" s="22"/>
      <c r="D2398" s="801"/>
    </row>
    <row r="2399" spans="2:4">
      <c r="B2399" s="22"/>
      <c r="D2399" s="801"/>
    </row>
    <row r="2400" spans="2:4">
      <c r="B2400" s="22"/>
      <c r="D2400" s="801"/>
    </row>
    <row r="2401" spans="2:4">
      <c r="B2401" s="22"/>
      <c r="D2401" s="801"/>
    </row>
    <row r="2402" spans="2:4">
      <c r="B2402" s="22"/>
      <c r="D2402" s="801"/>
    </row>
    <row r="2403" spans="2:4">
      <c r="B2403" s="22"/>
      <c r="D2403" s="801"/>
    </row>
    <row r="2404" spans="2:4">
      <c r="B2404" s="22"/>
      <c r="D2404" s="801"/>
    </row>
    <row r="2405" spans="2:4">
      <c r="B2405" s="22"/>
      <c r="D2405" s="801"/>
    </row>
    <row r="2406" spans="2:4">
      <c r="B2406" s="22"/>
      <c r="D2406" s="801"/>
    </row>
    <row r="2407" spans="2:4">
      <c r="B2407" s="22"/>
      <c r="D2407" s="801"/>
    </row>
    <row r="2408" spans="2:4">
      <c r="B2408" s="22"/>
      <c r="D2408" s="801"/>
    </row>
    <row r="2409" spans="2:4">
      <c r="B2409" s="22"/>
      <c r="D2409" s="801"/>
    </row>
    <row r="2410" spans="2:4">
      <c r="B2410" s="22"/>
      <c r="D2410" s="801"/>
    </row>
    <row r="2411" spans="2:4">
      <c r="B2411" s="22"/>
      <c r="D2411" s="801"/>
    </row>
    <row r="2412" spans="2:4">
      <c r="B2412" s="22"/>
      <c r="D2412" s="801"/>
    </row>
    <row r="2413" spans="2:4">
      <c r="B2413" s="22"/>
      <c r="D2413" s="801"/>
    </row>
    <row r="2414" spans="2:4">
      <c r="B2414" s="22"/>
      <c r="D2414" s="801"/>
    </row>
    <row r="2415" spans="2:4">
      <c r="B2415" s="22"/>
      <c r="D2415" s="801"/>
    </row>
    <row r="2416" spans="2:4">
      <c r="B2416" s="22"/>
      <c r="D2416" s="801"/>
    </row>
    <row r="2417" spans="2:4">
      <c r="B2417" s="22"/>
      <c r="D2417" s="801"/>
    </row>
    <row r="2418" spans="2:4">
      <c r="B2418" s="22"/>
      <c r="D2418" s="801"/>
    </row>
    <row r="2419" spans="2:4">
      <c r="B2419" s="22"/>
      <c r="D2419" s="801"/>
    </row>
    <row r="2420" spans="2:4">
      <c r="B2420" s="22"/>
      <c r="D2420" s="801"/>
    </row>
    <row r="2421" spans="2:4">
      <c r="B2421" s="22"/>
      <c r="D2421" s="801"/>
    </row>
    <row r="2422" spans="2:4">
      <c r="B2422" s="22"/>
      <c r="D2422" s="801"/>
    </row>
    <row r="2423" spans="2:4">
      <c r="B2423" s="22"/>
      <c r="D2423" s="801"/>
    </row>
    <row r="2424" spans="2:4">
      <c r="B2424" s="22"/>
      <c r="D2424" s="801"/>
    </row>
    <row r="2425" spans="2:4">
      <c r="B2425" s="22"/>
      <c r="D2425" s="801"/>
    </row>
    <row r="2426" spans="2:4">
      <c r="B2426" s="22"/>
      <c r="D2426" s="801"/>
    </row>
    <row r="2427" spans="2:4">
      <c r="B2427" s="22"/>
      <c r="D2427" s="801"/>
    </row>
    <row r="2428" spans="2:4">
      <c r="B2428" s="22"/>
      <c r="D2428" s="801"/>
    </row>
    <row r="2429" spans="2:4">
      <c r="B2429" s="22"/>
      <c r="D2429" s="801"/>
    </row>
    <row r="2430" spans="2:4">
      <c r="B2430" s="22"/>
      <c r="D2430" s="801"/>
    </row>
    <row r="2431" spans="2:4">
      <c r="B2431" s="22"/>
      <c r="D2431" s="801"/>
    </row>
    <row r="2432" spans="2:4">
      <c r="B2432" s="22"/>
      <c r="D2432" s="801"/>
    </row>
    <row r="2433" spans="2:4">
      <c r="B2433" s="22"/>
      <c r="D2433" s="801"/>
    </row>
    <row r="2434" spans="2:4">
      <c r="B2434" s="22"/>
      <c r="D2434" s="801"/>
    </row>
    <row r="2435" spans="2:4">
      <c r="B2435" s="22"/>
      <c r="D2435" s="801"/>
    </row>
    <row r="2436" spans="2:4">
      <c r="B2436" s="22"/>
      <c r="D2436" s="801"/>
    </row>
    <row r="2437" spans="2:4">
      <c r="B2437" s="22"/>
      <c r="D2437" s="801"/>
    </row>
    <row r="2438" spans="2:4">
      <c r="B2438" s="22"/>
      <c r="D2438" s="801"/>
    </row>
    <row r="2439" spans="2:4">
      <c r="B2439" s="22"/>
      <c r="D2439" s="801"/>
    </row>
    <row r="2440" spans="2:4">
      <c r="B2440" s="22"/>
      <c r="D2440" s="801"/>
    </row>
    <row r="2441" spans="2:4">
      <c r="B2441" s="22"/>
      <c r="D2441" s="801"/>
    </row>
    <row r="2442" spans="2:4">
      <c r="B2442" s="22"/>
      <c r="D2442" s="801"/>
    </row>
    <row r="2443" spans="2:4">
      <c r="B2443" s="22"/>
      <c r="D2443" s="801"/>
    </row>
    <row r="2444" spans="2:4">
      <c r="B2444" s="22"/>
      <c r="D2444" s="801"/>
    </row>
    <row r="2445" spans="2:4">
      <c r="B2445" s="22"/>
      <c r="D2445" s="801"/>
    </row>
    <row r="2446" spans="2:4">
      <c r="B2446" s="22"/>
      <c r="D2446" s="801"/>
    </row>
    <row r="2447" spans="2:4">
      <c r="B2447" s="22"/>
      <c r="D2447" s="801"/>
    </row>
    <row r="2448" spans="2:4">
      <c r="B2448" s="22"/>
      <c r="D2448" s="801"/>
    </row>
    <row r="2449" spans="2:4">
      <c r="B2449" s="22"/>
      <c r="D2449" s="801"/>
    </row>
    <row r="2450" spans="2:4">
      <c r="B2450" s="22"/>
      <c r="D2450" s="801"/>
    </row>
    <row r="2451" spans="2:4">
      <c r="B2451" s="22"/>
      <c r="D2451" s="801"/>
    </row>
    <row r="2452" spans="2:4">
      <c r="B2452" s="22"/>
      <c r="D2452" s="801"/>
    </row>
    <row r="2453" spans="2:4">
      <c r="B2453" s="22"/>
      <c r="D2453" s="801"/>
    </row>
    <row r="2454" spans="2:4">
      <c r="B2454" s="22"/>
      <c r="D2454" s="801"/>
    </row>
    <row r="2455" spans="2:4">
      <c r="B2455" s="22"/>
      <c r="D2455" s="801"/>
    </row>
    <row r="2456" spans="2:4">
      <c r="B2456" s="22"/>
      <c r="D2456" s="801"/>
    </row>
    <row r="2457" spans="2:4">
      <c r="B2457" s="22"/>
      <c r="D2457" s="801"/>
    </row>
    <row r="2458" spans="2:4">
      <c r="B2458" s="22"/>
      <c r="D2458" s="801"/>
    </row>
    <row r="2459" spans="2:4">
      <c r="B2459" s="22"/>
      <c r="D2459" s="801"/>
    </row>
    <row r="2460" spans="2:4">
      <c r="B2460" s="22"/>
      <c r="D2460" s="801"/>
    </row>
    <row r="2461" spans="2:4">
      <c r="B2461" s="22"/>
      <c r="D2461" s="801"/>
    </row>
    <row r="2462" spans="2:4">
      <c r="B2462" s="22"/>
      <c r="D2462" s="801"/>
    </row>
    <row r="2463" spans="2:4">
      <c r="B2463" s="22"/>
      <c r="D2463" s="801"/>
    </row>
    <row r="2464" spans="2:4">
      <c r="B2464" s="22"/>
      <c r="D2464" s="801"/>
    </row>
    <row r="2465" spans="2:4">
      <c r="B2465" s="22"/>
      <c r="D2465" s="801"/>
    </row>
    <row r="2466" spans="2:4">
      <c r="B2466" s="22"/>
      <c r="D2466" s="801"/>
    </row>
    <row r="2467" spans="2:4">
      <c r="B2467" s="22"/>
      <c r="D2467" s="801"/>
    </row>
    <row r="2468" spans="2:4">
      <c r="B2468" s="22"/>
      <c r="D2468" s="801"/>
    </row>
    <row r="2469" spans="2:4">
      <c r="B2469" s="22"/>
      <c r="D2469" s="801"/>
    </row>
    <row r="2470" spans="2:4">
      <c r="B2470" s="22"/>
      <c r="D2470" s="801"/>
    </row>
    <row r="2471" spans="2:4">
      <c r="B2471" s="22"/>
      <c r="D2471" s="801"/>
    </row>
    <row r="2472" spans="2:4">
      <c r="B2472" s="22"/>
      <c r="D2472" s="801"/>
    </row>
    <row r="2473" spans="2:4">
      <c r="B2473" s="22"/>
      <c r="D2473" s="801"/>
    </row>
    <row r="2474" spans="2:4">
      <c r="B2474" s="22"/>
      <c r="D2474" s="801"/>
    </row>
    <row r="2475" spans="2:4">
      <c r="B2475" s="22"/>
      <c r="D2475" s="801"/>
    </row>
    <row r="2476" spans="2:4">
      <c r="B2476" s="22"/>
      <c r="D2476" s="801"/>
    </row>
    <row r="2477" spans="2:4">
      <c r="B2477" s="22"/>
      <c r="D2477" s="801"/>
    </row>
    <row r="2478" spans="2:4">
      <c r="B2478" s="22"/>
      <c r="D2478" s="801"/>
    </row>
    <row r="2479" spans="2:4">
      <c r="B2479" s="22"/>
      <c r="D2479" s="801"/>
    </row>
    <row r="2480" spans="2:4">
      <c r="B2480" s="22"/>
      <c r="D2480" s="801"/>
    </row>
    <row r="2481" spans="2:4">
      <c r="B2481" s="22"/>
      <c r="D2481" s="801"/>
    </row>
    <row r="2482" spans="2:4">
      <c r="B2482" s="22"/>
      <c r="D2482" s="801"/>
    </row>
    <row r="2483" spans="2:4">
      <c r="B2483" s="22"/>
      <c r="D2483" s="801"/>
    </row>
    <row r="2484" spans="2:4">
      <c r="B2484" s="22"/>
      <c r="D2484" s="801"/>
    </row>
    <row r="2485" spans="2:4">
      <c r="B2485" s="22"/>
      <c r="D2485" s="801"/>
    </row>
    <row r="2486" spans="2:4">
      <c r="B2486" s="22"/>
      <c r="D2486" s="801"/>
    </row>
    <row r="2487" spans="2:4">
      <c r="B2487" s="22"/>
      <c r="D2487" s="801"/>
    </row>
    <row r="2488" spans="2:4">
      <c r="B2488" s="22"/>
      <c r="D2488" s="801"/>
    </row>
    <row r="2489" spans="2:4">
      <c r="B2489" s="22"/>
      <c r="D2489" s="801"/>
    </row>
    <row r="2490" spans="2:4">
      <c r="B2490" s="22"/>
      <c r="D2490" s="801"/>
    </row>
    <row r="2491" spans="2:4">
      <c r="B2491" s="22"/>
      <c r="D2491" s="801"/>
    </row>
    <row r="2492" spans="2:4">
      <c r="B2492" s="22"/>
      <c r="D2492" s="801"/>
    </row>
    <row r="2493" spans="2:4">
      <c r="B2493" s="22"/>
      <c r="D2493" s="801"/>
    </row>
    <row r="2494" spans="2:4">
      <c r="B2494" s="22"/>
      <c r="D2494" s="801"/>
    </row>
    <row r="2495" spans="2:4">
      <c r="B2495" s="22"/>
      <c r="D2495" s="801"/>
    </row>
    <row r="2496" spans="2:4">
      <c r="B2496" s="22"/>
      <c r="D2496" s="801"/>
    </row>
    <row r="2497" spans="2:4">
      <c r="B2497" s="22"/>
      <c r="D2497" s="801"/>
    </row>
    <row r="2498" spans="2:4">
      <c r="B2498" s="22"/>
      <c r="D2498" s="801"/>
    </row>
    <row r="2499" spans="2:4">
      <c r="B2499" s="22"/>
      <c r="D2499" s="801"/>
    </row>
    <row r="2500" spans="2:4">
      <c r="B2500" s="22"/>
      <c r="D2500" s="801"/>
    </row>
    <row r="2501" spans="2:4">
      <c r="B2501" s="22"/>
      <c r="D2501" s="801"/>
    </row>
    <row r="2502" spans="2:4">
      <c r="B2502" s="22"/>
      <c r="D2502" s="801"/>
    </row>
    <row r="2503" spans="2:4">
      <c r="B2503" s="22"/>
      <c r="D2503" s="801"/>
    </row>
    <row r="2504" spans="2:4">
      <c r="B2504" s="22"/>
      <c r="D2504" s="801"/>
    </row>
    <row r="2505" spans="2:4">
      <c r="B2505" s="22"/>
      <c r="D2505" s="801"/>
    </row>
    <row r="2506" spans="2:4">
      <c r="B2506" s="22"/>
      <c r="D2506" s="801"/>
    </row>
    <row r="2507" spans="2:4">
      <c r="B2507" s="22"/>
      <c r="D2507" s="801"/>
    </row>
    <row r="2508" spans="2:4">
      <c r="B2508" s="22"/>
      <c r="D2508" s="801"/>
    </row>
    <row r="2509" spans="2:4">
      <c r="B2509" s="22"/>
      <c r="D2509" s="801"/>
    </row>
    <row r="2510" spans="2:4">
      <c r="B2510" s="22"/>
      <c r="D2510" s="801"/>
    </row>
    <row r="2511" spans="2:4">
      <c r="B2511" s="22"/>
      <c r="D2511" s="801"/>
    </row>
    <row r="2512" spans="2:4">
      <c r="B2512" s="22"/>
      <c r="D2512" s="801"/>
    </row>
    <row r="2513" spans="2:4">
      <c r="B2513" s="22"/>
      <c r="D2513" s="801"/>
    </row>
    <row r="2514" spans="2:4">
      <c r="B2514" s="22"/>
      <c r="D2514" s="801"/>
    </row>
    <row r="2515" spans="2:4">
      <c r="B2515" s="22"/>
      <c r="D2515" s="801"/>
    </row>
    <row r="2516" spans="2:4">
      <c r="B2516" s="22"/>
      <c r="D2516" s="801"/>
    </row>
    <row r="2517" spans="2:4">
      <c r="B2517" s="22"/>
      <c r="D2517" s="801"/>
    </row>
    <row r="2518" spans="2:4">
      <c r="B2518" s="22"/>
      <c r="D2518" s="801"/>
    </row>
    <row r="2519" spans="2:4">
      <c r="B2519" s="22"/>
      <c r="D2519" s="801"/>
    </row>
    <row r="2520" spans="2:4">
      <c r="B2520" s="22"/>
      <c r="D2520" s="801"/>
    </row>
    <row r="2521" spans="2:4">
      <c r="B2521" s="22"/>
      <c r="D2521" s="801"/>
    </row>
    <row r="2522" spans="2:4">
      <c r="B2522" s="22"/>
      <c r="D2522" s="801"/>
    </row>
    <row r="2523" spans="2:4">
      <c r="B2523" s="22"/>
      <c r="D2523" s="801"/>
    </row>
    <row r="2524" spans="2:4">
      <c r="B2524" s="22"/>
      <c r="D2524" s="801"/>
    </row>
    <row r="2525" spans="2:4">
      <c r="B2525" s="22"/>
      <c r="D2525" s="801"/>
    </row>
    <row r="2526" spans="2:4">
      <c r="B2526" s="22"/>
      <c r="D2526" s="801"/>
    </row>
    <row r="2527" spans="2:4">
      <c r="B2527" s="22"/>
      <c r="D2527" s="801"/>
    </row>
    <row r="2528" spans="2:4">
      <c r="B2528" s="22"/>
      <c r="D2528" s="801"/>
    </row>
    <row r="2529" spans="2:4">
      <c r="B2529" s="22"/>
      <c r="D2529" s="801"/>
    </row>
    <row r="2530" spans="2:4">
      <c r="B2530" s="22"/>
      <c r="D2530" s="801"/>
    </row>
    <row r="2531" spans="2:4">
      <c r="B2531" s="22"/>
      <c r="D2531" s="801"/>
    </row>
    <row r="2532" spans="2:4">
      <c r="B2532" s="22"/>
      <c r="D2532" s="801"/>
    </row>
    <row r="2533" spans="2:4">
      <c r="B2533" s="22"/>
      <c r="D2533" s="801"/>
    </row>
    <row r="2534" spans="2:4">
      <c r="B2534" s="22"/>
      <c r="D2534" s="801"/>
    </row>
    <row r="2535" spans="2:4">
      <c r="B2535" s="22"/>
      <c r="D2535" s="801"/>
    </row>
    <row r="2536" spans="2:4">
      <c r="B2536" s="22"/>
      <c r="D2536" s="801"/>
    </row>
    <row r="2537" spans="2:4">
      <c r="B2537" s="22"/>
      <c r="D2537" s="801"/>
    </row>
    <row r="2538" spans="2:4">
      <c r="B2538" s="22"/>
      <c r="D2538" s="801"/>
    </row>
    <row r="2539" spans="2:4">
      <c r="B2539" s="22"/>
      <c r="D2539" s="801"/>
    </row>
    <row r="2540" spans="2:4">
      <c r="B2540" s="22"/>
      <c r="D2540" s="801"/>
    </row>
    <row r="2541" spans="2:4">
      <c r="B2541" s="22"/>
      <c r="D2541" s="801"/>
    </row>
    <row r="2542" spans="2:4">
      <c r="B2542" s="22"/>
      <c r="D2542" s="801"/>
    </row>
    <row r="2543" spans="2:4">
      <c r="B2543" s="22"/>
      <c r="D2543" s="801"/>
    </row>
    <row r="2544" spans="2:4">
      <c r="B2544" s="22"/>
      <c r="D2544" s="801"/>
    </row>
    <row r="2545" spans="2:4">
      <c r="B2545" s="22"/>
      <c r="D2545" s="801"/>
    </row>
    <row r="2546" spans="2:4">
      <c r="B2546" s="22"/>
      <c r="D2546" s="801"/>
    </row>
    <row r="2547" spans="2:4">
      <c r="B2547" s="22"/>
      <c r="D2547" s="801"/>
    </row>
    <row r="2548" spans="2:4">
      <c r="B2548" s="22"/>
      <c r="D2548" s="801"/>
    </row>
    <row r="2549" spans="2:4">
      <c r="B2549" s="22"/>
      <c r="D2549" s="801"/>
    </row>
    <row r="2550" spans="2:4">
      <c r="B2550" s="22"/>
      <c r="D2550" s="801"/>
    </row>
    <row r="2551" spans="2:4">
      <c r="B2551" s="22"/>
      <c r="D2551" s="801"/>
    </row>
    <row r="2552" spans="2:4">
      <c r="B2552" s="22"/>
      <c r="D2552" s="801"/>
    </row>
    <row r="2553" spans="2:4">
      <c r="B2553" s="22"/>
      <c r="D2553" s="801"/>
    </row>
    <row r="2554" spans="2:4">
      <c r="B2554" s="22"/>
      <c r="D2554" s="801"/>
    </row>
    <row r="2555" spans="2:4">
      <c r="B2555" s="22"/>
      <c r="D2555" s="801"/>
    </row>
    <row r="2556" spans="2:4">
      <c r="B2556" s="22"/>
      <c r="D2556" s="801"/>
    </row>
    <row r="2557" spans="2:4">
      <c r="B2557" s="22"/>
      <c r="D2557" s="801"/>
    </row>
    <row r="2558" spans="2:4">
      <c r="B2558" s="22"/>
      <c r="D2558" s="801"/>
    </row>
    <row r="2559" spans="2:4">
      <c r="B2559" s="22"/>
      <c r="D2559" s="801"/>
    </row>
    <row r="2560" spans="2:4">
      <c r="B2560" s="22"/>
      <c r="D2560" s="801"/>
    </row>
    <row r="2561" spans="2:4">
      <c r="B2561" s="22"/>
      <c r="D2561" s="801"/>
    </row>
    <row r="2562" spans="2:4">
      <c r="B2562" s="22"/>
      <c r="D2562" s="801"/>
    </row>
    <row r="2563" spans="2:4">
      <c r="B2563" s="22"/>
      <c r="D2563" s="801"/>
    </row>
    <row r="2564" spans="2:4">
      <c r="B2564" s="22"/>
      <c r="D2564" s="801"/>
    </row>
    <row r="2565" spans="2:4">
      <c r="B2565" s="22"/>
      <c r="D2565" s="801"/>
    </row>
    <row r="2566" spans="2:4">
      <c r="B2566" s="22"/>
      <c r="D2566" s="801"/>
    </row>
    <row r="2567" spans="2:4">
      <c r="B2567" s="22"/>
      <c r="D2567" s="801"/>
    </row>
    <row r="2568" spans="2:4">
      <c r="B2568" s="22"/>
      <c r="D2568" s="801"/>
    </row>
    <row r="2569" spans="2:4">
      <c r="B2569" s="22"/>
      <c r="D2569" s="801"/>
    </row>
    <row r="2570" spans="2:4">
      <c r="B2570" s="22"/>
      <c r="D2570" s="801"/>
    </row>
    <row r="2571" spans="2:4">
      <c r="B2571" s="22"/>
      <c r="D2571" s="801"/>
    </row>
    <row r="2572" spans="2:4">
      <c r="B2572" s="22"/>
      <c r="D2572" s="801"/>
    </row>
    <row r="2573" spans="2:4">
      <c r="B2573" s="22"/>
      <c r="D2573" s="801"/>
    </row>
    <row r="2574" spans="2:4">
      <c r="B2574" s="22"/>
      <c r="D2574" s="801"/>
    </row>
    <row r="2575" spans="2:4">
      <c r="B2575" s="22"/>
      <c r="D2575" s="801"/>
    </row>
    <row r="2576" spans="2:4">
      <c r="B2576" s="22"/>
      <c r="D2576" s="801"/>
    </row>
    <row r="2577" spans="2:4">
      <c r="B2577" s="22"/>
      <c r="D2577" s="801"/>
    </row>
    <row r="2578" spans="2:4">
      <c r="B2578" s="22"/>
      <c r="D2578" s="801"/>
    </row>
    <row r="2579" spans="2:4">
      <c r="B2579" s="22"/>
      <c r="D2579" s="801"/>
    </row>
    <row r="2580" spans="2:4">
      <c r="B2580" s="22"/>
      <c r="D2580" s="801"/>
    </row>
    <row r="2581" spans="2:4">
      <c r="B2581" s="22"/>
      <c r="D2581" s="801"/>
    </row>
    <row r="2582" spans="2:4">
      <c r="B2582" s="22"/>
      <c r="D2582" s="801"/>
    </row>
    <row r="2583" spans="2:4">
      <c r="B2583" s="22"/>
      <c r="D2583" s="801"/>
    </row>
    <row r="2584" spans="2:4">
      <c r="B2584" s="22"/>
      <c r="D2584" s="801"/>
    </row>
    <row r="2585" spans="2:4">
      <c r="B2585" s="22"/>
      <c r="D2585" s="801"/>
    </row>
    <row r="2586" spans="2:4">
      <c r="B2586" s="22"/>
      <c r="D2586" s="801"/>
    </row>
    <row r="2587" spans="2:4">
      <c r="B2587" s="22"/>
      <c r="D2587" s="801"/>
    </row>
    <row r="2588" spans="2:4">
      <c r="B2588" s="22"/>
      <c r="D2588" s="801"/>
    </row>
    <row r="2589" spans="2:4">
      <c r="B2589" s="22"/>
      <c r="D2589" s="801"/>
    </row>
    <row r="2590" spans="2:4">
      <c r="B2590" s="22"/>
      <c r="D2590" s="801"/>
    </row>
    <row r="2591" spans="2:4">
      <c r="B2591" s="22"/>
      <c r="D2591" s="801"/>
    </row>
    <row r="2592" spans="2:4">
      <c r="B2592" s="22"/>
      <c r="D2592" s="801"/>
    </row>
    <row r="2593" spans="2:4">
      <c r="B2593" s="22"/>
      <c r="D2593" s="801"/>
    </row>
    <row r="2594" spans="2:4">
      <c r="B2594" s="22"/>
      <c r="D2594" s="801"/>
    </row>
    <row r="2595" spans="2:4">
      <c r="B2595" s="22"/>
      <c r="D2595" s="801"/>
    </row>
    <row r="2596" spans="2:4">
      <c r="B2596" s="22"/>
      <c r="D2596" s="801"/>
    </row>
    <row r="2597" spans="2:4">
      <c r="B2597" s="22"/>
      <c r="D2597" s="801"/>
    </row>
    <row r="2598" spans="2:4">
      <c r="B2598" s="22"/>
      <c r="D2598" s="801"/>
    </row>
    <row r="2599" spans="2:4">
      <c r="B2599" s="22"/>
      <c r="D2599" s="801"/>
    </row>
    <row r="2600" spans="2:4">
      <c r="B2600" s="22"/>
      <c r="D2600" s="801"/>
    </row>
    <row r="2601" spans="2:4">
      <c r="B2601" s="22"/>
      <c r="D2601" s="801"/>
    </row>
    <row r="2602" spans="2:4">
      <c r="B2602" s="22"/>
      <c r="D2602" s="801"/>
    </row>
    <row r="2603" spans="2:4">
      <c r="B2603" s="22"/>
      <c r="D2603" s="801"/>
    </row>
    <row r="2604" spans="2:4">
      <c r="B2604" s="22"/>
      <c r="D2604" s="801"/>
    </row>
    <row r="2605" spans="2:4">
      <c r="B2605" s="22"/>
      <c r="D2605" s="801"/>
    </row>
    <row r="2606" spans="2:4">
      <c r="B2606" s="22"/>
      <c r="D2606" s="801"/>
    </row>
    <row r="2607" spans="2:4">
      <c r="B2607" s="22"/>
      <c r="D2607" s="801"/>
    </row>
    <row r="2608" spans="2:4">
      <c r="B2608" s="22"/>
      <c r="D2608" s="801"/>
    </row>
    <row r="2609" spans="2:4">
      <c r="B2609" s="22"/>
      <c r="D2609" s="801"/>
    </row>
    <row r="2610" spans="2:4">
      <c r="B2610" s="22"/>
      <c r="D2610" s="801"/>
    </row>
    <row r="2611" spans="2:4">
      <c r="B2611" s="22"/>
      <c r="D2611" s="801"/>
    </row>
    <row r="2612" spans="2:4">
      <c r="B2612" s="22"/>
      <c r="D2612" s="801"/>
    </row>
    <row r="2613" spans="2:4">
      <c r="B2613" s="22"/>
      <c r="D2613" s="801"/>
    </row>
    <row r="2614" spans="2:4">
      <c r="B2614" s="22"/>
      <c r="D2614" s="801"/>
    </row>
    <row r="2615" spans="2:4">
      <c r="B2615" s="22"/>
      <c r="D2615" s="801"/>
    </row>
    <row r="2616" spans="2:4">
      <c r="B2616" s="22"/>
      <c r="D2616" s="801"/>
    </row>
    <row r="2617" spans="2:4">
      <c r="B2617" s="22"/>
      <c r="D2617" s="801"/>
    </row>
    <row r="2618" spans="2:4">
      <c r="B2618" s="22"/>
      <c r="D2618" s="801"/>
    </row>
    <row r="2619" spans="2:4">
      <c r="B2619" s="22"/>
      <c r="D2619" s="801"/>
    </row>
    <row r="2620" spans="2:4">
      <c r="B2620" s="22"/>
      <c r="D2620" s="801"/>
    </row>
    <row r="2621" spans="2:4">
      <c r="B2621" s="22"/>
      <c r="D2621" s="801"/>
    </row>
    <row r="2622" spans="2:4">
      <c r="B2622" s="22"/>
      <c r="D2622" s="801"/>
    </row>
    <row r="2623" spans="2:4">
      <c r="B2623" s="22"/>
      <c r="D2623" s="801"/>
    </row>
    <row r="2624" spans="2:4">
      <c r="B2624" s="22"/>
      <c r="D2624" s="801"/>
    </row>
    <row r="2625" spans="2:4">
      <c r="B2625" s="22"/>
      <c r="D2625" s="801"/>
    </row>
    <row r="2626" spans="2:4">
      <c r="B2626" s="22"/>
      <c r="D2626" s="801"/>
    </row>
    <row r="2627" spans="2:4">
      <c r="B2627" s="22"/>
      <c r="D2627" s="801"/>
    </row>
    <row r="2628" spans="2:4">
      <c r="B2628" s="22"/>
      <c r="D2628" s="801"/>
    </row>
    <row r="2629" spans="2:4">
      <c r="B2629" s="22"/>
      <c r="D2629" s="801"/>
    </row>
    <row r="2630" spans="2:4">
      <c r="B2630" s="22"/>
      <c r="D2630" s="801"/>
    </row>
    <row r="2631" spans="2:4">
      <c r="B2631" s="22"/>
      <c r="D2631" s="801"/>
    </row>
    <row r="2632" spans="2:4">
      <c r="B2632" s="22"/>
      <c r="D2632" s="801"/>
    </row>
    <row r="2633" spans="2:4">
      <c r="B2633" s="22"/>
      <c r="D2633" s="801"/>
    </row>
    <row r="2634" spans="2:4">
      <c r="B2634" s="22"/>
      <c r="D2634" s="801"/>
    </row>
    <row r="2635" spans="2:4">
      <c r="B2635" s="22"/>
      <c r="D2635" s="801"/>
    </row>
    <row r="2636" spans="2:4">
      <c r="B2636" s="22"/>
      <c r="D2636" s="801"/>
    </row>
    <row r="2637" spans="2:4">
      <c r="B2637" s="22"/>
      <c r="D2637" s="801"/>
    </row>
    <row r="2638" spans="2:4">
      <c r="B2638" s="22"/>
      <c r="D2638" s="801"/>
    </row>
    <row r="2639" spans="2:4">
      <c r="B2639" s="22"/>
      <c r="D2639" s="801"/>
    </row>
    <row r="2640" spans="2:4">
      <c r="B2640" s="22"/>
      <c r="D2640" s="801"/>
    </row>
    <row r="2641" spans="2:4">
      <c r="B2641" s="22"/>
      <c r="D2641" s="801"/>
    </row>
    <row r="2642" spans="2:4">
      <c r="B2642" s="22"/>
      <c r="D2642" s="801"/>
    </row>
    <row r="2643" spans="2:4">
      <c r="B2643" s="22"/>
      <c r="D2643" s="801"/>
    </row>
    <row r="2644" spans="2:4">
      <c r="B2644" s="22"/>
      <c r="D2644" s="801"/>
    </row>
    <row r="2645" spans="2:4">
      <c r="B2645" s="22"/>
      <c r="D2645" s="801"/>
    </row>
    <row r="2646" spans="2:4">
      <c r="B2646" s="22"/>
      <c r="D2646" s="801"/>
    </row>
    <row r="2647" spans="2:4">
      <c r="B2647" s="22"/>
      <c r="D2647" s="801"/>
    </row>
    <row r="2648" spans="2:4">
      <c r="B2648" s="22"/>
      <c r="D2648" s="801"/>
    </row>
    <row r="2649" spans="2:4">
      <c r="B2649" s="22"/>
      <c r="D2649" s="801"/>
    </row>
    <row r="2650" spans="2:4">
      <c r="B2650" s="22"/>
      <c r="D2650" s="801"/>
    </row>
    <row r="2651" spans="2:4">
      <c r="B2651" s="22"/>
      <c r="D2651" s="801"/>
    </row>
    <row r="2652" spans="2:4">
      <c r="B2652" s="22"/>
      <c r="D2652" s="801"/>
    </row>
    <row r="2653" spans="2:4">
      <c r="B2653" s="22"/>
      <c r="D2653" s="801"/>
    </row>
    <row r="2654" spans="2:4">
      <c r="B2654" s="22"/>
      <c r="D2654" s="801"/>
    </row>
    <row r="2655" spans="2:4">
      <c r="B2655" s="22"/>
      <c r="D2655" s="801"/>
    </row>
    <row r="2656" spans="2:4">
      <c r="B2656" s="22"/>
      <c r="D2656" s="801"/>
    </row>
    <row r="2657" spans="2:4">
      <c r="B2657" s="22"/>
      <c r="D2657" s="801"/>
    </row>
    <row r="2658" spans="2:4">
      <c r="B2658" s="22"/>
      <c r="D2658" s="801"/>
    </row>
    <row r="2659" spans="2:4">
      <c r="B2659" s="22"/>
      <c r="D2659" s="801"/>
    </row>
    <row r="2660" spans="2:4">
      <c r="B2660" s="22"/>
      <c r="D2660" s="801"/>
    </row>
    <row r="2661" spans="2:4">
      <c r="B2661" s="22"/>
      <c r="D2661" s="801"/>
    </row>
    <row r="2662" spans="2:4">
      <c r="B2662" s="22"/>
      <c r="D2662" s="801"/>
    </row>
    <row r="2663" spans="2:4">
      <c r="B2663" s="22"/>
      <c r="D2663" s="801"/>
    </row>
    <row r="2664" spans="2:4">
      <c r="B2664" s="22"/>
      <c r="D2664" s="801"/>
    </row>
    <row r="2665" spans="2:4">
      <c r="B2665" s="22"/>
      <c r="D2665" s="801"/>
    </row>
    <row r="2666" spans="2:4">
      <c r="B2666" s="22"/>
      <c r="D2666" s="801"/>
    </row>
    <row r="2667" spans="2:4">
      <c r="B2667" s="22"/>
      <c r="D2667" s="801"/>
    </row>
    <row r="2668" spans="2:4">
      <c r="B2668" s="22"/>
      <c r="D2668" s="801"/>
    </row>
    <row r="2669" spans="2:4">
      <c r="B2669" s="22"/>
      <c r="D2669" s="801"/>
    </row>
    <row r="2670" spans="2:4">
      <c r="B2670" s="22"/>
      <c r="D2670" s="801"/>
    </row>
    <row r="2671" spans="2:4">
      <c r="B2671" s="22"/>
      <c r="D2671" s="801"/>
    </row>
    <row r="2672" spans="2:4">
      <c r="B2672" s="22"/>
      <c r="D2672" s="801"/>
    </row>
    <row r="2673" spans="2:4">
      <c r="B2673" s="22"/>
      <c r="D2673" s="801"/>
    </row>
    <row r="2674" spans="2:4">
      <c r="B2674" s="22"/>
      <c r="D2674" s="801"/>
    </row>
    <row r="2675" spans="2:4">
      <c r="B2675" s="22"/>
      <c r="D2675" s="801"/>
    </row>
    <row r="2676" spans="2:4">
      <c r="B2676" s="22"/>
      <c r="D2676" s="801"/>
    </row>
    <row r="2677" spans="2:4">
      <c r="B2677" s="22"/>
      <c r="D2677" s="801"/>
    </row>
    <row r="2678" spans="2:4">
      <c r="B2678" s="22"/>
      <c r="D2678" s="801"/>
    </row>
    <row r="2679" spans="2:4">
      <c r="B2679" s="22"/>
      <c r="D2679" s="801"/>
    </row>
    <row r="2680" spans="2:4">
      <c r="B2680" s="22"/>
      <c r="D2680" s="801"/>
    </row>
    <row r="2681" spans="2:4">
      <c r="B2681" s="22"/>
      <c r="D2681" s="801"/>
    </row>
    <row r="2682" spans="2:4">
      <c r="B2682" s="22"/>
      <c r="D2682" s="801"/>
    </row>
    <row r="2683" spans="2:4">
      <c r="B2683" s="22"/>
      <c r="D2683" s="801"/>
    </row>
    <row r="2684" spans="2:4">
      <c r="B2684" s="22"/>
      <c r="D2684" s="801"/>
    </row>
    <row r="2685" spans="2:4">
      <c r="B2685" s="22"/>
      <c r="D2685" s="801"/>
    </row>
    <row r="2686" spans="2:4">
      <c r="B2686" s="22"/>
      <c r="D2686" s="801"/>
    </row>
    <row r="2687" spans="2:4">
      <c r="B2687" s="22"/>
      <c r="D2687" s="801"/>
    </row>
    <row r="2688" spans="2:4">
      <c r="B2688" s="22"/>
      <c r="D2688" s="801"/>
    </row>
    <row r="2689" spans="2:4">
      <c r="B2689" s="22"/>
      <c r="D2689" s="801"/>
    </row>
    <row r="2690" spans="2:4">
      <c r="B2690" s="22"/>
      <c r="D2690" s="801"/>
    </row>
    <row r="2691" spans="2:4">
      <c r="B2691" s="22"/>
      <c r="D2691" s="801"/>
    </row>
    <row r="2692" spans="2:4">
      <c r="B2692" s="22"/>
      <c r="D2692" s="801"/>
    </row>
    <row r="2693" spans="2:4">
      <c r="B2693" s="22"/>
      <c r="D2693" s="801"/>
    </row>
    <row r="2694" spans="2:4">
      <c r="B2694" s="22"/>
      <c r="D2694" s="801"/>
    </row>
    <row r="2695" spans="2:4">
      <c r="B2695" s="22"/>
      <c r="D2695" s="801"/>
    </row>
    <row r="2696" spans="2:4">
      <c r="B2696" s="22"/>
      <c r="D2696" s="801"/>
    </row>
    <row r="2697" spans="2:4">
      <c r="B2697" s="22"/>
      <c r="D2697" s="801"/>
    </row>
    <row r="2698" spans="2:4">
      <c r="B2698" s="22"/>
      <c r="D2698" s="801"/>
    </row>
    <row r="2699" spans="2:4">
      <c r="B2699" s="22"/>
      <c r="D2699" s="801"/>
    </row>
    <row r="2700" spans="2:4">
      <c r="B2700" s="22"/>
      <c r="D2700" s="801"/>
    </row>
    <row r="2701" spans="2:4">
      <c r="B2701" s="22"/>
      <c r="D2701" s="801"/>
    </row>
    <row r="2702" spans="2:4">
      <c r="B2702" s="22"/>
      <c r="D2702" s="801"/>
    </row>
    <row r="2703" spans="2:4">
      <c r="B2703" s="22"/>
      <c r="D2703" s="801"/>
    </row>
    <row r="2704" spans="2:4">
      <c r="B2704" s="22"/>
      <c r="D2704" s="801"/>
    </row>
    <row r="2705" spans="2:4">
      <c r="B2705" s="22"/>
      <c r="D2705" s="801"/>
    </row>
    <row r="2706" spans="2:4">
      <c r="B2706" s="22"/>
      <c r="D2706" s="801"/>
    </row>
    <row r="2707" spans="2:4">
      <c r="B2707" s="22"/>
      <c r="D2707" s="801"/>
    </row>
    <row r="2708" spans="2:4">
      <c r="B2708" s="22"/>
      <c r="D2708" s="801"/>
    </row>
    <row r="2709" spans="2:4">
      <c r="B2709" s="22"/>
      <c r="D2709" s="801"/>
    </row>
    <row r="2710" spans="2:4">
      <c r="B2710" s="22"/>
      <c r="D2710" s="801"/>
    </row>
    <row r="2711" spans="2:4">
      <c r="B2711" s="22"/>
      <c r="D2711" s="801"/>
    </row>
    <row r="2712" spans="2:4">
      <c r="B2712" s="22"/>
      <c r="D2712" s="801"/>
    </row>
    <row r="2713" spans="2:4">
      <c r="B2713" s="22"/>
      <c r="D2713" s="801"/>
    </row>
    <row r="2714" spans="2:4">
      <c r="B2714" s="22"/>
      <c r="D2714" s="801"/>
    </row>
    <row r="2715" spans="2:4">
      <c r="B2715" s="22"/>
      <c r="D2715" s="801"/>
    </row>
    <row r="2716" spans="2:4">
      <c r="B2716" s="22"/>
      <c r="D2716" s="801"/>
    </row>
    <row r="2717" spans="2:4">
      <c r="B2717" s="22"/>
      <c r="D2717" s="801"/>
    </row>
    <row r="2718" spans="2:4">
      <c r="B2718" s="22"/>
      <c r="D2718" s="801"/>
    </row>
    <row r="2719" spans="2:4">
      <c r="B2719" s="22"/>
      <c r="D2719" s="801"/>
    </row>
    <row r="2720" spans="2:4">
      <c r="B2720" s="22"/>
      <c r="D2720" s="801"/>
    </row>
    <row r="2721" spans="2:4">
      <c r="B2721" s="22"/>
      <c r="D2721" s="801"/>
    </row>
    <row r="2722" spans="2:4">
      <c r="B2722" s="22"/>
      <c r="D2722" s="801"/>
    </row>
    <row r="2723" spans="2:4">
      <c r="B2723" s="22"/>
      <c r="D2723" s="801"/>
    </row>
    <row r="2724" spans="2:4">
      <c r="B2724" s="22"/>
      <c r="D2724" s="801"/>
    </row>
    <row r="2725" spans="2:4">
      <c r="B2725" s="22"/>
      <c r="D2725" s="801"/>
    </row>
    <row r="2726" spans="2:4">
      <c r="B2726" s="22"/>
      <c r="D2726" s="801"/>
    </row>
    <row r="2727" spans="2:4">
      <c r="B2727" s="22"/>
      <c r="D2727" s="801"/>
    </row>
    <row r="2728" spans="2:4">
      <c r="B2728" s="22"/>
      <c r="D2728" s="801"/>
    </row>
    <row r="2729" spans="2:4">
      <c r="B2729" s="22"/>
      <c r="D2729" s="801"/>
    </row>
    <row r="2730" spans="2:4">
      <c r="B2730" s="22"/>
      <c r="D2730" s="801"/>
    </row>
    <row r="2731" spans="2:4">
      <c r="B2731" s="22"/>
      <c r="D2731" s="801"/>
    </row>
    <row r="2732" spans="2:4">
      <c r="B2732" s="22"/>
      <c r="D2732" s="801"/>
    </row>
    <row r="2733" spans="2:4">
      <c r="B2733" s="22"/>
      <c r="D2733" s="801"/>
    </row>
    <row r="2734" spans="2:4">
      <c r="B2734" s="22"/>
      <c r="D2734" s="801"/>
    </row>
    <row r="2735" spans="2:4">
      <c r="B2735" s="22"/>
      <c r="D2735" s="801"/>
    </row>
    <row r="2736" spans="2:4">
      <c r="B2736" s="22"/>
      <c r="D2736" s="801"/>
    </row>
    <row r="2737" spans="2:4">
      <c r="B2737" s="22"/>
      <c r="D2737" s="801"/>
    </row>
    <row r="2738" spans="2:4">
      <c r="B2738" s="22"/>
      <c r="D2738" s="801"/>
    </row>
    <row r="2739" spans="2:4">
      <c r="B2739" s="22"/>
      <c r="D2739" s="801"/>
    </row>
    <row r="2740" spans="2:4">
      <c r="B2740" s="22"/>
      <c r="D2740" s="801"/>
    </row>
    <row r="2741" spans="2:4">
      <c r="B2741" s="22"/>
      <c r="D2741" s="801"/>
    </row>
    <row r="2742" spans="2:4">
      <c r="B2742" s="22"/>
      <c r="D2742" s="801"/>
    </row>
    <row r="2743" spans="2:4">
      <c r="B2743" s="22"/>
      <c r="D2743" s="801"/>
    </row>
    <row r="2744" spans="2:4">
      <c r="B2744" s="22"/>
      <c r="D2744" s="801"/>
    </row>
    <row r="2745" spans="2:4">
      <c r="B2745" s="22"/>
      <c r="D2745" s="801"/>
    </row>
    <row r="2746" spans="2:4">
      <c r="B2746" s="22"/>
      <c r="D2746" s="801"/>
    </row>
    <row r="2747" spans="2:4">
      <c r="B2747" s="22"/>
      <c r="D2747" s="801"/>
    </row>
    <row r="2748" spans="2:4">
      <c r="B2748" s="22"/>
      <c r="D2748" s="801"/>
    </row>
    <row r="2749" spans="2:4">
      <c r="B2749" s="22"/>
      <c r="D2749" s="801"/>
    </row>
    <row r="2750" spans="2:4">
      <c r="B2750" s="22"/>
      <c r="D2750" s="801"/>
    </row>
    <row r="2751" spans="2:4">
      <c r="B2751" s="22"/>
      <c r="D2751" s="801"/>
    </row>
    <row r="2752" spans="2:4">
      <c r="B2752" s="22"/>
      <c r="D2752" s="801"/>
    </row>
    <row r="2753" spans="2:4">
      <c r="B2753" s="22"/>
      <c r="D2753" s="801"/>
    </row>
    <row r="2754" spans="2:4">
      <c r="B2754" s="22"/>
      <c r="D2754" s="801"/>
    </row>
    <row r="2755" spans="2:4">
      <c r="B2755" s="22"/>
      <c r="D2755" s="801"/>
    </row>
    <row r="2756" spans="2:4">
      <c r="B2756" s="22"/>
      <c r="D2756" s="801"/>
    </row>
    <row r="2757" spans="2:4">
      <c r="B2757" s="22"/>
      <c r="D2757" s="801"/>
    </row>
    <row r="2758" spans="2:4">
      <c r="B2758" s="22"/>
      <c r="D2758" s="801"/>
    </row>
    <row r="2759" spans="2:4">
      <c r="B2759" s="22"/>
      <c r="D2759" s="801"/>
    </row>
    <row r="2760" spans="2:4">
      <c r="B2760" s="22"/>
      <c r="D2760" s="801"/>
    </row>
    <row r="2761" spans="2:4">
      <c r="B2761" s="22"/>
      <c r="D2761" s="801"/>
    </row>
    <row r="2762" spans="2:4">
      <c r="B2762" s="22"/>
      <c r="D2762" s="801"/>
    </row>
    <row r="2763" spans="2:4">
      <c r="B2763" s="22"/>
      <c r="D2763" s="801"/>
    </row>
    <row r="2764" spans="2:4">
      <c r="B2764" s="22"/>
      <c r="D2764" s="801"/>
    </row>
    <row r="2765" spans="2:4">
      <c r="B2765" s="22"/>
      <c r="D2765" s="801"/>
    </row>
    <row r="2766" spans="2:4">
      <c r="B2766" s="22"/>
      <c r="D2766" s="801"/>
    </row>
    <row r="2767" spans="2:4">
      <c r="B2767" s="22"/>
      <c r="D2767" s="801"/>
    </row>
    <row r="2768" spans="2:4">
      <c r="B2768" s="22"/>
      <c r="D2768" s="801"/>
    </row>
    <row r="2769" spans="2:4">
      <c r="B2769" s="22"/>
      <c r="D2769" s="801"/>
    </row>
    <row r="2770" spans="2:4">
      <c r="B2770" s="22"/>
      <c r="D2770" s="801"/>
    </row>
    <row r="2771" spans="2:4">
      <c r="B2771" s="22"/>
      <c r="D2771" s="801"/>
    </row>
    <row r="2772" spans="2:4">
      <c r="B2772" s="22"/>
      <c r="D2772" s="801"/>
    </row>
    <row r="2773" spans="2:4">
      <c r="B2773" s="22"/>
      <c r="D2773" s="801"/>
    </row>
    <row r="2774" spans="2:4">
      <c r="B2774" s="22"/>
      <c r="D2774" s="801"/>
    </row>
    <row r="2775" spans="2:4">
      <c r="B2775" s="22"/>
      <c r="D2775" s="801"/>
    </row>
    <row r="2776" spans="2:4">
      <c r="B2776" s="22"/>
      <c r="D2776" s="801"/>
    </row>
    <row r="2777" spans="2:4">
      <c r="B2777" s="22"/>
      <c r="D2777" s="801"/>
    </row>
    <row r="2778" spans="2:4">
      <c r="B2778" s="22"/>
      <c r="D2778" s="801"/>
    </row>
    <row r="2779" spans="2:4">
      <c r="B2779" s="22"/>
      <c r="D2779" s="801"/>
    </row>
    <row r="2780" spans="2:4">
      <c r="B2780" s="22"/>
      <c r="D2780" s="801"/>
    </row>
    <row r="2781" spans="2:4">
      <c r="B2781" s="22"/>
      <c r="D2781" s="801"/>
    </row>
    <row r="2782" spans="2:4">
      <c r="B2782" s="22"/>
      <c r="D2782" s="801"/>
    </row>
    <row r="2783" spans="2:4">
      <c r="B2783" s="22"/>
      <c r="D2783" s="801"/>
    </row>
    <row r="2784" spans="2:4">
      <c r="B2784" s="22"/>
      <c r="D2784" s="801"/>
    </row>
    <row r="2785" spans="2:4">
      <c r="B2785" s="22"/>
      <c r="D2785" s="801"/>
    </row>
    <row r="2786" spans="2:4">
      <c r="B2786" s="22"/>
      <c r="D2786" s="801"/>
    </row>
    <row r="2787" spans="2:4">
      <c r="B2787" s="22"/>
      <c r="D2787" s="801"/>
    </row>
    <row r="2788" spans="2:4">
      <c r="B2788" s="22"/>
      <c r="D2788" s="801"/>
    </row>
    <row r="2789" spans="2:4">
      <c r="B2789" s="22"/>
      <c r="D2789" s="801"/>
    </row>
    <row r="2790" spans="2:4">
      <c r="B2790" s="22"/>
      <c r="D2790" s="801"/>
    </row>
    <row r="2791" spans="2:4">
      <c r="B2791" s="22"/>
      <c r="D2791" s="801"/>
    </row>
    <row r="2792" spans="2:4">
      <c r="B2792" s="22"/>
      <c r="D2792" s="801"/>
    </row>
    <row r="2793" spans="2:4">
      <c r="B2793" s="22"/>
      <c r="D2793" s="801"/>
    </row>
    <row r="2794" spans="2:4">
      <c r="B2794" s="22"/>
      <c r="D2794" s="801"/>
    </row>
    <row r="2795" spans="2:4">
      <c r="B2795" s="22"/>
      <c r="D2795" s="801"/>
    </row>
    <row r="2796" spans="2:4">
      <c r="B2796" s="22"/>
      <c r="D2796" s="801"/>
    </row>
    <row r="2797" spans="2:4">
      <c r="B2797" s="22"/>
      <c r="D2797" s="801"/>
    </row>
    <row r="2798" spans="2:4">
      <c r="B2798" s="22"/>
      <c r="D2798" s="801"/>
    </row>
    <row r="2799" spans="2:4">
      <c r="B2799" s="22"/>
      <c r="D2799" s="801"/>
    </row>
    <row r="2800" spans="2:4">
      <c r="B2800" s="22"/>
      <c r="D2800" s="801"/>
    </row>
    <row r="2801" spans="2:4">
      <c r="B2801" s="22"/>
      <c r="D2801" s="801"/>
    </row>
    <row r="2802" spans="2:4">
      <c r="B2802" s="22"/>
      <c r="D2802" s="801"/>
    </row>
    <row r="2803" spans="2:4">
      <c r="B2803" s="22"/>
      <c r="D2803" s="801"/>
    </row>
    <row r="2804" spans="2:4">
      <c r="B2804" s="22"/>
      <c r="D2804" s="801"/>
    </row>
    <row r="2805" spans="2:4">
      <c r="B2805" s="22"/>
      <c r="D2805" s="801"/>
    </row>
    <row r="2806" spans="2:4">
      <c r="B2806" s="22"/>
      <c r="D2806" s="801"/>
    </row>
    <row r="2807" spans="2:4">
      <c r="B2807" s="22"/>
      <c r="D2807" s="801"/>
    </row>
    <row r="2808" spans="2:4">
      <c r="B2808" s="22"/>
      <c r="D2808" s="801"/>
    </row>
    <row r="2809" spans="2:4">
      <c r="B2809" s="22"/>
      <c r="D2809" s="801"/>
    </row>
    <row r="2810" spans="2:4">
      <c r="B2810" s="22"/>
      <c r="D2810" s="801"/>
    </row>
    <row r="2811" spans="2:4">
      <c r="B2811" s="22"/>
      <c r="D2811" s="801"/>
    </row>
    <row r="2812" spans="2:4">
      <c r="B2812" s="22"/>
      <c r="D2812" s="801"/>
    </row>
    <row r="2813" spans="2:4">
      <c r="B2813" s="22"/>
      <c r="D2813" s="801"/>
    </row>
    <row r="2814" spans="2:4">
      <c r="B2814" s="22"/>
      <c r="D2814" s="801"/>
    </row>
    <row r="2815" spans="2:4">
      <c r="B2815" s="22"/>
      <c r="D2815" s="801"/>
    </row>
    <row r="2816" spans="2:4">
      <c r="B2816" s="22"/>
      <c r="D2816" s="801"/>
    </row>
    <row r="2817" spans="2:4">
      <c r="B2817" s="22"/>
      <c r="D2817" s="801"/>
    </row>
    <row r="2818" spans="2:4">
      <c r="B2818" s="22"/>
      <c r="D2818" s="801"/>
    </row>
    <row r="2819" spans="2:4">
      <c r="B2819" s="22"/>
      <c r="D2819" s="801"/>
    </row>
    <row r="2820" spans="2:4">
      <c r="B2820" s="22"/>
      <c r="D2820" s="801"/>
    </row>
    <row r="2821" spans="2:4">
      <c r="B2821" s="22"/>
      <c r="D2821" s="801"/>
    </row>
    <row r="2822" spans="2:4">
      <c r="B2822" s="22"/>
      <c r="D2822" s="801"/>
    </row>
    <row r="2823" spans="2:4">
      <c r="B2823" s="22"/>
      <c r="D2823" s="801"/>
    </row>
    <row r="2824" spans="2:4">
      <c r="B2824" s="22"/>
      <c r="D2824" s="801"/>
    </row>
    <row r="2825" spans="2:4">
      <c r="B2825" s="22"/>
      <c r="D2825" s="801"/>
    </row>
    <row r="2826" spans="2:4">
      <c r="B2826" s="22"/>
      <c r="D2826" s="801"/>
    </row>
    <row r="2827" spans="2:4">
      <c r="B2827" s="22"/>
      <c r="D2827" s="801"/>
    </row>
    <row r="2828" spans="2:4">
      <c r="B2828" s="22"/>
      <c r="D2828" s="801"/>
    </row>
    <row r="2829" spans="2:4">
      <c r="B2829" s="22"/>
      <c r="D2829" s="801"/>
    </row>
    <row r="2830" spans="2:4">
      <c r="B2830" s="22"/>
      <c r="D2830" s="801"/>
    </row>
    <row r="2831" spans="2:4">
      <c r="B2831" s="22"/>
      <c r="D2831" s="801"/>
    </row>
    <row r="2832" spans="2:4">
      <c r="B2832" s="22"/>
      <c r="D2832" s="801"/>
    </row>
    <row r="2833" spans="2:4">
      <c r="B2833" s="22"/>
      <c r="D2833" s="801"/>
    </row>
    <row r="2834" spans="2:4">
      <c r="B2834" s="22"/>
      <c r="D2834" s="801"/>
    </row>
    <row r="2835" spans="2:4">
      <c r="B2835" s="22"/>
      <c r="D2835" s="801"/>
    </row>
    <row r="2836" spans="2:4">
      <c r="B2836" s="22"/>
      <c r="D2836" s="801"/>
    </row>
    <row r="2837" spans="2:4">
      <c r="B2837" s="22"/>
      <c r="D2837" s="801"/>
    </row>
    <row r="2838" spans="2:4">
      <c r="B2838" s="22"/>
      <c r="D2838" s="801"/>
    </row>
    <row r="2839" spans="2:4">
      <c r="B2839" s="22"/>
      <c r="D2839" s="801"/>
    </row>
    <row r="2840" spans="2:4">
      <c r="B2840" s="22"/>
      <c r="D2840" s="801"/>
    </row>
    <row r="2841" spans="2:4">
      <c r="B2841" s="22"/>
      <c r="D2841" s="801"/>
    </row>
    <row r="2842" spans="2:4">
      <c r="B2842" s="22"/>
      <c r="D2842" s="801"/>
    </row>
    <row r="2843" spans="2:4">
      <c r="B2843" s="22"/>
      <c r="D2843" s="801"/>
    </row>
    <row r="2844" spans="2:4">
      <c r="B2844" s="22"/>
      <c r="D2844" s="801"/>
    </row>
    <row r="2845" spans="2:4">
      <c r="B2845" s="22"/>
      <c r="D2845" s="801"/>
    </row>
    <row r="2846" spans="2:4">
      <c r="B2846" s="22"/>
      <c r="D2846" s="801"/>
    </row>
    <row r="2847" spans="2:4">
      <c r="B2847" s="22"/>
      <c r="D2847" s="801"/>
    </row>
    <row r="2848" spans="2:4">
      <c r="B2848" s="22"/>
      <c r="D2848" s="801"/>
    </row>
    <row r="2849" spans="2:4">
      <c r="B2849" s="22"/>
      <c r="D2849" s="801"/>
    </row>
    <row r="2850" spans="2:4">
      <c r="B2850" s="22"/>
      <c r="D2850" s="801"/>
    </row>
    <row r="2851" spans="2:4">
      <c r="B2851" s="22"/>
      <c r="D2851" s="801"/>
    </row>
    <row r="2852" spans="2:4">
      <c r="B2852" s="22"/>
      <c r="D2852" s="801"/>
    </row>
    <row r="2853" spans="2:4">
      <c r="B2853" s="22"/>
      <c r="D2853" s="801"/>
    </row>
    <row r="2854" spans="2:4">
      <c r="B2854" s="22"/>
      <c r="D2854" s="801"/>
    </row>
    <row r="2855" spans="2:4">
      <c r="B2855" s="22"/>
      <c r="D2855" s="801"/>
    </row>
    <row r="2856" spans="2:4">
      <c r="B2856" s="22"/>
      <c r="D2856" s="801"/>
    </row>
    <row r="2857" spans="2:4">
      <c r="B2857" s="22"/>
      <c r="D2857" s="801"/>
    </row>
    <row r="2858" spans="2:4">
      <c r="B2858" s="22"/>
      <c r="D2858" s="801"/>
    </row>
    <row r="2859" spans="2:4">
      <c r="B2859" s="22"/>
      <c r="D2859" s="801"/>
    </row>
    <row r="2860" spans="2:4">
      <c r="B2860" s="22"/>
      <c r="D2860" s="801"/>
    </row>
    <row r="2861" spans="2:4">
      <c r="B2861" s="22"/>
      <c r="D2861" s="801"/>
    </row>
    <row r="2862" spans="2:4">
      <c r="B2862" s="22"/>
      <c r="D2862" s="801"/>
    </row>
    <row r="2863" spans="2:4">
      <c r="B2863" s="22"/>
      <c r="D2863" s="801"/>
    </row>
    <row r="2864" spans="2:4">
      <c r="B2864" s="22"/>
      <c r="D2864" s="801"/>
    </row>
    <row r="2865" spans="2:4">
      <c r="B2865" s="22"/>
      <c r="D2865" s="801"/>
    </row>
    <row r="2866" spans="2:4">
      <c r="B2866" s="22"/>
      <c r="D2866" s="801"/>
    </row>
    <row r="2867" spans="2:4">
      <c r="B2867" s="22"/>
      <c r="D2867" s="801"/>
    </row>
    <row r="2868" spans="2:4">
      <c r="B2868" s="22"/>
      <c r="D2868" s="801"/>
    </row>
    <row r="2869" spans="2:4">
      <c r="B2869" s="22"/>
      <c r="D2869" s="801"/>
    </row>
    <row r="2870" spans="2:4">
      <c r="B2870" s="22"/>
      <c r="D2870" s="801"/>
    </row>
    <row r="2871" spans="2:4">
      <c r="B2871" s="22"/>
      <c r="D2871" s="801"/>
    </row>
    <row r="2872" spans="2:4">
      <c r="B2872" s="22"/>
      <c r="D2872" s="801"/>
    </row>
    <row r="2873" spans="2:4">
      <c r="B2873" s="22"/>
      <c r="D2873" s="801"/>
    </row>
    <row r="2874" spans="2:4">
      <c r="B2874" s="22"/>
      <c r="D2874" s="801"/>
    </row>
    <row r="2875" spans="2:4">
      <c r="B2875" s="22"/>
      <c r="D2875" s="801"/>
    </row>
    <row r="2876" spans="2:4">
      <c r="B2876" s="22"/>
      <c r="D2876" s="801"/>
    </row>
    <row r="2877" spans="2:4">
      <c r="B2877" s="22"/>
      <c r="D2877" s="801"/>
    </row>
    <row r="2878" spans="2:4">
      <c r="B2878" s="22"/>
      <c r="D2878" s="801"/>
    </row>
    <row r="2879" spans="2:4">
      <c r="B2879" s="22"/>
      <c r="D2879" s="801"/>
    </row>
    <row r="2880" spans="2:4">
      <c r="B2880" s="22"/>
      <c r="D2880" s="801"/>
    </row>
    <row r="2881" spans="2:4">
      <c r="B2881" s="22"/>
      <c r="D2881" s="801"/>
    </row>
    <row r="2882" spans="2:4">
      <c r="B2882" s="22"/>
      <c r="D2882" s="801"/>
    </row>
    <row r="2883" spans="2:4">
      <c r="B2883" s="22"/>
      <c r="D2883" s="801"/>
    </row>
    <row r="2884" spans="2:4">
      <c r="B2884" s="22"/>
      <c r="D2884" s="801"/>
    </row>
    <row r="2885" spans="2:4">
      <c r="B2885" s="22"/>
      <c r="D2885" s="801"/>
    </row>
    <row r="2886" spans="2:4">
      <c r="B2886" s="22"/>
      <c r="D2886" s="801"/>
    </row>
    <row r="2887" spans="2:4">
      <c r="B2887" s="22"/>
      <c r="D2887" s="801"/>
    </row>
    <row r="2888" spans="2:4">
      <c r="B2888" s="22"/>
      <c r="D2888" s="801"/>
    </row>
    <row r="2889" spans="2:4">
      <c r="B2889" s="22"/>
      <c r="D2889" s="801"/>
    </row>
    <row r="2890" spans="2:4">
      <c r="B2890" s="22"/>
      <c r="D2890" s="801"/>
    </row>
    <row r="2891" spans="2:4">
      <c r="B2891" s="22"/>
      <c r="D2891" s="801"/>
    </row>
    <row r="2892" spans="2:4">
      <c r="B2892" s="22"/>
      <c r="D2892" s="801"/>
    </row>
    <row r="2893" spans="2:4">
      <c r="B2893" s="22"/>
      <c r="D2893" s="801"/>
    </row>
    <row r="2894" spans="2:4">
      <c r="B2894" s="22"/>
      <c r="D2894" s="801"/>
    </row>
    <row r="2895" spans="2:4">
      <c r="B2895" s="22"/>
      <c r="D2895" s="801"/>
    </row>
    <row r="2896" spans="2:4">
      <c r="B2896" s="22"/>
      <c r="D2896" s="801"/>
    </row>
    <row r="2897" spans="2:4">
      <c r="B2897" s="22"/>
      <c r="D2897" s="801"/>
    </row>
    <row r="2898" spans="2:4">
      <c r="B2898" s="22"/>
      <c r="D2898" s="801"/>
    </row>
    <row r="2899" spans="2:4">
      <c r="B2899" s="22"/>
      <c r="D2899" s="801"/>
    </row>
    <row r="2900" spans="2:4">
      <c r="B2900" s="22"/>
      <c r="D2900" s="801"/>
    </row>
    <row r="2901" spans="2:4">
      <c r="B2901" s="22"/>
      <c r="D2901" s="801"/>
    </row>
    <row r="2902" spans="2:4">
      <c r="B2902" s="22"/>
      <c r="D2902" s="801"/>
    </row>
    <row r="2903" spans="2:4">
      <c r="B2903" s="22"/>
      <c r="D2903" s="801"/>
    </row>
    <row r="2904" spans="2:4">
      <c r="B2904" s="22"/>
      <c r="D2904" s="801"/>
    </row>
    <row r="2905" spans="2:4">
      <c r="B2905" s="22"/>
      <c r="D2905" s="801"/>
    </row>
    <row r="2906" spans="2:4">
      <c r="B2906" s="22"/>
      <c r="D2906" s="801"/>
    </row>
    <row r="2907" spans="2:4">
      <c r="B2907" s="22"/>
      <c r="D2907" s="801"/>
    </row>
    <row r="2908" spans="2:4">
      <c r="B2908" s="22"/>
      <c r="D2908" s="801"/>
    </row>
    <row r="2909" spans="2:4">
      <c r="B2909" s="22"/>
      <c r="D2909" s="801"/>
    </row>
    <row r="2910" spans="2:4">
      <c r="B2910" s="22"/>
      <c r="D2910" s="801"/>
    </row>
    <row r="2911" spans="2:4">
      <c r="B2911" s="22"/>
      <c r="D2911" s="801"/>
    </row>
    <row r="2912" spans="2:4">
      <c r="B2912" s="22"/>
      <c r="D2912" s="801"/>
    </row>
    <row r="2913" spans="2:4">
      <c r="B2913" s="22"/>
      <c r="D2913" s="801"/>
    </row>
    <row r="2914" spans="2:4">
      <c r="B2914" s="22"/>
      <c r="D2914" s="801"/>
    </row>
    <row r="2915" spans="2:4">
      <c r="B2915" s="22"/>
      <c r="D2915" s="801"/>
    </row>
    <row r="2916" spans="2:4">
      <c r="B2916" s="22"/>
      <c r="D2916" s="801"/>
    </row>
    <row r="2917" spans="2:4">
      <c r="B2917" s="22"/>
      <c r="D2917" s="801"/>
    </row>
    <row r="2918" spans="2:4">
      <c r="B2918" s="22"/>
      <c r="D2918" s="801"/>
    </row>
    <row r="2919" spans="2:4">
      <c r="B2919" s="22"/>
      <c r="D2919" s="801"/>
    </row>
    <row r="2920" spans="2:4">
      <c r="B2920" s="22"/>
      <c r="D2920" s="801"/>
    </row>
    <row r="2921" spans="2:4">
      <c r="B2921" s="22"/>
      <c r="D2921" s="801"/>
    </row>
    <row r="2922" spans="2:4">
      <c r="B2922" s="22"/>
      <c r="D2922" s="801"/>
    </row>
    <row r="2923" spans="2:4">
      <c r="B2923" s="22"/>
      <c r="D2923" s="801"/>
    </row>
    <row r="2924" spans="2:4">
      <c r="B2924" s="22"/>
      <c r="D2924" s="801"/>
    </row>
    <row r="2925" spans="2:4">
      <c r="B2925" s="22"/>
      <c r="D2925" s="801"/>
    </row>
    <row r="2926" spans="2:4">
      <c r="B2926" s="22"/>
      <c r="D2926" s="801"/>
    </row>
    <row r="2927" spans="2:4">
      <c r="B2927" s="22"/>
      <c r="D2927" s="801"/>
    </row>
    <row r="2928" spans="2:4">
      <c r="B2928" s="22"/>
      <c r="D2928" s="801"/>
    </row>
    <row r="2929" spans="2:4">
      <c r="B2929" s="22"/>
      <c r="D2929" s="801"/>
    </row>
    <row r="2930" spans="2:4">
      <c r="B2930" s="22"/>
      <c r="D2930" s="801"/>
    </row>
    <row r="2931" spans="2:4">
      <c r="B2931" s="22"/>
      <c r="D2931" s="801"/>
    </row>
    <row r="2932" spans="2:4">
      <c r="B2932" s="22"/>
      <c r="D2932" s="801"/>
    </row>
    <row r="2933" spans="2:4">
      <c r="B2933" s="22"/>
      <c r="D2933" s="801"/>
    </row>
    <row r="2934" spans="2:4">
      <c r="B2934" s="22"/>
      <c r="D2934" s="801"/>
    </row>
    <row r="2935" spans="2:4">
      <c r="B2935" s="22"/>
      <c r="D2935" s="801"/>
    </row>
    <row r="2936" spans="2:4">
      <c r="B2936" s="22"/>
      <c r="D2936" s="801"/>
    </row>
    <row r="2937" spans="2:4">
      <c r="B2937" s="22"/>
      <c r="D2937" s="801"/>
    </row>
    <row r="2938" spans="2:4">
      <c r="B2938" s="22"/>
      <c r="D2938" s="801"/>
    </row>
    <row r="2939" spans="2:4">
      <c r="B2939" s="22"/>
      <c r="D2939" s="801"/>
    </row>
    <row r="2940" spans="2:4">
      <c r="B2940" s="22"/>
      <c r="D2940" s="801"/>
    </row>
    <row r="2941" spans="2:4">
      <c r="B2941" s="22"/>
      <c r="D2941" s="801"/>
    </row>
    <row r="2942" spans="2:4">
      <c r="B2942" s="22"/>
      <c r="D2942" s="801"/>
    </row>
    <row r="2943" spans="2:4">
      <c r="B2943" s="22"/>
      <c r="D2943" s="801"/>
    </row>
    <row r="2944" spans="2:4">
      <c r="B2944" s="22"/>
      <c r="D2944" s="801"/>
    </row>
    <row r="2945" spans="2:4">
      <c r="B2945" s="22"/>
      <c r="D2945" s="801"/>
    </row>
    <row r="2946" spans="2:4">
      <c r="B2946" s="22"/>
      <c r="D2946" s="801"/>
    </row>
    <row r="2947" spans="2:4">
      <c r="B2947" s="22"/>
      <c r="D2947" s="801"/>
    </row>
    <row r="2948" spans="2:4">
      <c r="B2948" s="22"/>
      <c r="D2948" s="801"/>
    </row>
    <row r="2949" spans="2:4">
      <c r="B2949" s="22"/>
      <c r="D2949" s="801"/>
    </row>
    <row r="2950" spans="2:4">
      <c r="B2950" s="22"/>
      <c r="D2950" s="801"/>
    </row>
    <row r="2951" spans="2:4">
      <c r="B2951" s="22"/>
      <c r="D2951" s="801"/>
    </row>
    <row r="2952" spans="2:4">
      <c r="B2952" s="22"/>
      <c r="D2952" s="801"/>
    </row>
    <row r="2953" spans="2:4">
      <c r="B2953" s="22"/>
      <c r="D2953" s="801"/>
    </row>
    <row r="2954" spans="2:4">
      <c r="B2954" s="22"/>
      <c r="D2954" s="801"/>
    </row>
    <row r="2955" spans="2:4">
      <c r="B2955" s="22"/>
      <c r="D2955" s="801"/>
    </row>
    <row r="2956" spans="2:4">
      <c r="B2956" s="22"/>
      <c r="D2956" s="801"/>
    </row>
    <row r="2957" spans="2:4">
      <c r="B2957" s="22"/>
      <c r="D2957" s="801"/>
    </row>
    <row r="2958" spans="2:4">
      <c r="B2958" s="22"/>
      <c r="D2958" s="801"/>
    </row>
    <row r="2959" spans="2:4">
      <c r="B2959" s="22"/>
      <c r="D2959" s="801"/>
    </row>
    <row r="2960" spans="2:4">
      <c r="B2960" s="22"/>
      <c r="D2960" s="801"/>
    </row>
    <row r="2961" spans="2:4">
      <c r="B2961" s="22"/>
      <c r="D2961" s="801"/>
    </row>
    <row r="2962" spans="2:4">
      <c r="B2962" s="22"/>
      <c r="D2962" s="801"/>
    </row>
    <row r="2963" spans="2:4">
      <c r="B2963" s="22"/>
      <c r="D2963" s="801"/>
    </row>
    <row r="2964" spans="2:4">
      <c r="B2964" s="22"/>
      <c r="D2964" s="801"/>
    </row>
    <row r="2965" spans="2:4">
      <c r="B2965" s="22"/>
      <c r="D2965" s="801"/>
    </row>
    <row r="2966" spans="2:4">
      <c r="B2966" s="22"/>
      <c r="D2966" s="801"/>
    </row>
    <row r="2967" spans="2:4">
      <c r="B2967" s="22"/>
      <c r="D2967" s="801"/>
    </row>
    <row r="2968" spans="2:4">
      <c r="B2968" s="22"/>
      <c r="D2968" s="801"/>
    </row>
    <row r="2969" spans="2:4">
      <c r="B2969" s="22"/>
      <c r="D2969" s="801"/>
    </row>
    <row r="2970" spans="2:4">
      <c r="B2970" s="22"/>
      <c r="D2970" s="801"/>
    </row>
    <row r="2971" spans="2:4">
      <c r="B2971" s="22"/>
      <c r="D2971" s="801"/>
    </row>
    <row r="2972" spans="2:4">
      <c r="B2972" s="22"/>
      <c r="D2972" s="801"/>
    </row>
    <row r="2973" spans="2:4">
      <c r="B2973" s="22"/>
      <c r="D2973" s="801"/>
    </row>
    <row r="2974" spans="2:4">
      <c r="B2974" s="22"/>
      <c r="D2974" s="801"/>
    </row>
    <row r="2975" spans="2:4">
      <c r="B2975" s="22"/>
      <c r="D2975" s="801"/>
    </row>
    <row r="2976" spans="2:4">
      <c r="B2976" s="22"/>
      <c r="D2976" s="801"/>
    </row>
    <row r="2977" spans="2:4">
      <c r="B2977" s="22"/>
      <c r="D2977" s="801"/>
    </row>
    <row r="2978" spans="2:4">
      <c r="B2978" s="22"/>
      <c r="D2978" s="801"/>
    </row>
    <row r="2979" spans="2:4">
      <c r="B2979" s="22"/>
      <c r="D2979" s="801"/>
    </row>
    <row r="2980" spans="2:4">
      <c r="B2980" s="22"/>
      <c r="D2980" s="801"/>
    </row>
    <row r="2981" spans="2:4">
      <c r="B2981" s="22"/>
      <c r="D2981" s="801"/>
    </row>
    <row r="2982" spans="2:4">
      <c r="B2982" s="22"/>
      <c r="D2982" s="801"/>
    </row>
    <row r="2983" spans="2:4">
      <c r="B2983" s="22"/>
      <c r="D2983" s="801"/>
    </row>
    <row r="2984" spans="2:4">
      <c r="B2984" s="22"/>
      <c r="D2984" s="801"/>
    </row>
    <row r="2985" spans="2:4">
      <c r="B2985" s="22"/>
      <c r="D2985" s="801"/>
    </row>
    <row r="2986" spans="2:4">
      <c r="B2986" s="22"/>
      <c r="D2986" s="801"/>
    </row>
    <row r="2987" spans="2:4">
      <c r="B2987" s="22"/>
      <c r="D2987" s="801"/>
    </row>
    <row r="2988" spans="2:4">
      <c r="B2988" s="22"/>
      <c r="D2988" s="801"/>
    </row>
    <row r="2989" spans="2:4">
      <c r="B2989" s="22"/>
      <c r="D2989" s="801"/>
    </row>
    <row r="2990" spans="2:4">
      <c r="B2990" s="22"/>
      <c r="D2990" s="801"/>
    </row>
    <row r="2991" spans="2:4">
      <c r="B2991" s="22"/>
      <c r="D2991" s="801"/>
    </row>
    <row r="2992" spans="2:4">
      <c r="B2992" s="22"/>
      <c r="D2992" s="801"/>
    </row>
    <row r="2993" spans="2:4">
      <c r="B2993" s="22"/>
      <c r="D2993" s="801"/>
    </row>
    <row r="2994" spans="2:4">
      <c r="B2994" s="22"/>
      <c r="D2994" s="801"/>
    </row>
    <row r="2995" spans="2:4">
      <c r="B2995" s="22"/>
      <c r="D2995" s="801"/>
    </row>
    <row r="2996" spans="2:4">
      <c r="B2996" s="22"/>
      <c r="D2996" s="801"/>
    </row>
    <row r="2997" spans="2:4">
      <c r="B2997" s="22"/>
      <c r="D2997" s="801"/>
    </row>
    <row r="2998" spans="2:4">
      <c r="B2998" s="22"/>
      <c r="D2998" s="801"/>
    </row>
    <row r="2999" spans="2:4">
      <c r="B2999" s="22"/>
      <c r="D2999" s="801"/>
    </row>
    <row r="3000" spans="2:4">
      <c r="B3000" s="22"/>
      <c r="D3000" s="801"/>
    </row>
    <row r="3001" spans="2:4">
      <c r="B3001" s="22"/>
      <c r="D3001" s="801"/>
    </row>
    <row r="3002" spans="2:4">
      <c r="B3002" s="22"/>
      <c r="D3002" s="801"/>
    </row>
    <row r="3003" spans="2:4">
      <c r="B3003" s="22"/>
      <c r="D3003" s="801"/>
    </row>
    <row r="3004" spans="2:4">
      <c r="B3004" s="22"/>
      <c r="D3004" s="801"/>
    </row>
    <row r="3005" spans="2:4">
      <c r="B3005" s="22"/>
      <c r="D3005" s="801"/>
    </row>
    <row r="3006" spans="2:4">
      <c r="B3006" s="22"/>
      <c r="D3006" s="801"/>
    </row>
    <row r="3007" spans="2:4">
      <c r="B3007" s="22"/>
      <c r="D3007" s="801"/>
    </row>
    <row r="3008" spans="2:4">
      <c r="B3008" s="22"/>
      <c r="D3008" s="801"/>
    </row>
    <row r="3009" spans="2:4">
      <c r="B3009" s="22"/>
      <c r="D3009" s="801"/>
    </row>
    <row r="3010" spans="2:4">
      <c r="B3010" s="22"/>
      <c r="D3010" s="801"/>
    </row>
    <row r="3011" spans="2:4">
      <c r="B3011" s="22"/>
      <c r="D3011" s="801"/>
    </row>
    <row r="3012" spans="2:4">
      <c r="B3012" s="22"/>
      <c r="D3012" s="801"/>
    </row>
    <row r="3013" spans="2:4">
      <c r="B3013" s="22"/>
      <c r="D3013" s="801"/>
    </row>
    <row r="3014" spans="2:4">
      <c r="B3014" s="22"/>
      <c r="D3014" s="801"/>
    </row>
    <row r="3015" spans="2:4">
      <c r="B3015" s="22"/>
      <c r="D3015" s="801"/>
    </row>
    <row r="3016" spans="2:4">
      <c r="B3016" s="22"/>
      <c r="D3016" s="801"/>
    </row>
    <row r="3017" spans="2:4">
      <c r="B3017" s="22"/>
      <c r="D3017" s="801"/>
    </row>
    <row r="3018" spans="2:4">
      <c r="B3018" s="22"/>
      <c r="D3018" s="801"/>
    </row>
    <row r="3019" spans="2:4">
      <c r="B3019" s="22"/>
      <c r="D3019" s="801"/>
    </row>
    <row r="3020" spans="2:4">
      <c r="B3020" s="22"/>
      <c r="D3020" s="801"/>
    </row>
    <row r="3021" spans="2:4">
      <c r="B3021" s="22"/>
      <c r="D3021" s="801"/>
    </row>
    <row r="3022" spans="2:4">
      <c r="B3022" s="22"/>
      <c r="D3022" s="801"/>
    </row>
    <row r="3023" spans="2:4">
      <c r="B3023" s="22"/>
      <c r="D3023" s="801"/>
    </row>
    <row r="3024" spans="2:4">
      <c r="B3024" s="22"/>
      <c r="D3024" s="801"/>
    </row>
    <row r="3025" spans="2:4">
      <c r="B3025" s="22"/>
      <c r="D3025" s="801"/>
    </row>
    <row r="3026" spans="2:4">
      <c r="B3026" s="22"/>
      <c r="D3026" s="801"/>
    </row>
    <row r="3027" spans="2:4">
      <c r="B3027" s="22"/>
      <c r="D3027" s="801"/>
    </row>
    <row r="3028" spans="2:4">
      <c r="B3028" s="22"/>
      <c r="D3028" s="801"/>
    </row>
    <row r="3029" spans="2:4">
      <c r="B3029" s="22"/>
      <c r="D3029" s="801"/>
    </row>
    <row r="3030" spans="2:4">
      <c r="B3030" s="22"/>
      <c r="D3030" s="801"/>
    </row>
    <row r="3031" spans="2:4">
      <c r="B3031" s="22"/>
      <c r="D3031" s="801"/>
    </row>
    <row r="3032" spans="2:4">
      <c r="B3032" s="22"/>
      <c r="D3032" s="801"/>
    </row>
    <row r="3033" spans="2:4">
      <c r="B3033" s="22"/>
      <c r="D3033" s="801"/>
    </row>
    <row r="3034" spans="2:4">
      <c r="B3034" s="22"/>
      <c r="D3034" s="801"/>
    </row>
    <row r="3035" spans="2:4">
      <c r="B3035" s="22"/>
      <c r="D3035" s="801"/>
    </row>
    <row r="3036" spans="2:4">
      <c r="B3036" s="22"/>
      <c r="D3036" s="801"/>
    </row>
    <row r="3037" spans="2:4">
      <c r="B3037" s="22"/>
      <c r="D3037" s="801"/>
    </row>
    <row r="3038" spans="2:4">
      <c r="B3038" s="22"/>
      <c r="D3038" s="801"/>
    </row>
    <row r="3039" spans="2:4">
      <c r="B3039" s="22"/>
      <c r="D3039" s="801"/>
    </row>
    <row r="3040" spans="2:4">
      <c r="B3040" s="22"/>
      <c r="D3040" s="801"/>
    </row>
    <row r="3041" spans="2:4">
      <c r="B3041" s="22"/>
      <c r="D3041" s="801"/>
    </row>
    <row r="3042" spans="2:4">
      <c r="B3042" s="22"/>
      <c r="D3042" s="801"/>
    </row>
    <row r="3043" spans="2:4">
      <c r="B3043" s="22"/>
      <c r="D3043" s="801"/>
    </row>
    <row r="3044" spans="2:4">
      <c r="B3044" s="22"/>
      <c r="D3044" s="801"/>
    </row>
    <row r="3045" spans="2:4">
      <c r="B3045" s="22"/>
      <c r="D3045" s="801"/>
    </row>
    <row r="3046" spans="2:4">
      <c r="B3046" s="22"/>
      <c r="D3046" s="801"/>
    </row>
    <row r="3047" spans="2:4">
      <c r="B3047" s="22"/>
      <c r="D3047" s="801"/>
    </row>
    <row r="3048" spans="2:4">
      <c r="B3048" s="22"/>
      <c r="D3048" s="801"/>
    </row>
    <row r="3049" spans="2:4">
      <c r="B3049" s="22"/>
      <c r="D3049" s="801"/>
    </row>
    <row r="3050" spans="2:4">
      <c r="B3050" s="22"/>
      <c r="D3050" s="801"/>
    </row>
    <row r="3051" spans="2:4">
      <c r="B3051" s="22"/>
      <c r="D3051" s="801"/>
    </row>
    <row r="3052" spans="2:4">
      <c r="B3052" s="22"/>
      <c r="D3052" s="801"/>
    </row>
    <row r="3053" spans="2:4">
      <c r="B3053" s="22"/>
      <c r="D3053" s="801"/>
    </row>
    <row r="3054" spans="2:4">
      <c r="B3054" s="22"/>
      <c r="D3054" s="801"/>
    </row>
    <row r="3055" spans="2:4">
      <c r="B3055" s="22"/>
      <c r="D3055" s="801"/>
    </row>
    <row r="3056" spans="2:4">
      <c r="B3056" s="22"/>
      <c r="D3056" s="801"/>
    </row>
    <row r="3057" spans="2:4">
      <c r="B3057" s="22"/>
      <c r="D3057" s="801"/>
    </row>
    <row r="3058" spans="2:4">
      <c r="B3058" s="22"/>
      <c r="D3058" s="801"/>
    </row>
    <row r="3059" spans="2:4">
      <c r="B3059" s="22"/>
      <c r="D3059" s="801"/>
    </row>
    <row r="3060" spans="2:4">
      <c r="B3060" s="22"/>
      <c r="D3060" s="801"/>
    </row>
    <row r="3061" spans="2:4">
      <c r="B3061" s="22"/>
      <c r="D3061" s="801"/>
    </row>
    <row r="3062" spans="2:4">
      <c r="B3062" s="22"/>
      <c r="D3062" s="801"/>
    </row>
    <row r="3063" spans="2:4">
      <c r="B3063" s="22"/>
      <c r="D3063" s="801"/>
    </row>
    <row r="3064" spans="2:4">
      <c r="B3064" s="22"/>
      <c r="D3064" s="801"/>
    </row>
    <row r="3065" spans="2:4">
      <c r="B3065" s="22"/>
      <c r="D3065" s="801"/>
    </row>
    <row r="3066" spans="2:4">
      <c r="B3066" s="22"/>
      <c r="D3066" s="801"/>
    </row>
    <row r="3067" spans="2:4">
      <c r="B3067" s="22"/>
      <c r="D3067" s="801"/>
    </row>
    <row r="3068" spans="2:4">
      <c r="B3068" s="22"/>
      <c r="D3068" s="801"/>
    </row>
    <row r="3069" spans="2:4">
      <c r="B3069" s="22"/>
      <c r="D3069" s="801"/>
    </row>
    <row r="3070" spans="2:4">
      <c r="B3070" s="22"/>
      <c r="D3070" s="801"/>
    </row>
    <row r="3071" spans="2:4">
      <c r="B3071" s="22"/>
      <c r="D3071" s="801"/>
    </row>
    <row r="3072" spans="2:4">
      <c r="B3072" s="22"/>
      <c r="D3072" s="801"/>
    </row>
    <row r="3073" spans="2:4">
      <c r="B3073" s="22"/>
      <c r="D3073" s="801"/>
    </row>
    <row r="3074" spans="2:4">
      <c r="B3074" s="22"/>
      <c r="D3074" s="801"/>
    </row>
    <row r="3075" spans="2:4">
      <c r="B3075" s="22"/>
      <c r="D3075" s="801"/>
    </row>
    <row r="3076" spans="2:4">
      <c r="B3076" s="22"/>
      <c r="D3076" s="801"/>
    </row>
    <row r="3077" spans="2:4">
      <c r="B3077" s="22"/>
      <c r="D3077" s="801"/>
    </row>
    <row r="3078" spans="2:4">
      <c r="B3078" s="22"/>
      <c r="D3078" s="801"/>
    </row>
    <row r="3079" spans="2:4">
      <c r="B3079" s="22"/>
      <c r="D3079" s="801"/>
    </row>
    <row r="3080" spans="2:4">
      <c r="B3080" s="22"/>
      <c r="D3080" s="801"/>
    </row>
    <row r="3081" spans="2:4">
      <c r="B3081" s="22"/>
      <c r="D3081" s="801"/>
    </row>
    <row r="3082" spans="2:4">
      <c r="B3082" s="22"/>
      <c r="D3082" s="801"/>
    </row>
    <row r="3083" spans="2:4">
      <c r="B3083" s="22"/>
      <c r="D3083" s="801"/>
    </row>
    <row r="3084" spans="2:4">
      <c r="B3084" s="22"/>
      <c r="D3084" s="801"/>
    </row>
    <row r="3085" spans="2:4">
      <c r="B3085" s="22"/>
      <c r="D3085" s="801"/>
    </row>
    <row r="3086" spans="2:4">
      <c r="B3086" s="22"/>
      <c r="D3086" s="801"/>
    </row>
    <row r="3087" spans="2:4">
      <c r="B3087" s="22"/>
      <c r="D3087" s="801"/>
    </row>
    <row r="3088" spans="2:4">
      <c r="B3088" s="22"/>
      <c r="D3088" s="801"/>
    </row>
    <row r="3089" spans="2:4">
      <c r="B3089" s="22"/>
      <c r="D3089" s="801"/>
    </row>
    <row r="3090" spans="2:4">
      <c r="B3090" s="22"/>
      <c r="D3090" s="801"/>
    </row>
    <row r="3091" spans="2:4">
      <c r="B3091" s="22"/>
      <c r="D3091" s="801"/>
    </row>
    <row r="3092" spans="2:4">
      <c r="B3092" s="22"/>
      <c r="D3092" s="801"/>
    </row>
    <row r="3093" spans="2:4">
      <c r="B3093" s="22"/>
      <c r="D3093" s="801"/>
    </row>
    <row r="3094" spans="2:4">
      <c r="B3094" s="22"/>
      <c r="D3094" s="801"/>
    </row>
    <row r="3095" spans="2:4">
      <c r="B3095" s="22"/>
      <c r="D3095" s="801"/>
    </row>
    <row r="3096" spans="2:4">
      <c r="B3096" s="22"/>
      <c r="D3096" s="801"/>
    </row>
    <row r="3097" spans="2:4">
      <c r="B3097" s="22"/>
      <c r="D3097" s="801"/>
    </row>
    <row r="3098" spans="2:4">
      <c r="B3098" s="22"/>
      <c r="D3098" s="801"/>
    </row>
    <row r="3099" spans="2:4">
      <c r="B3099" s="22"/>
      <c r="D3099" s="801"/>
    </row>
    <row r="3100" spans="2:4">
      <c r="B3100" s="22"/>
      <c r="D3100" s="801"/>
    </row>
    <row r="3101" spans="2:4">
      <c r="B3101" s="22"/>
      <c r="D3101" s="801"/>
    </row>
    <row r="3102" spans="2:4">
      <c r="B3102" s="22"/>
      <c r="D3102" s="801"/>
    </row>
    <row r="3103" spans="2:4">
      <c r="B3103" s="22"/>
      <c r="D3103" s="801"/>
    </row>
    <row r="3104" spans="2:4">
      <c r="B3104" s="22"/>
      <c r="D3104" s="801"/>
    </row>
    <row r="3105" spans="2:4">
      <c r="B3105" s="22"/>
      <c r="D3105" s="801"/>
    </row>
    <row r="3106" spans="2:4">
      <c r="B3106" s="22"/>
      <c r="D3106" s="801"/>
    </row>
    <row r="3107" spans="2:4">
      <c r="B3107" s="22"/>
      <c r="D3107" s="801"/>
    </row>
    <row r="3108" spans="2:4">
      <c r="B3108" s="22"/>
      <c r="D3108" s="801"/>
    </row>
    <row r="3109" spans="2:4">
      <c r="B3109" s="22"/>
      <c r="D3109" s="801"/>
    </row>
    <row r="3110" spans="2:4">
      <c r="B3110" s="22"/>
      <c r="D3110" s="801"/>
    </row>
    <row r="3111" spans="2:4">
      <c r="B3111" s="22"/>
      <c r="D3111" s="801"/>
    </row>
    <row r="3112" spans="2:4">
      <c r="B3112" s="22"/>
      <c r="D3112" s="801"/>
    </row>
    <row r="3113" spans="2:4">
      <c r="B3113" s="22"/>
      <c r="D3113" s="801"/>
    </row>
    <row r="3114" spans="2:4">
      <c r="B3114" s="22"/>
      <c r="D3114" s="801"/>
    </row>
    <row r="3115" spans="2:4">
      <c r="B3115" s="22"/>
      <c r="D3115" s="801"/>
    </row>
    <row r="3116" spans="2:4">
      <c r="B3116" s="22"/>
      <c r="D3116" s="801"/>
    </row>
    <row r="3117" spans="2:4">
      <c r="B3117" s="22"/>
      <c r="D3117" s="801"/>
    </row>
    <row r="3118" spans="2:4">
      <c r="B3118" s="22"/>
      <c r="D3118" s="801"/>
    </row>
    <row r="3119" spans="2:4">
      <c r="B3119" s="22"/>
      <c r="D3119" s="801"/>
    </row>
    <row r="3120" spans="2:4">
      <c r="B3120" s="22"/>
      <c r="D3120" s="801"/>
    </row>
    <row r="3121" spans="2:4">
      <c r="B3121" s="22"/>
      <c r="D3121" s="801"/>
    </row>
    <row r="3122" spans="2:4">
      <c r="B3122" s="22"/>
      <c r="D3122" s="801"/>
    </row>
    <row r="3123" spans="2:4">
      <c r="B3123" s="22"/>
      <c r="D3123" s="801"/>
    </row>
    <row r="3124" spans="2:4">
      <c r="B3124" s="22"/>
      <c r="D3124" s="801"/>
    </row>
    <row r="3125" spans="2:4">
      <c r="B3125" s="22"/>
      <c r="D3125" s="801"/>
    </row>
    <row r="3126" spans="2:4">
      <c r="B3126" s="22"/>
      <c r="D3126" s="801"/>
    </row>
    <row r="3127" spans="2:4">
      <c r="B3127" s="22"/>
      <c r="D3127" s="801"/>
    </row>
    <row r="3128" spans="2:4">
      <c r="B3128" s="22"/>
      <c r="D3128" s="801"/>
    </row>
    <row r="3129" spans="2:4">
      <c r="B3129" s="22"/>
      <c r="D3129" s="801"/>
    </row>
    <row r="3130" spans="2:4">
      <c r="B3130" s="22"/>
      <c r="D3130" s="801"/>
    </row>
    <row r="3131" spans="2:4">
      <c r="B3131" s="22"/>
      <c r="D3131" s="801"/>
    </row>
    <row r="3132" spans="2:4">
      <c r="B3132" s="22"/>
      <c r="D3132" s="801"/>
    </row>
    <row r="3133" spans="2:4">
      <c r="B3133" s="22"/>
      <c r="D3133" s="801"/>
    </row>
    <row r="3134" spans="2:4">
      <c r="B3134" s="22"/>
      <c r="D3134" s="801"/>
    </row>
    <row r="3135" spans="2:4">
      <c r="B3135" s="22"/>
      <c r="D3135" s="801"/>
    </row>
    <row r="3136" spans="2:4">
      <c r="B3136" s="22"/>
      <c r="D3136" s="801"/>
    </row>
    <row r="3137" spans="2:4">
      <c r="B3137" s="22"/>
      <c r="D3137" s="801"/>
    </row>
    <row r="3138" spans="2:4">
      <c r="B3138" s="22"/>
      <c r="D3138" s="801"/>
    </row>
    <row r="3139" spans="2:4">
      <c r="B3139" s="22"/>
      <c r="D3139" s="801"/>
    </row>
    <row r="3140" spans="2:4">
      <c r="B3140" s="22"/>
      <c r="D3140" s="801"/>
    </row>
    <row r="3141" spans="2:4">
      <c r="B3141" s="22"/>
      <c r="D3141" s="801"/>
    </row>
    <row r="3142" spans="2:4">
      <c r="B3142" s="22"/>
      <c r="D3142" s="801"/>
    </row>
    <row r="3143" spans="2:4">
      <c r="B3143" s="22"/>
      <c r="D3143" s="801"/>
    </row>
    <row r="3144" spans="2:4">
      <c r="B3144" s="22"/>
      <c r="D3144" s="801"/>
    </row>
    <row r="3145" spans="2:4">
      <c r="B3145" s="22"/>
      <c r="D3145" s="801"/>
    </row>
    <row r="3146" spans="2:4">
      <c r="B3146" s="22"/>
      <c r="D3146" s="801"/>
    </row>
    <row r="3147" spans="2:4">
      <c r="B3147" s="22"/>
      <c r="D3147" s="801"/>
    </row>
    <row r="3148" spans="2:4">
      <c r="B3148" s="22"/>
      <c r="D3148" s="801"/>
    </row>
    <row r="3149" spans="2:4">
      <c r="B3149" s="22"/>
      <c r="D3149" s="801"/>
    </row>
    <row r="3150" spans="2:4">
      <c r="B3150" s="22"/>
      <c r="D3150" s="801"/>
    </row>
    <row r="3151" spans="2:4">
      <c r="B3151" s="22"/>
      <c r="D3151" s="801"/>
    </row>
    <row r="3152" spans="2:4">
      <c r="B3152" s="22"/>
      <c r="D3152" s="801"/>
    </row>
    <row r="3153" spans="2:4">
      <c r="B3153" s="22"/>
      <c r="D3153" s="801"/>
    </row>
    <row r="3154" spans="2:4">
      <c r="B3154" s="22"/>
      <c r="D3154" s="801"/>
    </row>
    <row r="3155" spans="2:4">
      <c r="B3155" s="22"/>
      <c r="D3155" s="801"/>
    </row>
    <row r="3156" spans="2:4">
      <c r="B3156" s="22"/>
      <c r="D3156" s="801"/>
    </row>
    <row r="3157" spans="2:4">
      <c r="B3157" s="22"/>
      <c r="D3157" s="801"/>
    </row>
    <row r="3158" spans="2:4">
      <c r="B3158" s="22"/>
      <c r="D3158" s="801"/>
    </row>
    <row r="3159" spans="2:4">
      <c r="B3159" s="22"/>
      <c r="D3159" s="801"/>
    </row>
    <row r="3160" spans="2:4">
      <c r="B3160" s="22"/>
      <c r="D3160" s="801"/>
    </row>
    <row r="3161" spans="2:4">
      <c r="B3161" s="22"/>
      <c r="D3161" s="801"/>
    </row>
    <row r="3162" spans="2:4">
      <c r="B3162" s="22"/>
      <c r="D3162" s="801"/>
    </row>
    <row r="3163" spans="2:4">
      <c r="B3163" s="22"/>
      <c r="D3163" s="801"/>
    </row>
    <row r="3164" spans="2:4">
      <c r="B3164" s="22"/>
      <c r="D3164" s="801"/>
    </row>
    <row r="3165" spans="2:4">
      <c r="B3165" s="22"/>
      <c r="D3165" s="801"/>
    </row>
    <row r="3166" spans="2:4">
      <c r="B3166" s="22"/>
      <c r="D3166" s="801"/>
    </row>
    <row r="3167" spans="2:4">
      <c r="B3167" s="22"/>
      <c r="D3167" s="801"/>
    </row>
    <row r="3168" spans="2:4">
      <c r="B3168" s="22"/>
      <c r="D3168" s="801"/>
    </row>
    <row r="3169" spans="2:4">
      <c r="B3169" s="22"/>
      <c r="D3169" s="801"/>
    </row>
    <row r="3170" spans="2:4">
      <c r="B3170" s="22"/>
      <c r="D3170" s="801"/>
    </row>
    <row r="3171" spans="2:4">
      <c r="B3171" s="22"/>
      <c r="D3171" s="801"/>
    </row>
    <row r="3172" spans="2:4">
      <c r="B3172" s="22"/>
      <c r="D3172" s="801"/>
    </row>
    <row r="3173" spans="2:4">
      <c r="B3173" s="22"/>
      <c r="D3173" s="801"/>
    </row>
    <row r="3174" spans="2:4">
      <c r="B3174" s="22"/>
      <c r="D3174" s="801"/>
    </row>
    <row r="3175" spans="2:4">
      <c r="B3175" s="22"/>
      <c r="D3175" s="801"/>
    </row>
    <row r="3176" spans="2:4">
      <c r="B3176" s="22"/>
      <c r="D3176" s="801"/>
    </row>
    <row r="3177" spans="2:4">
      <c r="B3177" s="22"/>
      <c r="D3177" s="801"/>
    </row>
    <row r="3178" spans="2:4">
      <c r="B3178" s="22"/>
      <c r="D3178" s="801"/>
    </row>
    <row r="3179" spans="2:4">
      <c r="B3179" s="22"/>
      <c r="D3179" s="801"/>
    </row>
    <row r="3180" spans="2:4">
      <c r="B3180" s="22"/>
      <c r="D3180" s="801"/>
    </row>
    <row r="3181" spans="2:4">
      <c r="B3181" s="22"/>
      <c r="D3181" s="801"/>
    </row>
    <row r="3182" spans="2:4">
      <c r="B3182" s="22"/>
      <c r="D3182" s="801"/>
    </row>
    <row r="3183" spans="2:4">
      <c r="B3183" s="22"/>
      <c r="D3183" s="801"/>
    </row>
    <row r="3184" spans="2:4">
      <c r="B3184" s="22"/>
      <c r="D3184" s="801"/>
    </row>
    <row r="3185" spans="2:4">
      <c r="B3185" s="22"/>
      <c r="D3185" s="801"/>
    </row>
    <row r="3186" spans="2:4">
      <c r="B3186" s="22"/>
      <c r="D3186" s="801"/>
    </row>
    <row r="3187" spans="2:4">
      <c r="B3187" s="22"/>
      <c r="D3187" s="801"/>
    </row>
    <row r="3188" spans="2:4">
      <c r="B3188" s="22"/>
      <c r="D3188" s="801"/>
    </row>
    <row r="3189" spans="2:4">
      <c r="B3189" s="22"/>
      <c r="D3189" s="801"/>
    </row>
    <row r="3190" spans="2:4">
      <c r="B3190" s="22"/>
      <c r="D3190" s="801"/>
    </row>
    <row r="3191" spans="2:4">
      <c r="B3191" s="22"/>
      <c r="D3191" s="801"/>
    </row>
    <row r="3192" spans="2:4">
      <c r="B3192" s="22"/>
      <c r="D3192" s="801"/>
    </row>
    <row r="3193" spans="2:4">
      <c r="B3193" s="22"/>
      <c r="D3193" s="801"/>
    </row>
    <row r="3194" spans="2:4">
      <c r="B3194" s="22"/>
      <c r="D3194" s="801"/>
    </row>
    <row r="3195" spans="2:4">
      <c r="B3195" s="22"/>
      <c r="D3195" s="801"/>
    </row>
    <row r="3196" spans="2:4">
      <c r="B3196" s="22"/>
      <c r="D3196" s="801"/>
    </row>
    <row r="3197" spans="2:4">
      <c r="B3197" s="22"/>
      <c r="D3197" s="801"/>
    </row>
    <row r="3198" spans="2:4">
      <c r="B3198" s="22"/>
      <c r="D3198" s="801"/>
    </row>
    <row r="3199" spans="2:4">
      <c r="B3199" s="22"/>
      <c r="D3199" s="801"/>
    </row>
    <row r="3200" spans="2:4">
      <c r="B3200" s="22"/>
      <c r="D3200" s="801"/>
    </row>
    <row r="3201" spans="2:4">
      <c r="B3201" s="22"/>
      <c r="D3201" s="801"/>
    </row>
    <row r="3202" spans="2:4">
      <c r="B3202" s="22"/>
      <c r="D3202" s="801"/>
    </row>
    <row r="3203" spans="2:4">
      <c r="B3203" s="22"/>
      <c r="D3203" s="801"/>
    </row>
    <row r="3204" spans="2:4">
      <c r="B3204" s="22"/>
      <c r="D3204" s="801"/>
    </row>
    <row r="3205" spans="2:4">
      <c r="B3205" s="22"/>
      <c r="D3205" s="801"/>
    </row>
    <row r="3206" spans="2:4">
      <c r="B3206" s="22"/>
      <c r="D3206" s="801"/>
    </row>
    <row r="3207" spans="2:4">
      <c r="B3207" s="22"/>
      <c r="D3207" s="801"/>
    </row>
    <row r="3208" spans="2:4">
      <c r="B3208" s="22"/>
      <c r="D3208" s="801"/>
    </row>
    <row r="3209" spans="2:4">
      <c r="B3209" s="22"/>
      <c r="D3209" s="801"/>
    </row>
    <row r="3210" spans="2:4">
      <c r="B3210" s="22"/>
      <c r="D3210" s="801"/>
    </row>
    <row r="3211" spans="2:4">
      <c r="B3211" s="22"/>
      <c r="D3211" s="801"/>
    </row>
    <row r="3212" spans="2:4">
      <c r="B3212" s="22"/>
      <c r="D3212" s="801"/>
    </row>
    <row r="3213" spans="2:4">
      <c r="B3213" s="22"/>
      <c r="D3213" s="801"/>
    </row>
    <row r="3214" spans="2:4">
      <c r="B3214" s="22"/>
      <c r="D3214" s="801"/>
    </row>
    <row r="3215" spans="2:4">
      <c r="B3215" s="22"/>
      <c r="D3215" s="801"/>
    </row>
    <row r="3216" spans="2:4">
      <c r="B3216" s="22"/>
      <c r="D3216" s="801"/>
    </row>
    <row r="3217" spans="2:4">
      <c r="B3217" s="22"/>
      <c r="D3217" s="801"/>
    </row>
    <row r="3218" spans="2:4">
      <c r="B3218" s="22"/>
      <c r="D3218" s="801"/>
    </row>
    <row r="3219" spans="2:4">
      <c r="B3219" s="22"/>
      <c r="D3219" s="801"/>
    </row>
    <row r="3220" spans="2:4">
      <c r="B3220" s="22"/>
      <c r="D3220" s="801"/>
    </row>
    <row r="3221" spans="2:4">
      <c r="B3221" s="22"/>
      <c r="D3221" s="801"/>
    </row>
    <row r="3222" spans="2:4">
      <c r="B3222" s="22"/>
      <c r="D3222" s="801"/>
    </row>
    <row r="3223" spans="2:4">
      <c r="B3223" s="22"/>
      <c r="D3223" s="801"/>
    </row>
    <row r="3224" spans="2:4">
      <c r="B3224" s="22"/>
      <c r="D3224" s="801"/>
    </row>
    <row r="3225" spans="2:4">
      <c r="B3225" s="22"/>
      <c r="D3225" s="801"/>
    </row>
    <row r="3226" spans="2:4">
      <c r="B3226" s="22"/>
      <c r="D3226" s="801"/>
    </row>
    <row r="3227" spans="2:4">
      <c r="B3227" s="22"/>
      <c r="D3227" s="801"/>
    </row>
    <row r="3228" spans="2:4">
      <c r="B3228" s="22"/>
      <c r="D3228" s="801"/>
    </row>
    <row r="3229" spans="2:4">
      <c r="B3229" s="22"/>
      <c r="D3229" s="801"/>
    </row>
    <row r="3230" spans="2:4">
      <c r="B3230" s="22"/>
      <c r="D3230" s="801"/>
    </row>
    <row r="3231" spans="2:4">
      <c r="B3231" s="22"/>
      <c r="D3231" s="801"/>
    </row>
    <row r="3232" spans="2:4">
      <c r="B3232" s="22"/>
      <c r="D3232" s="801"/>
    </row>
    <row r="3233" spans="2:4">
      <c r="B3233" s="22"/>
      <c r="D3233" s="801"/>
    </row>
    <row r="3234" spans="2:4">
      <c r="B3234" s="22"/>
      <c r="D3234" s="801"/>
    </row>
    <row r="3235" spans="2:4">
      <c r="B3235" s="22"/>
      <c r="D3235" s="801"/>
    </row>
    <row r="3236" spans="2:4">
      <c r="B3236" s="22"/>
      <c r="D3236" s="801"/>
    </row>
    <row r="3237" spans="2:4">
      <c r="B3237" s="22"/>
      <c r="D3237" s="801"/>
    </row>
    <row r="3238" spans="2:4">
      <c r="B3238" s="22"/>
      <c r="D3238" s="801"/>
    </row>
    <row r="3239" spans="2:4">
      <c r="B3239" s="22"/>
      <c r="D3239" s="801"/>
    </row>
    <row r="3240" spans="2:4">
      <c r="B3240" s="22"/>
      <c r="D3240" s="801"/>
    </row>
    <row r="3241" spans="2:4">
      <c r="B3241" s="22"/>
      <c r="D3241" s="801"/>
    </row>
    <row r="3242" spans="2:4">
      <c r="B3242" s="22"/>
      <c r="D3242" s="801"/>
    </row>
    <row r="3243" spans="2:4">
      <c r="B3243" s="22"/>
      <c r="D3243" s="801"/>
    </row>
    <row r="3244" spans="2:4">
      <c r="B3244" s="22"/>
      <c r="D3244" s="801"/>
    </row>
    <row r="3245" spans="2:4">
      <c r="B3245" s="22"/>
      <c r="D3245" s="801"/>
    </row>
    <row r="3246" spans="2:4">
      <c r="B3246" s="22"/>
      <c r="D3246" s="801"/>
    </row>
    <row r="3247" spans="2:4">
      <c r="B3247" s="22"/>
      <c r="D3247" s="801"/>
    </row>
    <row r="3248" spans="2:4">
      <c r="B3248" s="22"/>
      <c r="D3248" s="801"/>
    </row>
    <row r="3249" spans="2:4">
      <c r="B3249" s="22"/>
      <c r="D3249" s="801"/>
    </row>
    <row r="3250" spans="2:4">
      <c r="B3250" s="22"/>
      <c r="D3250" s="801"/>
    </row>
    <row r="3251" spans="2:4">
      <c r="B3251" s="22"/>
      <c r="D3251" s="801"/>
    </row>
    <row r="3252" spans="2:4">
      <c r="B3252" s="22"/>
      <c r="D3252" s="801"/>
    </row>
    <row r="3253" spans="2:4">
      <c r="B3253" s="22"/>
      <c r="D3253" s="801"/>
    </row>
    <row r="3254" spans="2:4">
      <c r="B3254" s="22"/>
      <c r="D3254" s="801"/>
    </row>
    <row r="3255" spans="2:4">
      <c r="B3255" s="22"/>
      <c r="D3255" s="801"/>
    </row>
    <row r="3256" spans="2:4">
      <c r="B3256" s="22"/>
      <c r="D3256" s="801"/>
    </row>
    <row r="3257" spans="2:4">
      <c r="B3257" s="22"/>
      <c r="D3257" s="801"/>
    </row>
    <row r="3258" spans="2:4">
      <c r="B3258" s="22"/>
      <c r="D3258" s="801"/>
    </row>
    <row r="3259" spans="2:4">
      <c r="B3259" s="22"/>
      <c r="D3259" s="801"/>
    </row>
    <row r="3260" spans="2:4">
      <c r="B3260" s="22"/>
      <c r="D3260" s="801"/>
    </row>
    <row r="3261" spans="2:4">
      <c r="B3261" s="22"/>
      <c r="D3261" s="801"/>
    </row>
    <row r="3262" spans="2:4">
      <c r="B3262" s="22"/>
      <c r="D3262" s="801"/>
    </row>
    <row r="3263" spans="2:4">
      <c r="B3263" s="22"/>
      <c r="D3263" s="801"/>
    </row>
    <row r="3264" spans="2:4">
      <c r="B3264" s="22"/>
      <c r="D3264" s="801"/>
    </row>
    <row r="3265" spans="2:4">
      <c r="B3265" s="22"/>
      <c r="D3265" s="801"/>
    </row>
    <row r="3266" spans="2:4">
      <c r="B3266" s="22"/>
      <c r="D3266" s="801"/>
    </row>
    <row r="3267" spans="2:4">
      <c r="B3267" s="22"/>
      <c r="D3267" s="801"/>
    </row>
    <row r="3268" spans="2:4">
      <c r="B3268" s="22"/>
      <c r="D3268" s="801"/>
    </row>
    <row r="3269" spans="2:4">
      <c r="B3269" s="22"/>
      <c r="D3269" s="801"/>
    </row>
    <row r="3270" spans="2:4">
      <c r="B3270" s="22"/>
      <c r="D3270" s="801"/>
    </row>
    <row r="3271" spans="2:4">
      <c r="B3271" s="22"/>
      <c r="D3271" s="801"/>
    </row>
    <row r="3272" spans="2:4">
      <c r="B3272" s="22"/>
      <c r="D3272" s="801"/>
    </row>
    <row r="3273" spans="2:4">
      <c r="B3273" s="22"/>
      <c r="D3273" s="801"/>
    </row>
    <row r="3274" spans="2:4">
      <c r="B3274" s="22"/>
      <c r="D3274" s="801"/>
    </row>
    <row r="3275" spans="2:4">
      <c r="B3275" s="22"/>
      <c r="D3275" s="801"/>
    </row>
    <row r="3276" spans="2:4">
      <c r="B3276" s="22"/>
      <c r="D3276" s="801"/>
    </row>
    <row r="3277" spans="2:4">
      <c r="B3277" s="22"/>
      <c r="D3277" s="801"/>
    </row>
    <row r="3278" spans="2:4">
      <c r="B3278" s="22"/>
      <c r="D3278" s="801"/>
    </row>
    <row r="3279" spans="2:4">
      <c r="B3279" s="22"/>
      <c r="D3279" s="801"/>
    </row>
    <row r="3280" spans="2:4">
      <c r="B3280" s="22"/>
      <c r="D3280" s="801"/>
    </row>
    <row r="3281" spans="2:4">
      <c r="B3281" s="22"/>
      <c r="D3281" s="801"/>
    </row>
    <row r="3282" spans="2:4">
      <c r="B3282" s="22"/>
      <c r="D3282" s="801"/>
    </row>
    <row r="3283" spans="2:4">
      <c r="B3283" s="22"/>
      <c r="D3283" s="801"/>
    </row>
    <row r="3284" spans="2:4">
      <c r="B3284" s="22"/>
      <c r="D3284" s="801"/>
    </row>
    <row r="3285" spans="2:4">
      <c r="B3285" s="22"/>
      <c r="D3285" s="801"/>
    </row>
    <row r="3286" spans="2:4">
      <c r="B3286" s="22"/>
      <c r="D3286" s="801"/>
    </row>
    <row r="3287" spans="2:4">
      <c r="B3287" s="22"/>
      <c r="D3287" s="801"/>
    </row>
    <row r="3288" spans="2:4">
      <c r="B3288" s="22"/>
      <c r="D3288" s="801"/>
    </row>
    <row r="3289" spans="2:4">
      <c r="B3289" s="22"/>
      <c r="D3289" s="801"/>
    </row>
    <row r="3290" spans="2:4">
      <c r="B3290" s="22"/>
      <c r="D3290" s="801"/>
    </row>
    <row r="3291" spans="2:4">
      <c r="B3291" s="22"/>
      <c r="D3291" s="801"/>
    </row>
    <row r="3292" spans="2:4">
      <c r="B3292" s="22"/>
      <c r="D3292" s="801"/>
    </row>
    <row r="3293" spans="2:4">
      <c r="B3293" s="22"/>
      <c r="D3293" s="801"/>
    </row>
    <row r="3294" spans="2:4">
      <c r="B3294" s="22"/>
      <c r="D3294" s="801"/>
    </row>
    <row r="3295" spans="2:4">
      <c r="B3295" s="22"/>
      <c r="D3295" s="801"/>
    </row>
    <row r="3296" spans="2:4">
      <c r="B3296" s="22"/>
      <c r="D3296" s="801"/>
    </row>
    <row r="3297" spans="2:4">
      <c r="B3297" s="22"/>
      <c r="D3297" s="801"/>
    </row>
    <row r="3298" spans="2:4">
      <c r="B3298" s="22"/>
      <c r="D3298" s="801"/>
    </row>
    <row r="3299" spans="2:4">
      <c r="B3299" s="22"/>
      <c r="D3299" s="801"/>
    </row>
    <row r="3300" spans="2:4">
      <c r="B3300" s="22"/>
      <c r="D3300" s="801"/>
    </row>
    <row r="3301" spans="2:4">
      <c r="B3301" s="22"/>
      <c r="D3301" s="801"/>
    </row>
    <row r="3302" spans="2:4">
      <c r="B3302" s="22"/>
      <c r="D3302" s="801"/>
    </row>
    <row r="3303" spans="2:4">
      <c r="B3303" s="22"/>
      <c r="D3303" s="801"/>
    </row>
    <row r="3304" spans="2:4">
      <c r="B3304" s="22"/>
      <c r="D3304" s="801"/>
    </row>
    <row r="3305" spans="2:4">
      <c r="B3305" s="22"/>
      <c r="D3305" s="801"/>
    </row>
    <row r="3306" spans="2:4">
      <c r="B3306" s="22"/>
      <c r="D3306" s="801"/>
    </row>
    <row r="3307" spans="2:4">
      <c r="B3307" s="22"/>
      <c r="D3307" s="801"/>
    </row>
    <row r="3308" spans="2:4">
      <c r="B3308" s="22"/>
      <c r="D3308" s="801"/>
    </row>
    <row r="3309" spans="2:4">
      <c r="B3309" s="22"/>
      <c r="D3309" s="801"/>
    </row>
    <row r="3310" spans="2:4">
      <c r="B3310" s="22"/>
      <c r="D3310" s="801"/>
    </row>
    <row r="3311" spans="2:4">
      <c r="B3311" s="22"/>
      <c r="D3311" s="801"/>
    </row>
    <row r="3312" spans="2:4">
      <c r="B3312" s="22"/>
      <c r="D3312" s="801"/>
    </row>
    <row r="3313" spans="2:4">
      <c r="B3313" s="22"/>
      <c r="D3313" s="801"/>
    </row>
    <row r="3314" spans="2:4">
      <c r="B3314" s="22"/>
      <c r="D3314" s="801"/>
    </row>
    <row r="3315" spans="2:4">
      <c r="B3315" s="22"/>
      <c r="D3315" s="801"/>
    </row>
    <row r="3316" spans="2:4">
      <c r="B3316" s="22"/>
      <c r="D3316" s="801"/>
    </row>
    <row r="3317" spans="2:4">
      <c r="B3317" s="22"/>
      <c r="D3317" s="801"/>
    </row>
    <row r="3318" spans="2:4">
      <c r="B3318" s="22"/>
      <c r="D3318" s="801"/>
    </row>
    <row r="3319" spans="2:4">
      <c r="B3319" s="22"/>
      <c r="D3319" s="801"/>
    </row>
    <row r="3320" spans="2:4">
      <c r="B3320" s="22"/>
      <c r="D3320" s="801"/>
    </row>
    <row r="3321" spans="2:4">
      <c r="B3321" s="22"/>
      <c r="D3321" s="801"/>
    </row>
    <row r="3322" spans="2:4">
      <c r="B3322" s="22"/>
      <c r="D3322" s="801"/>
    </row>
    <row r="3323" spans="2:4">
      <c r="B3323" s="22"/>
      <c r="D3323" s="801"/>
    </row>
    <row r="3324" spans="2:4">
      <c r="B3324" s="22"/>
      <c r="D3324" s="801"/>
    </row>
    <row r="3325" spans="2:4">
      <c r="B3325" s="22"/>
      <c r="D3325" s="801"/>
    </row>
    <row r="3326" spans="2:4">
      <c r="B3326" s="22"/>
      <c r="D3326" s="801"/>
    </row>
    <row r="3327" spans="2:4">
      <c r="B3327" s="22"/>
      <c r="D3327" s="801"/>
    </row>
    <row r="3328" spans="2:4">
      <c r="B3328" s="22"/>
      <c r="D3328" s="801"/>
    </row>
    <row r="3329" spans="2:4">
      <c r="B3329" s="22"/>
      <c r="D3329" s="801"/>
    </row>
    <row r="3330" spans="2:4">
      <c r="B3330" s="22"/>
      <c r="D3330" s="801"/>
    </row>
    <row r="3331" spans="2:4">
      <c r="B3331" s="22"/>
      <c r="D3331" s="801"/>
    </row>
    <row r="3332" spans="2:4">
      <c r="B3332" s="22"/>
      <c r="D3332" s="801"/>
    </row>
    <row r="3333" spans="2:4">
      <c r="B3333" s="22"/>
      <c r="D3333" s="801"/>
    </row>
    <row r="3334" spans="2:4">
      <c r="B3334" s="22"/>
      <c r="D3334" s="801"/>
    </row>
    <row r="3335" spans="2:4">
      <c r="B3335" s="22"/>
      <c r="D3335" s="801"/>
    </row>
    <row r="3336" spans="2:4">
      <c r="B3336" s="22"/>
      <c r="D3336" s="801"/>
    </row>
    <row r="3337" spans="2:4">
      <c r="B3337" s="22"/>
      <c r="D3337" s="801"/>
    </row>
    <row r="3338" spans="2:4">
      <c r="B3338" s="22"/>
      <c r="D3338" s="801"/>
    </row>
    <row r="3339" spans="2:4">
      <c r="B3339" s="22"/>
      <c r="D3339" s="801"/>
    </row>
    <row r="3340" spans="2:4">
      <c r="B3340" s="22"/>
      <c r="D3340" s="801"/>
    </row>
    <row r="3341" spans="2:4">
      <c r="B3341" s="22"/>
      <c r="D3341" s="801"/>
    </row>
    <row r="3342" spans="2:4">
      <c r="B3342" s="22"/>
      <c r="D3342" s="801"/>
    </row>
    <row r="3343" spans="2:4">
      <c r="B3343" s="22"/>
      <c r="D3343" s="801"/>
    </row>
    <row r="3344" spans="2:4">
      <c r="B3344" s="22"/>
      <c r="D3344" s="801"/>
    </row>
    <row r="3345" spans="2:4">
      <c r="B3345" s="22"/>
      <c r="D3345" s="801"/>
    </row>
    <row r="3346" spans="2:4">
      <c r="B3346" s="22"/>
      <c r="D3346" s="801"/>
    </row>
    <row r="3347" spans="2:4">
      <c r="B3347" s="22"/>
      <c r="D3347" s="801"/>
    </row>
    <row r="3348" spans="2:4">
      <c r="B3348" s="22"/>
      <c r="D3348" s="801"/>
    </row>
    <row r="3349" spans="2:4">
      <c r="B3349" s="22"/>
      <c r="D3349" s="801"/>
    </row>
    <row r="3350" spans="2:4">
      <c r="B3350" s="22"/>
      <c r="D3350" s="801"/>
    </row>
    <row r="3351" spans="2:4">
      <c r="B3351" s="22"/>
      <c r="D3351" s="801"/>
    </row>
    <row r="3352" spans="2:4">
      <c r="B3352" s="22"/>
      <c r="D3352" s="801"/>
    </row>
    <row r="3353" spans="2:4">
      <c r="B3353" s="22"/>
      <c r="D3353" s="801"/>
    </row>
    <row r="3354" spans="2:4">
      <c r="B3354" s="22"/>
      <c r="D3354" s="801"/>
    </row>
    <row r="3355" spans="2:4">
      <c r="B3355" s="22"/>
      <c r="D3355" s="801"/>
    </row>
    <row r="3356" spans="2:4">
      <c r="B3356" s="22"/>
      <c r="D3356" s="801"/>
    </row>
    <row r="3357" spans="2:4">
      <c r="B3357" s="22"/>
      <c r="D3357" s="801"/>
    </row>
    <row r="3358" spans="2:4">
      <c r="B3358" s="22"/>
      <c r="D3358" s="801"/>
    </row>
    <row r="3359" spans="2:4">
      <c r="B3359" s="22"/>
      <c r="D3359" s="801"/>
    </row>
    <row r="3360" spans="2:4">
      <c r="B3360" s="22"/>
      <c r="D3360" s="801"/>
    </row>
    <row r="3361" spans="2:4">
      <c r="B3361" s="22"/>
      <c r="D3361" s="801"/>
    </row>
    <row r="3362" spans="2:4">
      <c r="B3362" s="22"/>
      <c r="D3362" s="801"/>
    </row>
    <row r="3363" spans="2:4">
      <c r="B3363" s="22"/>
      <c r="D3363" s="801"/>
    </row>
    <row r="3364" spans="2:4">
      <c r="B3364" s="22"/>
      <c r="D3364" s="801"/>
    </row>
    <row r="3365" spans="2:4">
      <c r="B3365" s="22"/>
      <c r="D3365" s="801"/>
    </row>
    <row r="3366" spans="2:4">
      <c r="B3366" s="22"/>
      <c r="D3366" s="801"/>
    </row>
    <row r="3367" spans="2:4">
      <c r="B3367" s="22"/>
      <c r="D3367" s="801"/>
    </row>
    <row r="3368" spans="2:4">
      <c r="B3368" s="22"/>
      <c r="D3368" s="801"/>
    </row>
    <row r="3369" spans="2:4">
      <c r="B3369" s="22"/>
      <c r="D3369" s="801"/>
    </row>
    <row r="3370" spans="2:4">
      <c r="B3370" s="22"/>
      <c r="D3370" s="801"/>
    </row>
    <row r="3371" spans="2:4">
      <c r="B3371" s="22"/>
      <c r="D3371" s="801"/>
    </row>
    <row r="3372" spans="2:4">
      <c r="B3372" s="22"/>
      <c r="D3372" s="801"/>
    </row>
    <row r="3373" spans="2:4">
      <c r="B3373" s="22"/>
      <c r="D3373" s="801"/>
    </row>
    <row r="3374" spans="2:4">
      <c r="B3374" s="22"/>
      <c r="D3374" s="801"/>
    </row>
    <row r="3375" spans="2:4">
      <c r="B3375" s="22"/>
      <c r="D3375" s="801"/>
    </row>
    <row r="3376" spans="2:4">
      <c r="B3376" s="22"/>
      <c r="D3376" s="801"/>
    </row>
    <row r="3377" spans="2:4">
      <c r="B3377" s="22"/>
      <c r="D3377" s="801"/>
    </row>
    <row r="3378" spans="2:4">
      <c r="B3378" s="22"/>
      <c r="D3378" s="801"/>
    </row>
    <row r="3379" spans="2:4">
      <c r="B3379" s="22"/>
      <c r="D3379" s="801"/>
    </row>
    <row r="3380" spans="2:4">
      <c r="B3380" s="22"/>
      <c r="D3380" s="801"/>
    </row>
    <row r="3381" spans="2:4">
      <c r="B3381" s="22"/>
      <c r="D3381" s="801"/>
    </row>
    <row r="3382" spans="2:4">
      <c r="B3382" s="22"/>
      <c r="D3382" s="801"/>
    </row>
    <row r="3383" spans="2:4">
      <c r="B3383" s="22"/>
      <c r="D3383" s="801"/>
    </row>
    <row r="3384" spans="2:4">
      <c r="B3384" s="22"/>
      <c r="D3384" s="801"/>
    </row>
    <row r="3385" spans="2:4">
      <c r="B3385" s="22"/>
      <c r="D3385" s="801"/>
    </row>
    <row r="3386" spans="2:4">
      <c r="B3386" s="22"/>
      <c r="D3386" s="801"/>
    </row>
    <row r="3387" spans="2:4">
      <c r="B3387" s="22"/>
      <c r="D3387" s="801"/>
    </row>
    <row r="3388" spans="2:4">
      <c r="B3388" s="22"/>
      <c r="D3388" s="801"/>
    </row>
    <row r="3389" spans="2:4">
      <c r="B3389" s="22"/>
      <c r="D3389" s="801"/>
    </row>
    <row r="3390" spans="2:4">
      <c r="B3390" s="22"/>
      <c r="D3390" s="801"/>
    </row>
    <row r="3391" spans="2:4">
      <c r="B3391" s="22"/>
      <c r="D3391" s="801"/>
    </row>
    <row r="3392" spans="2:4">
      <c r="B3392" s="22"/>
      <c r="D3392" s="801"/>
    </row>
    <row r="3393" spans="2:4">
      <c r="B3393" s="22"/>
      <c r="D3393" s="801"/>
    </row>
    <row r="3394" spans="2:4">
      <c r="B3394" s="22"/>
      <c r="D3394" s="801"/>
    </row>
    <row r="3395" spans="2:4">
      <c r="B3395" s="22"/>
      <c r="D3395" s="801"/>
    </row>
    <row r="3396" spans="2:4">
      <c r="B3396" s="22"/>
      <c r="D3396" s="801"/>
    </row>
    <row r="3397" spans="2:4">
      <c r="B3397" s="22"/>
      <c r="D3397" s="801"/>
    </row>
    <row r="3398" spans="2:4">
      <c r="B3398" s="22"/>
      <c r="D3398" s="801"/>
    </row>
    <row r="3399" spans="2:4">
      <c r="B3399" s="22"/>
      <c r="D3399" s="801"/>
    </row>
    <row r="3400" spans="2:4">
      <c r="B3400" s="22"/>
      <c r="D3400" s="801"/>
    </row>
    <row r="3401" spans="2:4">
      <c r="B3401" s="22"/>
      <c r="D3401" s="801"/>
    </row>
    <row r="3402" spans="2:4">
      <c r="B3402" s="22"/>
      <c r="D3402" s="801"/>
    </row>
    <row r="3403" spans="2:4">
      <c r="B3403" s="22"/>
      <c r="D3403" s="801"/>
    </row>
    <row r="3404" spans="2:4">
      <c r="B3404" s="22"/>
      <c r="D3404" s="801"/>
    </row>
    <row r="3405" spans="2:4">
      <c r="B3405" s="22"/>
      <c r="D3405" s="801"/>
    </row>
    <row r="3406" spans="2:4">
      <c r="B3406" s="22"/>
      <c r="D3406" s="801"/>
    </row>
    <row r="3407" spans="2:4">
      <c r="B3407" s="22"/>
      <c r="D3407" s="801"/>
    </row>
    <row r="3408" spans="2:4">
      <c r="B3408" s="22"/>
      <c r="D3408" s="801"/>
    </row>
    <row r="3409" spans="2:4">
      <c r="B3409" s="22"/>
      <c r="D3409" s="801"/>
    </row>
    <row r="3410" spans="2:4">
      <c r="B3410" s="22"/>
      <c r="D3410" s="801"/>
    </row>
    <row r="3411" spans="2:4">
      <c r="B3411" s="22"/>
      <c r="D3411" s="801"/>
    </row>
    <row r="3412" spans="2:4">
      <c r="B3412" s="22"/>
      <c r="D3412" s="801"/>
    </row>
    <row r="3413" spans="2:4">
      <c r="B3413" s="22"/>
      <c r="D3413" s="801"/>
    </row>
    <row r="3414" spans="2:4">
      <c r="B3414" s="22"/>
      <c r="D3414" s="801"/>
    </row>
    <row r="3415" spans="2:4">
      <c r="B3415" s="22"/>
      <c r="D3415" s="801"/>
    </row>
    <row r="3416" spans="2:4">
      <c r="B3416" s="22"/>
      <c r="D3416" s="801"/>
    </row>
    <row r="3417" spans="2:4">
      <c r="B3417" s="22"/>
      <c r="D3417" s="801"/>
    </row>
    <row r="3418" spans="2:4">
      <c r="B3418" s="22"/>
      <c r="D3418" s="801"/>
    </row>
    <row r="3419" spans="2:4">
      <c r="B3419" s="22"/>
      <c r="D3419" s="801"/>
    </row>
    <row r="3420" spans="2:4">
      <c r="B3420" s="22"/>
      <c r="D3420" s="801"/>
    </row>
    <row r="3421" spans="2:4">
      <c r="B3421" s="22"/>
      <c r="D3421" s="801"/>
    </row>
    <row r="3422" spans="2:4">
      <c r="B3422" s="22"/>
      <c r="D3422" s="801"/>
    </row>
    <row r="3423" spans="2:4">
      <c r="B3423" s="22"/>
      <c r="D3423" s="801"/>
    </row>
    <row r="3424" spans="2:4">
      <c r="B3424" s="22"/>
      <c r="D3424" s="801"/>
    </row>
    <row r="3425" spans="2:4">
      <c r="B3425" s="22"/>
      <c r="D3425" s="801"/>
    </row>
    <row r="3426" spans="2:4">
      <c r="B3426" s="22"/>
      <c r="D3426" s="801"/>
    </row>
    <row r="3427" spans="2:4">
      <c r="B3427" s="22"/>
      <c r="D3427" s="801"/>
    </row>
    <row r="3428" spans="2:4">
      <c r="B3428" s="22"/>
      <c r="D3428" s="801"/>
    </row>
    <row r="3429" spans="2:4">
      <c r="B3429" s="22"/>
      <c r="D3429" s="801"/>
    </row>
    <row r="3430" spans="2:4">
      <c r="B3430" s="22"/>
      <c r="D3430" s="801"/>
    </row>
    <row r="3431" spans="2:4">
      <c r="B3431" s="22"/>
      <c r="D3431" s="801"/>
    </row>
    <row r="3432" spans="2:4">
      <c r="B3432" s="22"/>
      <c r="D3432" s="801"/>
    </row>
    <row r="3433" spans="2:4">
      <c r="B3433" s="22"/>
      <c r="D3433" s="801"/>
    </row>
    <row r="3434" spans="2:4">
      <c r="B3434" s="22"/>
      <c r="D3434" s="801"/>
    </row>
    <row r="3435" spans="2:4">
      <c r="B3435" s="22"/>
      <c r="D3435" s="801"/>
    </row>
    <row r="3436" spans="2:4">
      <c r="B3436" s="22"/>
      <c r="D3436" s="801"/>
    </row>
    <row r="3437" spans="2:4">
      <c r="B3437" s="22"/>
      <c r="D3437" s="801"/>
    </row>
    <row r="3438" spans="2:4">
      <c r="B3438" s="22"/>
      <c r="D3438" s="801"/>
    </row>
    <row r="3439" spans="2:4">
      <c r="B3439" s="22"/>
      <c r="D3439" s="801"/>
    </row>
    <row r="3440" spans="2:4">
      <c r="B3440" s="22"/>
      <c r="D3440" s="801"/>
    </row>
    <row r="3441" spans="2:4">
      <c r="B3441" s="22"/>
      <c r="D3441" s="801"/>
    </row>
    <row r="3442" spans="2:4">
      <c r="B3442" s="22"/>
      <c r="D3442" s="801"/>
    </row>
    <row r="3443" spans="2:4">
      <c r="B3443" s="22"/>
      <c r="D3443" s="801"/>
    </row>
    <row r="3444" spans="2:4">
      <c r="B3444" s="22"/>
      <c r="D3444" s="801"/>
    </row>
    <row r="3445" spans="2:4">
      <c r="B3445" s="22"/>
      <c r="D3445" s="801"/>
    </row>
    <row r="3446" spans="2:4">
      <c r="B3446" s="22"/>
      <c r="D3446" s="801"/>
    </row>
    <row r="3447" spans="2:4">
      <c r="B3447" s="22"/>
      <c r="D3447" s="801"/>
    </row>
    <row r="3448" spans="2:4">
      <c r="B3448" s="22"/>
      <c r="D3448" s="801"/>
    </row>
    <row r="3449" spans="2:4">
      <c r="B3449" s="22"/>
      <c r="D3449" s="801"/>
    </row>
    <row r="3450" spans="2:4">
      <c r="B3450" s="22"/>
      <c r="D3450" s="801"/>
    </row>
    <row r="3451" spans="2:4">
      <c r="B3451" s="22"/>
      <c r="D3451" s="801"/>
    </row>
    <row r="3452" spans="2:4">
      <c r="B3452" s="22"/>
      <c r="D3452" s="801"/>
    </row>
    <row r="3453" spans="2:4">
      <c r="B3453" s="22"/>
      <c r="D3453" s="801"/>
    </row>
    <row r="3454" spans="2:4">
      <c r="B3454" s="22"/>
      <c r="D3454" s="801"/>
    </row>
    <row r="3455" spans="2:4">
      <c r="B3455" s="22"/>
      <c r="D3455" s="801"/>
    </row>
    <row r="3456" spans="2:4">
      <c r="B3456" s="22"/>
      <c r="D3456" s="801"/>
    </row>
    <row r="3457" spans="2:4">
      <c r="B3457" s="22"/>
      <c r="D3457" s="801"/>
    </row>
    <row r="3458" spans="2:4">
      <c r="B3458" s="22"/>
      <c r="D3458" s="801"/>
    </row>
    <row r="3459" spans="2:4">
      <c r="B3459" s="22"/>
      <c r="D3459" s="801"/>
    </row>
    <row r="3460" spans="2:4">
      <c r="B3460" s="22"/>
      <c r="D3460" s="801"/>
    </row>
    <row r="3461" spans="2:4">
      <c r="B3461" s="22"/>
      <c r="D3461" s="801"/>
    </row>
    <row r="3462" spans="2:4">
      <c r="B3462" s="22"/>
      <c r="D3462" s="801"/>
    </row>
    <row r="3463" spans="2:4">
      <c r="B3463" s="22"/>
      <c r="D3463" s="801"/>
    </row>
    <row r="3464" spans="2:4">
      <c r="B3464" s="22"/>
      <c r="D3464" s="801"/>
    </row>
    <row r="3465" spans="2:4">
      <c r="B3465" s="22"/>
      <c r="D3465" s="801"/>
    </row>
    <row r="3466" spans="2:4">
      <c r="B3466" s="22"/>
      <c r="D3466" s="801"/>
    </row>
    <row r="3467" spans="2:4">
      <c r="B3467" s="22"/>
      <c r="D3467" s="801"/>
    </row>
    <row r="3468" spans="2:4">
      <c r="B3468" s="22"/>
      <c r="D3468" s="801"/>
    </row>
    <row r="3469" spans="2:4">
      <c r="B3469" s="22"/>
      <c r="D3469" s="801"/>
    </row>
    <row r="3470" spans="2:4">
      <c r="B3470" s="22"/>
      <c r="D3470" s="801"/>
    </row>
    <row r="3471" spans="2:4">
      <c r="B3471" s="22"/>
      <c r="D3471" s="801"/>
    </row>
    <row r="3472" spans="2:4">
      <c r="B3472" s="22"/>
      <c r="D3472" s="801"/>
    </row>
    <row r="3473" spans="2:4">
      <c r="B3473" s="22"/>
      <c r="D3473" s="801"/>
    </row>
    <row r="3474" spans="2:4">
      <c r="B3474" s="22"/>
      <c r="D3474" s="801"/>
    </row>
    <row r="3475" spans="2:4">
      <c r="B3475" s="22"/>
      <c r="D3475" s="801"/>
    </row>
    <row r="3476" spans="2:4">
      <c r="B3476" s="22"/>
      <c r="D3476" s="801"/>
    </row>
    <row r="3477" spans="2:4">
      <c r="B3477" s="22"/>
      <c r="D3477" s="801"/>
    </row>
    <row r="3478" spans="2:4">
      <c r="B3478" s="22"/>
      <c r="D3478" s="801"/>
    </row>
    <row r="3479" spans="2:4">
      <c r="B3479" s="22"/>
      <c r="D3479" s="801"/>
    </row>
    <row r="3480" spans="2:4">
      <c r="B3480" s="22"/>
      <c r="D3480" s="801"/>
    </row>
    <row r="3481" spans="2:4">
      <c r="B3481" s="22"/>
      <c r="D3481" s="801"/>
    </row>
    <row r="3482" spans="2:4">
      <c r="B3482" s="22"/>
      <c r="D3482" s="801"/>
    </row>
    <row r="3483" spans="2:4">
      <c r="B3483" s="22"/>
      <c r="D3483" s="801"/>
    </row>
    <row r="3484" spans="2:4">
      <c r="B3484" s="22"/>
      <c r="D3484" s="801"/>
    </row>
    <row r="3485" spans="2:4">
      <c r="B3485" s="22"/>
      <c r="D3485" s="801"/>
    </row>
    <row r="3486" spans="2:4">
      <c r="B3486" s="22"/>
      <c r="D3486" s="801"/>
    </row>
    <row r="3487" spans="2:4">
      <c r="B3487" s="22"/>
      <c r="D3487" s="801"/>
    </row>
    <row r="3488" spans="2:4">
      <c r="B3488" s="22"/>
      <c r="D3488" s="801"/>
    </row>
    <row r="3489" spans="2:4">
      <c r="B3489" s="22"/>
      <c r="D3489" s="801"/>
    </row>
    <row r="3490" spans="2:4">
      <c r="B3490" s="22"/>
      <c r="D3490" s="801"/>
    </row>
    <row r="3491" spans="2:4">
      <c r="B3491" s="22"/>
      <c r="D3491" s="801"/>
    </row>
    <row r="3492" spans="2:4">
      <c r="B3492" s="22"/>
      <c r="D3492" s="801"/>
    </row>
    <row r="3493" spans="2:4">
      <c r="B3493" s="22"/>
      <c r="D3493" s="801"/>
    </row>
    <row r="3494" spans="2:4">
      <c r="B3494" s="22"/>
      <c r="D3494" s="801"/>
    </row>
    <row r="3495" spans="2:4">
      <c r="B3495" s="22"/>
      <c r="D3495" s="801"/>
    </row>
    <row r="3496" spans="2:4">
      <c r="B3496" s="22"/>
      <c r="D3496" s="801"/>
    </row>
    <row r="3497" spans="2:4">
      <c r="B3497" s="22"/>
      <c r="D3497" s="801"/>
    </row>
    <row r="3498" spans="2:4">
      <c r="B3498" s="22"/>
      <c r="D3498" s="801"/>
    </row>
    <row r="3499" spans="2:4">
      <c r="B3499" s="22"/>
      <c r="D3499" s="801"/>
    </row>
    <row r="3500" spans="2:4">
      <c r="B3500" s="22"/>
      <c r="D3500" s="801"/>
    </row>
    <row r="3501" spans="2:4">
      <c r="B3501" s="22"/>
      <c r="D3501" s="801"/>
    </row>
    <row r="3502" spans="2:4">
      <c r="B3502" s="22"/>
      <c r="D3502" s="801"/>
    </row>
    <row r="3503" spans="2:4">
      <c r="B3503" s="22"/>
      <c r="D3503" s="801"/>
    </row>
    <row r="3504" spans="2:4">
      <c r="B3504" s="22"/>
      <c r="D3504" s="801"/>
    </row>
    <row r="3505" spans="2:4">
      <c r="B3505" s="22"/>
      <c r="D3505" s="801"/>
    </row>
    <row r="3506" spans="2:4">
      <c r="B3506" s="22"/>
      <c r="D3506" s="801"/>
    </row>
    <row r="3507" spans="2:4">
      <c r="B3507" s="22"/>
      <c r="D3507" s="801"/>
    </row>
    <row r="3508" spans="2:4">
      <c r="B3508" s="22"/>
      <c r="D3508" s="801"/>
    </row>
    <row r="3509" spans="2:4">
      <c r="B3509" s="22"/>
      <c r="D3509" s="801"/>
    </row>
    <row r="3510" spans="2:4">
      <c r="B3510" s="22"/>
      <c r="D3510" s="801"/>
    </row>
    <row r="3511" spans="2:4">
      <c r="B3511" s="22"/>
      <c r="D3511" s="801"/>
    </row>
    <row r="3512" spans="2:4">
      <c r="B3512" s="22"/>
      <c r="D3512" s="801"/>
    </row>
    <row r="3513" spans="2:4">
      <c r="B3513" s="22"/>
      <c r="D3513" s="801"/>
    </row>
    <row r="3514" spans="2:4">
      <c r="B3514" s="22"/>
      <c r="D3514" s="801"/>
    </row>
    <row r="3515" spans="2:4">
      <c r="B3515" s="22"/>
      <c r="D3515" s="801"/>
    </row>
    <row r="3516" spans="2:4">
      <c r="B3516" s="22"/>
      <c r="D3516" s="801"/>
    </row>
    <row r="3517" spans="2:4">
      <c r="B3517" s="22"/>
      <c r="D3517" s="801"/>
    </row>
    <row r="3518" spans="2:4">
      <c r="B3518" s="22"/>
      <c r="D3518" s="801"/>
    </row>
    <row r="3519" spans="2:4">
      <c r="B3519" s="22"/>
      <c r="D3519" s="801"/>
    </row>
    <row r="3520" spans="2:4">
      <c r="B3520" s="22"/>
      <c r="D3520" s="801"/>
    </row>
    <row r="3521" spans="2:4">
      <c r="B3521" s="22"/>
      <c r="D3521" s="801"/>
    </row>
    <row r="3522" spans="2:4">
      <c r="B3522" s="22"/>
      <c r="D3522" s="801"/>
    </row>
    <row r="3523" spans="2:4">
      <c r="B3523" s="22"/>
      <c r="D3523" s="801"/>
    </row>
    <row r="3524" spans="2:4">
      <c r="B3524" s="22"/>
      <c r="D3524" s="801"/>
    </row>
    <row r="3525" spans="2:4">
      <c r="B3525" s="22"/>
      <c r="D3525" s="801"/>
    </row>
    <row r="3526" spans="2:4">
      <c r="B3526" s="22"/>
      <c r="D3526" s="801"/>
    </row>
    <row r="3527" spans="2:4">
      <c r="B3527" s="22"/>
      <c r="D3527" s="801"/>
    </row>
    <row r="3528" spans="2:4">
      <c r="B3528" s="22"/>
      <c r="D3528" s="801"/>
    </row>
    <row r="3529" spans="2:4">
      <c r="B3529" s="22"/>
      <c r="D3529" s="801"/>
    </row>
    <row r="3530" spans="2:4">
      <c r="B3530" s="22"/>
      <c r="D3530" s="801"/>
    </row>
    <row r="3531" spans="2:4">
      <c r="B3531" s="22"/>
      <c r="D3531" s="801"/>
    </row>
    <row r="3532" spans="2:4">
      <c r="B3532" s="22"/>
      <c r="D3532" s="801"/>
    </row>
    <row r="3533" spans="2:4">
      <c r="B3533" s="22"/>
      <c r="D3533" s="801"/>
    </row>
    <row r="3534" spans="2:4">
      <c r="B3534" s="22"/>
      <c r="D3534" s="801"/>
    </row>
    <row r="3535" spans="2:4">
      <c r="B3535" s="22"/>
      <c r="D3535" s="801"/>
    </row>
    <row r="3536" spans="2:4">
      <c r="B3536" s="22"/>
      <c r="D3536" s="801"/>
    </row>
    <row r="3537" spans="2:4">
      <c r="B3537" s="22"/>
      <c r="D3537" s="801"/>
    </row>
    <row r="3538" spans="2:4">
      <c r="B3538" s="22"/>
      <c r="D3538" s="801"/>
    </row>
    <row r="3539" spans="2:4">
      <c r="B3539" s="22"/>
      <c r="D3539" s="801"/>
    </row>
    <row r="3540" spans="2:4">
      <c r="B3540" s="22"/>
      <c r="D3540" s="801"/>
    </row>
    <row r="3541" spans="2:4">
      <c r="B3541" s="22"/>
      <c r="D3541" s="801"/>
    </row>
    <row r="3542" spans="2:4">
      <c r="B3542" s="22"/>
      <c r="D3542" s="801"/>
    </row>
    <row r="3543" spans="2:4">
      <c r="B3543" s="22"/>
      <c r="D3543" s="801"/>
    </row>
    <row r="3544" spans="2:4">
      <c r="B3544" s="22"/>
      <c r="D3544" s="801"/>
    </row>
    <row r="3545" spans="2:4">
      <c r="B3545" s="22"/>
      <c r="D3545" s="801"/>
    </row>
    <row r="3546" spans="2:4">
      <c r="B3546" s="22"/>
      <c r="D3546" s="801"/>
    </row>
    <row r="3547" spans="2:4">
      <c r="B3547" s="22"/>
      <c r="D3547" s="801"/>
    </row>
    <row r="3548" spans="2:4">
      <c r="B3548" s="22"/>
      <c r="D3548" s="801"/>
    </row>
    <row r="3549" spans="2:4">
      <c r="B3549" s="22"/>
      <c r="D3549" s="801"/>
    </row>
    <row r="3550" spans="2:4">
      <c r="B3550" s="22"/>
      <c r="D3550" s="801"/>
    </row>
    <row r="3551" spans="2:4">
      <c r="B3551" s="22"/>
      <c r="D3551" s="801"/>
    </row>
    <row r="3552" spans="2:4">
      <c r="B3552" s="22"/>
      <c r="D3552" s="801"/>
    </row>
    <row r="3553" spans="2:4">
      <c r="B3553" s="22"/>
      <c r="D3553" s="801"/>
    </row>
    <row r="3554" spans="2:4">
      <c r="B3554" s="22"/>
      <c r="D3554" s="801"/>
    </row>
    <row r="3555" spans="2:4">
      <c r="B3555" s="22"/>
      <c r="D3555" s="801"/>
    </row>
    <row r="3556" spans="2:4">
      <c r="B3556" s="22"/>
      <c r="D3556" s="801"/>
    </row>
    <row r="3557" spans="2:4">
      <c r="B3557" s="22"/>
      <c r="D3557" s="801"/>
    </row>
    <row r="3558" spans="2:4">
      <c r="B3558" s="22"/>
      <c r="D3558" s="801"/>
    </row>
    <row r="3559" spans="2:4">
      <c r="B3559" s="22"/>
      <c r="D3559" s="801"/>
    </row>
    <row r="3560" spans="2:4">
      <c r="B3560" s="22"/>
      <c r="D3560" s="801"/>
    </row>
    <row r="3561" spans="2:4">
      <c r="B3561" s="22"/>
      <c r="D3561" s="801"/>
    </row>
    <row r="3562" spans="2:4">
      <c r="B3562" s="22"/>
      <c r="D3562" s="801"/>
    </row>
    <row r="3563" spans="2:4">
      <c r="B3563" s="22"/>
      <c r="D3563" s="801"/>
    </row>
    <row r="3564" spans="2:4">
      <c r="B3564" s="22"/>
      <c r="D3564" s="801"/>
    </row>
    <row r="3565" spans="2:4">
      <c r="B3565" s="22"/>
      <c r="D3565" s="801"/>
    </row>
    <row r="3566" spans="2:4">
      <c r="B3566" s="22"/>
      <c r="D3566" s="801"/>
    </row>
    <row r="3567" spans="2:4">
      <c r="B3567" s="22"/>
      <c r="D3567" s="801"/>
    </row>
    <row r="3568" spans="2:4">
      <c r="B3568" s="22"/>
      <c r="D3568" s="801"/>
    </row>
    <row r="3569" spans="2:4">
      <c r="B3569" s="22"/>
      <c r="D3569" s="801"/>
    </row>
    <row r="3570" spans="2:4">
      <c r="B3570" s="22"/>
      <c r="D3570" s="801"/>
    </row>
    <row r="3571" spans="2:4">
      <c r="B3571" s="22"/>
      <c r="D3571" s="801"/>
    </row>
    <row r="3572" spans="2:4">
      <c r="B3572" s="22"/>
      <c r="D3572" s="801"/>
    </row>
    <row r="3573" spans="2:4">
      <c r="B3573" s="22"/>
      <c r="D3573" s="801"/>
    </row>
    <row r="3574" spans="2:4">
      <c r="B3574" s="22"/>
      <c r="D3574" s="801"/>
    </row>
    <row r="3575" spans="2:4">
      <c r="B3575" s="22"/>
      <c r="D3575" s="801"/>
    </row>
    <row r="3576" spans="2:4">
      <c r="B3576" s="22"/>
      <c r="D3576" s="801"/>
    </row>
    <row r="3577" spans="2:4">
      <c r="B3577" s="22"/>
      <c r="D3577" s="801"/>
    </row>
    <row r="3578" spans="2:4">
      <c r="B3578" s="22"/>
      <c r="D3578" s="801"/>
    </row>
    <row r="3579" spans="2:4">
      <c r="B3579" s="22"/>
      <c r="D3579" s="801"/>
    </row>
    <row r="3580" spans="2:4">
      <c r="B3580" s="22"/>
      <c r="D3580" s="801"/>
    </row>
    <row r="3581" spans="2:4">
      <c r="B3581" s="22"/>
      <c r="D3581" s="801"/>
    </row>
    <row r="3582" spans="2:4">
      <c r="B3582" s="22"/>
      <c r="D3582" s="801"/>
    </row>
    <row r="3583" spans="2:4">
      <c r="B3583" s="22"/>
      <c r="D3583" s="801"/>
    </row>
    <row r="3584" spans="2:4">
      <c r="B3584" s="22"/>
      <c r="D3584" s="801"/>
    </row>
    <row r="3585" spans="2:4">
      <c r="B3585" s="22"/>
      <c r="D3585" s="801"/>
    </row>
    <row r="3586" spans="2:4">
      <c r="B3586" s="22"/>
      <c r="D3586" s="801"/>
    </row>
    <row r="3587" spans="2:4">
      <c r="B3587" s="22"/>
      <c r="D3587" s="801"/>
    </row>
    <row r="3588" spans="2:4">
      <c r="B3588" s="22"/>
      <c r="D3588" s="801"/>
    </row>
    <row r="3589" spans="2:4">
      <c r="B3589" s="22"/>
      <c r="D3589" s="801"/>
    </row>
    <row r="3590" spans="2:4">
      <c r="B3590" s="22"/>
      <c r="D3590" s="801"/>
    </row>
    <row r="3591" spans="2:4">
      <c r="B3591" s="22"/>
      <c r="D3591" s="801"/>
    </row>
    <row r="3592" spans="2:4">
      <c r="B3592" s="22"/>
      <c r="D3592" s="801"/>
    </row>
    <row r="3593" spans="2:4">
      <c r="B3593" s="22"/>
      <c r="D3593" s="801"/>
    </row>
    <row r="3594" spans="2:4">
      <c r="B3594" s="22"/>
      <c r="D3594" s="801"/>
    </row>
    <row r="3595" spans="2:4">
      <c r="B3595" s="22"/>
      <c r="D3595" s="801"/>
    </row>
    <row r="3596" spans="2:4">
      <c r="B3596" s="22"/>
      <c r="D3596" s="801"/>
    </row>
    <row r="3597" spans="2:4">
      <c r="B3597" s="22"/>
      <c r="D3597" s="801"/>
    </row>
    <row r="3598" spans="2:4">
      <c r="B3598" s="22"/>
      <c r="D3598" s="801"/>
    </row>
    <row r="3599" spans="2:4">
      <c r="B3599" s="22"/>
      <c r="D3599" s="801"/>
    </row>
    <row r="3600" spans="2:4">
      <c r="B3600" s="22"/>
      <c r="D3600" s="801"/>
    </row>
    <row r="3601" spans="2:4">
      <c r="B3601" s="22"/>
      <c r="D3601" s="801"/>
    </row>
    <row r="3602" spans="2:4">
      <c r="B3602" s="22"/>
      <c r="D3602" s="801"/>
    </row>
    <row r="3603" spans="2:4">
      <c r="B3603" s="22"/>
      <c r="D3603" s="801"/>
    </row>
    <row r="3604" spans="2:4">
      <c r="B3604" s="22"/>
      <c r="D3604" s="801"/>
    </row>
    <row r="3605" spans="2:4">
      <c r="B3605" s="22"/>
      <c r="D3605" s="801"/>
    </row>
    <row r="3606" spans="2:4">
      <c r="B3606" s="22"/>
      <c r="D3606" s="801"/>
    </row>
    <row r="3607" spans="2:4">
      <c r="B3607" s="22"/>
      <c r="D3607" s="801"/>
    </row>
    <row r="3608" spans="2:4">
      <c r="B3608" s="22"/>
      <c r="D3608" s="801"/>
    </row>
    <row r="3609" spans="2:4">
      <c r="B3609" s="22"/>
      <c r="D3609" s="801"/>
    </row>
    <row r="3610" spans="2:4">
      <c r="B3610" s="22"/>
      <c r="D3610" s="801"/>
    </row>
    <row r="3611" spans="2:4">
      <c r="B3611" s="22"/>
      <c r="D3611" s="801"/>
    </row>
    <row r="3612" spans="2:4">
      <c r="B3612" s="22"/>
      <c r="D3612" s="801"/>
    </row>
    <row r="3613" spans="2:4">
      <c r="B3613" s="22"/>
      <c r="D3613" s="801"/>
    </row>
    <row r="3614" spans="2:4">
      <c r="B3614" s="22"/>
      <c r="D3614" s="801"/>
    </row>
    <row r="3615" spans="2:4">
      <c r="B3615" s="22"/>
      <c r="D3615" s="801"/>
    </row>
    <row r="3616" spans="2:4">
      <c r="B3616" s="22"/>
      <c r="D3616" s="801"/>
    </row>
    <row r="3617" spans="2:4">
      <c r="B3617" s="22"/>
      <c r="D3617" s="801"/>
    </row>
    <row r="3618" spans="2:4">
      <c r="B3618" s="22"/>
      <c r="D3618" s="801"/>
    </row>
    <row r="3619" spans="2:4">
      <c r="B3619" s="22"/>
      <c r="D3619" s="801"/>
    </row>
    <row r="3620" spans="2:4">
      <c r="B3620" s="22"/>
      <c r="D3620" s="801"/>
    </row>
    <row r="3621" spans="2:4">
      <c r="B3621" s="22"/>
      <c r="D3621" s="801"/>
    </row>
    <row r="3622" spans="2:4">
      <c r="B3622" s="22"/>
      <c r="D3622" s="801"/>
    </row>
    <row r="3623" spans="2:4">
      <c r="B3623" s="22"/>
      <c r="D3623" s="801"/>
    </row>
    <row r="3624" spans="2:4">
      <c r="B3624" s="22"/>
      <c r="D3624" s="801"/>
    </row>
    <row r="3625" spans="2:4">
      <c r="B3625" s="22"/>
      <c r="D3625" s="801"/>
    </row>
    <row r="3626" spans="2:4">
      <c r="B3626" s="22"/>
      <c r="D3626" s="801"/>
    </row>
    <row r="3627" spans="2:4">
      <c r="B3627" s="22"/>
      <c r="D3627" s="801"/>
    </row>
    <row r="3628" spans="2:4">
      <c r="B3628" s="22"/>
      <c r="D3628" s="801"/>
    </row>
    <row r="3629" spans="2:4">
      <c r="B3629" s="22"/>
      <c r="D3629" s="801"/>
    </row>
    <row r="3630" spans="2:4">
      <c r="B3630" s="22"/>
      <c r="D3630" s="801"/>
    </row>
    <row r="3631" spans="2:4">
      <c r="B3631" s="22"/>
      <c r="D3631" s="801"/>
    </row>
    <row r="3632" spans="2:4">
      <c r="B3632" s="22"/>
      <c r="D3632" s="801"/>
    </row>
    <row r="3633" spans="2:4">
      <c r="B3633" s="22"/>
      <c r="D3633" s="801"/>
    </row>
    <row r="3634" spans="2:4">
      <c r="B3634" s="22"/>
      <c r="D3634" s="801"/>
    </row>
    <row r="3635" spans="2:4">
      <c r="B3635" s="22"/>
      <c r="D3635" s="801"/>
    </row>
    <row r="3636" spans="2:4">
      <c r="B3636" s="22"/>
      <c r="D3636" s="801"/>
    </row>
    <row r="3637" spans="2:4">
      <c r="B3637" s="22"/>
      <c r="D3637" s="801"/>
    </row>
    <row r="3638" spans="2:4">
      <c r="B3638" s="22"/>
      <c r="D3638" s="801"/>
    </row>
    <row r="3639" spans="2:4">
      <c r="B3639" s="22"/>
      <c r="D3639" s="801"/>
    </row>
    <row r="3640" spans="2:4">
      <c r="B3640" s="22"/>
      <c r="D3640" s="801"/>
    </row>
    <row r="3641" spans="2:4">
      <c r="B3641" s="22"/>
      <c r="D3641" s="801"/>
    </row>
    <row r="3642" spans="2:4">
      <c r="B3642" s="22"/>
      <c r="D3642" s="801"/>
    </row>
    <row r="3643" spans="2:4">
      <c r="B3643" s="22"/>
      <c r="D3643" s="801"/>
    </row>
    <row r="3644" spans="2:4">
      <c r="B3644" s="22"/>
      <c r="D3644" s="801"/>
    </row>
    <row r="3645" spans="2:4">
      <c r="B3645" s="22"/>
      <c r="D3645" s="801"/>
    </row>
    <row r="3646" spans="2:4">
      <c r="B3646" s="22"/>
      <c r="D3646" s="801"/>
    </row>
    <row r="3647" spans="2:4">
      <c r="B3647" s="22"/>
      <c r="D3647" s="801"/>
    </row>
    <row r="3648" spans="2:4">
      <c r="B3648" s="22"/>
      <c r="D3648" s="801"/>
    </row>
    <row r="3649" spans="2:4">
      <c r="B3649" s="22"/>
      <c r="D3649" s="801"/>
    </row>
    <row r="3650" spans="2:4">
      <c r="B3650" s="22"/>
      <c r="D3650" s="801"/>
    </row>
    <row r="3651" spans="2:4">
      <c r="B3651" s="22"/>
      <c r="D3651" s="801"/>
    </row>
    <row r="3652" spans="2:4">
      <c r="B3652" s="22"/>
      <c r="D3652" s="801"/>
    </row>
    <row r="3653" spans="2:4">
      <c r="B3653" s="22"/>
      <c r="D3653" s="801"/>
    </row>
    <row r="3654" spans="2:4">
      <c r="B3654" s="22"/>
      <c r="D3654" s="801"/>
    </row>
    <row r="3655" spans="2:4">
      <c r="B3655" s="22"/>
      <c r="D3655" s="801"/>
    </row>
    <row r="3656" spans="2:4">
      <c r="B3656" s="22"/>
      <c r="D3656" s="801"/>
    </row>
    <row r="3657" spans="2:4">
      <c r="B3657" s="22"/>
      <c r="D3657" s="801"/>
    </row>
    <row r="3658" spans="2:4">
      <c r="B3658" s="22"/>
      <c r="D3658" s="801"/>
    </row>
    <row r="3659" spans="2:4">
      <c r="B3659" s="22"/>
      <c r="D3659" s="801"/>
    </row>
    <row r="3660" spans="2:4">
      <c r="B3660" s="22"/>
      <c r="D3660" s="801"/>
    </row>
    <row r="3661" spans="2:4">
      <c r="B3661" s="22"/>
      <c r="D3661" s="801"/>
    </row>
    <row r="3662" spans="2:4">
      <c r="B3662" s="22"/>
      <c r="D3662" s="801"/>
    </row>
    <row r="3663" spans="2:4">
      <c r="B3663" s="22"/>
      <c r="D3663" s="801"/>
    </row>
    <row r="3664" spans="2:4">
      <c r="B3664" s="22"/>
      <c r="D3664" s="801"/>
    </row>
    <row r="3665" spans="2:4">
      <c r="B3665" s="22"/>
      <c r="D3665" s="801"/>
    </row>
    <row r="3666" spans="2:4">
      <c r="B3666" s="22"/>
      <c r="D3666" s="801"/>
    </row>
    <row r="3667" spans="2:4">
      <c r="B3667" s="22"/>
      <c r="D3667" s="801"/>
    </row>
    <row r="3668" spans="2:4">
      <c r="B3668" s="22"/>
      <c r="D3668" s="801"/>
    </row>
    <row r="3669" spans="2:4">
      <c r="B3669" s="22"/>
      <c r="D3669" s="801"/>
    </row>
    <row r="3670" spans="2:4">
      <c r="B3670" s="22"/>
      <c r="D3670" s="801"/>
    </row>
    <row r="3671" spans="2:4">
      <c r="B3671" s="22"/>
      <c r="D3671" s="801"/>
    </row>
    <row r="3672" spans="2:4">
      <c r="B3672" s="22"/>
      <c r="D3672" s="801"/>
    </row>
    <row r="3673" spans="2:4">
      <c r="B3673" s="22"/>
      <c r="D3673" s="801"/>
    </row>
    <row r="3674" spans="2:4">
      <c r="B3674" s="22"/>
      <c r="D3674" s="801"/>
    </row>
    <row r="3675" spans="2:4">
      <c r="B3675" s="22"/>
      <c r="D3675" s="801"/>
    </row>
    <row r="3676" spans="2:4">
      <c r="B3676" s="22"/>
      <c r="D3676" s="801"/>
    </row>
    <row r="3677" spans="2:4">
      <c r="B3677" s="22"/>
      <c r="D3677" s="801"/>
    </row>
    <row r="3678" spans="2:4">
      <c r="B3678" s="22"/>
      <c r="D3678" s="801"/>
    </row>
    <row r="3679" spans="2:4">
      <c r="B3679" s="22"/>
      <c r="D3679" s="801"/>
    </row>
    <row r="3680" spans="2:4">
      <c r="B3680" s="22"/>
      <c r="D3680" s="801"/>
    </row>
    <row r="3681" spans="2:4">
      <c r="B3681" s="22"/>
      <c r="D3681" s="801"/>
    </row>
    <row r="3682" spans="2:4">
      <c r="B3682" s="22"/>
      <c r="D3682" s="801"/>
    </row>
    <row r="3683" spans="2:4">
      <c r="B3683" s="22"/>
      <c r="D3683" s="801"/>
    </row>
    <row r="3684" spans="2:4">
      <c r="B3684" s="22"/>
      <c r="D3684" s="801"/>
    </row>
    <row r="3685" spans="2:4">
      <c r="B3685" s="22"/>
      <c r="D3685" s="801"/>
    </row>
    <row r="3686" spans="2:4">
      <c r="B3686" s="22"/>
      <c r="D3686" s="801"/>
    </row>
    <row r="3687" spans="2:4">
      <c r="B3687" s="22"/>
      <c r="D3687" s="801"/>
    </row>
    <row r="3688" spans="2:4">
      <c r="B3688" s="22"/>
      <c r="D3688" s="801"/>
    </row>
    <row r="3689" spans="2:4">
      <c r="B3689" s="22"/>
      <c r="D3689" s="801"/>
    </row>
    <row r="3690" spans="2:4">
      <c r="B3690" s="22"/>
      <c r="D3690" s="801"/>
    </row>
    <row r="3691" spans="2:4">
      <c r="B3691" s="22"/>
      <c r="D3691" s="801"/>
    </row>
    <row r="3692" spans="2:4">
      <c r="B3692" s="22"/>
      <c r="D3692" s="801"/>
    </row>
    <row r="3693" spans="2:4">
      <c r="B3693" s="22"/>
      <c r="D3693" s="801"/>
    </row>
    <row r="3694" spans="2:4">
      <c r="B3694" s="22"/>
      <c r="D3694" s="801"/>
    </row>
    <row r="3695" spans="2:4">
      <c r="B3695" s="22"/>
      <c r="D3695" s="801"/>
    </row>
    <row r="3696" spans="2:4">
      <c r="B3696" s="22"/>
      <c r="D3696" s="801"/>
    </row>
    <row r="3697" spans="2:4">
      <c r="B3697" s="22"/>
      <c r="D3697" s="801"/>
    </row>
    <row r="3698" spans="2:4">
      <c r="B3698" s="22"/>
      <c r="D3698" s="801"/>
    </row>
    <row r="3699" spans="2:4">
      <c r="B3699" s="22"/>
      <c r="D3699" s="801"/>
    </row>
    <row r="3700" spans="2:4">
      <c r="B3700" s="22"/>
      <c r="D3700" s="801"/>
    </row>
    <row r="3701" spans="2:4">
      <c r="B3701" s="22"/>
      <c r="D3701" s="801"/>
    </row>
    <row r="3702" spans="2:4">
      <c r="B3702" s="22"/>
      <c r="D3702" s="801"/>
    </row>
    <row r="3703" spans="2:4">
      <c r="B3703" s="22"/>
      <c r="D3703" s="801"/>
    </row>
    <row r="3704" spans="2:4">
      <c r="B3704" s="22"/>
      <c r="D3704" s="801"/>
    </row>
    <row r="3705" spans="2:4">
      <c r="B3705" s="22"/>
      <c r="D3705" s="801"/>
    </row>
    <row r="3706" spans="2:4">
      <c r="B3706" s="22"/>
      <c r="D3706" s="801"/>
    </row>
    <row r="3707" spans="2:4">
      <c r="B3707" s="22"/>
      <c r="D3707" s="801"/>
    </row>
    <row r="3708" spans="2:4">
      <c r="B3708" s="22"/>
      <c r="D3708" s="801"/>
    </row>
    <row r="3709" spans="2:4">
      <c r="B3709" s="22"/>
      <c r="D3709" s="801"/>
    </row>
    <row r="3710" spans="2:4">
      <c r="B3710" s="22"/>
      <c r="D3710" s="801"/>
    </row>
    <row r="3711" spans="2:4">
      <c r="B3711" s="22"/>
      <c r="D3711" s="801"/>
    </row>
    <row r="3712" spans="2:4">
      <c r="B3712" s="22"/>
      <c r="D3712" s="801"/>
    </row>
    <row r="3713" spans="2:4">
      <c r="B3713" s="22"/>
      <c r="D3713" s="801"/>
    </row>
    <row r="3714" spans="2:4">
      <c r="B3714" s="22"/>
      <c r="D3714" s="801"/>
    </row>
    <row r="3715" spans="2:4">
      <c r="B3715" s="22"/>
      <c r="D3715" s="801"/>
    </row>
    <row r="3716" spans="2:4">
      <c r="B3716" s="22"/>
      <c r="D3716" s="801"/>
    </row>
  </sheetData>
  <mergeCells count="12">
    <mergeCell ref="A254:C254"/>
    <mergeCell ref="A253:C253"/>
    <mergeCell ref="A250:C250"/>
    <mergeCell ref="A251:C251"/>
    <mergeCell ref="A252:C252"/>
    <mergeCell ref="K1:K3"/>
    <mergeCell ref="A3:B3"/>
    <mergeCell ref="C1:C2"/>
    <mergeCell ref="D1:E2"/>
    <mergeCell ref="F1:G2"/>
    <mergeCell ref="H1:H2"/>
    <mergeCell ref="I1:J2"/>
  </mergeCells>
  <phoneticPr fontId="14" type="noConversion"/>
  <pageMargins left="0.7" right="0.7" top="0.75" bottom="0.75" header="0.3" footer="0.3"/>
  <pageSetup paperSize="3" orientation="landscape" r:id="rId1"/>
  <ignoredErrors>
    <ignoredError sqref="I148 I146 I142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21D7A-4CB9-4964-B3B6-3948224BD899}">
  <sheetPr>
    <tabColor rgb="FF4298B5"/>
  </sheetPr>
  <dimension ref="A1:G21"/>
  <sheetViews>
    <sheetView workbookViewId="0">
      <selection sqref="A1:A2"/>
    </sheetView>
  </sheetViews>
  <sheetFormatPr defaultRowHeight="14"/>
  <cols>
    <col min="1" max="1" width="16.5" customWidth="1"/>
    <col min="2" max="3" width="12.75" customWidth="1"/>
    <col min="4" max="6" width="14.5" customWidth="1"/>
    <col min="7" max="7" width="14.25" customWidth="1"/>
  </cols>
  <sheetData>
    <row r="1" spans="1:7" ht="28.5" thickBot="1">
      <c r="A1" s="95" t="s">
        <v>568</v>
      </c>
      <c r="B1" s="369" t="s">
        <v>569</v>
      </c>
      <c r="C1" s="368" t="s">
        <v>570</v>
      </c>
      <c r="D1" s="369" t="s">
        <v>571</v>
      </c>
      <c r="E1" s="465" t="s">
        <v>572</v>
      </c>
      <c r="F1" s="465" t="s">
        <v>573</v>
      </c>
    </row>
    <row r="2" spans="1:7">
      <c r="A2" s="134" t="s">
        <v>574</v>
      </c>
      <c r="B2" s="125">
        <f>'W-Sales By Meter-TY'!P3</f>
        <v>61284618</v>
      </c>
      <c r="C2" s="125">
        <f>'W-Sales By Meter-TY'!BP3</f>
        <v>41581309</v>
      </c>
      <c r="D2" s="125">
        <f>'W-Sales By Meter-TY'!BZ3</f>
        <v>132601202</v>
      </c>
      <c r="E2" s="461">
        <f t="shared" ref="E2:E13" si="0">SUM(B2:D2)</f>
        <v>235467129</v>
      </c>
      <c r="F2" s="466">
        <v>235407025</v>
      </c>
      <c r="G2" s="444"/>
    </row>
    <row r="3" spans="1:7">
      <c r="A3" s="135" t="s">
        <v>575</v>
      </c>
      <c r="B3" s="125">
        <f>'W-Sales By Meter-TY'!P4</f>
        <v>58217612</v>
      </c>
      <c r="C3" s="125">
        <f>'W-Sales By Meter-TY'!BP4</f>
        <v>40724375</v>
      </c>
      <c r="D3" s="125">
        <f>'W-Sales By Meter-TY'!BZ4</f>
        <v>125453895</v>
      </c>
      <c r="E3" s="462">
        <f t="shared" si="0"/>
        <v>224395882</v>
      </c>
      <c r="F3" s="467">
        <v>224198932</v>
      </c>
      <c r="G3" s="444"/>
    </row>
    <row r="4" spans="1:7">
      <c r="A4" s="136" t="s">
        <v>576</v>
      </c>
      <c r="B4" s="125">
        <f>'W-Sales By Meter-TY'!P5</f>
        <v>64876730</v>
      </c>
      <c r="C4" s="125">
        <f>'W-Sales By Meter-TY'!BP5</f>
        <v>36220274</v>
      </c>
      <c r="D4" s="125">
        <f>'W-Sales By Meter-TY'!BZ5</f>
        <v>114424418</v>
      </c>
      <c r="E4" s="462">
        <f t="shared" si="0"/>
        <v>215521422</v>
      </c>
      <c r="F4" s="467">
        <v>215372358</v>
      </c>
      <c r="G4" s="444"/>
    </row>
    <row r="5" spans="1:7">
      <c r="A5" s="135" t="s">
        <v>577</v>
      </c>
      <c r="B5" s="125">
        <f>'W-Sales By Meter-TY'!P6</f>
        <v>63508076</v>
      </c>
      <c r="C5" s="125">
        <f>'W-Sales By Meter-TY'!BP6</f>
        <v>36121686</v>
      </c>
      <c r="D5" s="125">
        <f>'W-Sales By Meter-TY'!BZ6</f>
        <v>113376010</v>
      </c>
      <c r="E5" s="462">
        <f t="shared" si="0"/>
        <v>213005772</v>
      </c>
      <c r="F5" s="467">
        <v>212841806</v>
      </c>
      <c r="G5" s="444"/>
    </row>
    <row r="6" spans="1:7">
      <c r="A6" s="136" t="s">
        <v>578</v>
      </c>
      <c r="B6" s="125">
        <f>'W-Sales By Meter-TY'!P7</f>
        <v>65604088</v>
      </c>
      <c r="C6" s="125">
        <f>'W-Sales By Meter-TY'!BP7</f>
        <v>41011549</v>
      </c>
      <c r="D6" s="125">
        <f>'W-Sales By Meter-TY'!BZ7</f>
        <v>128800242</v>
      </c>
      <c r="E6" s="462">
        <f t="shared" si="0"/>
        <v>235415879</v>
      </c>
      <c r="F6" s="467">
        <v>235332191</v>
      </c>
      <c r="G6" s="444"/>
    </row>
    <row r="7" spans="1:7">
      <c r="A7" s="135" t="s">
        <v>579</v>
      </c>
      <c r="B7" s="125">
        <f>'W-Sales By Meter-TY'!P8</f>
        <v>72698892</v>
      </c>
      <c r="C7" s="125">
        <f>'W-Sales By Meter-TY'!BP8</f>
        <v>50377245</v>
      </c>
      <c r="D7" s="125">
        <f>'W-Sales By Meter-TY'!BZ8</f>
        <v>158446169</v>
      </c>
      <c r="E7" s="462">
        <f t="shared" si="0"/>
        <v>281522306</v>
      </c>
      <c r="F7" s="467">
        <v>281712444</v>
      </c>
      <c r="G7" s="444"/>
    </row>
    <row r="8" spans="1:7">
      <c r="A8" s="136" t="s">
        <v>580</v>
      </c>
      <c r="B8" s="125">
        <f>'W-Sales By Meter-TY'!P9</f>
        <v>65092763</v>
      </c>
      <c r="C8" s="125">
        <f>'W-Sales By Meter-TY'!BP9</f>
        <v>58573221</v>
      </c>
      <c r="D8" s="125">
        <f>'W-Sales By Meter-TY'!BZ9</f>
        <v>169525526</v>
      </c>
      <c r="E8" s="463">
        <f t="shared" si="0"/>
        <v>293191510</v>
      </c>
      <c r="F8" s="467">
        <v>293370737</v>
      </c>
      <c r="G8" s="444"/>
    </row>
    <row r="9" spans="1:7">
      <c r="A9" s="135" t="s">
        <v>581</v>
      </c>
      <c r="B9" s="125">
        <f>'W-Sales By Meter-TY'!P10</f>
        <v>72168870</v>
      </c>
      <c r="C9" s="125">
        <f>'W-Sales By Meter-TY'!BP10</f>
        <v>56996869</v>
      </c>
      <c r="D9" s="125">
        <f>'W-Sales By Meter-TY'!BZ10</f>
        <v>154460395</v>
      </c>
      <c r="E9" s="462">
        <f t="shared" si="0"/>
        <v>283626134</v>
      </c>
      <c r="F9" s="467">
        <v>283648438</v>
      </c>
      <c r="G9" s="444"/>
    </row>
    <row r="10" spans="1:7">
      <c r="A10" s="136" t="s">
        <v>582</v>
      </c>
      <c r="B10" s="125">
        <f>'W-Sales By Meter-TY'!P11</f>
        <v>73832515</v>
      </c>
      <c r="C10" s="125">
        <f>'W-Sales By Meter-TY'!BP11</f>
        <v>58950184</v>
      </c>
      <c r="D10" s="125">
        <f>'W-Sales By Meter-TY'!BZ11</f>
        <v>157623081</v>
      </c>
      <c r="E10" s="462">
        <f t="shared" si="0"/>
        <v>290405780</v>
      </c>
      <c r="F10" s="467">
        <v>290533648</v>
      </c>
      <c r="G10" s="444"/>
    </row>
    <row r="11" spans="1:7">
      <c r="A11" s="135" t="s">
        <v>583</v>
      </c>
      <c r="B11" s="125">
        <f>'W-Sales By Meter-TY'!P12</f>
        <v>73118908</v>
      </c>
      <c r="C11" s="125">
        <f>'W-Sales By Meter-TY'!BP12</f>
        <v>61805860</v>
      </c>
      <c r="D11" s="125">
        <f>'W-Sales By Meter-TY'!BZ12</f>
        <v>157505941</v>
      </c>
      <c r="E11" s="462">
        <f t="shared" si="0"/>
        <v>292430709</v>
      </c>
      <c r="F11" s="467">
        <v>292573497</v>
      </c>
      <c r="G11" s="444"/>
    </row>
    <row r="12" spans="1:7">
      <c r="A12" s="136" t="s">
        <v>584</v>
      </c>
      <c r="B12" s="125">
        <f>'W-Sales By Meter-TY'!P13</f>
        <v>72175793</v>
      </c>
      <c r="C12" s="125">
        <f>'W-Sales By Meter-TY'!BP13</f>
        <v>52561346</v>
      </c>
      <c r="D12" s="125">
        <f>'W-Sales By Meter-TY'!BZ13</f>
        <v>135103313</v>
      </c>
      <c r="E12" s="462">
        <f t="shared" si="0"/>
        <v>259840452</v>
      </c>
      <c r="F12" s="467">
        <v>259791352</v>
      </c>
      <c r="G12" s="444"/>
    </row>
    <row r="13" spans="1:7" ht="14.5" thickBot="1">
      <c r="A13" s="137" t="s">
        <v>585</v>
      </c>
      <c r="B13" s="125">
        <f>'W-Sales By Meter-TY'!P14</f>
        <v>61915199</v>
      </c>
      <c r="C13" s="125">
        <f>'W-Sales By Meter-TY'!BP14</f>
        <v>39804828</v>
      </c>
      <c r="D13" s="125">
        <f>'W-Sales By Meter-TY'!BZ14</f>
        <v>122974110</v>
      </c>
      <c r="E13" s="464">
        <f t="shared" si="0"/>
        <v>224694137</v>
      </c>
      <c r="F13" s="468">
        <v>224521197</v>
      </c>
      <c r="G13" s="444"/>
    </row>
    <row r="14" spans="1:7">
      <c r="A14" s="221" t="s">
        <v>37</v>
      </c>
      <c r="B14" s="163">
        <f>SUM(B2:B13)</f>
        <v>804494064</v>
      </c>
      <c r="C14" s="163">
        <f>SUM(C2:C13)</f>
        <v>574728746</v>
      </c>
      <c r="D14" s="163">
        <f>SUM(D2:D13)</f>
        <v>1670294302</v>
      </c>
      <c r="E14" s="457">
        <f>SUM(E2:E13)</f>
        <v>3049517112</v>
      </c>
      <c r="F14" s="478">
        <f>SUM(F2:F13)</f>
        <v>3049303625</v>
      </c>
      <c r="G14" s="444"/>
    </row>
    <row r="15" spans="1:7" ht="14.5" thickBot="1">
      <c r="A15" s="220" t="s">
        <v>586</v>
      </c>
      <c r="B15" s="158">
        <f>B14/$E$14</f>
        <v>0.26381031306047642</v>
      </c>
      <c r="C15" s="158">
        <f>C14/$E$14</f>
        <v>0.18846549302458873</v>
      </c>
      <c r="D15" s="166">
        <f>D14/$E$14</f>
        <v>0.54772419391493476</v>
      </c>
      <c r="E15" s="469">
        <f>SUM(B15:D15)</f>
        <v>0.99999999999999989</v>
      </c>
      <c r="F15" s="572"/>
    </row>
    <row r="16" spans="1:7">
      <c r="A16" s="378"/>
      <c r="B16" s="379"/>
      <c r="C16" s="379"/>
      <c r="D16" s="379"/>
      <c r="E16" s="380"/>
    </row>
    <row r="17" spans="1:1">
      <c r="A17" s="116" t="s">
        <v>587</v>
      </c>
    </row>
    <row r="18" spans="1:1" ht="15">
      <c r="A18" s="116" t="s">
        <v>588</v>
      </c>
    </row>
    <row r="19" spans="1:1" ht="15">
      <c r="A19" s="116" t="s">
        <v>589</v>
      </c>
    </row>
    <row r="20" spans="1:1" ht="15">
      <c r="A20" s="116" t="s">
        <v>590</v>
      </c>
    </row>
    <row r="21" spans="1:1">
      <c r="A21" s="116"/>
    </row>
  </sheetData>
  <phoneticPr fontId="14" type="noConversion"/>
  <pageMargins left="0.7" right="0.7" top="0.75" bottom="0.75" header="0.3" footer="0.3"/>
  <pageSetup paperSize="256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B83B6-25E2-45DE-9782-049DF38BD070}">
  <sheetPr>
    <tabColor rgb="FF4298B5"/>
  </sheetPr>
  <dimension ref="A1:E23"/>
  <sheetViews>
    <sheetView workbookViewId="0">
      <selection sqref="A1:A2"/>
    </sheetView>
  </sheetViews>
  <sheetFormatPr defaultRowHeight="14"/>
  <cols>
    <col min="1" max="1" width="16.25" customWidth="1"/>
    <col min="2" max="2" width="14.5" customWidth="1"/>
  </cols>
  <sheetData>
    <row r="1" spans="1:5" ht="60" customHeight="1" thickBot="1">
      <c r="A1" s="95" t="s">
        <v>591</v>
      </c>
      <c r="B1" s="95" t="s">
        <v>592</v>
      </c>
    </row>
    <row r="2" spans="1:5">
      <c r="A2" s="134" t="s">
        <v>574</v>
      </c>
      <c r="B2" s="254">
        <v>282257869</v>
      </c>
      <c r="D2" s="570"/>
    </row>
    <row r="3" spans="1:5">
      <c r="A3" s="135" t="s">
        <v>575</v>
      </c>
      <c r="B3" s="255">
        <v>274928998</v>
      </c>
      <c r="D3" s="570"/>
    </row>
    <row r="4" spans="1:5">
      <c r="A4" s="136" t="s">
        <v>576</v>
      </c>
      <c r="B4" s="255">
        <v>259949706</v>
      </c>
      <c r="D4" s="570"/>
      <c r="E4" s="22"/>
    </row>
    <row r="5" spans="1:5">
      <c r="A5" s="135" t="s">
        <v>577</v>
      </c>
      <c r="B5" s="255">
        <v>250502037</v>
      </c>
      <c r="D5" s="570"/>
    </row>
    <row r="6" spans="1:5">
      <c r="A6" s="136" t="s">
        <v>578</v>
      </c>
      <c r="B6" s="255">
        <v>272661441</v>
      </c>
      <c r="D6" s="570"/>
    </row>
    <row r="7" spans="1:5">
      <c r="A7" s="135" t="s">
        <v>579</v>
      </c>
      <c r="B7" s="255">
        <v>316121110</v>
      </c>
      <c r="D7" s="570"/>
    </row>
    <row r="8" spans="1:5">
      <c r="A8" s="136" t="s">
        <v>580</v>
      </c>
      <c r="B8" s="255">
        <v>331175224</v>
      </c>
      <c r="D8" s="570"/>
    </row>
    <row r="9" spans="1:5">
      <c r="A9" s="135" t="s">
        <v>581</v>
      </c>
      <c r="B9" s="255">
        <v>321499789</v>
      </c>
      <c r="D9" s="570"/>
    </row>
    <row r="10" spans="1:5">
      <c r="A10" s="136" t="s">
        <v>582</v>
      </c>
      <c r="B10" s="255">
        <v>325691941</v>
      </c>
      <c r="D10" s="570"/>
    </row>
    <row r="11" spans="1:5">
      <c r="A11" s="135" t="s">
        <v>583</v>
      </c>
      <c r="B11" s="255">
        <v>325940106</v>
      </c>
      <c r="D11" s="570"/>
    </row>
    <row r="12" spans="1:5">
      <c r="A12" s="136" t="s">
        <v>584</v>
      </c>
      <c r="B12" s="255">
        <v>291389457</v>
      </c>
      <c r="D12" s="570"/>
    </row>
    <row r="13" spans="1:5" ht="14.5" thickBot="1">
      <c r="A13" s="137" t="s">
        <v>585</v>
      </c>
      <c r="B13" s="256">
        <v>261670645</v>
      </c>
      <c r="D13" s="570"/>
    </row>
    <row r="14" spans="1:5">
      <c r="A14" s="221" t="s">
        <v>37</v>
      </c>
      <c r="B14" s="257">
        <f>SUM(B2:B13)</f>
        <v>3513788323</v>
      </c>
      <c r="D14" s="570"/>
    </row>
    <row r="15" spans="1:5" ht="33.75" customHeight="1" thickBot="1">
      <c r="A15" s="624" t="s">
        <v>593</v>
      </c>
      <c r="B15" s="625">
        <f>1-('W-Sales-TY'!F14/B14)</f>
        <v>0.13218915179370638</v>
      </c>
    </row>
    <row r="17" spans="1:4">
      <c r="A17" s="116" t="s">
        <v>587</v>
      </c>
      <c r="B17" s="116"/>
    </row>
    <row r="18" spans="1:4" ht="15">
      <c r="A18" s="116" t="s">
        <v>588</v>
      </c>
      <c r="B18" s="116"/>
      <c r="C18" s="116"/>
      <c r="D18" s="116"/>
    </row>
    <row r="19" spans="1:4" ht="15">
      <c r="A19" s="116" t="s">
        <v>594</v>
      </c>
      <c r="B19" s="116"/>
      <c r="C19" s="116"/>
      <c r="D19" s="116"/>
    </row>
    <row r="20" spans="1:4">
      <c r="A20" s="116"/>
      <c r="B20" s="116"/>
      <c r="C20" s="116"/>
      <c r="D20" s="116"/>
    </row>
    <row r="21" spans="1:4">
      <c r="A21" s="116"/>
      <c r="B21" s="116"/>
      <c r="C21" s="116"/>
      <c r="D21" s="116"/>
    </row>
    <row r="22" spans="1:4">
      <c r="A22" s="116"/>
      <c r="B22" s="116"/>
      <c r="C22" s="116"/>
      <c r="D22" s="116"/>
    </row>
    <row r="23" spans="1:4">
      <c r="A23" s="116"/>
      <c r="B23" s="116"/>
      <c r="C23" s="116"/>
      <c r="D23" s="116"/>
    </row>
  </sheetData>
  <pageMargins left="0.7" right="0.7" top="0.75" bottom="0.75" header="0.3" footer="0.3"/>
  <pageSetup paperSize="256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77FA-9E4B-40FA-8695-75CFF02F7071}">
  <sheetPr>
    <tabColor rgb="FF4298B5"/>
  </sheetPr>
  <dimension ref="A1:CB36"/>
  <sheetViews>
    <sheetView workbookViewId="0">
      <selection sqref="A1:A2"/>
    </sheetView>
  </sheetViews>
  <sheetFormatPr defaultRowHeight="14"/>
  <cols>
    <col min="1" max="2" width="13.75" customWidth="1"/>
    <col min="3" max="3" width="13.5" customWidth="1"/>
    <col min="4" max="8" width="12.25" customWidth="1"/>
    <col min="9" max="10" width="13.83203125" customWidth="1"/>
    <col min="11" max="12" width="12.25" customWidth="1"/>
    <col min="13" max="13" width="12.75" customWidth="1"/>
    <col min="14" max="16" width="12.25" customWidth="1"/>
    <col min="17" max="17" width="13.83203125" customWidth="1"/>
    <col min="18" max="19" width="12.75" customWidth="1"/>
    <col min="20" max="20" width="13.83203125" customWidth="1"/>
    <col min="21" max="25" width="12.25" customWidth="1"/>
    <col min="26" max="26" width="14.25" customWidth="1"/>
    <col min="27" max="27" width="13.83203125" customWidth="1"/>
    <col min="28" max="28" width="14.25" customWidth="1"/>
    <col min="29" max="29" width="13.83203125" customWidth="1"/>
    <col min="30" max="30" width="12.25" customWidth="1"/>
    <col min="31" max="31" width="14.25" customWidth="1"/>
    <col min="32" max="32" width="12.25" customWidth="1"/>
    <col min="33" max="33" width="13.83203125" customWidth="1"/>
    <col min="34" max="34" width="11.5" customWidth="1"/>
    <col min="35" max="35" width="11.25" customWidth="1"/>
    <col min="36" max="36" width="12.33203125" customWidth="1"/>
    <col min="37" max="41" width="12" bestFit="1" customWidth="1"/>
    <col min="42" max="46" width="13.75" customWidth="1"/>
    <col min="47" max="47" width="14.75" customWidth="1"/>
    <col min="48" max="48" width="12.33203125" customWidth="1"/>
    <col min="49" max="49" width="11.25" customWidth="1"/>
    <col min="50" max="50" width="10.25" customWidth="1"/>
    <col min="51" max="51" width="12.08203125" bestFit="1" customWidth="1"/>
    <col min="52" max="53" width="12.58203125" bestFit="1" customWidth="1"/>
    <col min="54" max="55" width="11.25" customWidth="1"/>
    <col min="56" max="56" width="13.33203125" customWidth="1"/>
    <col min="57" max="58" width="14.5" customWidth="1"/>
    <col min="59" max="60" width="11.25" customWidth="1"/>
    <col min="61" max="61" width="12.25" customWidth="1"/>
    <col min="62" max="65" width="11.25" customWidth="1"/>
    <col min="66" max="66" width="12.25" customWidth="1"/>
    <col min="67" max="67" width="11.25" customWidth="1"/>
    <col min="68" max="68" width="12.25" customWidth="1"/>
    <col min="69" max="69" width="13.83203125" customWidth="1"/>
    <col min="70" max="72" width="11.25" customWidth="1"/>
    <col min="73" max="74" width="13.83203125" customWidth="1"/>
    <col min="75" max="77" width="11.25" customWidth="1"/>
    <col min="78" max="79" width="13.83203125" customWidth="1"/>
    <col min="80" max="82" width="12.33203125" customWidth="1"/>
    <col min="83" max="83" width="13.83203125" customWidth="1"/>
    <col min="84" max="84" width="15.58203125" customWidth="1"/>
    <col min="85" max="85" width="13.83203125" customWidth="1"/>
  </cols>
  <sheetData>
    <row r="1" spans="1:80" ht="20.25" customHeight="1" thickBot="1">
      <c r="A1" s="902" t="s">
        <v>568</v>
      </c>
      <c r="B1" s="904" t="s">
        <v>595</v>
      </c>
      <c r="C1" s="897" t="s">
        <v>596</v>
      </c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  <c r="P1" s="899"/>
      <c r="Q1" s="906" t="s">
        <v>597</v>
      </c>
      <c r="R1" s="907"/>
      <c r="S1" s="907"/>
      <c r="T1" s="907"/>
      <c r="U1" s="907"/>
      <c r="V1" s="907"/>
      <c r="W1" s="907"/>
      <c r="X1" s="907"/>
      <c r="Y1" s="907"/>
      <c r="Z1" s="907"/>
      <c r="AA1" s="907"/>
      <c r="AB1" s="907"/>
      <c r="AC1" s="907" t="s">
        <v>597</v>
      </c>
      <c r="AD1" s="907"/>
      <c r="AE1" s="907"/>
      <c r="AF1" s="907"/>
      <c r="AG1" s="907"/>
      <c r="AH1" s="907"/>
      <c r="AI1" s="907"/>
      <c r="AJ1" s="907"/>
      <c r="AK1" s="907"/>
      <c r="AL1" s="907"/>
      <c r="AM1" s="907"/>
      <c r="AN1" s="907"/>
      <c r="AO1" s="907"/>
      <c r="AP1" s="907"/>
      <c r="AQ1" s="847"/>
      <c r="AR1" s="907" t="s">
        <v>597</v>
      </c>
      <c r="AS1" s="907"/>
      <c r="AT1" s="907"/>
      <c r="AU1" s="907"/>
      <c r="AV1" s="907"/>
      <c r="AW1" s="907"/>
      <c r="AX1" s="907"/>
      <c r="AY1" s="907"/>
      <c r="AZ1" s="907"/>
      <c r="BA1" s="907"/>
      <c r="BB1" s="907"/>
      <c r="BC1" s="907"/>
      <c r="BD1" s="907"/>
      <c r="BE1" s="907" t="s">
        <v>597</v>
      </c>
      <c r="BF1" s="907"/>
      <c r="BG1" s="907"/>
      <c r="BH1" s="907"/>
      <c r="BI1" s="907"/>
      <c r="BJ1" s="907"/>
      <c r="BK1" s="907"/>
      <c r="BL1" s="907"/>
      <c r="BM1" s="907"/>
      <c r="BN1" s="907"/>
      <c r="BO1" s="907"/>
      <c r="BP1" s="908"/>
      <c r="BQ1" s="898" t="s">
        <v>598</v>
      </c>
      <c r="BR1" s="898"/>
      <c r="BS1" s="900"/>
      <c r="BT1" s="898"/>
      <c r="BU1" s="898"/>
      <c r="BV1" s="898"/>
      <c r="BW1" s="898"/>
      <c r="BX1" s="898"/>
      <c r="BY1" s="898"/>
      <c r="BZ1" s="899"/>
      <c r="CA1" s="851"/>
      <c r="CB1" s="7"/>
    </row>
    <row r="2" spans="1:80" ht="29.25" customHeight="1" thickBot="1">
      <c r="A2" s="903"/>
      <c r="B2" s="905"/>
      <c r="C2" s="421" t="s">
        <v>599</v>
      </c>
      <c r="D2" s="362" t="s">
        <v>600</v>
      </c>
      <c r="E2" s="362" t="s">
        <v>601</v>
      </c>
      <c r="F2" s="362" t="s">
        <v>602</v>
      </c>
      <c r="G2" s="362" t="s">
        <v>603</v>
      </c>
      <c r="H2" s="362" t="s">
        <v>604</v>
      </c>
      <c r="I2" s="424" t="s">
        <v>605</v>
      </c>
      <c r="J2" s="401" t="s">
        <v>606</v>
      </c>
      <c r="K2" s="424" t="s">
        <v>607</v>
      </c>
      <c r="L2" s="424" t="s">
        <v>608</v>
      </c>
      <c r="M2" s="447" t="s">
        <v>609</v>
      </c>
      <c r="N2" s="424" t="s">
        <v>610</v>
      </c>
      <c r="O2" s="422" t="s">
        <v>611</v>
      </c>
      <c r="P2" s="381" t="s">
        <v>612</v>
      </c>
      <c r="Q2" s="361" t="s">
        <v>613</v>
      </c>
      <c r="R2" s="362" t="s">
        <v>614</v>
      </c>
      <c r="S2" s="364" t="s">
        <v>615</v>
      </c>
      <c r="T2" s="363" t="s">
        <v>616</v>
      </c>
      <c r="U2" s="381" t="s">
        <v>29</v>
      </c>
      <c r="V2" s="426" t="s">
        <v>617</v>
      </c>
      <c r="W2" s="424" t="s">
        <v>618</v>
      </c>
      <c r="X2" s="401" t="s">
        <v>619</v>
      </c>
      <c r="Y2" s="424" t="s">
        <v>620</v>
      </c>
      <c r="Z2" s="429" t="s">
        <v>621</v>
      </c>
      <c r="AA2" s="416" t="s">
        <v>29</v>
      </c>
      <c r="AB2" s="423" t="s">
        <v>622</v>
      </c>
      <c r="AC2" s="421" t="s">
        <v>623</v>
      </c>
      <c r="AD2" s="421" t="s">
        <v>624</v>
      </c>
      <c r="AE2" s="421" t="s">
        <v>625</v>
      </c>
      <c r="AF2" s="421" t="s">
        <v>626</v>
      </c>
      <c r="AG2" s="424" t="s">
        <v>627</v>
      </c>
      <c r="AH2" s="424" t="s">
        <v>628</v>
      </c>
      <c r="AI2" s="401" t="s">
        <v>629</v>
      </c>
      <c r="AJ2" s="424" t="s">
        <v>630</v>
      </c>
      <c r="AK2" s="424" t="s">
        <v>631</v>
      </c>
      <c r="AL2" s="401" t="s">
        <v>632</v>
      </c>
      <c r="AM2" s="427" t="s">
        <v>633</v>
      </c>
      <c r="AN2" s="427" t="s">
        <v>634</v>
      </c>
      <c r="AO2" s="427" t="s">
        <v>635</v>
      </c>
      <c r="AP2" s="424" t="s">
        <v>636</v>
      </c>
      <c r="AQ2" s="168" t="s">
        <v>29</v>
      </c>
      <c r="AR2" s="421" t="s">
        <v>637</v>
      </c>
      <c r="AS2" s="362" t="s">
        <v>638</v>
      </c>
      <c r="AT2" s="364" t="s">
        <v>639</v>
      </c>
      <c r="AU2" s="364" t="s">
        <v>640</v>
      </c>
      <c r="AV2" s="424" t="s">
        <v>641</v>
      </c>
      <c r="AW2" s="401" t="s">
        <v>642</v>
      </c>
      <c r="AX2" s="424" t="s">
        <v>643</v>
      </c>
      <c r="AY2" s="424" t="s">
        <v>644</v>
      </c>
      <c r="AZ2" s="424" t="s">
        <v>645</v>
      </c>
      <c r="BA2" s="425" t="s">
        <v>646</v>
      </c>
      <c r="BB2" s="168" t="s">
        <v>29</v>
      </c>
      <c r="BC2" s="421" t="s">
        <v>647</v>
      </c>
      <c r="BD2" s="424" t="s">
        <v>648</v>
      </c>
      <c r="BE2" s="401" t="s">
        <v>649</v>
      </c>
      <c r="BF2" s="424" t="s">
        <v>650</v>
      </c>
      <c r="BG2" s="401" t="s">
        <v>651</v>
      </c>
      <c r="BH2" s="422" t="s">
        <v>652</v>
      </c>
      <c r="BI2" s="168" t="s">
        <v>29</v>
      </c>
      <c r="BJ2" s="423" t="s">
        <v>653</v>
      </c>
      <c r="BK2" s="424" t="s">
        <v>654</v>
      </c>
      <c r="BL2" s="401" t="s">
        <v>655</v>
      </c>
      <c r="BM2" s="422" t="s">
        <v>656</v>
      </c>
      <c r="BN2" s="425" t="s">
        <v>657</v>
      </c>
      <c r="BO2" s="169" t="s">
        <v>29</v>
      </c>
      <c r="BP2" s="367" t="s">
        <v>658</v>
      </c>
      <c r="BQ2" s="423" t="s">
        <v>659</v>
      </c>
      <c r="BR2" s="424" t="s">
        <v>660</v>
      </c>
      <c r="BS2" s="424" t="s">
        <v>661</v>
      </c>
      <c r="BT2" s="411" t="s">
        <v>662</v>
      </c>
      <c r="BU2" s="173" t="s">
        <v>29</v>
      </c>
      <c r="BV2" s="450" t="s">
        <v>663</v>
      </c>
      <c r="BW2" s="424" t="s">
        <v>664</v>
      </c>
      <c r="BX2" s="422" t="s">
        <v>665</v>
      </c>
      <c r="BY2" s="440" t="s">
        <v>29</v>
      </c>
      <c r="BZ2" s="442" t="s">
        <v>666</v>
      </c>
      <c r="CA2" s="443" t="s">
        <v>37</v>
      </c>
    </row>
    <row r="3" spans="1:80">
      <c r="A3" s="837" t="s">
        <v>574</v>
      </c>
      <c r="B3" s="242">
        <v>31</v>
      </c>
      <c r="C3" s="125">
        <v>3930</v>
      </c>
      <c r="D3" s="126">
        <v>387034</v>
      </c>
      <c r="E3" s="126">
        <v>3612</v>
      </c>
      <c r="F3" s="126">
        <v>3591814</v>
      </c>
      <c r="G3" s="126">
        <v>1763200</v>
      </c>
      <c r="H3" s="126">
        <v>9405414</v>
      </c>
      <c r="I3" s="126">
        <v>29914589</v>
      </c>
      <c r="J3" s="398">
        <v>2819728</v>
      </c>
      <c r="K3" s="352">
        <v>13209300</v>
      </c>
      <c r="L3" s="352">
        <v>400</v>
      </c>
      <c r="M3" s="352">
        <v>0</v>
      </c>
      <c r="N3" s="352">
        <v>184759</v>
      </c>
      <c r="O3" s="437">
        <v>838</v>
      </c>
      <c r="P3" s="159">
        <f>SUM(C3:O3)</f>
        <v>61284618</v>
      </c>
      <c r="Q3" s="125">
        <v>3679523</v>
      </c>
      <c r="R3" s="125">
        <v>2635969</v>
      </c>
      <c r="S3" s="398">
        <v>12891</v>
      </c>
      <c r="T3" s="143">
        <v>425813</v>
      </c>
      <c r="U3" s="159">
        <f t="shared" ref="U3:U14" si="0">SUM(Q3:T3)</f>
        <v>6754196</v>
      </c>
      <c r="V3" s="125">
        <v>507343</v>
      </c>
      <c r="W3" s="126">
        <v>206743</v>
      </c>
      <c r="X3" s="352">
        <v>40653</v>
      </c>
      <c r="Y3" s="352">
        <v>52348</v>
      </c>
      <c r="Z3" s="140">
        <v>1</v>
      </c>
      <c r="AA3" s="162">
        <f t="shared" ref="AA3:AA14" si="1">SUM(V3:Z3)</f>
        <v>807088</v>
      </c>
      <c r="AB3" s="430">
        <v>3083560</v>
      </c>
      <c r="AC3" s="125">
        <v>2144273</v>
      </c>
      <c r="AD3" s="125">
        <v>1197211</v>
      </c>
      <c r="AE3" s="125">
        <v>5562640</v>
      </c>
      <c r="AF3" s="125">
        <v>315397</v>
      </c>
      <c r="AG3" s="126">
        <v>3723714</v>
      </c>
      <c r="AH3" s="126">
        <v>316617</v>
      </c>
      <c r="AI3" s="398">
        <v>315094</v>
      </c>
      <c r="AJ3" s="126">
        <v>58714</v>
      </c>
      <c r="AK3" s="126">
        <v>3996</v>
      </c>
      <c r="AL3" s="398">
        <v>0</v>
      </c>
      <c r="AM3" s="350">
        <v>30617</v>
      </c>
      <c r="AN3" s="350">
        <v>183113</v>
      </c>
      <c r="AO3" s="350">
        <v>60558</v>
      </c>
      <c r="AP3" s="126">
        <v>640500</v>
      </c>
      <c r="AQ3" s="159">
        <f>SUM(AB3:AP3)</f>
        <v>17636004</v>
      </c>
      <c r="AR3" s="125">
        <v>38745</v>
      </c>
      <c r="AS3" s="126">
        <v>170502</v>
      </c>
      <c r="AT3" s="350">
        <v>595</v>
      </c>
      <c r="AU3" s="350">
        <v>158312</v>
      </c>
      <c r="AV3" s="126">
        <v>309500</v>
      </c>
      <c r="AW3" s="352">
        <v>2688128</v>
      </c>
      <c r="AX3" s="126">
        <v>581830</v>
      </c>
      <c r="AY3" s="126">
        <v>0</v>
      </c>
      <c r="AZ3" s="126">
        <v>6977</v>
      </c>
      <c r="BA3" s="140">
        <v>559</v>
      </c>
      <c r="BB3" s="159">
        <f t="shared" ref="BB3:BB14" si="2">SUM(AR3:BA3)</f>
        <v>3955148</v>
      </c>
      <c r="BC3" s="125">
        <v>135555</v>
      </c>
      <c r="BD3" s="126">
        <v>2386345</v>
      </c>
      <c r="BE3" s="398">
        <v>702644</v>
      </c>
      <c r="BF3" s="126">
        <v>2149514</v>
      </c>
      <c r="BG3" s="398">
        <v>4947315</v>
      </c>
      <c r="BH3" s="143">
        <v>2107500</v>
      </c>
      <c r="BI3" s="159">
        <f t="shared" ref="BI3:BI14" si="3">SUM(BC3:BH3)</f>
        <v>12428873</v>
      </c>
      <c r="BJ3" s="354">
        <v>0</v>
      </c>
      <c r="BK3" s="352">
        <v>0</v>
      </c>
      <c r="BL3" s="435">
        <v>0</v>
      </c>
      <c r="BM3" s="437">
        <v>0</v>
      </c>
      <c r="BN3" s="138">
        <v>0</v>
      </c>
      <c r="BO3" s="170">
        <f t="shared" ref="BO3:BO14" si="4">SUM(BJ3:BN3)</f>
        <v>0</v>
      </c>
      <c r="BP3" s="631">
        <f>SUM(U3,AA3,AQ3,BB3,BI3,BO3)</f>
        <v>41581309</v>
      </c>
      <c r="BQ3" s="354">
        <v>128100530</v>
      </c>
      <c r="BR3" s="352">
        <v>4405604</v>
      </c>
      <c r="BS3" s="449">
        <v>7708</v>
      </c>
      <c r="BT3" s="448">
        <v>87360</v>
      </c>
      <c r="BU3" s="414">
        <f>SUM(BQ3:BT3)</f>
        <v>132601202</v>
      </c>
      <c r="BV3" s="451">
        <v>0</v>
      </c>
      <c r="BW3" s="352">
        <v>0</v>
      </c>
      <c r="BX3" s="140">
        <v>0</v>
      </c>
      <c r="BY3" s="171">
        <f>SUM(BV3:BX3)</f>
        <v>0</v>
      </c>
      <c r="BZ3" s="171">
        <f t="shared" ref="BZ3:BZ14" si="5">SUM(BU3,BY3)</f>
        <v>132601202</v>
      </c>
      <c r="CA3" s="418">
        <f>SUM(BP3,BZ3,P3)</f>
        <v>235467129</v>
      </c>
    </row>
    <row r="4" spans="1:80">
      <c r="A4" s="838" t="s">
        <v>575</v>
      </c>
      <c r="B4" s="242">
        <v>28</v>
      </c>
      <c r="C4" s="127">
        <v>5679</v>
      </c>
      <c r="D4" s="128">
        <v>333891</v>
      </c>
      <c r="E4" s="128">
        <v>4205</v>
      </c>
      <c r="F4" s="128">
        <v>4400515</v>
      </c>
      <c r="G4" s="128">
        <v>1912100</v>
      </c>
      <c r="H4" s="128">
        <v>8658489</v>
      </c>
      <c r="I4" s="128">
        <v>28464583</v>
      </c>
      <c r="J4" s="398">
        <v>3359507</v>
      </c>
      <c r="K4" s="128">
        <v>11005000</v>
      </c>
      <c r="L4" s="128">
        <v>0</v>
      </c>
      <c r="M4" s="128">
        <v>0</v>
      </c>
      <c r="N4" s="128">
        <v>73636</v>
      </c>
      <c r="O4" s="140">
        <v>7</v>
      </c>
      <c r="P4" s="159">
        <f t="shared" ref="P4:P13" si="6">SUM(C4:O4)</f>
        <v>58217612</v>
      </c>
      <c r="Q4" s="127">
        <v>3203580</v>
      </c>
      <c r="R4" s="127">
        <v>2562252</v>
      </c>
      <c r="S4" s="399">
        <v>8983</v>
      </c>
      <c r="T4" s="129">
        <v>440358</v>
      </c>
      <c r="U4" s="159">
        <f t="shared" si="0"/>
        <v>6215173</v>
      </c>
      <c r="V4" s="127">
        <v>406524</v>
      </c>
      <c r="W4" s="128">
        <v>168526</v>
      </c>
      <c r="X4" s="126">
        <v>9325</v>
      </c>
      <c r="Y4" s="126">
        <v>52471</v>
      </c>
      <c r="Z4" s="140">
        <v>3</v>
      </c>
      <c r="AA4" s="159">
        <f t="shared" si="1"/>
        <v>636849</v>
      </c>
      <c r="AB4" s="431">
        <v>2961973</v>
      </c>
      <c r="AC4" s="127">
        <v>2094122</v>
      </c>
      <c r="AD4" s="127">
        <v>1158829</v>
      </c>
      <c r="AE4" s="127">
        <v>5335985</v>
      </c>
      <c r="AF4" s="127">
        <v>1067666</v>
      </c>
      <c r="AG4" s="128">
        <v>3329018</v>
      </c>
      <c r="AH4" s="126">
        <v>422334</v>
      </c>
      <c r="AI4" s="398">
        <v>350515</v>
      </c>
      <c r="AJ4" s="126">
        <v>55266</v>
      </c>
      <c r="AK4" s="126">
        <v>10</v>
      </c>
      <c r="AL4" s="398">
        <v>0</v>
      </c>
      <c r="AM4" s="350">
        <v>150315</v>
      </c>
      <c r="AN4" s="350">
        <v>157813</v>
      </c>
      <c r="AO4" s="350">
        <v>70907</v>
      </c>
      <c r="AP4" s="126">
        <v>0</v>
      </c>
      <c r="AQ4" s="159">
        <f t="shared" ref="AQ4:AQ14" si="7">SUM(AB4:AP4)</f>
        <v>17154753</v>
      </c>
      <c r="AR4" s="127">
        <v>56705</v>
      </c>
      <c r="AS4" s="128">
        <v>165288</v>
      </c>
      <c r="AT4" s="402">
        <v>841</v>
      </c>
      <c r="AU4" s="402">
        <v>115946</v>
      </c>
      <c r="AV4" s="128">
        <v>428900</v>
      </c>
      <c r="AW4" s="126">
        <v>1872078</v>
      </c>
      <c r="AX4" s="126">
        <v>968356</v>
      </c>
      <c r="AY4" s="126">
        <v>0</v>
      </c>
      <c r="AZ4" s="126">
        <v>1052</v>
      </c>
      <c r="BA4" s="140">
        <v>5072</v>
      </c>
      <c r="BB4" s="159">
        <f t="shared" si="2"/>
        <v>3614238</v>
      </c>
      <c r="BC4" s="127">
        <v>248982</v>
      </c>
      <c r="BD4" s="128">
        <v>2427235</v>
      </c>
      <c r="BE4" s="399">
        <v>555022</v>
      </c>
      <c r="BF4" s="128">
        <v>3487234</v>
      </c>
      <c r="BG4" s="398">
        <v>4809089</v>
      </c>
      <c r="BH4" s="143">
        <v>1575800</v>
      </c>
      <c r="BI4" s="159">
        <f t="shared" si="3"/>
        <v>13103362</v>
      </c>
      <c r="BJ4" s="355">
        <v>0</v>
      </c>
      <c r="BK4" s="128">
        <v>0</v>
      </c>
      <c r="BL4" s="399">
        <v>0</v>
      </c>
      <c r="BM4" s="129">
        <v>0</v>
      </c>
      <c r="BN4" s="139">
        <v>0</v>
      </c>
      <c r="BO4" s="171">
        <f t="shared" si="4"/>
        <v>0</v>
      </c>
      <c r="BP4" s="632">
        <f t="shared" ref="BP4:BP14" si="8">SUM(U4,AA4,AQ4,BB4,BI4,BO4)</f>
        <v>40724375</v>
      </c>
      <c r="BQ4" s="355">
        <v>121267137</v>
      </c>
      <c r="BR4" s="128">
        <v>4124149</v>
      </c>
      <c r="BS4" s="128">
        <v>35421</v>
      </c>
      <c r="BT4" s="139">
        <v>25401</v>
      </c>
      <c r="BU4" s="415">
        <f>SUM(BQ4:BT4)</f>
        <v>125452108</v>
      </c>
      <c r="BV4" s="452">
        <v>1787</v>
      </c>
      <c r="BW4" s="128">
        <v>0</v>
      </c>
      <c r="BX4" s="139">
        <v>0</v>
      </c>
      <c r="BY4" s="171">
        <f t="shared" ref="BY4:BY14" si="9">SUM(BV4:BX4)</f>
        <v>1787</v>
      </c>
      <c r="BZ4" s="171">
        <f t="shared" si="5"/>
        <v>125453895</v>
      </c>
      <c r="CA4" s="418">
        <f t="shared" ref="CA4:CA14" si="10">SUM(BP4,BZ4,P4)</f>
        <v>224395882</v>
      </c>
    </row>
    <row r="5" spans="1:80">
      <c r="A5" s="839" t="s">
        <v>576</v>
      </c>
      <c r="B5" s="242">
        <v>31</v>
      </c>
      <c r="C5" s="127">
        <v>4869</v>
      </c>
      <c r="D5" s="128">
        <v>334035</v>
      </c>
      <c r="E5" s="128">
        <v>8752</v>
      </c>
      <c r="F5" s="128">
        <v>4756431</v>
      </c>
      <c r="G5" s="128">
        <v>2118300</v>
      </c>
      <c r="H5" s="128">
        <v>9238662</v>
      </c>
      <c r="I5" s="128">
        <v>29412502</v>
      </c>
      <c r="J5" s="398">
        <v>3949401</v>
      </c>
      <c r="K5" s="128">
        <v>15034000</v>
      </c>
      <c r="L5" s="128">
        <v>0</v>
      </c>
      <c r="M5" s="128">
        <v>0</v>
      </c>
      <c r="N5" s="128">
        <v>19129</v>
      </c>
      <c r="O5" s="140">
        <v>649</v>
      </c>
      <c r="P5" s="159">
        <f t="shared" si="6"/>
        <v>64876730</v>
      </c>
      <c r="Q5" s="127">
        <v>2888630</v>
      </c>
      <c r="R5" s="127">
        <v>2332301</v>
      </c>
      <c r="S5" s="399">
        <v>75</v>
      </c>
      <c r="T5" s="129">
        <v>466554</v>
      </c>
      <c r="U5" s="159">
        <f t="shared" si="0"/>
        <v>5687560</v>
      </c>
      <c r="V5" s="127">
        <v>269362</v>
      </c>
      <c r="W5" s="128">
        <v>133280</v>
      </c>
      <c r="X5" s="126">
        <v>11401</v>
      </c>
      <c r="Y5" s="126">
        <v>22726</v>
      </c>
      <c r="Z5" s="140">
        <v>2</v>
      </c>
      <c r="AA5" s="159">
        <f t="shared" si="1"/>
        <v>436771</v>
      </c>
      <c r="AB5" s="355">
        <v>2686637</v>
      </c>
      <c r="AC5" s="127">
        <v>1951461</v>
      </c>
      <c r="AD5" s="127">
        <v>1091666</v>
      </c>
      <c r="AE5" s="127">
        <v>5281145</v>
      </c>
      <c r="AF5" s="127">
        <v>495250</v>
      </c>
      <c r="AG5" s="128">
        <v>2604529</v>
      </c>
      <c r="AH5" s="126">
        <v>281478</v>
      </c>
      <c r="AI5" s="398">
        <v>331012</v>
      </c>
      <c r="AJ5" s="126">
        <v>76229</v>
      </c>
      <c r="AK5" s="126">
        <v>23</v>
      </c>
      <c r="AL5" s="398">
        <v>0</v>
      </c>
      <c r="AM5" s="350">
        <v>2202</v>
      </c>
      <c r="AN5" s="350">
        <v>62253</v>
      </c>
      <c r="AO5" s="350">
        <v>92207</v>
      </c>
      <c r="AP5" s="126">
        <v>0</v>
      </c>
      <c r="AQ5" s="159">
        <f t="shared" si="7"/>
        <v>14956092</v>
      </c>
      <c r="AR5" s="127">
        <v>46462</v>
      </c>
      <c r="AS5" s="128">
        <v>143365</v>
      </c>
      <c r="AT5" s="402">
        <v>2963</v>
      </c>
      <c r="AU5" s="402">
        <v>202365</v>
      </c>
      <c r="AV5" s="128">
        <v>394900</v>
      </c>
      <c r="AW5" s="126">
        <v>2006462</v>
      </c>
      <c r="AX5" s="126">
        <v>182340</v>
      </c>
      <c r="AY5" s="126">
        <v>0</v>
      </c>
      <c r="AZ5" s="126">
        <v>930</v>
      </c>
      <c r="BA5" s="140">
        <v>7589</v>
      </c>
      <c r="BB5" s="159">
        <f t="shared" si="2"/>
        <v>2987376</v>
      </c>
      <c r="BC5" s="127">
        <v>297897</v>
      </c>
      <c r="BD5" s="128">
        <v>2200264</v>
      </c>
      <c r="BE5" s="399">
        <v>537059</v>
      </c>
      <c r="BF5" s="128">
        <v>3129526</v>
      </c>
      <c r="BG5" s="398">
        <v>4542729</v>
      </c>
      <c r="BH5" s="143">
        <v>1445000</v>
      </c>
      <c r="BI5" s="159">
        <f t="shared" si="3"/>
        <v>12152475</v>
      </c>
      <c r="BJ5" s="355">
        <v>0</v>
      </c>
      <c r="BK5" s="128">
        <v>0</v>
      </c>
      <c r="BL5" s="399">
        <v>0</v>
      </c>
      <c r="BM5" s="129">
        <v>0</v>
      </c>
      <c r="BN5" s="139">
        <v>0</v>
      </c>
      <c r="BO5" s="171">
        <f t="shared" si="4"/>
        <v>0</v>
      </c>
      <c r="BP5" s="632">
        <f t="shared" si="8"/>
        <v>36220274</v>
      </c>
      <c r="BQ5" s="355">
        <v>110186052</v>
      </c>
      <c r="BR5" s="128">
        <v>3706206</v>
      </c>
      <c r="BS5" s="128">
        <v>6759</v>
      </c>
      <c r="BT5" s="139">
        <v>33287</v>
      </c>
      <c r="BU5" s="415">
        <f t="shared" ref="BU5:BU14" si="11">SUM(BQ5:BT5)</f>
        <v>113932304</v>
      </c>
      <c r="BV5" s="452">
        <v>483200</v>
      </c>
      <c r="BW5" s="128">
        <v>8914</v>
      </c>
      <c r="BX5" s="139">
        <v>0</v>
      </c>
      <c r="BY5" s="171">
        <f t="shared" si="9"/>
        <v>492114</v>
      </c>
      <c r="BZ5" s="171">
        <f t="shared" si="5"/>
        <v>114424418</v>
      </c>
      <c r="CA5" s="418">
        <f t="shared" si="10"/>
        <v>215521422</v>
      </c>
    </row>
    <row r="6" spans="1:80">
      <c r="A6" s="838" t="s">
        <v>577</v>
      </c>
      <c r="B6" s="242">
        <v>30</v>
      </c>
      <c r="C6" s="127">
        <v>4548</v>
      </c>
      <c r="D6" s="128">
        <v>318570</v>
      </c>
      <c r="E6" s="128">
        <v>7014</v>
      </c>
      <c r="F6" s="128">
        <v>4702924</v>
      </c>
      <c r="G6" s="128">
        <v>2264800</v>
      </c>
      <c r="H6" s="413">
        <v>8586284</v>
      </c>
      <c r="I6" s="128">
        <v>29665055</v>
      </c>
      <c r="J6" s="398">
        <v>3757015</v>
      </c>
      <c r="K6" s="128">
        <v>14109400</v>
      </c>
      <c r="L6" s="128">
        <v>0</v>
      </c>
      <c r="M6" s="128">
        <v>0</v>
      </c>
      <c r="N6" s="128">
        <v>91734</v>
      </c>
      <c r="O6" s="140">
        <v>732</v>
      </c>
      <c r="P6" s="159">
        <f t="shared" si="6"/>
        <v>63508076</v>
      </c>
      <c r="Q6" s="127">
        <v>2985571</v>
      </c>
      <c r="R6" s="127">
        <v>2437784</v>
      </c>
      <c r="S6" s="399">
        <v>621</v>
      </c>
      <c r="T6" s="129">
        <v>401033</v>
      </c>
      <c r="U6" s="159">
        <f t="shared" si="0"/>
        <v>5825009</v>
      </c>
      <c r="V6" s="127">
        <v>269765</v>
      </c>
      <c r="W6" s="128">
        <v>126255</v>
      </c>
      <c r="X6" s="126">
        <v>8723</v>
      </c>
      <c r="Y6" s="126">
        <v>43645</v>
      </c>
      <c r="Z6" s="140">
        <v>2</v>
      </c>
      <c r="AA6" s="159">
        <f t="shared" si="1"/>
        <v>448390</v>
      </c>
      <c r="AB6" s="355">
        <v>2736765</v>
      </c>
      <c r="AC6" s="127">
        <v>2030140</v>
      </c>
      <c r="AD6" s="127">
        <v>1302351</v>
      </c>
      <c r="AE6" s="127">
        <v>5034993</v>
      </c>
      <c r="AF6" s="127">
        <v>673091</v>
      </c>
      <c r="AG6" s="128">
        <v>2376704</v>
      </c>
      <c r="AH6" s="126">
        <v>370901</v>
      </c>
      <c r="AI6" s="398">
        <v>351083</v>
      </c>
      <c r="AJ6" s="126">
        <v>63535</v>
      </c>
      <c r="AK6" s="126">
        <v>50</v>
      </c>
      <c r="AL6" s="398">
        <v>1</v>
      </c>
      <c r="AM6" s="350">
        <v>2149</v>
      </c>
      <c r="AN6" s="350">
        <v>21898</v>
      </c>
      <c r="AO6" s="350">
        <v>73089</v>
      </c>
      <c r="AP6" s="126">
        <v>500</v>
      </c>
      <c r="AQ6" s="159">
        <f t="shared" si="7"/>
        <v>15037250</v>
      </c>
      <c r="AR6" s="127">
        <v>51633</v>
      </c>
      <c r="AS6" s="128">
        <v>155357</v>
      </c>
      <c r="AT6" s="402">
        <v>3458</v>
      </c>
      <c r="AU6" s="402">
        <v>179685</v>
      </c>
      <c r="AV6" s="128">
        <v>366600</v>
      </c>
      <c r="AW6" s="126">
        <v>2057582</v>
      </c>
      <c r="AX6" s="126">
        <v>206305</v>
      </c>
      <c r="AY6" s="126">
        <v>0</v>
      </c>
      <c r="AZ6" s="126">
        <v>5232</v>
      </c>
      <c r="BA6" s="140">
        <v>3969</v>
      </c>
      <c r="BB6" s="159">
        <f t="shared" si="2"/>
        <v>3029821</v>
      </c>
      <c r="BC6" s="127">
        <v>232616</v>
      </c>
      <c r="BD6" s="128">
        <v>2271969</v>
      </c>
      <c r="BE6" s="399">
        <v>541724</v>
      </c>
      <c r="BF6" s="128">
        <v>3027703</v>
      </c>
      <c r="BG6" s="398">
        <v>4241229</v>
      </c>
      <c r="BH6" s="143">
        <v>1459100</v>
      </c>
      <c r="BI6" s="159">
        <f t="shared" si="3"/>
        <v>11774341</v>
      </c>
      <c r="BJ6" s="355">
        <v>6875</v>
      </c>
      <c r="BK6" s="128">
        <v>0</v>
      </c>
      <c r="BL6" s="399">
        <v>0</v>
      </c>
      <c r="BM6" s="129">
        <v>0</v>
      </c>
      <c r="BN6" s="139">
        <v>0</v>
      </c>
      <c r="BO6" s="171">
        <f t="shared" si="4"/>
        <v>6875</v>
      </c>
      <c r="BP6" s="632">
        <f t="shared" si="8"/>
        <v>36121686</v>
      </c>
      <c r="BQ6" s="355">
        <v>108328707</v>
      </c>
      <c r="BR6" s="128">
        <v>3822499</v>
      </c>
      <c r="BS6" s="128">
        <v>6347</v>
      </c>
      <c r="BT6" s="139">
        <v>31924</v>
      </c>
      <c r="BU6" s="415">
        <f t="shared" si="11"/>
        <v>112189477</v>
      </c>
      <c r="BV6" s="452">
        <v>1148677</v>
      </c>
      <c r="BW6" s="128">
        <v>37856</v>
      </c>
      <c r="BX6" s="139">
        <v>0</v>
      </c>
      <c r="BY6" s="171">
        <f t="shared" si="9"/>
        <v>1186533</v>
      </c>
      <c r="BZ6" s="171">
        <f t="shared" si="5"/>
        <v>113376010</v>
      </c>
      <c r="CA6" s="418">
        <f t="shared" si="10"/>
        <v>213005772</v>
      </c>
    </row>
    <row r="7" spans="1:80">
      <c r="A7" s="839" t="s">
        <v>578</v>
      </c>
      <c r="B7" s="243">
        <v>31</v>
      </c>
      <c r="C7" s="127">
        <v>4916</v>
      </c>
      <c r="D7" s="128">
        <v>286170</v>
      </c>
      <c r="E7" s="128">
        <v>4579</v>
      </c>
      <c r="F7" s="128">
        <v>4975526</v>
      </c>
      <c r="G7" s="128">
        <v>2436200</v>
      </c>
      <c r="H7" s="128">
        <v>9422917</v>
      </c>
      <c r="I7" s="413">
        <v>31668993</v>
      </c>
      <c r="J7" s="445">
        <v>3028856</v>
      </c>
      <c r="K7" s="446">
        <v>13762000</v>
      </c>
      <c r="L7" s="446">
        <v>400</v>
      </c>
      <c r="M7" s="446">
        <v>0</v>
      </c>
      <c r="N7" s="446">
        <v>13528</v>
      </c>
      <c r="O7" s="428">
        <v>3</v>
      </c>
      <c r="P7" s="159">
        <f t="shared" si="6"/>
        <v>65604088</v>
      </c>
      <c r="Q7" s="127">
        <v>3084852</v>
      </c>
      <c r="R7" s="127">
        <v>2691981</v>
      </c>
      <c r="S7" s="399">
        <v>1225</v>
      </c>
      <c r="T7" s="129">
        <v>490691</v>
      </c>
      <c r="U7" s="159">
        <f t="shared" si="0"/>
        <v>6268749</v>
      </c>
      <c r="V7" s="127">
        <v>310320</v>
      </c>
      <c r="W7" s="128">
        <v>140288</v>
      </c>
      <c r="X7" s="126">
        <v>11416</v>
      </c>
      <c r="Y7" s="126">
        <v>49348</v>
      </c>
      <c r="Z7" s="140">
        <v>3</v>
      </c>
      <c r="AA7" s="159">
        <f t="shared" si="1"/>
        <v>511375</v>
      </c>
      <c r="AB7" s="355">
        <v>3143507</v>
      </c>
      <c r="AC7" s="127">
        <v>3427910</v>
      </c>
      <c r="AD7" s="127">
        <v>1414663</v>
      </c>
      <c r="AE7" s="127">
        <v>5920954</v>
      </c>
      <c r="AF7" s="127">
        <v>754002</v>
      </c>
      <c r="AG7" s="128">
        <v>2704668</v>
      </c>
      <c r="AH7" s="126">
        <v>454318</v>
      </c>
      <c r="AI7" s="398">
        <v>337368</v>
      </c>
      <c r="AJ7" s="126">
        <v>89457</v>
      </c>
      <c r="AK7" s="126">
        <v>6</v>
      </c>
      <c r="AL7" s="398">
        <v>94</v>
      </c>
      <c r="AM7" s="350">
        <v>3429</v>
      </c>
      <c r="AN7" s="350">
        <v>259119</v>
      </c>
      <c r="AO7" s="350">
        <v>61920</v>
      </c>
      <c r="AP7" s="126">
        <v>0</v>
      </c>
      <c r="AQ7" s="159">
        <f t="shared" si="7"/>
        <v>18571415</v>
      </c>
      <c r="AR7" s="127">
        <v>71111</v>
      </c>
      <c r="AS7" s="128">
        <v>268664</v>
      </c>
      <c r="AT7" s="402">
        <v>4038</v>
      </c>
      <c r="AU7" s="402">
        <v>952035</v>
      </c>
      <c r="AV7" s="128">
        <v>288800</v>
      </c>
      <c r="AW7" s="126">
        <v>2391142</v>
      </c>
      <c r="AX7" s="126">
        <v>276206</v>
      </c>
      <c r="AY7" s="126">
        <v>0</v>
      </c>
      <c r="AZ7" s="126">
        <v>6129</v>
      </c>
      <c r="BA7" s="140">
        <v>1085</v>
      </c>
      <c r="BB7" s="159">
        <f t="shared" si="2"/>
        <v>4259210</v>
      </c>
      <c r="BC7" s="127">
        <v>128990</v>
      </c>
      <c r="BD7" s="128">
        <v>2486176</v>
      </c>
      <c r="BE7" s="399">
        <v>535515</v>
      </c>
      <c r="BF7" s="128">
        <v>2367150</v>
      </c>
      <c r="BG7" s="398">
        <v>4412234</v>
      </c>
      <c r="BH7" s="143">
        <v>1462100</v>
      </c>
      <c r="BI7" s="159">
        <f t="shared" si="3"/>
        <v>11392165</v>
      </c>
      <c r="BJ7" s="355">
        <v>8635</v>
      </c>
      <c r="BK7" s="128">
        <v>0</v>
      </c>
      <c r="BL7" s="399">
        <v>0</v>
      </c>
      <c r="BM7" s="129">
        <v>0</v>
      </c>
      <c r="BN7" s="139">
        <v>0</v>
      </c>
      <c r="BO7" s="171">
        <f t="shared" si="4"/>
        <v>8635</v>
      </c>
      <c r="BP7" s="632">
        <f t="shared" si="8"/>
        <v>41011549</v>
      </c>
      <c r="BQ7" s="355">
        <v>117537778</v>
      </c>
      <c r="BR7" s="128">
        <v>5215933</v>
      </c>
      <c r="BS7" s="128">
        <v>7679</v>
      </c>
      <c r="BT7" s="139">
        <v>25751</v>
      </c>
      <c r="BU7" s="171">
        <f t="shared" si="11"/>
        <v>122787141</v>
      </c>
      <c r="BV7" s="453">
        <v>5666486</v>
      </c>
      <c r="BW7" s="128">
        <v>346615</v>
      </c>
      <c r="BX7" s="139">
        <v>0</v>
      </c>
      <c r="BY7" s="171">
        <f t="shared" si="9"/>
        <v>6013101</v>
      </c>
      <c r="BZ7" s="171">
        <f t="shared" si="5"/>
        <v>128800242</v>
      </c>
      <c r="CA7" s="418">
        <f t="shared" si="10"/>
        <v>235415879</v>
      </c>
    </row>
    <row r="8" spans="1:80">
      <c r="A8" s="838" t="s">
        <v>579</v>
      </c>
      <c r="B8" s="242">
        <v>30</v>
      </c>
      <c r="C8" s="127">
        <v>6928</v>
      </c>
      <c r="D8" s="128">
        <v>379440</v>
      </c>
      <c r="E8" s="128">
        <v>238065</v>
      </c>
      <c r="F8" s="128">
        <v>6182575</v>
      </c>
      <c r="G8" s="128">
        <v>1999300</v>
      </c>
      <c r="H8" s="128">
        <v>9604965</v>
      </c>
      <c r="I8" s="128">
        <v>31609680</v>
      </c>
      <c r="J8" s="398">
        <v>4265192</v>
      </c>
      <c r="K8" s="128">
        <v>18340200</v>
      </c>
      <c r="L8" s="128">
        <v>0</v>
      </c>
      <c r="M8" s="128">
        <v>0</v>
      </c>
      <c r="N8" s="128">
        <v>71714</v>
      </c>
      <c r="O8" s="140">
        <v>833</v>
      </c>
      <c r="P8" s="159">
        <f t="shared" si="6"/>
        <v>72698892</v>
      </c>
      <c r="Q8" s="127">
        <v>3534017</v>
      </c>
      <c r="R8" s="127">
        <v>2734810</v>
      </c>
      <c r="S8" s="399">
        <v>15240</v>
      </c>
      <c r="T8" s="129">
        <v>489791</v>
      </c>
      <c r="U8" s="159">
        <f t="shared" si="0"/>
        <v>6773858</v>
      </c>
      <c r="V8" s="127">
        <v>232617</v>
      </c>
      <c r="W8" s="128">
        <v>140085</v>
      </c>
      <c r="X8" s="126">
        <v>29839</v>
      </c>
      <c r="Y8" s="126">
        <v>47187</v>
      </c>
      <c r="Z8" s="140">
        <v>2</v>
      </c>
      <c r="AA8" s="159">
        <f t="shared" si="1"/>
        <v>449730</v>
      </c>
      <c r="AB8" s="355">
        <v>4595257</v>
      </c>
      <c r="AC8" s="127">
        <v>6318540</v>
      </c>
      <c r="AD8" s="127">
        <v>1571109</v>
      </c>
      <c r="AE8" s="127">
        <v>7201263</v>
      </c>
      <c r="AF8" s="127">
        <v>769823</v>
      </c>
      <c r="AG8" s="128">
        <v>4634376</v>
      </c>
      <c r="AH8" s="126">
        <v>444761</v>
      </c>
      <c r="AI8" s="398">
        <v>278473</v>
      </c>
      <c r="AJ8" s="126">
        <v>84288</v>
      </c>
      <c r="AK8" s="126">
        <v>5</v>
      </c>
      <c r="AL8" s="398">
        <v>84</v>
      </c>
      <c r="AM8" s="350">
        <v>3416</v>
      </c>
      <c r="AN8" s="350">
        <v>720396</v>
      </c>
      <c r="AO8" s="350">
        <v>42929</v>
      </c>
      <c r="AP8" s="126">
        <v>0</v>
      </c>
      <c r="AQ8" s="159">
        <f t="shared" si="7"/>
        <v>26664720</v>
      </c>
      <c r="AR8" s="127">
        <v>42691</v>
      </c>
      <c r="AS8" s="128">
        <v>295055</v>
      </c>
      <c r="AT8" s="402">
        <v>8213</v>
      </c>
      <c r="AU8" s="402">
        <v>1286516</v>
      </c>
      <c r="AV8" s="128">
        <v>305600</v>
      </c>
      <c r="AW8" s="126">
        <v>2902041</v>
      </c>
      <c r="AX8" s="126">
        <v>194566</v>
      </c>
      <c r="AY8" s="126">
        <v>0</v>
      </c>
      <c r="AZ8" s="126">
        <v>1126</v>
      </c>
      <c r="BA8" s="140">
        <v>34</v>
      </c>
      <c r="BB8" s="159">
        <f t="shared" si="2"/>
        <v>5035842</v>
      </c>
      <c r="BC8" s="127">
        <v>123765</v>
      </c>
      <c r="BD8" s="128">
        <v>2307903</v>
      </c>
      <c r="BE8" s="399">
        <v>585188</v>
      </c>
      <c r="BF8" s="128">
        <v>2346945</v>
      </c>
      <c r="BG8" s="398">
        <v>4511346</v>
      </c>
      <c r="BH8" s="143">
        <v>1523300</v>
      </c>
      <c r="BI8" s="159">
        <f t="shared" si="3"/>
        <v>11398447</v>
      </c>
      <c r="BJ8" s="355">
        <v>54648</v>
      </c>
      <c r="BK8" s="128">
        <v>0</v>
      </c>
      <c r="BL8" s="399">
        <v>0</v>
      </c>
      <c r="BM8" s="129">
        <v>0</v>
      </c>
      <c r="BN8" s="139">
        <v>0</v>
      </c>
      <c r="BO8" s="171">
        <f t="shared" si="4"/>
        <v>54648</v>
      </c>
      <c r="BP8" s="632">
        <f t="shared" si="8"/>
        <v>50377245</v>
      </c>
      <c r="BQ8" s="355">
        <v>138253315</v>
      </c>
      <c r="BR8" s="128">
        <v>8051828</v>
      </c>
      <c r="BS8" s="126">
        <v>9732</v>
      </c>
      <c r="BT8" s="140">
        <v>166358</v>
      </c>
      <c r="BU8" s="344">
        <f t="shared" si="11"/>
        <v>146481233</v>
      </c>
      <c r="BV8" s="454">
        <v>11129149</v>
      </c>
      <c r="BW8" s="128">
        <v>835787</v>
      </c>
      <c r="BX8" s="139">
        <v>0</v>
      </c>
      <c r="BY8" s="171">
        <f t="shared" si="9"/>
        <v>11964936</v>
      </c>
      <c r="BZ8" s="171">
        <f t="shared" si="5"/>
        <v>158446169</v>
      </c>
      <c r="CA8" s="418">
        <f t="shared" si="10"/>
        <v>281522306</v>
      </c>
    </row>
    <row r="9" spans="1:80">
      <c r="A9" s="839" t="s">
        <v>580</v>
      </c>
      <c r="B9" s="242">
        <v>31</v>
      </c>
      <c r="C9" s="127">
        <v>5154</v>
      </c>
      <c r="D9" s="128">
        <v>341846</v>
      </c>
      <c r="E9" s="128">
        <v>208013</v>
      </c>
      <c r="F9" s="128">
        <v>5973732</v>
      </c>
      <c r="G9" s="128">
        <v>1759000</v>
      </c>
      <c r="H9" s="128">
        <v>9467241</v>
      </c>
      <c r="I9" s="128">
        <v>27912803</v>
      </c>
      <c r="J9" s="398">
        <v>3995373</v>
      </c>
      <c r="K9" s="128">
        <v>15405600</v>
      </c>
      <c r="L9" s="128">
        <v>0</v>
      </c>
      <c r="M9" s="128">
        <v>0</v>
      </c>
      <c r="N9" s="128">
        <v>21709</v>
      </c>
      <c r="O9" s="140">
        <v>2292</v>
      </c>
      <c r="P9" s="159">
        <f t="shared" si="6"/>
        <v>65092763</v>
      </c>
      <c r="Q9" s="127">
        <v>4225817</v>
      </c>
      <c r="R9" s="127">
        <v>3346724</v>
      </c>
      <c r="S9" s="399">
        <v>5655</v>
      </c>
      <c r="T9" s="129">
        <v>497651</v>
      </c>
      <c r="U9" s="159">
        <f t="shared" si="0"/>
        <v>8075847</v>
      </c>
      <c r="V9" s="127">
        <v>227159</v>
      </c>
      <c r="W9" s="128">
        <v>163289</v>
      </c>
      <c r="X9" s="126">
        <v>33159</v>
      </c>
      <c r="Y9" s="126">
        <v>50350</v>
      </c>
      <c r="Z9" s="140">
        <v>6</v>
      </c>
      <c r="AA9" s="159">
        <f t="shared" si="1"/>
        <v>473963</v>
      </c>
      <c r="AB9" s="355">
        <v>6486913</v>
      </c>
      <c r="AC9" s="127">
        <v>8698787</v>
      </c>
      <c r="AD9" s="127">
        <v>1797582</v>
      </c>
      <c r="AE9" s="127">
        <v>7920067</v>
      </c>
      <c r="AF9" s="127">
        <v>816064</v>
      </c>
      <c r="AG9" s="128">
        <v>5920392</v>
      </c>
      <c r="AH9" s="126">
        <v>411691</v>
      </c>
      <c r="AI9" s="398">
        <v>279800</v>
      </c>
      <c r="AJ9" s="126">
        <v>124838</v>
      </c>
      <c r="AK9" s="126">
        <v>29</v>
      </c>
      <c r="AL9" s="398">
        <v>63</v>
      </c>
      <c r="AM9" s="350">
        <v>2653</v>
      </c>
      <c r="AN9" s="350">
        <v>339593</v>
      </c>
      <c r="AO9" s="350">
        <v>45595</v>
      </c>
      <c r="AP9" s="126">
        <v>0</v>
      </c>
      <c r="AQ9" s="159">
        <f t="shared" si="7"/>
        <v>32844067</v>
      </c>
      <c r="AR9" s="127">
        <v>49177</v>
      </c>
      <c r="AS9" s="128">
        <v>389285</v>
      </c>
      <c r="AT9" s="402">
        <v>242</v>
      </c>
      <c r="AU9" s="402">
        <v>2369628</v>
      </c>
      <c r="AV9" s="128">
        <v>255500</v>
      </c>
      <c r="AW9" s="126">
        <v>2660997</v>
      </c>
      <c r="AX9" s="126">
        <v>84096</v>
      </c>
      <c r="AY9" s="126">
        <v>5500</v>
      </c>
      <c r="AZ9" s="126">
        <v>75</v>
      </c>
      <c r="BA9" s="140">
        <v>511</v>
      </c>
      <c r="BB9" s="159">
        <f t="shared" si="2"/>
        <v>5815011</v>
      </c>
      <c r="BC9" s="127">
        <v>120621</v>
      </c>
      <c r="BD9" s="128">
        <v>2268582</v>
      </c>
      <c r="BE9" s="399">
        <v>530428</v>
      </c>
      <c r="BF9" s="128">
        <v>2411459</v>
      </c>
      <c r="BG9" s="398">
        <v>4162413</v>
      </c>
      <c r="BH9" s="143">
        <v>1815900</v>
      </c>
      <c r="BI9" s="159">
        <f t="shared" si="3"/>
        <v>11309403</v>
      </c>
      <c r="BJ9" s="355">
        <v>54930</v>
      </c>
      <c r="BK9" s="128">
        <v>0</v>
      </c>
      <c r="BL9" s="399">
        <v>0</v>
      </c>
      <c r="BM9" s="129">
        <v>0</v>
      </c>
      <c r="BN9" s="139">
        <v>0</v>
      </c>
      <c r="BO9" s="171">
        <f t="shared" si="4"/>
        <v>54930</v>
      </c>
      <c r="BP9" s="632">
        <f t="shared" si="8"/>
        <v>58573221</v>
      </c>
      <c r="BQ9" s="355">
        <v>143152159</v>
      </c>
      <c r="BR9" s="126">
        <v>11675888</v>
      </c>
      <c r="BS9" s="126">
        <v>12654</v>
      </c>
      <c r="BT9" s="140">
        <v>540186</v>
      </c>
      <c r="BU9" s="415">
        <f t="shared" si="11"/>
        <v>155380887</v>
      </c>
      <c r="BV9" s="452">
        <v>12336961</v>
      </c>
      <c r="BW9" s="128">
        <v>1807678</v>
      </c>
      <c r="BX9" s="139">
        <v>0</v>
      </c>
      <c r="BY9" s="171">
        <f t="shared" si="9"/>
        <v>14144639</v>
      </c>
      <c r="BZ9" s="171">
        <f t="shared" si="5"/>
        <v>169525526</v>
      </c>
      <c r="CA9" s="418">
        <f t="shared" si="10"/>
        <v>293191510</v>
      </c>
    </row>
    <row r="10" spans="1:80">
      <c r="A10" s="838" t="s">
        <v>581</v>
      </c>
      <c r="B10" s="242">
        <v>31</v>
      </c>
      <c r="C10" s="127">
        <v>4408</v>
      </c>
      <c r="D10" s="128">
        <v>382780</v>
      </c>
      <c r="E10" s="128">
        <v>227176</v>
      </c>
      <c r="F10" s="128">
        <v>6010178</v>
      </c>
      <c r="G10" s="128">
        <v>1638900</v>
      </c>
      <c r="H10" s="128">
        <v>12385659</v>
      </c>
      <c r="I10" s="128">
        <v>32410747</v>
      </c>
      <c r="J10" s="398">
        <v>4056288</v>
      </c>
      <c r="K10" s="128">
        <v>14999600</v>
      </c>
      <c r="L10" s="128">
        <v>0</v>
      </c>
      <c r="M10" s="128">
        <v>0</v>
      </c>
      <c r="N10" s="128">
        <v>52860</v>
      </c>
      <c r="O10" s="140">
        <v>274</v>
      </c>
      <c r="P10" s="159">
        <f t="shared" si="6"/>
        <v>72168870</v>
      </c>
      <c r="Q10" s="127">
        <v>4172494</v>
      </c>
      <c r="R10" s="127">
        <v>2793471</v>
      </c>
      <c r="S10" s="399">
        <v>13420</v>
      </c>
      <c r="T10" s="129">
        <v>472514</v>
      </c>
      <c r="U10" s="159">
        <f t="shared" si="0"/>
        <v>7451899</v>
      </c>
      <c r="V10" s="127">
        <v>294740</v>
      </c>
      <c r="W10" s="128">
        <v>133096</v>
      </c>
      <c r="X10" s="126">
        <v>26026</v>
      </c>
      <c r="Y10" s="126">
        <v>51936</v>
      </c>
      <c r="Z10" s="140">
        <v>3</v>
      </c>
      <c r="AA10" s="159">
        <f t="shared" si="1"/>
        <v>505801</v>
      </c>
      <c r="AB10" s="355">
        <v>6503292</v>
      </c>
      <c r="AC10" s="127">
        <v>7883860</v>
      </c>
      <c r="AD10" s="127">
        <v>1603248</v>
      </c>
      <c r="AE10" s="127">
        <v>7449508</v>
      </c>
      <c r="AF10" s="127">
        <v>1089867</v>
      </c>
      <c r="AG10" s="128">
        <v>5701893</v>
      </c>
      <c r="AH10" s="126">
        <v>423168</v>
      </c>
      <c r="AI10" s="398">
        <v>240136</v>
      </c>
      <c r="AJ10" s="126">
        <v>1056595</v>
      </c>
      <c r="AK10" s="126">
        <v>0</v>
      </c>
      <c r="AL10" s="398">
        <v>18</v>
      </c>
      <c r="AM10" s="350">
        <v>2385</v>
      </c>
      <c r="AN10" s="350">
        <v>305091</v>
      </c>
      <c r="AO10" s="350">
        <v>45546</v>
      </c>
      <c r="AP10" s="126">
        <v>0</v>
      </c>
      <c r="AQ10" s="159">
        <f t="shared" si="7"/>
        <v>32304607</v>
      </c>
      <c r="AR10" s="127">
        <v>50083</v>
      </c>
      <c r="AS10" s="128">
        <v>368618</v>
      </c>
      <c r="AT10" s="402">
        <v>1542</v>
      </c>
      <c r="AU10" s="402">
        <v>1073086</v>
      </c>
      <c r="AV10" s="128">
        <v>345500</v>
      </c>
      <c r="AW10" s="126">
        <v>2602908</v>
      </c>
      <c r="AX10" s="126">
        <v>64874</v>
      </c>
      <c r="AY10" s="126">
        <v>1500</v>
      </c>
      <c r="AZ10" s="126">
        <v>11153</v>
      </c>
      <c r="BA10" s="140">
        <v>1541</v>
      </c>
      <c r="BB10" s="159">
        <f t="shared" si="2"/>
        <v>4520805</v>
      </c>
      <c r="BC10" s="127">
        <v>137562</v>
      </c>
      <c r="BD10" s="128">
        <v>2173278</v>
      </c>
      <c r="BE10" s="399">
        <v>551204</v>
      </c>
      <c r="BF10" s="128">
        <v>2521096</v>
      </c>
      <c r="BG10" s="398">
        <v>2398771</v>
      </c>
      <c r="BH10" s="143">
        <v>681837</v>
      </c>
      <c r="BI10" s="159">
        <f t="shared" si="3"/>
        <v>8463748</v>
      </c>
      <c r="BJ10" s="355">
        <v>62575</v>
      </c>
      <c r="BK10" s="128">
        <v>68735</v>
      </c>
      <c r="BL10" s="399">
        <v>595299</v>
      </c>
      <c r="BM10" s="129">
        <v>1970400</v>
      </c>
      <c r="BN10" s="139">
        <v>1053000</v>
      </c>
      <c r="BO10" s="171">
        <f t="shared" si="4"/>
        <v>3750009</v>
      </c>
      <c r="BP10" s="632">
        <f t="shared" si="8"/>
        <v>56996869</v>
      </c>
      <c r="BQ10" s="355">
        <v>131014289</v>
      </c>
      <c r="BR10" s="128">
        <v>9774930</v>
      </c>
      <c r="BS10" s="128">
        <v>16961</v>
      </c>
      <c r="BT10" s="139">
        <v>49867</v>
      </c>
      <c r="BU10" s="171">
        <f t="shared" si="11"/>
        <v>140856047</v>
      </c>
      <c r="BV10" s="454">
        <v>12035768</v>
      </c>
      <c r="BW10" s="128">
        <v>1568580</v>
      </c>
      <c r="BX10" s="139">
        <v>0</v>
      </c>
      <c r="BY10" s="171">
        <f t="shared" si="9"/>
        <v>13604348</v>
      </c>
      <c r="BZ10" s="171">
        <f t="shared" si="5"/>
        <v>154460395</v>
      </c>
      <c r="CA10" s="418">
        <f t="shared" si="10"/>
        <v>283626134</v>
      </c>
    </row>
    <row r="11" spans="1:80">
      <c r="A11" s="839" t="s">
        <v>582</v>
      </c>
      <c r="B11" s="242">
        <v>30</v>
      </c>
      <c r="C11" s="127">
        <v>4696</v>
      </c>
      <c r="D11" s="128">
        <v>411273</v>
      </c>
      <c r="E11" s="128">
        <v>193000</v>
      </c>
      <c r="F11" s="128">
        <v>5736761</v>
      </c>
      <c r="G11" s="128">
        <v>2152000</v>
      </c>
      <c r="H11" s="128">
        <v>10458094</v>
      </c>
      <c r="I11" s="128">
        <v>31780510</v>
      </c>
      <c r="J11" s="398">
        <v>4009208</v>
      </c>
      <c r="K11" s="128">
        <v>19000600</v>
      </c>
      <c r="L11" s="128">
        <v>0</v>
      </c>
      <c r="M11" s="128">
        <v>0</v>
      </c>
      <c r="N11" s="128">
        <v>85230</v>
      </c>
      <c r="O11" s="140">
        <v>1143</v>
      </c>
      <c r="P11" s="159">
        <f t="shared" si="6"/>
        <v>73832515</v>
      </c>
      <c r="Q11" s="127">
        <v>4555842</v>
      </c>
      <c r="R11" s="127">
        <v>3420274</v>
      </c>
      <c r="S11" s="399">
        <v>3523</v>
      </c>
      <c r="T11" s="129">
        <v>555645</v>
      </c>
      <c r="U11" s="159">
        <f t="shared" si="0"/>
        <v>8535284</v>
      </c>
      <c r="V11" s="127">
        <v>277940</v>
      </c>
      <c r="W11" s="128">
        <v>133591</v>
      </c>
      <c r="X11" s="126">
        <v>22971</v>
      </c>
      <c r="Y11" s="126">
        <v>39314</v>
      </c>
      <c r="Z11" s="140">
        <v>3</v>
      </c>
      <c r="AA11" s="159">
        <f t="shared" si="1"/>
        <v>473819</v>
      </c>
      <c r="AB11" s="355">
        <v>6585706</v>
      </c>
      <c r="AC11" s="127">
        <v>7319420</v>
      </c>
      <c r="AD11" s="127">
        <v>1594028</v>
      </c>
      <c r="AE11" s="127">
        <v>7541972</v>
      </c>
      <c r="AF11" s="127">
        <v>1103623</v>
      </c>
      <c r="AG11" s="128">
        <v>5319206</v>
      </c>
      <c r="AH11" s="126">
        <v>286311</v>
      </c>
      <c r="AI11" s="398">
        <v>245869</v>
      </c>
      <c r="AJ11" s="126">
        <v>1128075</v>
      </c>
      <c r="AK11" s="126">
        <v>0</v>
      </c>
      <c r="AL11" s="398">
        <v>98</v>
      </c>
      <c r="AM11" s="350">
        <v>616</v>
      </c>
      <c r="AN11" s="350">
        <v>348777</v>
      </c>
      <c r="AO11" s="350">
        <v>31936</v>
      </c>
      <c r="AP11" s="126">
        <v>0</v>
      </c>
      <c r="AQ11" s="159">
        <f t="shared" si="7"/>
        <v>31505637</v>
      </c>
      <c r="AR11" s="127">
        <v>41117</v>
      </c>
      <c r="AS11" s="128">
        <v>407796</v>
      </c>
      <c r="AT11" s="402">
        <v>2350</v>
      </c>
      <c r="AU11" s="402">
        <v>1206731</v>
      </c>
      <c r="AV11" s="128">
        <v>400700</v>
      </c>
      <c r="AW11" s="126">
        <v>3566460</v>
      </c>
      <c r="AX11" s="126">
        <v>193832</v>
      </c>
      <c r="AY11" s="126">
        <v>2</v>
      </c>
      <c r="AZ11" s="126">
        <v>558</v>
      </c>
      <c r="BA11" s="140">
        <v>86</v>
      </c>
      <c r="BB11" s="159">
        <f t="shared" si="2"/>
        <v>5819632</v>
      </c>
      <c r="BC11" s="127">
        <v>104110</v>
      </c>
      <c r="BD11" s="128">
        <v>1965230</v>
      </c>
      <c r="BE11" s="399">
        <v>549318</v>
      </c>
      <c r="BF11" s="128">
        <v>2218793</v>
      </c>
      <c r="BG11" s="398">
        <v>1296781</v>
      </c>
      <c r="BH11" s="143">
        <v>742843</v>
      </c>
      <c r="BI11" s="159">
        <f t="shared" si="3"/>
        <v>6877075</v>
      </c>
      <c r="BJ11" s="355">
        <v>81660</v>
      </c>
      <c r="BK11" s="128">
        <v>381628</v>
      </c>
      <c r="BL11" s="399">
        <v>1365390</v>
      </c>
      <c r="BM11" s="129">
        <v>2929059</v>
      </c>
      <c r="BN11" s="139">
        <v>981000</v>
      </c>
      <c r="BO11" s="171">
        <f t="shared" si="4"/>
        <v>5738737</v>
      </c>
      <c r="BP11" s="632">
        <f t="shared" si="8"/>
        <v>58950184</v>
      </c>
      <c r="BQ11" s="355">
        <v>132752557</v>
      </c>
      <c r="BR11" s="128">
        <v>10113143</v>
      </c>
      <c r="BS11" s="126">
        <v>18485</v>
      </c>
      <c r="BT11" s="140">
        <v>215772</v>
      </c>
      <c r="BU11" s="415">
        <f>SUM(BQ11:BT11)</f>
        <v>143099957</v>
      </c>
      <c r="BV11" s="455">
        <v>13046370</v>
      </c>
      <c r="BW11" s="128">
        <v>1476754</v>
      </c>
      <c r="BX11" s="139">
        <v>0</v>
      </c>
      <c r="BY11" s="171">
        <f>SUM(BV11:BX11)</f>
        <v>14523124</v>
      </c>
      <c r="BZ11" s="171">
        <f t="shared" si="5"/>
        <v>157623081</v>
      </c>
      <c r="CA11" s="418">
        <f t="shared" si="10"/>
        <v>290405780</v>
      </c>
    </row>
    <row r="12" spans="1:80">
      <c r="A12" s="838" t="s">
        <v>583</v>
      </c>
      <c r="B12" s="242">
        <v>31</v>
      </c>
      <c r="C12" s="127">
        <v>5009</v>
      </c>
      <c r="D12" s="128">
        <v>404423</v>
      </c>
      <c r="E12" s="128">
        <v>130198</v>
      </c>
      <c r="F12" s="128">
        <v>5553415</v>
      </c>
      <c r="G12" s="128">
        <v>2094300</v>
      </c>
      <c r="H12" s="128">
        <v>9667207</v>
      </c>
      <c r="I12" s="128">
        <v>32280881</v>
      </c>
      <c r="J12" s="398">
        <v>4103315</v>
      </c>
      <c r="K12" s="128">
        <v>18773100</v>
      </c>
      <c r="L12" s="128">
        <v>600</v>
      </c>
      <c r="M12" s="128">
        <v>0</v>
      </c>
      <c r="N12" s="128">
        <v>105233</v>
      </c>
      <c r="O12" s="140">
        <v>1227</v>
      </c>
      <c r="P12" s="159">
        <f>SUM(C12:O12)</f>
        <v>73118908</v>
      </c>
      <c r="Q12" s="127">
        <v>4088573</v>
      </c>
      <c r="R12" s="127">
        <v>3116440</v>
      </c>
      <c r="S12" s="399">
        <v>55561</v>
      </c>
      <c r="T12" s="129">
        <v>447193</v>
      </c>
      <c r="U12" s="159">
        <f t="shared" si="0"/>
        <v>7707767</v>
      </c>
      <c r="V12" s="127">
        <v>250067</v>
      </c>
      <c r="W12" s="128">
        <v>130679</v>
      </c>
      <c r="X12" s="126">
        <v>47863</v>
      </c>
      <c r="Y12" s="126">
        <v>35186</v>
      </c>
      <c r="Z12" s="140">
        <v>3</v>
      </c>
      <c r="AA12" s="159">
        <f t="shared" si="1"/>
        <v>463798</v>
      </c>
      <c r="AB12" s="355">
        <v>6750923</v>
      </c>
      <c r="AC12" s="127">
        <v>8126876</v>
      </c>
      <c r="AD12" s="127">
        <v>1725156</v>
      </c>
      <c r="AE12" s="127">
        <v>8218082</v>
      </c>
      <c r="AF12" s="127">
        <v>1179335</v>
      </c>
      <c r="AG12" s="128">
        <v>6106037</v>
      </c>
      <c r="AH12" s="126">
        <v>378458</v>
      </c>
      <c r="AI12" s="398">
        <v>237159</v>
      </c>
      <c r="AJ12" s="126">
        <v>1529443</v>
      </c>
      <c r="AK12" s="126">
        <v>0</v>
      </c>
      <c r="AL12" s="398">
        <v>69</v>
      </c>
      <c r="AM12" s="350">
        <v>2210</v>
      </c>
      <c r="AN12" s="350">
        <v>223782</v>
      </c>
      <c r="AO12" s="350">
        <v>41751</v>
      </c>
      <c r="AP12" s="126">
        <v>0</v>
      </c>
      <c r="AQ12" s="159">
        <f t="shared" si="7"/>
        <v>34519281</v>
      </c>
      <c r="AR12" s="127">
        <v>37571</v>
      </c>
      <c r="AS12" s="128">
        <v>471219</v>
      </c>
      <c r="AT12" s="402">
        <v>8089</v>
      </c>
      <c r="AU12" s="402">
        <v>1916708</v>
      </c>
      <c r="AV12" s="128">
        <v>437100</v>
      </c>
      <c r="AW12" s="126">
        <v>3329535</v>
      </c>
      <c r="AX12" s="126">
        <v>193066</v>
      </c>
      <c r="AY12" s="126">
        <v>0</v>
      </c>
      <c r="AZ12" s="126">
        <v>12</v>
      </c>
      <c r="BA12" s="140">
        <v>40</v>
      </c>
      <c r="BB12" s="159">
        <f t="shared" si="2"/>
        <v>6393340</v>
      </c>
      <c r="BC12" s="127">
        <v>88726</v>
      </c>
      <c r="BD12" s="128">
        <v>1892719</v>
      </c>
      <c r="BE12" s="399">
        <v>585949</v>
      </c>
      <c r="BF12" s="128">
        <v>1968200</v>
      </c>
      <c r="BG12" s="398">
        <v>1468408</v>
      </c>
      <c r="BH12" s="143">
        <v>726790</v>
      </c>
      <c r="BI12" s="159">
        <f t="shared" si="3"/>
        <v>6730792</v>
      </c>
      <c r="BJ12" s="355">
        <v>76899</v>
      </c>
      <c r="BK12" s="128">
        <v>393439</v>
      </c>
      <c r="BL12" s="399">
        <v>1716664</v>
      </c>
      <c r="BM12" s="129">
        <v>2888880</v>
      </c>
      <c r="BN12" s="139">
        <v>915000</v>
      </c>
      <c r="BO12" s="171">
        <f t="shared" si="4"/>
        <v>5990882</v>
      </c>
      <c r="BP12" s="632">
        <f t="shared" si="8"/>
        <v>61805860</v>
      </c>
      <c r="BQ12" s="355">
        <v>131078727</v>
      </c>
      <c r="BR12" s="128">
        <v>10708395</v>
      </c>
      <c r="BS12" s="126">
        <v>39458</v>
      </c>
      <c r="BT12" s="140">
        <v>192692</v>
      </c>
      <c r="BU12" s="415">
        <f t="shared" si="11"/>
        <v>142019272</v>
      </c>
      <c r="BV12" s="455">
        <v>13651856</v>
      </c>
      <c r="BW12" s="128">
        <v>1834490</v>
      </c>
      <c r="BX12" s="139">
        <v>323</v>
      </c>
      <c r="BY12" s="171">
        <f t="shared" si="9"/>
        <v>15486669</v>
      </c>
      <c r="BZ12" s="171">
        <f t="shared" si="5"/>
        <v>157505941</v>
      </c>
      <c r="CA12" s="418">
        <f t="shared" si="10"/>
        <v>292430709</v>
      </c>
    </row>
    <row r="13" spans="1:80">
      <c r="A13" s="839" t="s">
        <v>584</v>
      </c>
      <c r="B13" s="242">
        <v>30</v>
      </c>
      <c r="C13" s="127">
        <v>4670</v>
      </c>
      <c r="D13" s="128">
        <v>379441</v>
      </c>
      <c r="E13" s="128">
        <v>52856</v>
      </c>
      <c r="F13" s="128">
        <v>5776928</v>
      </c>
      <c r="G13" s="128">
        <v>2384500</v>
      </c>
      <c r="H13" s="128">
        <v>7484674</v>
      </c>
      <c r="I13" s="128">
        <v>35335202</v>
      </c>
      <c r="J13" s="398">
        <v>5063102</v>
      </c>
      <c r="K13" s="128">
        <v>15612500</v>
      </c>
      <c r="L13" s="128">
        <v>0</v>
      </c>
      <c r="M13" s="128">
        <v>0</v>
      </c>
      <c r="N13" s="128">
        <v>73329</v>
      </c>
      <c r="O13" s="140">
        <v>8591</v>
      </c>
      <c r="P13" s="159">
        <f t="shared" si="6"/>
        <v>72175793</v>
      </c>
      <c r="Q13" s="127">
        <v>3420381</v>
      </c>
      <c r="R13" s="127">
        <v>2629738</v>
      </c>
      <c r="S13" s="399">
        <v>34672</v>
      </c>
      <c r="T13" s="129">
        <v>465333</v>
      </c>
      <c r="U13" s="159">
        <f t="shared" si="0"/>
        <v>6550124</v>
      </c>
      <c r="V13" s="127">
        <v>287408</v>
      </c>
      <c r="W13" s="128">
        <v>184119</v>
      </c>
      <c r="X13" s="126">
        <v>33310</v>
      </c>
      <c r="Y13" s="126">
        <v>29728</v>
      </c>
      <c r="Z13" s="140">
        <v>16</v>
      </c>
      <c r="AA13" s="159">
        <f t="shared" si="1"/>
        <v>534581</v>
      </c>
      <c r="AB13" s="355">
        <v>5096896</v>
      </c>
      <c r="AC13" s="127">
        <v>5717962</v>
      </c>
      <c r="AD13" s="127">
        <v>1805546</v>
      </c>
      <c r="AE13" s="127">
        <v>7135603</v>
      </c>
      <c r="AF13" s="127">
        <v>1036503</v>
      </c>
      <c r="AG13" s="128">
        <v>5149421</v>
      </c>
      <c r="AH13" s="126">
        <v>325878</v>
      </c>
      <c r="AI13" s="398">
        <v>287589</v>
      </c>
      <c r="AJ13" s="126">
        <v>522124</v>
      </c>
      <c r="AK13" s="126">
        <v>1</v>
      </c>
      <c r="AL13" s="398">
        <v>68</v>
      </c>
      <c r="AM13" s="350">
        <v>1493</v>
      </c>
      <c r="AN13" s="350">
        <v>360984</v>
      </c>
      <c r="AO13" s="350">
        <v>66794</v>
      </c>
      <c r="AP13" s="126">
        <v>0</v>
      </c>
      <c r="AQ13" s="159">
        <f t="shared" si="7"/>
        <v>27506862</v>
      </c>
      <c r="AR13" s="127">
        <v>105194</v>
      </c>
      <c r="AS13" s="128">
        <v>311248</v>
      </c>
      <c r="AT13" s="402">
        <v>1742</v>
      </c>
      <c r="AU13" s="402">
        <v>1286365</v>
      </c>
      <c r="AV13" s="128">
        <v>292500</v>
      </c>
      <c r="AW13" s="126">
        <v>2760800</v>
      </c>
      <c r="AX13" s="126">
        <v>182534</v>
      </c>
      <c r="AY13" s="126">
        <v>0</v>
      </c>
      <c r="AZ13" s="126">
        <v>513</v>
      </c>
      <c r="BA13" s="140">
        <v>53</v>
      </c>
      <c r="BB13" s="159">
        <f t="shared" si="2"/>
        <v>4940949</v>
      </c>
      <c r="BC13" s="127">
        <v>85570</v>
      </c>
      <c r="BD13" s="128">
        <v>1849923</v>
      </c>
      <c r="BE13" s="399">
        <v>571711</v>
      </c>
      <c r="BF13" s="128">
        <v>2195900</v>
      </c>
      <c r="BG13" s="398">
        <v>1536012</v>
      </c>
      <c r="BH13" s="143">
        <v>804165</v>
      </c>
      <c r="BI13" s="159">
        <f t="shared" si="3"/>
        <v>7043281</v>
      </c>
      <c r="BJ13" s="355">
        <v>72939</v>
      </c>
      <c r="BK13" s="128">
        <v>438683</v>
      </c>
      <c r="BL13" s="399">
        <v>1674873</v>
      </c>
      <c r="BM13" s="129">
        <v>2907054</v>
      </c>
      <c r="BN13" s="139">
        <v>892000</v>
      </c>
      <c r="BO13" s="171">
        <f t="shared" si="4"/>
        <v>5985549</v>
      </c>
      <c r="BP13" s="632">
        <f t="shared" si="8"/>
        <v>52561346</v>
      </c>
      <c r="BQ13" s="355">
        <v>116331158</v>
      </c>
      <c r="BR13" s="128">
        <v>7013719</v>
      </c>
      <c r="BS13" s="128">
        <v>66305</v>
      </c>
      <c r="BT13" s="139">
        <v>107208</v>
      </c>
      <c r="BU13" s="415">
        <f t="shared" si="11"/>
        <v>123518390</v>
      </c>
      <c r="BV13" s="455">
        <v>10699173</v>
      </c>
      <c r="BW13" s="128">
        <v>884974</v>
      </c>
      <c r="BX13" s="139">
        <v>776</v>
      </c>
      <c r="BY13" s="171">
        <f t="shared" si="9"/>
        <v>11584923</v>
      </c>
      <c r="BZ13" s="171">
        <f t="shared" si="5"/>
        <v>135103313</v>
      </c>
      <c r="CA13" s="418">
        <f t="shared" si="10"/>
        <v>259840452</v>
      </c>
    </row>
    <row r="14" spans="1:80" ht="14.5" thickBot="1">
      <c r="A14" s="840" t="s">
        <v>585</v>
      </c>
      <c r="B14" s="243">
        <v>31</v>
      </c>
      <c r="C14" s="133">
        <v>6164</v>
      </c>
      <c r="D14" s="131">
        <v>274898</v>
      </c>
      <c r="E14" s="131">
        <v>4027</v>
      </c>
      <c r="F14" s="131">
        <v>4811319</v>
      </c>
      <c r="G14" s="131">
        <v>1669200</v>
      </c>
      <c r="H14" s="131">
        <v>7036965</v>
      </c>
      <c r="I14" s="128">
        <v>30821500</v>
      </c>
      <c r="J14" s="128">
        <v>4427126</v>
      </c>
      <c r="K14" s="127">
        <v>12828000</v>
      </c>
      <c r="L14" s="128">
        <v>0</v>
      </c>
      <c r="M14" s="128">
        <v>0</v>
      </c>
      <c r="N14" s="131">
        <v>35118</v>
      </c>
      <c r="O14" s="140">
        <v>882</v>
      </c>
      <c r="P14" s="159">
        <f>SUM(C14:O14)</f>
        <v>61915199</v>
      </c>
      <c r="Q14" s="130">
        <v>3477782</v>
      </c>
      <c r="R14" s="133">
        <v>2153782</v>
      </c>
      <c r="S14" s="400">
        <v>15127</v>
      </c>
      <c r="T14" s="132">
        <v>427120</v>
      </c>
      <c r="U14" s="159">
        <f t="shared" si="0"/>
        <v>6073811</v>
      </c>
      <c r="V14" s="133">
        <v>263430</v>
      </c>
      <c r="W14" s="131">
        <v>176645</v>
      </c>
      <c r="X14" s="353">
        <v>38619</v>
      </c>
      <c r="Y14" s="353">
        <v>27682</v>
      </c>
      <c r="Z14" s="144">
        <v>2</v>
      </c>
      <c r="AA14" s="159">
        <f t="shared" si="1"/>
        <v>506378</v>
      </c>
      <c r="AB14" s="130">
        <v>3194651</v>
      </c>
      <c r="AC14" s="133">
        <v>2436150</v>
      </c>
      <c r="AD14" s="133">
        <v>1376073</v>
      </c>
      <c r="AE14" s="133">
        <v>5637501</v>
      </c>
      <c r="AF14" s="133">
        <v>760550</v>
      </c>
      <c r="AG14" s="131">
        <v>2588565</v>
      </c>
      <c r="AH14" s="353">
        <v>290435</v>
      </c>
      <c r="AI14" s="432">
        <v>294237</v>
      </c>
      <c r="AJ14" s="353">
        <v>66565</v>
      </c>
      <c r="AK14" s="353">
        <v>0</v>
      </c>
      <c r="AL14" s="432">
        <v>3</v>
      </c>
      <c r="AM14" s="434">
        <v>2650</v>
      </c>
      <c r="AN14" s="434">
        <v>214884</v>
      </c>
      <c r="AO14" s="434">
        <v>42518</v>
      </c>
      <c r="AP14" s="353">
        <v>0</v>
      </c>
      <c r="AQ14" s="159">
        <f t="shared" si="7"/>
        <v>16904782</v>
      </c>
      <c r="AR14" s="133">
        <v>92443</v>
      </c>
      <c r="AS14" s="131">
        <v>187836</v>
      </c>
      <c r="AT14" s="403">
        <v>4365</v>
      </c>
      <c r="AU14" s="403">
        <v>420958</v>
      </c>
      <c r="AV14" s="131">
        <v>244800</v>
      </c>
      <c r="AW14" s="353">
        <v>2268273</v>
      </c>
      <c r="AX14" s="353">
        <v>289665</v>
      </c>
      <c r="AY14" s="353">
        <v>0</v>
      </c>
      <c r="AZ14" s="353">
        <v>9</v>
      </c>
      <c r="BA14" s="144">
        <v>42</v>
      </c>
      <c r="BB14" s="159">
        <f t="shared" si="2"/>
        <v>3508391</v>
      </c>
      <c r="BC14" s="133">
        <v>80946</v>
      </c>
      <c r="BD14" s="131">
        <v>1935516</v>
      </c>
      <c r="BE14" s="400">
        <v>518937</v>
      </c>
      <c r="BF14" s="131">
        <v>2159000</v>
      </c>
      <c r="BG14" s="432">
        <v>1551404</v>
      </c>
      <c r="BH14" s="433">
        <v>815200</v>
      </c>
      <c r="BI14" s="159">
        <f t="shared" si="3"/>
        <v>7061003</v>
      </c>
      <c r="BJ14" s="130">
        <v>71711</v>
      </c>
      <c r="BK14" s="410">
        <v>439422</v>
      </c>
      <c r="BL14" s="436">
        <v>1388639</v>
      </c>
      <c r="BM14" s="438">
        <v>2925691</v>
      </c>
      <c r="BN14" s="144">
        <v>925000</v>
      </c>
      <c r="BO14" s="172">
        <f t="shared" si="4"/>
        <v>5750463</v>
      </c>
      <c r="BP14" s="419">
        <f t="shared" si="8"/>
        <v>39804828</v>
      </c>
      <c r="BQ14" s="130">
        <v>108098837</v>
      </c>
      <c r="BR14" s="410">
        <v>4091076</v>
      </c>
      <c r="BS14" s="410">
        <v>27351</v>
      </c>
      <c r="BT14" s="142">
        <v>94455</v>
      </c>
      <c r="BU14" s="346">
        <f t="shared" si="11"/>
        <v>112311719</v>
      </c>
      <c r="BV14" s="456">
        <v>10127123</v>
      </c>
      <c r="BW14" s="410">
        <v>535268</v>
      </c>
      <c r="BX14" s="141">
        <v>0</v>
      </c>
      <c r="BY14" s="415">
        <f t="shared" si="9"/>
        <v>10662391</v>
      </c>
      <c r="BZ14" s="346">
        <f t="shared" si="5"/>
        <v>122974110</v>
      </c>
      <c r="CA14" s="418">
        <f t="shared" si="10"/>
        <v>224694137</v>
      </c>
    </row>
    <row r="15" spans="1:80">
      <c r="A15" s="221" t="s">
        <v>37</v>
      </c>
      <c r="B15" s="349">
        <f>SUM(B3:B14)</f>
        <v>365</v>
      </c>
      <c r="C15" s="165">
        <f t="shared" ref="C15:L15" si="12">SUM(C3:C14)</f>
        <v>60971</v>
      </c>
      <c r="D15" s="163">
        <f t="shared" si="12"/>
        <v>4233801</v>
      </c>
      <c r="E15" s="163">
        <f t="shared" si="12"/>
        <v>1081497</v>
      </c>
      <c r="F15" s="163">
        <f t="shared" si="12"/>
        <v>62472118</v>
      </c>
      <c r="G15" s="163">
        <f t="shared" si="12"/>
        <v>24191800</v>
      </c>
      <c r="H15" s="163">
        <f t="shared" si="12"/>
        <v>111416571</v>
      </c>
      <c r="I15" s="163">
        <f t="shared" si="12"/>
        <v>371277045</v>
      </c>
      <c r="J15" s="163">
        <f t="shared" si="12"/>
        <v>46834111</v>
      </c>
      <c r="K15" s="165">
        <f t="shared" si="12"/>
        <v>182079300</v>
      </c>
      <c r="L15" s="163">
        <f t="shared" si="12"/>
        <v>1400</v>
      </c>
      <c r="M15" s="163">
        <f>SUM(M3:M14)</f>
        <v>0</v>
      </c>
      <c r="N15" s="163">
        <f>SUM(N3:N14)</f>
        <v>827979</v>
      </c>
      <c r="O15" s="160">
        <f>SUM(O3:O14)</f>
        <v>17471</v>
      </c>
      <c r="P15" s="160">
        <f t="shared" ref="P15:AA15" si="13">SUM(P3:P14)</f>
        <v>804494064</v>
      </c>
      <c r="Q15" s="165">
        <f>SUM(Q3:Q14)</f>
        <v>43317062</v>
      </c>
      <c r="R15" s="163">
        <f>SUM(R3:R14)</f>
        <v>32855526</v>
      </c>
      <c r="S15" s="163">
        <f>SUM(S3:S14)</f>
        <v>166993</v>
      </c>
      <c r="T15" s="164">
        <f>SUM(T3:T14)</f>
        <v>5579696</v>
      </c>
      <c r="U15" s="160">
        <f>SUM(U3:U14)</f>
        <v>81919277</v>
      </c>
      <c r="V15" s="165">
        <f t="shared" si="13"/>
        <v>3596675</v>
      </c>
      <c r="W15" s="163">
        <f t="shared" si="13"/>
        <v>1836596</v>
      </c>
      <c r="X15" s="163">
        <f t="shared" si="13"/>
        <v>313305</v>
      </c>
      <c r="Y15" s="163">
        <f t="shared" si="13"/>
        <v>501921</v>
      </c>
      <c r="Z15" s="163">
        <f t="shared" si="13"/>
        <v>46</v>
      </c>
      <c r="AA15" s="345">
        <f t="shared" si="13"/>
        <v>6248543</v>
      </c>
      <c r="AB15" s="841">
        <f>SUM(AB3:AB14)</f>
        <v>53826080</v>
      </c>
      <c r="AC15" s="165">
        <f>SUM(AC3:AC14)</f>
        <v>58149501</v>
      </c>
      <c r="AD15" s="163">
        <f>SUM(AD3:AD14)</f>
        <v>17637462</v>
      </c>
      <c r="AE15" s="163">
        <f>SUM(AE3:AE14)</f>
        <v>78239713</v>
      </c>
      <c r="AF15" s="163">
        <f t="shared" ref="AF15:AQ15" si="14">SUM(AF3:AF14)</f>
        <v>10061171</v>
      </c>
      <c r="AG15" s="163">
        <f t="shared" si="14"/>
        <v>50158523</v>
      </c>
      <c r="AH15" s="163">
        <f t="shared" si="14"/>
        <v>4406350</v>
      </c>
      <c r="AI15" s="409">
        <f t="shared" si="14"/>
        <v>3548335</v>
      </c>
      <c r="AJ15" s="351">
        <f t="shared" si="14"/>
        <v>4855129</v>
      </c>
      <c r="AK15" s="351">
        <f t="shared" si="14"/>
        <v>4120</v>
      </c>
      <c r="AL15" s="409">
        <f t="shared" si="14"/>
        <v>498</v>
      </c>
      <c r="AM15" s="417">
        <f t="shared" si="14"/>
        <v>204135</v>
      </c>
      <c r="AN15" s="417">
        <f t="shared" si="14"/>
        <v>3197703</v>
      </c>
      <c r="AO15" s="417">
        <f t="shared" si="14"/>
        <v>675750</v>
      </c>
      <c r="AP15" s="351">
        <f t="shared" si="14"/>
        <v>641000</v>
      </c>
      <c r="AQ15" s="406">
        <f t="shared" si="14"/>
        <v>285605470</v>
      </c>
      <c r="AR15" s="165">
        <f>SUM(AR3:AR14)</f>
        <v>682932</v>
      </c>
      <c r="AS15" s="163">
        <f>SUM(AS3:AS14)</f>
        <v>3334233</v>
      </c>
      <c r="AT15" s="163">
        <f>SUM(AT3:AT14)</f>
        <v>38438</v>
      </c>
      <c r="AU15" s="163">
        <f>SUM(AU3:AU14)</f>
        <v>11168335</v>
      </c>
      <c r="AV15" s="163">
        <f t="shared" ref="AV15:BB15" si="15">SUM(AV3:AV14)</f>
        <v>4070400</v>
      </c>
      <c r="AW15" s="163">
        <f t="shared" si="15"/>
        <v>31106406</v>
      </c>
      <c r="AX15" s="163">
        <f t="shared" si="15"/>
        <v>3417670</v>
      </c>
      <c r="AY15" s="163">
        <f t="shared" si="15"/>
        <v>7002</v>
      </c>
      <c r="AZ15" s="163">
        <f t="shared" si="15"/>
        <v>33766</v>
      </c>
      <c r="BA15" s="163">
        <f t="shared" si="15"/>
        <v>20581</v>
      </c>
      <c r="BB15" s="345">
        <f t="shared" si="15"/>
        <v>53879763</v>
      </c>
      <c r="BC15" s="165">
        <f t="shared" ref="BC15:BI15" si="16">SUM(BC3:BC14)</f>
        <v>1785340</v>
      </c>
      <c r="BD15" s="163">
        <f t="shared" si="16"/>
        <v>26165140</v>
      </c>
      <c r="BE15" s="404">
        <f t="shared" si="16"/>
        <v>6764699</v>
      </c>
      <c r="BF15" s="351">
        <f t="shared" si="16"/>
        <v>29982520</v>
      </c>
      <c r="BG15" s="417">
        <f t="shared" si="16"/>
        <v>39877731</v>
      </c>
      <c r="BH15" s="417">
        <f t="shared" si="16"/>
        <v>15159535</v>
      </c>
      <c r="BI15" s="345">
        <f t="shared" si="16"/>
        <v>119734965</v>
      </c>
      <c r="BJ15" s="407">
        <f t="shared" ref="BJ15:BO15" si="17">SUM(BJ3:BJ14)</f>
        <v>490872</v>
      </c>
      <c r="BK15" s="351">
        <f t="shared" si="17"/>
        <v>1721907</v>
      </c>
      <c r="BL15" s="409">
        <f t="shared" si="17"/>
        <v>6740865</v>
      </c>
      <c r="BM15" s="439">
        <f t="shared" si="17"/>
        <v>13621084</v>
      </c>
      <c r="BN15" s="439">
        <f t="shared" si="17"/>
        <v>4766000</v>
      </c>
      <c r="BO15" s="345">
        <f t="shared" si="17"/>
        <v>27340728</v>
      </c>
      <c r="BP15" s="345">
        <f t="shared" ref="BP15:CA15" si="18">SUM(BP3:BP14)</f>
        <v>574728746</v>
      </c>
      <c r="BQ15" s="356">
        <f t="shared" si="18"/>
        <v>1486101246</v>
      </c>
      <c r="BR15" s="412">
        <f t="shared" si="18"/>
        <v>82703370</v>
      </c>
      <c r="BS15" s="412">
        <f t="shared" si="18"/>
        <v>254860</v>
      </c>
      <c r="BT15" s="412">
        <f t="shared" si="18"/>
        <v>1570261</v>
      </c>
      <c r="BU15" s="345">
        <f t="shared" si="18"/>
        <v>1570629737</v>
      </c>
      <c r="BV15" s="407">
        <f t="shared" si="18"/>
        <v>90326550</v>
      </c>
      <c r="BW15" s="351">
        <f t="shared" si="18"/>
        <v>9336916</v>
      </c>
      <c r="BX15" s="406">
        <f t="shared" si="18"/>
        <v>1099</v>
      </c>
      <c r="BY15" s="345">
        <f t="shared" si="18"/>
        <v>99664565</v>
      </c>
      <c r="BZ15" s="441">
        <f t="shared" si="18"/>
        <v>1670294302</v>
      </c>
      <c r="CA15" s="420">
        <f t="shared" si="18"/>
        <v>3049517112</v>
      </c>
    </row>
    <row r="16" spans="1:80" ht="14.5" thickBot="1">
      <c r="A16" s="220" t="s">
        <v>586</v>
      </c>
      <c r="B16" s="220"/>
      <c r="C16" s="643"/>
      <c r="D16" s="643"/>
      <c r="E16" s="643"/>
      <c r="F16" s="643"/>
      <c r="G16" s="643"/>
      <c r="H16" s="643"/>
      <c r="I16" s="643"/>
      <c r="J16" s="643"/>
      <c r="K16" s="643"/>
      <c r="L16" s="643"/>
      <c r="M16" s="643"/>
      <c r="N16" s="648"/>
      <c r="O16" s="644"/>
      <c r="P16" s="161">
        <f>P15/$CA$15</f>
        <v>0.26381031306047642</v>
      </c>
      <c r="Q16" s="646"/>
      <c r="R16" s="646"/>
      <c r="S16" s="646"/>
      <c r="T16" s="647"/>
      <c r="U16" s="644">
        <f>U15/$CA$15</f>
        <v>2.6863032405243313E-2</v>
      </c>
      <c r="V16" s="643"/>
      <c r="W16" s="648"/>
      <c r="X16" s="648"/>
      <c r="Y16" s="648"/>
      <c r="Z16" s="644"/>
      <c r="AA16" s="644">
        <f>AA15/$CA$15</f>
        <v>2.0490270329724257E-3</v>
      </c>
      <c r="AB16" s="842"/>
      <c r="AC16" s="643"/>
      <c r="AD16" s="648"/>
      <c r="AE16" s="648"/>
      <c r="AF16" s="648"/>
      <c r="AG16" s="648"/>
      <c r="AH16" s="648"/>
      <c r="AI16" s="649"/>
      <c r="AJ16" s="648"/>
      <c r="AK16" s="648"/>
      <c r="AL16" s="649"/>
      <c r="AM16" s="405"/>
      <c r="AN16" s="405"/>
      <c r="AO16" s="405"/>
      <c r="AP16" s="158"/>
      <c r="AQ16" s="161">
        <f>AQ15/$CA$15</f>
        <v>9.365596568588791E-2</v>
      </c>
      <c r="AR16" s="167"/>
      <c r="AS16" s="158"/>
      <c r="AT16" s="405"/>
      <c r="AU16" s="405"/>
      <c r="AV16" s="158"/>
      <c r="AW16" s="158"/>
      <c r="AX16" s="158"/>
      <c r="AY16" s="158"/>
      <c r="AZ16" s="158"/>
      <c r="BA16" s="161"/>
      <c r="BB16" s="161">
        <f>BB15/$CA$15</f>
        <v>1.7668293379296176E-2</v>
      </c>
      <c r="BC16" s="167"/>
      <c r="BD16" s="158"/>
      <c r="BE16" s="158"/>
      <c r="BF16" s="158"/>
      <c r="BG16" s="347"/>
      <c r="BH16" s="166"/>
      <c r="BI16" s="161">
        <f>BI15/$CA$15</f>
        <v>3.9263581938542666E-2</v>
      </c>
      <c r="BJ16" s="408"/>
      <c r="BK16" s="158"/>
      <c r="BL16" s="347"/>
      <c r="BM16" s="166"/>
      <c r="BN16" s="161"/>
      <c r="BO16" s="348">
        <f>BO15/$CA$15</f>
        <v>8.9655925826462451E-3</v>
      </c>
      <c r="BP16" s="348">
        <f>SUM(U16,BO16,BI16,BB16,AQ16,AA16)</f>
        <v>0.18846549302458876</v>
      </c>
      <c r="BQ16" s="167"/>
      <c r="BR16" s="158"/>
      <c r="BS16" s="158"/>
      <c r="BT16" s="161"/>
      <c r="BU16" s="161">
        <f>BU15/$CA$15</f>
        <v>0.51504211300192237</v>
      </c>
      <c r="BV16" s="167"/>
      <c r="BW16" s="158"/>
      <c r="BX16" s="161"/>
      <c r="BY16" s="348">
        <f>BY15/$CA$15</f>
        <v>3.2682080913012432E-2</v>
      </c>
      <c r="BZ16" s="348">
        <f>SUM(BU16,BY16)</f>
        <v>0.54772419391493476</v>
      </c>
      <c r="CA16" s="682">
        <f>SUM(U16,AA16,AQ16,BB16,P16,BI16,BU16,BY16,BO16)</f>
        <v>0.99999999999999989</v>
      </c>
    </row>
    <row r="17" spans="1:79" s="116" customFormat="1" ht="15" customHeight="1" thickBot="1">
      <c r="A17" s="895" t="s">
        <v>667</v>
      </c>
      <c r="B17" s="901"/>
      <c r="C17" s="650"/>
      <c r="D17" s="645"/>
      <c r="E17" s="645"/>
      <c r="F17" s="645"/>
      <c r="G17" s="645"/>
      <c r="H17" s="645"/>
      <c r="I17" s="645"/>
      <c r="J17" s="645"/>
      <c r="K17" s="645"/>
      <c r="L17" s="645"/>
      <c r="M17" s="645"/>
      <c r="N17" s="645"/>
      <c r="O17" s="653"/>
      <c r="P17" s="753">
        <f>MAX(P3:P14)</f>
        <v>73832515</v>
      </c>
      <c r="Q17" s="650"/>
      <c r="R17" s="645"/>
      <c r="S17" s="645"/>
      <c r="T17" s="675"/>
      <c r="U17" s="671">
        <f>MAX(U3:U14)</f>
        <v>8535284</v>
      </c>
      <c r="V17" s="645"/>
      <c r="W17" s="645"/>
      <c r="X17" s="645"/>
      <c r="Y17" s="645"/>
      <c r="Z17" s="675"/>
      <c r="AA17" s="671">
        <f>MAX(AA3:AA14)</f>
        <v>807088</v>
      </c>
      <c r="AB17" s="659"/>
      <c r="AC17" s="650"/>
      <c r="AD17" s="645"/>
      <c r="AE17" s="645"/>
      <c r="AF17" s="645"/>
      <c r="AG17" s="645"/>
      <c r="AH17" s="645"/>
      <c r="AI17" s="645"/>
      <c r="AJ17" s="645"/>
      <c r="AK17" s="645"/>
      <c r="AL17" s="645"/>
      <c r="AM17" s="645"/>
      <c r="AN17" s="645"/>
      <c r="AO17" s="645"/>
      <c r="AP17" s="846"/>
      <c r="AQ17" s="642">
        <f>MAX(AQ3:AQ14)</f>
        <v>34519281</v>
      </c>
      <c r="AR17" s="645"/>
      <c r="AS17" s="645"/>
      <c r="AT17" s="645"/>
      <c r="AU17" s="645"/>
      <c r="AV17" s="645"/>
      <c r="AW17" s="645"/>
      <c r="AX17" s="645"/>
      <c r="AY17" s="645"/>
      <c r="AZ17" s="645"/>
      <c r="BA17" s="652"/>
      <c r="BB17" s="642">
        <f>MAX(BB3:BB14)</f>
        <v>6393340</v>
      </c>
      <c r="BC17" s="645"/>
      <c r="BD17" s="645"/>
      <c r="BE17" s="645"/>
      <c r="BF17" s="645"/>
      <c r="BG17" s="645"/>
      <c r="BH17" s="652"/>
      <c r="BI17" s="642">
        <f>MAX(BI3:BI14)</f>
        <v>13103362</v>
      </c>
      <c r="BJ17" s="645"/>
      <c r="BK17" s="645"/>
      <c r="BL17" s="645"/>
      <c r="BM17" s="645"/>
      <c r="BN17" s="652"/>
      <c r="BO17" s="642">
        <f>MAX(BO3:BO14)</f>
        <v>5990882</v>
      </c>
      <c r="BP17" s="631">
        <f>SUM(BO17,BI17,BB17,AQ17,AA17,U17)</f>
        <v>69349237</v>
      </c>
      <c r="BQ17" s="650"/>
      <c r="BR17" s="645"/>
      <c r="BS17" s="645"/>
      <c r="BT17" s="652"/>
      <c r="BU17" s="642">
        <f>MAX(BU3:BU14)</f>
        <v>155380887</v>
      </c>
      <c r="BV17" s="645"/>
      <c r="BW17" s="645"/>
      <c r="BX17" s="675"/>
      <c r="BY17" s="671">
        <f>MAX(BY3:BY14)</f>
        <v>15486669</v>
      </c>
      <c r="BZ17" s="641">
        <f>SUM(BY17,BU17)</f>
        <v>170867556</v>
      </c>
      <c r="CA17" s="671">
        <f>SUM(BZ17,BP17,P17)</f>
        <v>314049308</v>
      </c>
    </row>
    <row r="18" spans="1:79" s="116" customFormat="1" ht="13.5" thickBot="1">
      <c r="A18" s="895" t="s">
        <v>668</v>
      </c>
      <c r="B18" s="901"/>
      <c r="C18" s="650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53"/>
      <c r="P18" s="754">
        <f>P17/B11</f>
        <v>2461083.8333333335</v>
      </c>
      <c r="Q18" s="650"/>
      <c r="R18" s="645"/>
      <c r="S18" s="645"/>
      <c r="T18" s="645"/>
      <c r="U18" s="632">
        <f>U17/B11</f>
        <v>284509.46666666667</v>
      </c>
      <c r="V18" s="645"/>
      <c r="W18" s="645"/>
      <c r="X18" s="645"/>
      <c r="Y18" s="645"/>
      <c r="Z18" s="645"/>
      <c r="AA18" s="632">
        <f>AA17/B3</f>
        <v>26035.096774193549</v>
      </c>
      <c r="AB18" s="659"/>
      <c r="AC18" s="650"/>
      <c r="AD18" s="645"/>
      <c r="AE18" s="645"/>
      <c r="AF18" s="645"/>
      <c r="AG18" s="645"/>
      <c r="AH18" s="645"/>
      <c r="AI18" s="645"/>
      <c r="AJ18" s="645"/>
      <c r="AK18" s="645"/>
      <c r="AL18" s="645"/>
      <c r="AM18" s="645"/>
      <c r="AN18" s="645"/>
      <c r="AO18" s="645"/>
      <c r="AP18" s="645"/>
      <c r="AQ18" s="843">
        <f>AQ17/B12</f>
        <v>1113525.1935483871</v>
      </c>
      <c r="AR18" s="645"/>
      <c r="AS18" s="645"/>
      <c r="AT18" s="645"/>
      <c r="AU18" s="645"/>
      <c r="AV18" s="645"/>
      <c r="AW18" s="645"/>
      <c r="AX18" s="645"/>
      <c r="AY18" s="645"/>
      <c r="AZ18" s="645"/>
      <c r="BA18" s="645"/>
      <c r="BB18" s="632">
        <f>BB17/B12</f>
        <v>206236.77419354839</v>
      </c>
      <c r="BC18" s="645"/>
      <c r="BD18" s="645"/>
      <c r="BE18" s="645"/>
      <c r="BF18" s="645"/>
      <c r="BG18" s="645"/>
      <c r="BH18" s="645"/>
      <c r="BI18" s="632">
        <f>BI17/B4</f>
        <v>467977.21428571426</v>
      </c>
      <c r="BJ18" s="645"/>
      <c r="BK18" s="645"/>
      <c r="BL18" s="645"/>
      <c r="BM18" s="645"/>
      <c r="BN18" s="645"/>
      <c r="BO18" s="632">
        <f>BO17/B12</f>
        <v>193254.25806451612</v>
      </c>
      <c r="BP18" s="632">
        <f>SUM(BO18,BI18,BB18,AQ18,AA18,U18)</f>
        <v>2291538.0035330262</v>
      </c>
      <c r="BQ18" s="650"/>
      <c r="BR18" s="645"/>
      <c r="BS18" s="645"/>
      <c r="BT18" s="645"/>
      <c r="BU18" s="632">
        <f>BU17/B9</f>
        <v>5012286.6774193551</v>
      </c>
      <c r="BV18" s="645"/>
      <c r="BW18" s="645"/>
      <c r="BX18" s="645"/>
      <c r="BY18" s="632">
        <f>BY17/B12</f>
        <v>499569.96774193546</v>
      </c>
      <c r="BZ18" s="632">
        <f>SUM(BY18,BU18)</f>
        <v>5511856.6451612907</v>
      </c>
      <c r="CA18" s="418">
        <f>BZ18+BP18+P18</f>
        <v>10264478.48202765</v>
      </c>
    </row>
    <row r="19" spans="1:79" s="116" customFormat="1" ht="13.5" thickBot="1">
      <c r="A19" s="893" t="s">
        <v>669</v>
      </c>
      <c r="B19" s="894"/>
      <c r="C19" s="659"/>
      <c r="D19" s="645"/>
      <c r="E19" s="645"/>
      <c r="F19" s="645"/>
      <c r="G19" s="645"/>
      <c r="H19" s="645"/>
      <c r="I19" s="645"/>
      <c r="J19" s="645"/>
      <c r="K19" s="645"/>
      <c r="L19" s="645"/>
      <c r="M19" s="645"/>
      <c r="N19" s="645"/>
      <c r="O19" s="653"/>
      <c r="P19" s="755">
        <f>P18/CA18</f>
        <v>0.23976706051286589</v>
      </c>
      <c r="Q19" s="650"/>
      <c r="R19" s="645"/>
      <c r="S19" s="645"/>
      <c r="T19" s="645"/>
      <c r="U19" s="656">
        <f>U18/CA18</f>
        <v>2.7717868683228467E-2</v>
      </c>
      <c r="V19" s="645"/>
      <c r="W19" s="645"/>
      <c r="X19" s="645"/>
      <c r="Y19" s="645"/>
      <c r="Z19" s="645"/>
      <c r="AA19" s="656">
        <f>AA18/CA18</f>
        <v>2.5364266503923307E-3</v>
      </c>
      <c r="AB19" s="659"/>
      <c r="AC19" s="650"/>
      <c r="AD19" s="645"/>
      <c r="AE19" s="645"/>
      <c r="AF19" s="645"/>
      <c r="AG19" s="645"/>
      <c r="AH19" s="645"/>
      <c r="AI19" s="645"/>
      <c r="AJ19" s="645"/>
      <c r="AK19" s="645"/>
      <c r="AL19" s="645"/>
      <c r="AM19" s="645"/>
      <c r="AN19" s="645"/>
      <c r="AO19" s="645"/>
      <c r="AP19" s="645"/>
      <c r="AQ19" s="844">
        <f>AQ18/CA18</f>
        <v>0.10848336771303951</v>
      </c>
      <c r="AR19" s="645"/>
      <c r="AS19" s="645"/>
      <c r="AT19" s="645"/>
      <c r="AU19" s="645"/>
      <c r="AV19" s="645"/>
      <c r="AW19" s="645"/>
      <c r="AX19" s="645"/>
      <c r="AY19" s="645"/>
      <c r="AZ19" s="645"/>
      <c r="BA19" s="645"/>
      <c r="BB19" s="656">
        <f>BB18/CA18</f>
        <v>2.0092279851787295E-2</v>
      </c>
      <c r="BC19" s="645"/>
      <c r="BD19" s="645"/>
      <c r="BE19" s="645"/>
      <c r="BF19" s="645"/>
      <c r="BG19" s="645"/>
      <c r="BH19" s="645"/>
      <c r="BI19" s="656">
        <f>BI18/CA18</f>
        <v>4.5591913423084093E-2</v>
      </c>
      <c r="BJ19" s="645"/>
      <c r="BK19" s="645"/>
      <c r="BL19" s="645"/>
      <c r="BM19" s="645"/>
      <c r="BN19" s="645"/>
      <c r="BO19" s="656">
        <f>BO18/CA18</f>
        <v>1.8827479486940343E-2</v>
      </c>
      <c r="BP19" s="656">
        <f>BP18/CA18</f>
        <v>0.22324933580847203</v>
      </c>
      <c r="BQ19" s="650"/>
      <c r="BR19" s="645"/>
      <c r="BS19" s="645"/>
      <c r="BT19" s="645"/>
      <c r="BU19" s="656">
        <f>BU18/CA18</f>
        <v>0.48831381800794865</v>
      </c>
      <c r="BV19" s="645"/>
      <c r="BW19" s="645"/>
      <c r="BX19" s="645"/>
      <c r="BY19" s="656">
        <f>BY18/CA18</f>
        <v>4.8669785670713409E-2</v>
      </c>
      <c r="BZ19" s="656">
        <f>BZ18/CA18</f>
        <v>0.53698360367866205</v>
      </c>
      <c r="CA19" s="672">
        <f>SUM(BZ19,BP19,P19)</f>
        <v>1</v>
      </c>
    </row>
    <row r="20" spans="1:79" s="116" customFormat="1" ht="15.75" customHeight="1" thickBot="1">
      <c r="A20" s="895" t="s">
        <v>670</v>
      </c>
      <c r="B20" s="896"/>
      <c r="C20" s="660"/>
      <c r="D20" s="651"/>
      <c r="E20" s="651"/>
      <c r="F20" s="651"/>
      <c r="G20" s="651"/>
      <c r="H20" s="651"/>
      <c r="I20" s="651"/>
      <c r="J20" s="651"/>
      <c r="K20" s="651"/>
      <c r="L20" s="651"/>
      <c r="M20" s="651"/>
      <c r="N20" s="651"/>
      <c r="O20" s="654"/>
      <c r="P20" s="756">
        <f>P15/$B$15</f>
        <v>2204093.3260273971</v>
      </c>
      <c r="Q20" s="655"/>
      <c r="R20" s="651"/>
      <c r="S20" s="651"/>
      <c r="T20" s="651"/>
      <c r="U20" s="419">
        <f>U15/$B$15</f>
        <v>224436.37534246576</v>
      </c>
      <c r="V20" s="651"/>
      <c r="W20" s="651"/>
      <c r="X20" s="651"/>
      <c r="Y20" s="651"/>
      <c r="Z20" s="651"/>
      <c r="AA20" s="419">
        <f>AA15/$B$15</f>
        <v>17119.295890410958</v>
      </c>
      <c r="AB20" s="660"/>
      <c r="AC20" s="655"/>
      <c r="AD20" s="651"/>
      <c r="AE20" s="651"/>
      <c r="AF20" s="651"/>
      <c r="AG20" s="651"/>
      <c r="AH20" s="651"/>
      <c r="AI20" s="651"/>
      <c r="AJ20" s="651"/>
      <c r="AK20" s="651"/>
      <c r="AL20" s="651"/>
      <c r="AM20" s="651"/>
      <c r="AN20" s="651"/>
      <c r="AO20" s="651"/>
      <c r="AP20" s="651"/>
      <c r="AQ20" s="845">
        <f>AQ15/$B$15</f>
        <v>782480.73972602736</v>
      </c>
      <c r="AR20" s="651"/>
      <c r="AS20" s="651"/>
      <c r="AT20" s="651"/>
      <c r="AU20" s="651"/>
      <c r="AV20" s="651"/>
      <c r="AW20" s="651"/>
      <c r="AX20" s="651"/>
      <c r="AY20" s="651"/>
      <c r="AZ20" s="651"/>
      <c r="BA20" s="651"/>
      <c r="BB20" s="419">
        <f>BB15/$B$15</f>
        <v>147615.78904109588</v>
      </c>
      <c r="BC20" s="651"/>
      <c r="BD20" s="651"/>
      <c r="BE20" s="651"/>
      <c r="BF20" s="651"/>
      <c r="BG20" s="651"/>
      <c r="BH20" s="651"/>
      <c r="BI20" s="419">
        <f>BI15/$B$15</f>
        <v>328041</v>
      </c>
      <c r="BJ20" s="651"/>
      <c r="BK20" s="651"/>
      <c r="BL20" s="651"/>
      <c r="BM20" s="651"/>
      <c r="BN20" s="651"/>
      <c r="BO20" s="419">
        <f>BO15/$B$15</f>
        <v>74906.10410958904</v>
      </c>
      <c r="BP20" s="419">
        <f>BP15/$B$15</f>
        <v>1574599.304109589</v>
      </c>
      <c r="BQ20" s="655"/>
      <c r="BR20" s="651"/>
      <c r="BS20" s="848"/>
      <c r="BT20" s="651"/>
      <c r="BU20" s="419">
        <f>BU15/$B$15</f>
        <v>4303095.1698630136</v>
      </c>
      <c r="BV20" s="651"/>
      <c r="BW20" s="651"/>
      <c r="BX20" s="651"/>
      <c r="BY20" s="419">
        <f>BY15/$B$15</f>
        <v>273053.60273972602</v>
      </c>
      <c r="BZ20" s="419">
        <f>BZ15/$B$15</f>
        <v>4576148.7726027397</v>
      </c>
      <c r="CA20" s="664">
        <f>SUM(BZ20,BP20,P20)</f>
        <v>8354841.402739726</v>
      </c>
    </row>
    <row r="21" spans="1:79" ht="14.5" thickBot="1">
      <c r="A21" s="836"/>
      <c r="BP21" s="640"/>
      <c r="BS21" s="94"/>
      <c r="BZ21" s="640"/>
    </row>
    <row r="22" spans="1:79" ht="14.5" thickBot="1">
      <c r="A22" s="683" t="s">
        <v>671</v>
      </c>
      <c r="B22" s="684">
        <v>0.625</v>
      </c>
      <c r="C22" s="685">
        <v>1</v>
      </c>
      <c r="D22" s="685">
        <v>1.5</v>
      </c>
      <c r="E22" s="685">
        <v>2</v>
      </c>
      <c r="F22" s="685">
        <v>3</v>
      </c>
      <c r="G22" s="685">
        <v>4</v>
      </c>
      <c r="H22" s="685">
        <v>6</v>
      </c>
      <c r="I22" s="685">
        <v>8</v>
      </c>
      <c r="J22" s="685">
        <v>10</v>
      </c>
      <c r="K22" s="685" t="s">
        <v>672</v>
      </c>
      <c r="L22" s="685" t="s">
        <v>673</v>
      </c>
      <c r="M22" s="685" t="s">
        <v>674</v>
      </c>
      <c r="N22" s="685" t="s">
        <v>675</v>
      </c>
      <c r="O22" s="685" t="s">
        <v>676</v>
      </c>
      <c r="P22" s="685" t="s">
        <v>677</v>
      </c>
      <c r="Q22" s="686" t="s">
        <v>37</v>
      </c>
      <c r="AK22" s="116"/>
    </row>
    <row r="23" spans="1:79" ht="14.5" thickBot="1">
      <c r="A23" s="173" t="s">
        <v>678</v>
      </c>
      <c r="B23" s="174">
        <f>SUM(Q15,V15,AB15,AR15,C15,BC15,BJ15,BQ15,BV15)</f>
        <v>1680187728</v>
      </c>
      <c r="C23" s="174">
        <f>SUM(R15,W15,AC15,AS15,BD15,D15,BR15, BK15,BW15)</f>
        <v>220336990</v>
      </c>
      <c r="D23" s="174">
        <f>SUM(S15,AD15,E15,AT15,BE15,BS15)</f>
        <v>25943949</v>
      </c>
      <c r="E23" s="174">
        <f>SUM(T15,AE15,F15,BF15,X15,AU15,BL15,BT15,BX15)</f>
        <v>196067912</v>
      </c>
      <c r="F23" s="174">
        <f>SUM(AF15,AV15,G15,BG15,BM15)</f>
        <v>91822186</v>
      </c>
      <c r="G23" s="174">
        <f>SUM(AG15,Y15,H15,AW15, BH15,BN15)</f>
        <v>213108956</v>
      </c>
      <c r="H23" s="174">
        <f>SUM(I15,AH15,AX15)</f>
        <v>379101065</v>
      </c>
      <c r="I23" s="174">
        <f>SUM(AI15,J15)</f>
        <v>50382446</v>
      </c>
      <c r="J23" s="174">
        <f>SUM(K15,AJ15)</f>
        <v>186934429</v>
      </c>
      <c r="K23" s="174">
        <f>SUM(AK15)</f>
        <v>4120</v>
      </c>
      <c r="L23" s="174">
        <f>SUM(AL15)</f>
        <v>498</v>
      </c>
      <c r="M23" s="174">
        <f>SUM(L15,Z15,AM15,AY15)</f>
        <v>212583</v>
      </c>
      <c r="N23" s="174">
        <f>SUM(M15,AN15,AZ15)</f>
        <v>3231469</v>
      </c>
      <c r="O23" s="174">
        <f>SUM(N15,AO15,BA15)</f>
        <v>1524310</v>
      </c>
      <c r="P23" s="174">
        <f>SUM(O15,AP15)</f>
        <v>658471</v>
      </c>
      <c r="Q23" s="394">
        <f>SUM(B23:P23)</f>
        <v>3049517112</v>
      </c>
      <c r="AK23" s="116"/>
    </row>
    <row r="24" spans="1:79" ht="26.5" thickBot="1">
      <c r="A24" s="822" t="s">
        <v>679</v>
      </c>
      <c r="B24" s="174">
        <v>4418</v>
      </c>
      <c r="C24" s="174">
        <v>13052</v>
      </c>
      <c r="D24" s="174">
        <v>35983</v>
      </c>
      <c r="E24" s="174">
        <v>98725</v>
      </c>
      <c r="F24" s="174">
        <v>238499</v>
      </c>
      <c r="G24" s="174">
        <v>266720</v>
      </c>
      <c r="H24" s="174">
        <v>853831</v>
      </c>
      <c r="I24" s="174">
        <v>259704</v>
      </c>
      <c r="J24" s="174">
        <v>3814991</v>
      </c>
      <c r="K24" s="174">
        <v>25</v>
      </c>
      <c r="L24" s="174">
        <v>10</v>
      </c>
      <c r="M24" s="174">
        <v>388</v>
      </c>
      <c r="N24" s="174">
        <v>12673</v>
      </c>
      <c r="O24" s="174">
        <v>4691</v>
      </c>
      <c r="P24" s="174">
        <v>17799</v>
      </c>
      <c r="Q24" s="394" t="s">
        <v>93</v>
      </c>
      <c r="AK24" s="116"/>
    </row>
    <row r="25" spans="1:79" ht="14.5" thickBot="1">
      <c r="A25" s="173" t="s">
        <v>586</v>
      </c>
      <c r="B25" s="175">
        <f>B23/$Q$23</f>
        <v>0.55096845378843051</v>
      </c>
      <c r="C25" s="175">
        <f>C23/$Q$23</f>
        <v>7.2253075456754481E-2</v>
      </c>
      <c r="D25" s="175">
        <f t="shared" ref="D25:P25" si="19">D23/$Q$23</f>
        <v>8.5075597372152086E-3</v>
      </c>
      <c r="E25" s="175">
        <f t="shared" si="19"/>
        <v>6.4294740707787179E-2</v>
      </c>
      <c r="F25" s="175">
        <f t="shared" si="19"/>
        <v>3.0110401951402462E-2</v>
      </c>
      <c r="G25" s="175">
        <f t="shared" si="19"/>
        <v>6.9882852980691842E-2</v>
      </c>
      <c r="H25" s="175">
        <f t="shared" si="19"/>
        <v>0.12431511320537229</v>
      </c>
      <c r="I25" s="175">
        <f t="shared" si="19"/>
        <v>1.652145049514318E-2</v>
      </c>
      <c r="J25" s="175">
        <f t="shared" si="19"/>
        <v>6.1299681928133412E-2</v>
      </c>
      <c r="K25" s="175">
        <f t="shared" si="19"/>
        <v>1.3510335730819799E-6</v>
      </c>
      <c r="L25" s="175">
        <f t="shared" si="19"/>
        <v>1.6330454354243347E-7</v>
      </c>
      <c r="M25" s="175">
        <f t="shared" si="19"/>
        <v>6.9710381084098666E-5</v>
      </c>
      <c r="N25" s="175">
        <f t="shared" si="19"/>
        <v>1.0596658032460322E-3</v>
      </c>
      <c r="O25" s="175">
        <f t="shared" si="19"/>
        <v>4.9985290917101762E-4</v>
      </c>
      <c r="P25" s="175">
        <f t="shared" si="19"/>
        <v>2.159263174516661E-4</v>
      </c>
      <c r="Q25" s="395">
        <f>SUM(B25:P25)</f>
        <v>1</v>
      </c>
      <c r="AK25" s="116"/>
    </row>
    <row r="26" spans="1:79">
      <c r="A26" s="116"/>
      <c r="B26" s="116"/>
      <c r="C26" s="116"/>
      <c r="D26" s="116"/>
      <c r="E26" s="116"/>
      <c r="F26" s="145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</row>
    <row r="27" spans="1:79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</row>
    <row r="28" spans="1:79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</row>
    <row r="29" spans="1:79">
      <c r="A29" s="116" t="s">
        <v>680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</row>
    <row r="30" spans="1:79">
      <c r="A30" s="116" t="s">
        <v>681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</row>
    <row r="31" spans="1:79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D31" s="116"/>
      <c r="AE31" s="116"/>
      <c r="AF31" s="116"/>
      <c r="AG31" s="116"/>
      <c r="AH31" s="116"/>
      <c r="AI31" s="116"/>
      <c r="AJ31" s="116"/>
      <c r="AK31" s="116"/>
    </row>
    <row r="32" spans="1:79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</row>
    <row r="34" spans="1:1">
      <c r="A34" s="116"/>
    </row>
    <row r="35" spans="1:1">
      <c r="A35" s="116"/>
    </row>
    <row r="36" spans="1:1">
      <c r="A36" s="116"/>
    </row>
  </sheetData>
  <mergeCells count="12">
    <mergeCell ref="A19:B19"/>
    <mergeCell ref="A20:B20"/>
    <mergeCell ref="C1:P1"/>
    <mergeCell ref="BQ1:BZ1"/>
    <mergeCell ref="A17:B17"/>
    <mergeCell ref="A18:B18"/>
    <mergeCell ref="A1:A2"/>
    <mergeCell ref="B1:B2"/>
    <mergeCell ref="Q1:AB1"/>
    <mergeCell ref="AC1:AP1"/>
    <mergeCell ref="AR1:BD1"/>
    <mergeCell ref="BE1:BP1"/>
  </mergeCells>
  <pageMargins left="0.7" right="0.7" top="0.75" bottom="0.75" header="0.3" footer="0.3"/>
  <pageSetup paperSize="3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EAB73-1E0E-4276-8E8F-1A788C05119F}">
  <sheetPr>
    <tabColor rgb="FF4298B5"/>
  </sheetPr>
  <dimension ref="A1:L30"/>
  <sheetViews>
    <sheetView workbookViewId="0">
      <selection sqref="A1:A2"/>
    </sheetView>
  </sheetViews>
  <sheetFormatPr defaultRowHeight="14"/>
  <cols>
    <col min="2" max="2" width="10.58203125" customWidth="1"/>
    <col min="3" max="3" width="16" customWidth="1"/>
    <col min="4" max="4" width="18" customWidth="1"/>
    <col min="5" max="5" width="11.83203125" customWidth="1"/>
    <col min="6" max="7" width="14.25" customWidth="1"/>
    <col min="8" max="10" width="14" customWidth="1"/>
    <col min="11" max="11" width="12.33203125" customWidth="1"/>
  </cols>
  <sheetData>
    <row r="1" spans="1:12" ht="14.5" thickBot="1">
      <c r="A1" s="223" t="s">
        <v>682</v>
      </c>
      <c r="B1" s="223"/>
      <c r="C1" s="224"/>
      <c r="D1" s="224"/>
      <c r="E1" s="224"/>
      <c r="F1" s="224"/>
      <c r="G1" s="225"/>
    </row>
    <row r="2" spans="1:12" ht="14.5" thickBot="1">
      <c r="A2" s="911" t="s">
        <v>127</v>
      </c>
      <c r="B2" s="912"/>
      <c r="C2" s="226" t="s">
        <v>683</v>
      </c>
      <c r="D2" s="226" t="s">
        <v>684</v>
      </c>
      <c r="E2" s="224"/>
      <c r="F2" s="224"/>
      <c r="G2" s="225"/>
    </row>
    <row r="3" spans="1:12">
      <c r="A3" s="913" t="s">
        <v>670</v>
      </c>
      <c r="B3" s="914"/>
      <c r="C3" s="757">
        <f>'W-Sales By Meter-TY'!CA15/'W-Sales By Meter-TY'!B15</f>
        <v>8354841.402739726</v>
      </c>
      <c r="D3" s="758">
        <f>C3/(24*60)</f>
        <v>5801.9731963470322</v>
      </c>
      <c r="E3" s="224"/>
      <c r="F3" s="224"/>
      <c r="G3" s="225"/>
    </row>
    <row r="4" spans="1:12" ht="14.5" thickBot="1">
      <c r="A4" s="909" t="s">
        <v>668</v>
      </c>
      <c r="B4" s="915"/>
      <c r="C4" s="759">
        <f>'W-Sales By Meter-TY'!CA9/'W-Sales By Meter-TY'!B9</f>
        <v>9457790.6451612897</v>
      </c>
      <c r="D4" s="760">
        <f>C4/(24*60)</f>
        <v>6567.910170250896</v>
      </c>
      <c r="E4" s="224"/>
      <c r="F4" s="224"/>
      <c r="G4" s="225"/>
    </row>
    <row r="5" spans="1:12">
      <c r="A5" s="224"/>
      <c r="B5" s="224"/>
      <c r="C5" s="228"/>
      <c r="D5" s="229"/>
      <c r="E5" s="224"/>
      <c r="F5" s="224"/>
      <c r="G5" s="225"/>
    </row>
    <row r="6" spans="1:12" ht="14.5" thickBot="1">
      <c r="A6" s="224"/>
      <c r="B6" s="224"/>
      <c r="C6" s="224"/>
      <c r="D6" s="224"/>
      <c r="E6" s="224"/>
      <c r="F6" s="225"/>
      <c r="G6" s="225"/>
    </row>
    <row r="7" spans="1:12" ht="54.75" customHeight="1" thickBot="1">
      <c r="A7" s="916" t="s">
        <v>685</v>
      </c>
      <c r="B7" s="917"/>
      <c r="C7" s="230" t="s">
        <v>686</v>
      </c>
      <c r="D7" s="231" t="s">
        <v>687</v>
      </c>
      <c r="E7" s="231" t="s">
        <v>688</v>
      </c>
      <c r="F7" s="231" t="s">
        <v>689</v>
      </c>
      <c r="G7" s="225"/>
    </row>
    <row r="8" spans="1:12">
      <c r="A8" s="913" t="s">
        <v>690</v>
      </c>
      <c r="B8" s="914"/>
      <c r="C8" s="227" t="s">
        <v>691</v>
      </c>
      <c r="D8" s="275">
        <f>D3/D3</f>
        <v>1</v>
      </c>
      <c r="E8" s="232">
        <v>0</v>
      </c>
      <c r="F8" s="233">
        <v>0</v>
      </c>
      <c r="G8" s="225"/>
    </row>
    <row r="9" spans="1:12">
      <c r="A9" s="918" t="s">
        <v>692</v>
      </c>
      <c r="B9" s="919"/>
      <c r="C9" s="234" t="s">
        <v>693</v>
      </c>
      <c r="D9" s="276">
        <f>D3/D4</f>
        <v>0.88338193518949959</v>
      </c>
      <c r="E9" s="276">
        <f>1-D9</f>
        <v>0.11661806481050041</v>
      </c>
      <c r="F9" s="235">
        <v>0</v>
      </c>
      <c r="G9" s="225"/>
    </row>
    <row r="10" spans="1:12" ht="14.5" thickBot="1">
      <c r="A10" s="909" t="s">
        <v>689</v>
      </c>
      <c r="B10" s="910"/>
      <c r="C10" s="244" t="s">
        <v>694</v>
      </c>
      <c r="D10" s="236">
        <v>0</v>
      </c>
      <c r="E10" s="236">
        <v>0</v>
      </c>
      <c r="F10" s="237">
        <v>1</v>
      </c>
      <c r="G10" s="225"/>
    </row>
    <row r="11" spans="1:12">
      <c r="A11" s="229"/>
      <c r="B11" s="229"/>
      <c r="C11" s="229"/>
      <c r="D11" s="238"/>
      <c r="E11" s="238"/>
      <c r="F11" s="239"/>
      <c r="G11" s="225"/>
    </row>
    <row r="12" spans="1:12" ht="14.5" thickBot="1">
      <c r="A12" s="116"/>
      <c r="B12" s="116"/>
      <c r="C12" s="225"/>
      <c r="D12" s="225"/>
      <c r="E12" s="225"/>
      <c r="F12" s="225"/>
      <c r="G12" s="225"/>
    </row>
    <row r="13" spans="1:12" ht="29.25" customHeight="1">
      <c r="A13" s="922" t="s">
        <v>695</v>
      </c>
      <c r="B13" s="923"/>
      <c r="C13" s="926" t="s">
        <v>696</v>
      </c>
      <c r="D13" s="928" t="s">
        <v>697</v>
      </c>
      <c r="E13" s="932" t="s">
        <v>597</v>
      </c>
      <c r="F13" s="928" t="s">
        <v>698</v>
      </c>
      <c r="G13" s="926" t="s">
        <v>596</v>
      </c>
      <c r="H13" s="928" t="s">
        <v>699</v>
      </c>
      <c r="I13" s="928" t="s">
        <v>700</v>
      </c>
      <c r="J13" s="928" t="s">
        <v>701</v>
      </c>
      <c r="K13" s="928" t="s">
        <v>702</v>
      </c>
      <c r="L13" s="930" t="s">
        <v>37</v>
      </c>
    </row>
    <row r="14" spans="1:12" ht="33.75" customHeight="1" thickBot="1">
      <c r="A14" s="924"/>
      <c r="B14" s="925"/>
      <c r="C14" s="927"/>
      <c r="D14" s="929"/>
      <c r="E14" s="933"/>
      <c r="F14" s="929"/>
      <c r="G14" s="927"/>
      <c r="H14" s="929"/>
      <c r="I14" s="929"/>
      <c r="J14" s="929"/>
      <c r="K14" s="936"/>
      <c r="L14" s="931"/>
    </row>
    <row r="15" spans="1:12">
      <c r="A15" s="934" t="s">
        <v>687</v>
      </c>
      <c r="B15" s="935"/>
      <c r="C15" s="251">
        <f>'W-Sales By Meter-TY'!U16</f>
        <v>2.6863032405243313E-2</v>
      </c>
      <c r="D15" s="251">
        <f>'W-Sales By Meter-TY'!AA16</f>
        <v>2.0490270329724257E-3</v>
      </c>
      <c r="E15" s="251">
        <f>'W-Sales By Meter-TY'!AQ16</f>
        <v>9.365596568588791E-2</v>
      </c>
      <c r="F15" s="251">
        <f>'W-Sales By Meter-TY'!BB16</f>
        <v>1.7668293379296176E-2</v>
      </c>
      <c r="G15" s="251">
        <f>'W-Sales By Meter-TY'!P16</f>
        <v>0.26381031306047642</v>
      </c>
      <c r="H15" s="252">
        <f>'W-Sales By Meter-TY'!BI16</f>
        <v>3.9263581938542666E-2</v>
      </c>
      <c r="I15" s="252">
        <f>'W-Sales By Meter-TY'!BO16</f>
        <v>8.9655925826462451E-3</v>
      </c>
      <c r="J15" s="252">
        <f>'W-Sales By Meter-TY'!BY16</f>
        <v>3.2682080913012432E-2</v>
      </c>
      <c r="K15" s="253">
        <f>'W-Sales By Meter-TY'!BU16</f>
        <v>0.51504211300192237</v>
      </c>
      <c r="L15" s="273">
        <f>SUM(C15:K15)</f>
        <v>1</v>
      </c>
    </row>
    <row r="16" spans="1:12">
      <c r="A16" s="934" t="s">
        <v>668</v>
      </c>
      <c r="B16" s="935"/>
      <c r="C16" s="674">
        <f>'W-Sales By Meter-TY'!U19</f>
        <v>2.7717868683228467E-2</v>
      </c>
      <c r="D16" s="674">
        <f>'W-Sales By Meter-TY'!AA19</f>
        <v>2.5364266503923307E-3</v>
      </c>
      <c r="E16" s="680">
        <f>'W-Sales By Meter-TY'!AQ19</f>
        <v>0.10848336771303951</v>
      </c>
      <c r="F16" s="680">
        <f>'W-Sales By Meter-TY'!BB19</f>
        <v>2.0092279851787295E-2</v>
      </c>
      <c r="G16" s="680">
        <f>'W-Sales By Meter-TY'!P19</f>
        <v>0.23976706051286589</v>
      </c>
      <c r="H16" s="681">
        <f>'W-Sales By Meter-TY'!BI19</f>
        <v>4.5591913423084093E-2</v>
      </c>
      <c r="I16" s="680">
        <f>'W-Sales By Meter-TY'!BO19</f>
        <v>1.8827479486940343E-2</v>
      </c>
      <c r="J16" s="680">
        <f>'W-Sales By Meter-TY'!BY19</f>
        <v>4.8669785670713409E-2</v>
      </c>
      <c r="K16" s="680">
        <f>'W-Sales By Meter-TY'!BU19</f>
        <v>0.48831381800794865</v>
      </c>
      <c r="L16" s="273">
        <f>SUM(C16:K16)</f>
        <v>1</v>
      </c>
    </row>
    <row r="17" spans="1:12" ht="14.5" thickBot="1">
      <c r="A17" s="920" t="s">
        <v>703</v>
      </c>
      <c r="B17" s="921"/>
      <c r="C17" s="748">
        <v>0</v>
      </c>
      <c r="D17" s="748">
        <v>0</v>
      </c>
      <c r="E17" s="748">
        <v>0</v>
      </c>
      <c r="F17" s="748">
        <v>0</v>
      </c>
      <c r="G17" s="748">
        <v>0</v>
      </c>
      <c r="H17" s="748">
        <v>0</v>
      </c>
      <c r="I17" s="748">
        <v>0</v>
      </c>
      <c r="J17" s="748">
        <v>0</v>
      </c>
      <c r="K17" s="748">
        <v>0</v>
      </c>
      <c r="L17" s="274">
        <f>SUM(C17:K17)</f>
        <v>0</v>
      </c>
    </row>
    <row r="18" spans="1:12">
      <c r="A18" s="370"/>
      <c r="B18" s="370"/>
      <c r="C18" s="371"/>
      <c r="D18" s="372"/>
      <c r="E18" s="94"/>
      <c r="F18" s="225"/>
      <c r="L18" s="373"/>
    </row>
    <row r="19" spans="1:12" ht="14.5" thickBot="1">
      <c r="A19" s="245"/>
      <c r="D19" s="246"/>
      <c r="G19" s="248"/>
    </row>
    <row r="20" spans="1:12" ht="27.75" customHeight="1">
      <c r="A20" s="922" t="s">
        <v>695</v>
      </c>
      <c r="B20" s="923"/>
      <c r="C20" s="928" t="s">
        <v>596</v>
      </c>
      <c r="D20" s="926" t="s">
        <v>597</v>
      </c>
      <c r="E20" s="928" t="s">
        <v>598</v>
      </c>
      <c r="F20" s="930" t="s">
        <v>37</v>
      </c>
    </row>
    <row r="21" spans="1:12" ht="27.75" customHeight="1" thickBot="1">
      <c r="A21" s="924"/>
      <c r="B21" s="925"/>
      <c r="C21" s="929"/>
      <c r="D21" s="927"/>
      <c r="E21" s="929"/>
      <c r="F21" s="931"/>
    </row>
    <row r="22" spans="1:12">
      <c r="A22" s="934" t="s">
        <v>687</v>
      </c>
      <c r="B22" s="935"/>
      <c r="C22" s="251">
        <f>'W-Sales By Meter-TY'!P16</f>
        <v>0.26381031306047642</v>
      </c>
      <c r="D22" s="251">
        <f>'W-Sales By Meter-TY'!BP16</f>
        <v>0.18846549302458876</v>
      </c>
      <c r="E22" s="251">
        <f>'W-Sales By Meter-TY'!BZ16</f>
        <v>0.54772419391493476</v>
      </c>
      <c r="F22" s="273">
        <f>SUM(C22:E22)</f>
        <v>1</v>
      </c>
    </row>
    <row r="23" spans="1:12">
      <c r="A23" s="934" t="s">
        <v>668</v>
      </c>
      <c r="B23" s="935"/>
      <c r="C23" s="674">
        <f>'W-Sales By Meter-TY'!P19</f>
        <v>0.23976706051286589</v>
      </c>
      <c r="D23" s="666">
        <f>'W-Sales By Meter-TY'!BP19</f>
        <v>0.22324933580847203</v>
      </c>
      <c r="E23" s="666">
        <f>'W-Sales By Meter-TY'!BZ19</f>
        <v>0.53698360367866205</v>
      </c>
      <c r="F23" s="273">
        <f>SUM(C23:E23)</f>
        <v>1</v>
      </c>
    </row>
    <row r="24" spans="1:12" ht="14.5" thickBot="1">
      <c r="A24" s="920" t="s">
        <v>703</v>
      </c>
      <c r="B24" s="921"/>
      <c r="C24" s="874">
        <f>C22</f>
        <v>0.26381031306047642</v>
      </c>
      <c r="D24" s="829">
        <f>D22</f>
        <v>0.18846549302458876</v>
      </c>
      <c r="E24" s="829">
        <f>E22</f>
        <v>0.54772419391493476</v>
      </c>
      <c r="F24" s="852">
        <f>SUM(C24:E24)</f>
        <v>1</v>
      </c>
    </row>
    <row r="25" spans="1:12">
      <c r="A25" s="245"/>
    </row>
    <row r="26" spans="1:12">
      <c r="A26" s="247"/>
    </row>
    <row r="27" spans="1:12">
      <c r="A27" s="116" t="s">
        <v>123</v>
      </c>
      <c r="B27" s="116"/>
      <c r="C27" s="116"/>
      <c r="D27" s="116"/>
    </row>
    <row r="28" spans="1:12">
      <c r="A28" s="116" t="s">
        <v>704</v>
      </c>
      <c r="B28" s="116"/>
      <c r="C28" s="116"/>
      <c r="D28" s="116"/>
    </row>
    <row r="29" spans="1:12">
      <c r="A29" s="116"/>
      <c r="B29" s="116"/>
      <c r="C29" s="116"/>
      <c r="D29" s="116"/>
    </row>
    <row r="30" spans="1:12">
      <c r="A30" s="116"/>
      <c r="B30" s="116"/>
      <c r="C30" s="116"/>
      <c r="D30" s="116"/>
    </row>
  </sheetData>
  <mergeCells count="29">
    <mergeCell ref="A22:B22"/>
    <mergeCell ref="A23:B23"/>
    <mergeCell ref="A24:B24"/>
    <mergeCell ref="F20:F21"/>
    <mergeCell ref="A20:B21"/>
    <mergeCell ref="C20:C21"/>
    <mergeCell ref="D20:D21"/>
    <mergeCell ref="E20:E21"/>
    <mergeCell ref="A17:B17"/>
    <mergeCell ref="A13:B14"/>
    <mergeCell ref="C13:C14"/>
    <mergeCell ref="D13:D14"/>
    <mergeCell ref="L13:L14"/>
    <mergeCell ref="E13:E14"/>
    <mergeCell ref="F13:F14"/>
    <mergeCell ref="G13:G14"/>
    <mergeCell ref="H13:H14"/>
    <mergeCell ref="A15:B15"/>
    <mergeCell ref="A16:B16"/>
    <mergeCell ref="K13:K14"/>
    <mergeCell ref="I13:I14"/>
    <mergeCell ref="J13:J14"/>
    <mergeCell ref="A10:B10"/>
    <mergeCell ref="A2:B2"/>
    <mergeCell ref="A3:B3"/>
    <mergeCell ref="A4:B4"/>
    <mergeCell ref="A7:B7"/>
    <mergeCell ref="A8:B8"/>
    <mergeCell ref="A9:B9"/>
  </mergeCells>
  <pageMargins left="0.7" right="0.7" top="0.75" bottom="0.75" header="0.3" footer="0.3"/>
  <pageSetup paperSize="3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5CAFA-AB4A-4EBC-94E6-DD232707D090}">
  <sheetPr>
    <tabColor rgb="FF4298B5"/>
  </sheetPr>
  <dimension ref="A1:H251"/>
  <sheetViews>
    <sheetView topLeftCell="A213" workbookViewId="0">
      <selection sqref="A1:A2"/>
    </sheetView>
  </sheetViews>
  <sheetFormatPr defaultRowHeight="14"/>
  <cols>
    <col min="1" max="1" width="11.5" customWidth="1"/>
    <col min="2" max="2" width="51.83203125" customWidth="1"/>
    <col min="3" max="3" width="12.75" customWidth="1"/>
    <col min="5" max="5" width="12.75" customWidth="1"/>
    <col min="6" max="6" width="14.25" customWidth="1"/>
    <col min="7" max="7" width="15.75" customWidth="1"/>
    <col min="8" max="8" width="28.75" style="22" customWidth="1"/>
  </cols>
  <sheetData>
    <row r="1" spans="1:8" ht="15.75" customHeight="1">
      <c r="A1" s="937" t="s">
        <v>705</v>
      </c>
      <c r="B1" s="938"/>
      <c r="C1" s="947" t="s">
        <v>127</v>
      </c>
      <c r="D1" s="943" t="s">
        <v>686</v>
      </c>
      <c r="E1" s="941" t="s">
        <v>687</v>
      </c>
      <c r="F1" s="941" t="s">
        <v>668</v>
      </c>
      <c r="G1" s="941" t="s">
        <v>689</v>
      </c>
      <c r="H1" s="941" t="s">
        <v>123</v>
      </c>
    </row>
    <row r="2" spans="1:8" ht="14.5" thickBot="1">
      <c r="A2" s="939"/>
      <c r="B2" s="940"/>
      <c r="C2" s="948"/>
      <c r="D2" s="944"/>
      <c r="E2" s="942"/>
      <c r="F2" s="942"/>
      <c r="G2" s="942"/>
      <c r="H2" s="942"/>
    </row>
    <row r="3" spans="1:8" ht="14.5" thickBot="1">
      <c r="A3" s="763" t="s">
        <v>50</v>
      </c>
      <c r="B3" s="146" t="s">
        <v>5</v>
      </c>
      <c r="C3" s="949"/>
      <c r="D3" s="945"/>
      <c r="E3" s="946"/>
      <c r="F3" s="946"/>
      <c r="G3" s="946"/>
      <c r="H3" s="942"/>
    </row>
    <row r="4" spans="1:8">
      <c r="A4" s="854" t="s">
        <v>7</v>
      </c>
      <c r="B4" s="260" t="s">
        <v>129</v>
      </c>
      <c r="C4" s="318"/>
      <c r="D4" s="249"/>
      <c r="E4" s="250"/>
      <c r="F4" s="250"/>
      <c r="G4" s="250"/>
      <c r="H4" s="322"/>
    </row>
    <row r="5" spans="1:8">
      <c r="A5" s="154" t="s">
        <v>131</v>
      </c>
      <c r="B5" s="261" t="str">
        <f>Expenses!C5</f>
        <v>Wages- Source (Oper)</v>
      </c>
      <c r="C5" s="69">
        <f>Expenses!E5</f>
        <v>0</v>
      </c>
      <c r="D5" s="300" t="s">
        <v>691</v>
      </c>
      <c r="E5" s="301">
        <f>VLOOKUP(D5,'W-Alloc Met-TY'!$C$8:$D$10,2,FALSE)*C5</f>
        <v>0</v>
      </c>
      <c r="F5" s="301">
        <f>VLOOKUP(D5,'W-Alloc Met-TY'!$C$8:$E$10,3,FALSE)*C5</f>
        <v>0</v>
      </c>
      <c r="G5" s="301">
        <f>VLOOKUP(D5,'W-Alloc Met-TY'!$C$8:$F$10,4,FALSE)*C5</f>
        <v>0</v>
      </c>
      <c r="H5" s="17"/>
    </row>
    <row r="6" spans="1:8">
      <c r="A6" s="154" t="s">
        <v>135</v>
      </c>
      <c r="B6" s="261" t="str">
        <f>Expenses!C6</f>
        <v>Wages- Source (Maint)</v>
      </c>
      <c r="C6" s="69">
        <f>Expenses!E6</f>
        <v>0</v>
      </c>
      <c r="D6" s="300" t="s">
        <v>691</v>
      </c>
      <c r="E6" s="301">
        <f>VLOOKUP(D6,'W-Alloc Met-TY'!$C$8:$D$10,2,FALSE)*C6</f>
        <v>0</v>
      </c>
      <c r="F6" s="301">
        <f>VLOOKUP(D6,'W-Alloc Met-TY'!$C$8:$E$10,3,FALSE)*C6</f>
        <v>0</v>
      </c>
      <c r="G6" s="301">
        <f>VLOOKUP(D6,'W-Alloc Met-TY'!$C$8:$F$10,4,FALSE)*C6</f>
        <v>0</v>
      </c>
      <c r="H6" s="17"/>
    </row>
    <row r="7" spans="1:8">
      <c r="A7" s="154" t="s">
        <v>138</v>
      </c>
      <c r="B7" s="261" t="str">
        <f>Expenses!C7</f>
        <v>Employee Overhead- Source (Oper)</v>
      </c>
      <c r="C7" s="69">
        <f>Expenses!E7</f>
        <v>0</v>
      </c>
      <c r="D7" s="300" t="s">
        <v>691</v>
      </c>
      <c r="E7" s="301">
        <f>VLOOKUP(D7,'W-Alloc Met-TY'!$C$8:$D$10,2,FALSE)*C7</f>
        <v>0</v>
      </c>
      <c r="F7" s="301">
        <f>VLOOKUP(D7,'W-Alloc Met-TY'!$C$8:$E$10,3,FALSE)*C7</f>
        <v>0</v>
      </c>
      <c r="G7" s="301">
        <f>VLOOKUP(D7,'W-Alloc Met-TY'!$C$8:$F$10,4,FALSE)*C7</f>
        <v>0</v>
      </c>
      <c r="H7" s="17"/>
    </row>
    <row r="8" spans="1:8">
      <c r="A8" s="154" t="s">
        <v>141</v>
      </c>
      <c r="B8" s="261" t="str">
        <f>Expenses!C8</f>
        <v>Purchased Power- Source</v>
      </c>
      <c r="C8" s="69">
        <f>Expenses!E8</f>
        <v>535575</v>
      </c>
      <c r="D8" s="300" t="s">
        <v>693</v>
      </c>
      <c r="E8" s="301">
        <f>VLOOKUP(D8,'W-Alloc Met-TY'!$C$8:$D$10,2,FALSE)*C8</f>
        <v>473117.27993911627</v>
      </c>
      <c r="F8" s="301">
        <f>VLOOKUP(D8,'W-Alloc Met-TY'!$C$8:$E$10,3,FALSE)*C8</f>
        <v>62457.720060883759</v>
      </c>
      <c r="G8" s="301">
        <f>VLOOKUP(D8,'W-Alloc Met-TY'!$C$8:$F$10,4,FALSE)*C8</f>
        <v>0</v>
      </c>
      <c r="H8" s="583"/>
    </row>
    <row r="9" spans="1:8">
      <c r="A9" s="154" t="s">
        <v>143</v>
      </c>
      <c r="B9" s="261" t="str">
        <f>Expenses!C9</f>
        <v>Purchased Power- Source (ENERNOC)</v>
      </c>
      <c r="C9" s="69">
        <f>Expenses!E9</f>
        <v>-7959</v>
      </c>
      <c r="D9" s="300" t="s">
        <v>693</v>
      </c>
      <c r="E9" s="301">
        <f>VLOOKUP(D9,'W-Alloc Met-TY'!$C$8:$D$10,2,FALSE)*C9</f>
        <v>-7030.8368221732271</v>
      </c>
      <c r="F9" s="301">
        <f>VLOOKUP(D9,'W-Alloc Met-TY'!$C$8:$E$10,3,FALSE)*C9</f>
        <v>-928.16317782677277</v>
      </c>
      <c r="G9" s="301">
        <f>VLOOKUP(D9,'W-Alloc Met-TY'!$C$8:$F$10,4,FALSE)*C9</f>
        <v>0</v>
      </c>
      <c r="H9" s="583"/>
    </row>
    <row r="10" spans="1:8">
      <c r="A10" s="154" t="s">
        <v>146</v>
      </c>
      <c r="B10" s="261" t="str">
        <f>Expenses!C10</f>
        <v>Materials &amp; Supplies- Source (Oper)</v>
      </c>
      <c r="C10" s="69">
        <f>Expenses!E10</f>
        <v>0</v>
      </c>
      <c r="D10" s="300" t="s">
        <v>691</v>
      </c>
      <c r="E10" s="301">
        <f>VLOOKUP(D10,'W-Alloc Met-TY'!$C$8:$D$10,2,FALSE)*C10</f>
        <v>0</v>
      </c>
      <c r="F10" s="301">
        <f>VLOOKUP(D10,'W-Alloc Met-TY'!$C$8:$E$10,3,FALSE)*C10</f>
        <v>0</v>
      </c>
      <c r="G10" s="301">
        <f>VLOOKUP(D10,'W-Alloc Met-TY'!$C$8:$F$10,4,FALSE)*C10</f>
        <v>0</v>
      </c>
      <c r="H10" s="583"/>
    </row>
    <row r="11" spans="1:8">
      <c r="A11" s="154" t="s">
        <v>149</v>
      </c>
      <c r="B11" s="261" t="str">
        <f>Expenses!C11</f>
        <v>Materials &amp; Supplies- Source (Maint)</v>
      </c>
      <c r="C11" s="69">
        <f>Expenses!E11</f>
        <v>0</v>
      </c>
      <c r="D11" s="300" t="s">
        <v>691</v>
      </c>
      <c r="E11" s="301">
        <f>VLOOKUP(D11,'W-Alloc Met-TY'!$C$8:$D$10,2,FALSE)*C11</f>
        <v>0</v>
      </c>
      <c r="F11" s="301">
        <f>VLOOKUP(D11,'W-Alloc Met-TY'!$C$8:$E$10,3,FALSE)*C11</f>
        <v>0</v>
      </c>
      <c r="G11" s="301">
        <f>VLOOKUP(D11,'W-Alloc Met-TY'!$C$8:$F$10,4,FALSE)*C11</f>
        <v>0</v>
      </c>
      <c r="H11" s="583"/>
    </row>
    <row r="12" spans="1:8">
      <c r="A12" s="154" t="s">
        <v>152</v>
      </c>
      <c r="B12" s="261" t="str">
        <f>Expenses!C12</f>
        <v>Contract Engineering- Source (Oper)</v>
      </c>
      <c r="C12" s="69">
        <f>Expenses!E12</f>
        <v>0</v>
      </c>
      <c r="D12" s="300" t="s">
        <v>691</v>
      </c>
      <c r="E12" s="301">
        <f>VLOOKUP(D12,'W-Alloc Met-TY'!$C$8:$D$10,2,FALSE)*C12</f>
        <v>0</v>
      </c>
      <c r="F12" s="301">
        <f>VLOOKUP(D12,'W-Alloc Met-TY'!$C$8:$E$10,3,FALSE)*C12</f>
        <v>0</v>
      </c>
      <c r="G12" s="301">
        <f>VLOOKUP(D12,'W-Alloc Met-TY'!$C$8:$F$10,4,FALSE)*C12</f>
        <v>0</v>
      </c>
      <c r="H12" s="583"/>
    </row>
    <row r="13" spans="1:8">
      <c r="A13" s="154" t="s">
        <v>155</v>
      </c>
      <c r="B13" s="261" t="str">
        <f>Expenses!C13</f>
        <v>Contract Accounting- Source (Oper)</v>
      </c>
      <c r="C13" s="69">
        <f>Expenses!E13</f>
        <v>1817</v>
      </c>
      <c r="D13" s="300" t="s">
        <v>691</v>
      </c>
      <c r="E13" s="301">
        <f>VLOOKUP(D13,'W-Alloc Met-TY'!$C$8:$D$10,2,FALSE)*C13</f>
        <v>1817</v>
      </c>
      <c r="F13" s="301">
        <f>VLOOKUP(D13,'W-Alloc Met-TY'!$C$8:$E$10,3,FALSE)*C13</f>
        <v>0</v>
      </c>
      <c r="G13" s="301">
        <f>VLOOKUP(D13,'W-Alloc Met-TY'!$C$8:$F$10,4,FALSE)*C13</f>
        <v>0</v>
      </c>
      <c r="H13" s="583"/>
    </row>
    <row r="14" spans="1:8">
      <c r="A14" s="154" t="s">
        <v>158</v>
      </c>
      <c r="B14" s="261" t="str">
        <f>Expenses!C14</f>
        <v>Contract Accounting- Source (Maint)</v>
      </c>
      <c r="C14" s="69">
        <f>Expenses!E14</f>
        <v>1817</v>
      </c>
      <c r="D14" s="300" t="s">
        <v>691</v>
      </c>
      <c r="E14" s="301">
        <f>VLOOKUP(D14,'W-Alloc Met-TY'!$C$8:$D$10,2,FALSE)*C14</f>
        <v>1817</v>
      </c>
      <c r="F14" s="301">
        <f>VLOOKUP(D14,'W-Alloc Met-TY'!$C$8:$E$10,3,FALSE)*C14</f>
        <v>0</v>
      </c>
      <c r="G14" s="301">
        <f>VLOOKUP(D14,'W-Alloc Met-TY'!$C$8:$F$10,4,FALSE)*C14</f>
        <v>0</v>
      </c>
      <c r="H14" s="583"/>
    </row>
    <row r="15" spans="1:8">
      <c r="A15" s="154" t="s">
        <v>161</v>
      </c>
      <c r="B15" s="261" t="str">
        <f>Expenses!C15</f>
        <v>Contract Legal- Source (Oper)</v>
      </c>
      <c r="C15" s="69">
        <f>Expenses!E15</f>
        <v>0</v>
      </c>
      <c r="D15" s="300" t="s">
        <v>691</v>
      </c>
      <c r="E15" s="301">
        <f>VLOOKUP(D15,'W-Alloc Met-TY'!$C$8:$D$10,2,FALSE)*C15</f>
        <v>0</v>
      </c>
      <c r="F15" s="301">
        <f>VLOOKUP(D15,'W-Alloc Met-TY'!$C$8:$E$10,3,FALSE)*C15</f>
        <v>0</v>
      </c>
      <c r="G15" s="301">
        <f>VLOOKUP(D15,'W-Alloc Met-TY'!$C$8:$F$10,4,FALSE)*C15</f>
        <v>0</v>
      </c>
      <c r="H15" s="583"/>
    </row>
    <row r="16" spans="1:8">
      <c r="A16" s="154" t="s">
        <v>164</v>
      </c>
      <c r="B16" s="261" t="str">
        <f>Expenses!C16</f>
        <v>Contract Legal- Source (Maint)</v>
      </c>
      <c r="C16" s="69">
        <f>Expenses!E16</f>
        <v>0</v>
      </c>
      <c r="D16" s="300" t="s">
        <v>691</v>
      </c>
      <c r="E16" s="301">
        <f>VLOOKUP(D16,'W-Alloc Met-TY'!$C$8:$D$10,2,FALSE)*C16</f>
        <v>0</v>
      </c>
      <c r="F16" s="301">
        <f>VLOOKUP(D16,'W-Alloc Met-TY'!$C$8:$E$10,3,FALSE)*C16</f>
        <v>0</v>
      </c>
      <c r="G16" s="301">
        <f>VLOOKUP(D16,'W-Alloc Met-TY'!$C$8:$F$10,4,FALSE)*C16</f>
        <v>0</v>
      </c>
      <c r="H16" s="583"/>
    </row>
    <row r="17" spans="1:8">
      <c r="A17" s="154" t="s">
        <v>167</v>
      </c>
      <c r="B17" s="261" t="str">
        <f>Expenses!C17</f>
        <v>Contract Other- Source (Oper)</v>
      </c>
      <c r="C17" s="69">
        <f>Expenses!E17</f>
        <v>0</v>
      </c>
      <c r="D17" s="300" t="s">
        <v>691</v>
      </c>
      <c r="E17" s="301">
        <f>VLOOKUP(D17,'W-Alloc Met-TY'!$C$8:$D$10,2,FALSE)*C17</f>
        <v>0</v>
      </c>
      <c r="F17" s="301">
        <f>VLOOKUP(D17,'W-Alloc Met-TY'!$C$8:$E$10,3,FALSE)*C17</f>
        <v>0</v>
      </c>
      <c r="G17" s="301">
        <f>VLOOKUP(D17,'W-Alloc Met-TY'!$C$8:$F$10,4,FALSE)*C17</f>
        <v>0</v>
      </c>
      <c r="H17" s="583"/>
    </row>
    <row r="18" spans="1:8">
      <c r="A18" s="154" t="s">
        <v>170</v>
      </c>
      <c r="B18" s="261" t="str">
        <f>Expenses!C18</f>
        <v>Contract Other- Source (Alarm)</v>
      </c>
      <c r="C18" s="69">
        <f>Expenses!E18</f>
        <v>0</v>
      </c>
      <c r="D18" s="300" t="s">
        <v>691</v>
      </c>
      <c r="E18" s="301">
        <f>VLOOKUP(D18,'W-Alloc Met-TY'!$C$8:$D$10,2,FALSE)*C18</f>
        <v>0</v>
      </c>
      <c r="F18" s="301">
        <f>VLOOKUP(D18,'W-Alloc Met-TY'!$C$8:$E$10,3,FALSE)*C18</f>
        <v>0</v>
      </c>
      <c r="G18" s="301">
        <f>VLOOKUP(D18,'W-Alloc Met-TY'!$C$8:$F$10,4,FALSE)*C18</f>
        <v>0</v>
      </c>
      <c r="H18" s="583"/>
    </row>
    <row r="19" spans="1:8">
      <c r="A19" s="154" t="s">
        <v>173</v>
      </c>
      <c r="B19" s="261" t="str">
        <f>Expenses!C19</f>
        <v>Contract Other- Source (Maint)</v>
      </c>
      <c r="C19" s="69">
        <f>Expenses!E19</f>
        <v>0</v>
      </c>
      <c r="D19" s="300" t="s">
        <v>691</v>
      </c>
      <c r="E19" s="301">
        <f>VLOOKUP(D19,'W-Alloc Met-TY'!$C$8:$D$10,2,FALSE)*C19</f>
        <v>0</v>
      </c>
      <c r="F19" s="301">
        <f>VLOOKUP(D19,'W-Alloc Met-TY'!$C$8:$E$10,3,FALSE)*C19</f>
        <v>0</v>
      </c>
      <c r="G19" s="301">
        <f>VLOOKUP(D19,'W-Alloc Met-TY'!$C$8:$F$10,4,FALSE)*C19</f>
        <v>0</v>
      </c>
      <c r="H19" s="583"/>
    </row>
    <row r="20" spans="1:8">
      <c r="A20" s="154" t="s">
        <v>176</v>
      </c>
      <c r="B20" s="261" t="str">
        <f>Expenses!C20</f>
        <v>Rent &amp; Utilities- Source (Oper)</v>
      </c>
      <c r="C20" s="69">
        <f>Expenses!E20</f>
        <v>4924</v>
      </c>
      <c r="D20" s="300" t="s">
        <v>691</v>
      </c>
      <c r="E20" s="301">
        <f>VLOOKUP(D20,'W-Alloc Met-TY'!$C$8:$D$10,2,FALSE)*C20</f>
        <v>4924</v>
      </c>
      <c r="F20" s="301">
        <f>VLOOKUP(D20,'W-Alloc Met-TY'!$C$8:$E$10,3,FALSE)*C20</f>
        <v>0</v>
      </c>
      <c r="G20" s="301">
        <f>VLOOKUP(D20,'W-Alloc Met-TY'!$C$8:$F$10,4,FALSE)*C20</f>
        <v>0</v>
      </c>
      <c r="H20" s="583"/>
    </row>
    <row r="21" spans="1:8">
      <c r="A21" s="154" t="s">
        <v>179</v>
      </c>
      <c r="B21" s="261" t="str">
        <f>Expenses!C21</f>
        <v>Equipment Expense- Source (Oper)</v>
      </c>
      <c r="C21" s="69">
        <f>Expenses!E21</f>
        <v>81</v>
      </c>
      <c r="D21" s="300" t="s">
        <v>691</v>
      </c>
      <c r="E21" s="301">
        <f>VLOOKUP(D21,'W-Alloc Met-TY'!$C$8:$D$10,2,FALSE)*C21</f>
        <v>81</v>
      </c>
      <c r="F21" s="301">
        <f>VLOOKUP(D21,'W-Alloc Met-TY'!$C$8:$E$10,3,FALSE)*C21</f>
        <v>0</v>
      </c>
      <c r="G21" s="301">
        <f>VLOOKUP(D21,'W-Alloc Met-TY'!$C$8:$F$10,4,FALSE)*C21</f>
        <v>0</v>
      </c>
      <c r="H21" s="583"/>
    </row>
    <row r="22" spans="1:8">
      <c r="A22" s="154" t="s">
        <v>182</v>
      </c>
      <c r="B22" s="261" t="str">
        <f>Expenses!C22</f>
        <v>Equipment Expense- Source (Maint)</v>
      </c>
      <c r="C22" s="69">
        <f>Expenses!E22</f>
        <v>0</v>
      </c>
      <c r="D22" s="300" t="s">
        <v>691</v>
      </c>
      <c r="E22" s="301">
        <f>VLOOKUP(D22,'W-Alloc Met-TY'!$C$8:$D$10,2,FALSE)*C22</f>
        <v>0</v>
      </c>
      <c r="F22" s="301">
        <f>VLOOKUP(D22,'W-Alloc Met-TY'!$C$8:$E$10,3,FALSE)*C22</f>
        <v>0</v>
      </c>
      <c r="G22" s="301">
        <f>VLOOKUP(D22,'W-Alloc Met-TY'!$C$8:$F$10,4,FALSE)*C22</f>
        <v>0</v>
      </c>
      <c r="H22" s="583"/>
    </row>
    <row r="23" spans="1:8">
      <c r="A23" s="154" t="s">
        <v>185</v>
      </c>
      <c r="B23" s="261" t="str">
        <f>Expenses!C23</f>
        <v>Insurance G/L- Source (Oper)</v>
      </c>
      <c r="C23" s="69">
        <f>Expenses!E23</f>
        <v>11569</v>
      </c>
      <c r="D23" s="300" t="s">
        <v>691</v>
      </c>
      <c r="E23" s="301">
        <f>VLOOKUP(D23,'W-Alloc Met-TY'!$C$8:$D$10,2,FALSE)*C23</f>
        <v>11569</v>
      </c>
      <c r="F23" s="301">
        <f>VLOOKUP(D23,'W-Alloc Met-TY'!$C$8:$E$10,3,FALSE)*C23</f>
        <v>0</v>
      </c>
      <c r="G23" s="301">
        <f>VLOOKUP(D23,'W-Alloc Met-TY'!$C$8:$F$10,4,FALSE)*C23</f>
        <v>0</v>
      </c>
      <c r="H23" s="583"/>
    </row>
    <row r="24" spans="1:8">
      <c r="A24" s="154" t="s">
        <v>188</v>
      </c>
      <c r="B24" s="261" t="str">
        <f>Expenses!C24</f>
        <v>Insurance Other- Source (Oper)</v>
      </c>
      <c r="C24" s="69">
        <f>Expenses!E24</f>
        <v>0</v>
      </c>
      <c r="D24" s="300" t="s">
        <v>691</v>
      </c>
      <c r="E24" s="301">
        <f>VLOOKUP(D24,'W-Alloc Met-TY'!$C$8:$D$10,2,FALSE)*C24</f>
        <v>0</v>
      </c>
      <c r="F24" s="301">
        <f>VLOOKUP(D24,'W-Alloc Met-TY'!$C$8:$E$10,3,FALSE)*C24</f>
        <v>0</v>
      </c>
      <c r="G24" s="301">
        <f>VLOOKUP(D24,'W-Alloc Met-TY'!$C$8:$F$10,4,FALSE)*C24</f>
        <v>0</v>
      </c>
      <c r="H24" s="583"/>
    </row>
    <row r="25" spans="1:8">
      <c r="A25" s="154" t="s">
        <v>191</v>
      </c>
      <c r="B25" s="261" t="str">
        <f>Expenses!C25</f>
        <v>Misc Expense- Source (Oper)</v>
      </c>
      <c r="C25" s="69">
        <f>Expenses!E25</f>
        <v>0</v>
      </c>
      <c r="D25" s="300" t="s">
        <v>691</v>
      </c>
      <c r="E25" s="301">
        <f>VLOOKUP(D25,'W-Alloc Met-TY'!$C$8:$D$10,2,FALSE)*C25</f>
        <v>0</v>
      </c>
      <c r="F25" s="301">
        <f>VLOOKUP(D25,'W-Alloc Met-TY'!$C$8:$E$10,3,FALSE)*C25</f>
        <v>0</v>
      </c>
      <c r="G25" s="301">
        <f>VLOOKUP(D25,'W-Alloc Met-TY'!$C$8:$F$10,4,FALSE)*C25</f>
        <v>0</v>
      </c>
      <c r="H25" s="583"/>
    </row>
    <row r="26" spans="1:8">
      <c r="A26" s="154" t="s">
        <v>194</v>
      </c>
      <c r="B26" s="261" t="str">
        <f>Expenses!C26</f>
        <v>Misc Expense- Source (Maint)</v>
      </c>
      <c r="C26" s="69">
        <f>Expenses!E26</f>
        <v>0</v>
      </c>
      <c r="D26" s="300" t="s">
        <v>691</v>
      </c>
      <c r="E26" s="301">
        <f>VLOOKUP(D26,'W-Alloc Met-TY'!$C$8:$D$10,2,FALSE)*C26</f>
        <v>0</v>
      </c>
      <c r="F26" s="301">
        <f>VLOOKUP(D26,'W-Alloc Met-TY'!$C$8:$E$10,3,FALSE)*C26</f>
        <v>0</v>
      </c>
      <c r="G26" s="301">
        <f>VLOOKUP(D26,'W-Alloc Met-TY'!$C$8:$F$10,4,FALSE)*C26</f>
        <v>0</v>
      </c>
      <c r="H26" s="583"/>
    </row>
    <row r="27" spans="1:8">
      <c r="A27" s="855"/>
      <c r="B27" s="261" t="str">
        <f>Expenses!C27</f>
        <v xml:space="preserve">Purchased Water </v>
      </c>
      <c r="C27" s="69">
        <f>Expenses!E27</f>
        <v>8221642</v>
      </c>
      <c r="D27" s="300" t="s">
        <v>693</v>
      </c>
      <c r="E27" s="301">
        <f>VLOOKUP(D27,'W-Alloc Met-TY'!$C$8:$D$10,2,FALSE)*C27</f>
        <v>7262850.0203952678</v>
      </c>
      <c r="F27" s="301">
        <f>VLOOKUP(D27,'W-Alloc Met-TY'!$C$8:$E$10,3,FALSE)*C27</f>
        <v>958791.97960473225</v>
      </c>
      <c r="G27" s="301">
        <f>VLOOKUP(D27,'W-Alloc Met-TY'!$C$8:$F$10,4,FALSE)*C27</f>
        <v>0</v>
      </c>
      <c r="H27" s="583"/>
    </row>
    <row r="28" spans="1:8">
      <c r="A28" s="855"/>
      <c r="B28" s="261" t="str">
        <f>Expenses!C28</f>
        <v>Purchased Water - Unbilled (BGMU)</v>
      </c>
      <c r="C28" s="69">
        <f>Expenses!E28</f>
        <v>-72033</v>
      </c>
      <c r="D28" s="300" t="s">
        <v>691</v>
      </c>
      <c r="E28" s="301">
        <f>VLOOKUP(D28,'W-Alloc Met-TY'!$C$8:$D$10,2,FALSE)*C28</f>
        <v>-72033</v>
      </c>
      <c r="F28" s="301">
        <f>VLOOKUP(D28,'W-Alloc Met-TY'!$C$8:$E$10,3,FALSE)*C28</f>
        <v>0</v>
      </c>
      <c r="G28" s="301">
        <f>VLOOKUP(D28,'W-Alloc Met-TY'!$C$8:$F$10,4,FALSE)*C28</f>
        <v>0</v>
      </c>
      <c r="H28" s="583"/>
    </row>
    <row r="29" spans="1:8">
      <c r="A29" s="855"/>
      <c r="B29" s="261" t="str">
        <f>Expenses!C29</f>
        <v>Purchased Power Water Treat</v>
      </c>
      <c r="C29" s="69">
        <f>Expenses!E29</f>
        <v>0</v>
      </c>
      <c r="D29" s="300" t="s">
        <v>691</v>
      </c>
      <c r="E29" s="301">
        <f>VLOOKUP(D29,'W-Alloc Met-TY'!$C$8:$D$10,2,FALSE)*C29</f>
        <v>0</v>
      </c>
      <c r="F29" s="301">
        <f>VLOOKUP(D29,'W-Alloc Met-TY'!$C$8:$E$10,3,FALSE)*C29</f>
        <v>0</v>
      </c>
      <c r="G29" s="301">
        <f>VLOOKUP(D29,'W-Alloc Met-TY'!$C$8:$F$10,4,FALSE)*C29</f>
        <v>0</v>
      </c>
      <c r="H29" s="583"/>
    </row>
    <row r="30" spans="1:8">
      <c r="A30" s="855"/>
      <c r="B30" s="261" t="str">
        <f>Expenses!C30</f>
        <v>-</v>
      </c>
      <c r="C30" s="69">
        <f>Expenses!E30</f>
        <v>0</v>
      </c>
      <c r="D30" s="300" t="s">
        <v>691</v>
      </c>
      <c r="E30" s="301">
        <f>VLOOKUP(D30,'W-Alloc Met-TY'!$C$8:$D$10,2,FALSE)*C30</f>
        <v>0</v>
      </c>
      <c r="F30" s="301">
        <f>VLOOKUP(D30,'W-Alloc Met-TY'!$C$8:$E$10,3,FALSE)*C30</f>
        <v>0</v>
      </c>
      <c r="G30" s="301">
        <f>VLOOKUP(D30,'W-Alloc Met-TY'!$C$8:$F$10,4,FALSE)*C30</f>
        <v>0</v>
      </c>
      <c r="H30" s="583"/>
    </row>
    <row r="31" spans="1:8">
      <c r="A31" s="855"/>
      <c r="B31" s="261" t="str">
        <f>Expenses!C31</f>
        <v>-</v>
      </c>
      <c r="C31" s="69">
        <f>Expenses!E31</f>
        <v>0</v>
      </c>
      <c r="D31" s="300" t="s">
        <v>691</v>
      </c>
      <c r="E31" s="301">
        <f>VLOOKUP(D31,'W-Alloc Met-TY'!$C$8:$D$10,2,FALSE)*C31</f>
        <v>0</v>
      </c>
      <c r="F31" s="301">
        <f>VLOOKUP(D31,'W-Alloc Met-TY'!$C$8:$E$10,3,FALSE)*C31</f>
        <v>0</v>
      </c>
      <c r="G31" s="301">
        <f>VLOOKUP(D31,'W-Alloc Met-TY'!$C$8:$F$10,4,FALSE)*C31</f>
        <v>0</v>
      </c>
      <c r="H31" s="583"/>
    </row>
    <row r="32" spans="1:8">
      <c r="A32" s="855"/>
      <c r="B32" s="261" t="str">
        <f>Expenses!C32</f>
        <v>-</v>
      </c>
      <c r="C32" s="69">
        <f>Expenses!E32</f>
        <v>0</v>
      </c>
      <c r="D32" s="300" t="s">
        <v>691</v>
      </c>
      <c r="E32" s="301">
        <f>VLOOKUP(D32,'W-Alloc Met-TY'!$C$8:$D$10,2,FALSE)*C32</f>
        <v>0</v>
      </c>
      <c r="F32" s="301">
        <f>VLOOKUP(D32,'W-Alloc Met-TY'!$C$8:$E$10,3,FALSE)*C32</f>
        <v>0</v>
      </c>
      <c r="G32" s="301">
        <f>VLOOKUP(D32,'W-Alloc Met-TY'!$C$8:$F$10,4,FALSE)*C32</f>
        <v>0</v>
      </c>
      <c r="H32" s="583"/>
    </row>
    <row r="33" spans="1:8">
      <c r="A33" s="855"/>
      <c r="B33" s="261" t="str">
        <f>Expenses!C33</f>
        <v>-</v>
      </c>
      <c r="C33" s="69">
        <f>Expenses!E33</f>
        <v>0</v>
      </c>
      <c r="D33" s="300" t="s">
        <v>691</v>
      </c>
      <c r="E33" s="301">
        <f>VLOOKUP(D33,'W-Alloc Met-TY'!$C$8:$D$10,2,FALSE)*C33</f>
        <v>0</v>
      </c>
      <c r="F33" s="301">
        <f>VLOOKUP(D33,'W-Alloc Met-TY'!$C$8:$E$10,3,FALSE)*C33</f>
        <v>0</v>
      </c>
      <c r="G33" s="301">
        <f>VLOOKUP(D33,'W-Alloc Met-TY'!$C$8:$F$10,4,FALSE)*C33</f>
        <v>0</v>
      </c>
      <c r="H33" s="583"/>
    </row>
    <row r="34" spans="1:8">
      <c r="A34" s="855"/>
      <c r="B34" s="261" t="str">
        <f>Expenses!C34</f>
        <v>-</v>
      </c>
      <c r="C34" s="69">
        <f>Expenses!E34</f>
        <v>0</v>
      </c>
      <c r="D34" s="300" t="s">
        <v>691</v>
      </c>
      <c r="E34" s="301">
        <f>VLOOKUP(D34,'W-Alloc Met-TY'!$C$8:$D$10,2,FALSE)*C34</f>
        <v>0</v>
      </c>
      <c r="F34" s="301">
        <f>VLOOKUP(D34,'W-Alloc Met-TY'!$C$8:$E$10,3,FALSE)*C34</f>
        <v>0</v>
      </c>
      <c r="G34" s="301">
        <f>VLOOKUP(D34,'W-Alloc Met-TY'!$C$8:$F$10,4,FALSE)*C34</f>
        <v>0</v>
      </c>
      <c r="H34" s="583"/>
    </row>
    <row r="35" spans="1:8">
      <c r="A35" s="855"/>
      <c r="B35" s="261" t="str">
        <f>Expenses!C35</f>
        <v>-</v>
      </c>
      <c r="C35" s="37">
        <f>Expenses!E35</f>
        <v>0</v>
      </c>
      <c r="D35" s="299" t="s">
        <v>691</v>
      </c>
      <c r="E35" s="761">
        <f>VLOOKUP(D35,'W-Alloc Met-TY'!$C$8:$D$10,2,FALSE)*C35</f>
        <v>0</v>
      </c>
      <c r="F35" s="761">
        <f>VLOOKUP(D35,'W-Alloc Met-TY'!$C$8:$E$10,3,FALSE)*C35</f>
        <v>0</v>
      </c>
      <c r="G35" s="762">
        <f>VLOOKUP(D35,'W-Alloc Met-TY'!$C$8:$F$10,4,FALSE)*C35</f>
        <v>0</v>
      </c>
      <c r="H35" s="583"/>
    </row>
    <row r="36" spans="1:8">
      <c r="A36" s="856"/>
      <c r="B36" s="263" t="s">
        <v>29</v>
      </c>
      <c r="C36" s="157">
        <f>SUM(C5:C35)</f>
        <v>8697433</v>
      </c>
      <c r="D36" s="157"/>
      <c r="E36" s="157">
        <f>SUM(E5:E35)</f>
        <v>7677111.4635122111</v>
      </c>
      <c r="F36" s="157">
        <f>SUM(F5:F35)</f>
        <v>1020321.5364877892</v>
      </c>
      <c r="G36" s="157">
        <f>SUM(G5:G26)</f>
        <v>0</v>
      </c>
      <c r="H36" s="583"/>
    </row>
    <row r="37" spans="1:8">
      <c r="A37" s="855"/>
      <c r="B37" s="264"/>
      <c r="C37" s="69"/>
      <c r="H37" s="583"/>
    </row>
    <row r="38" spans="1:8">
      <c r="A38" s="855"/>
      <c r="B38" s="262" t="s">
        <v>204</v>
      </c>
      <c r="C38" s="147"/>
      <c r="D38" s="153"/>
      <c r="H38" s="583"/>
    </row>
    <row r="39" spans="1:8">
      <c r="A39" s="154" t="s">
        <v>206</v>
      </c>
      <c r="B39" s="261" t="str">
        <f>Expenses!C39</f>
        <v>Wages- T&amp;D (Oper)</v>
      </c>
      <c r="C39" s="667">
        <f>Expenses!E39</f>
        <v>399953</v>
      </c>
      <c r="D39" s="300" t="s">
        <v>691</v>
      </c>
      <c r="E39" s="269">
        <f>VLOOKUP(D39,'W-Alloc Met-TY'!$C$8:$D$10,2,FALSE)*C39</f>
        <v>399953</v>
      </c>
      <c r="F39" s="269">
        <f>VLOOKUP(D39,'W-Alloc Met-TY'!$C$8:$E$10,3,FALSE)*C39</f>
        <v>0</v>
      </c>
      <c r="G39" s="269">
        <f>VLOOKUP(D39,'W-Alloc Met-TY'!$C$8:$F$10,4,FALSE)*C39</f>
        <v>0</v>
      </c>
      <c r="H39" s="17"/>
    </row>
    <row r="40" spans="1:8">
      <c r="A40" s="154" t="s">
        <v>210</v>
      </c>
      <c r="B40" s="261" t="str">
        <f>Expenses!C40</f>
        <v>Wages- T&amp;D (Maint)</v>
      </c>
      <c r="C40" s="69">
        <f>Expenses!E40</f>
        <v>351392</v>
      </c>
      <c r="D40" s="300" t="s">
        <v>691</v>
      </c>
      <c r="E40" s="301">
        <f>VLOOKUP(D40,'W-Alloc Met-TY'!$C$8:$D$10,2,FALSE)*C40</f>
        <v>351392</v>
      </c>
      <c r="F40" s="301">
        <f>VLOOKUP(D40,'W-Alloc Met-TY'!$C$8:$E$10,3,FALSE)*C40</f>
        <v>0</v>
      </c>
      <c r="G40" s="301">
        <f>VLOOKUP(D40,'W-Alloc Met-TY'!$C$8:$F$10,4,FALSE)*C40</f>
        <v>0</v>
      </c>
      <c r="H40" s="17"/>
    </row>
    <row r="41" spans="1:8">
      <c r="A41" s="154" t="s">
        <v>706</v>
      </c>
      <c r="B41" s="261" t="str">
        <f>Expenses!C41</f>
        <v>Employee Overhead T&amp;D (Oper)</v>
      </c>
      <c r="C41" s="69">
        <f>Expenses!E41</f>
        <v>0</v>
      </c>
      <c r="D41" s="300" t="s">
        <v>691</v>
      </c>
      <c r="E41" s="301">
        <f>VLOOKUP(D41,'W-Alloc Met-TY'!$C$8:$D$10,2,FALSE)*C41</f>
        <v>0</v>
      </c>
      <c r="F41" s="301">
        <f>VLOOKUP(D41,'W-Alloc Met-TY'!$C$8:$E$10,3,FALSE)*C41</f>
        <v>0</v>
      </c>
      <c r="G41" s="301">
        <f>VLOOKUP(D41,'W-Alloc Met-TY'!$C$8:$F$10,4,FALSE)*C41</f>
        <v>0</v>
      </c>
      <c r="H41" s="17"/>
    </row>
    <row r="42" spans="1:8">
      <c r="A42" s="154" t="s">
        <v>707</v>
      </c>
      <c r="B42" s="261" t="str">
        <f>Expenses!C42</f>
        <v>Employee Overhead- T&amp;D (Maint)</v>
      </c>
      <c r="C42" s="69">
        <f>Expenses!E42</f>
        <v>0</v>
      </c>
      <c r="D42" s="300" t="s">
        <v>691</v>
      </c>
      <c r="E42" s="301">
        <f>VLOOKUP(D42,'W-Alloc Met-TY'!$C$8:$D$10,2,FALSE)*C42</f>
        <v>0</v>
      </c>
      <c r="F42" s="301">
        <f>VLOOKUP(D42,'W-Alloc Met-TY'!$C$8:$E$10,3,FALSE)*C42</f>
        <v>0</v>
      </c>
      <c r="G42" s="301">
        <f>VLOOKUP(D42,'W-Alloc Met-TY'!$C$8:$F$10,4,FALSE)*C42</f>
        <v>0</v>
      </c>
      <c r="H42" s="17"/>
    </row>
    <row r="43" spans="1:8">
      <c r="A43" s="154" t="s">
        <v>141</v>
      </c>
      <c r="B43" s="261" t="str">
        <f>Expenses!C43</f>
        <v>Purchased Power- T&amp;D</v>
      </c>
      <c r="C43" s="69">
        <f>Expenses!E43</f>
        <v>7616</v>
      </c>
      <c r="D43" s="300" t="s">
        <v>691</v>
      </c>
      <c r="E43" s="301">
        <f>VLOOKUP(D43,'W-Alloc Met-TY'!$C$8:$D$10,2,FALSE)*C43</f>
        <v>7616</v>
      </c>
      <c r="F43" s="301">
        <f>VLOOKUP(D43,'W-Alloc Met-TY'!$C$8:$E$10,3,FALSE)*C43</f>
        <v>0</v>
      </c>
      <c r="G43" s="301">
        <f>VLOOKUP(D43,'W-Alloc Met-TY'!$C$8:$F$10,4,FALSE)*C43</f>
        <v>0</v>
      </c>
      <c r="H43" s="583"/>
    </row>
    <row r="44" spans="1:8">
      <c r="A44" s="154" t="s">
        <v>215</v>
      </c>
      <c r="B44" s="261" t="str">
        <f>Expenses!C44</f>
        <v>Purchased Power- T&amp;D (ENERNOC)</v>
      </c>
      <c r="C44" s="69">
        <f>Expenses!E44</f>
        <v>0</v>
      </c>
      <c r="D44" s="300" t="s">
        <v>691</v>
      </c>
      <c r="E44" s="301">
        <f>VLOOKUP(D44,'W-Alloc Met-TY'!$C$8:$D$10,2,FALSE)*C44</f>
        <v>0</v>
      </c>
      <c r="F44" s="301">
        <f>VLOOKUP(D44,'W-Alloc Met-TY'!$C$8:$E$10,3,FALSE)*C44</f>
        <v>0</v>
      </c>
      <c r="G44" s="301">
        <f>VLOOKUP(D44,'W-Alloc Met-TY'!$C$8:$F$10,4,FALSE)*C44</f>
        <v>0</v>
      </c>
      <c r="H44" s="583"/>
    </row>
    <row r="45" spans="1:8">
      <c r="A45" s="154" t="s">
        <v>218</v>
      </c>
      <c r="B45" s="261" t="str">
        <f>Expenses!C45</f>
        <v>Materials &amp; Supplies- T&amp;D (Oper)</v>
      </c>
      <c r="C45" s="69">
        <f>Expenses!E45</f>
        <v>37130</v>
      </c>
      <c r="D45" s="300" t="s">
        <v>691</v>
      </c>
      <c r="E45" s="301">
        <f>VLOOKUP(D45,'W-Alloc Met-TY'!$C$8:$D$10,2,FALSE)*C45</f>
        <v>37130</v>
      </c>
      <c r="F45" s="301">
        <f>VLOOKUP(D45,'W-Alloc Met-TY'!$C$8:$E$10,3,FALSE)*C45</f>
        <v>0</v>
      </c>
      <c r="G45" s="301">
        <f>VLOOKUP(D45,'W-Alloc Met-TY'!$C$8:$F$10,4,FALSE)*C45</f>
        <v>0</v>
      </c>
      <c r="H45" s="583"/>
    </row>
    <row r="46" spans="1:8">
      <c r="A46" s="154" t="s">
        <v>221</v>
      </c>
      <c r="B46" s="261" t="str">
        <f>Expenses!C46</f>
        <v>Materials &amp; Supplies- T&amp;D (Maint)</v>
      </c>
      <c r="C46" s="69">
        <f>Expenses!E46</f>
        <v>261520</v>
      </c>
      <c r="D46" s="300" t="s">
        <v>691</v>
      </c>
      <c r="E46" s="301">
        <f>VLOOKUP(D46,'W-Alloc Met-TY'!$C$8:$D$10,2,FALSE)*C46</f>
        <v>261520</v>
      </c>
      <c r="F46" s="301">
        <f>VLOOKUP(D46,'W-Alloc Met-TY'!$C$8:$E$10,3,FALSE)*C46</f>
        <v>0</v>
      </c>
      <c r="G46" s="301">
        <f>VLOOKUP(D46,'W-Alloc Met-TY'!$C$8:$F$10,4,FALSE)*C46</f>
        <v>0</v>
      </c>
      <c r="H46" s="583"/>
    </row>
    <row r="47" spans="1:8">
      <c r="A47" s="154" t="s">
        <v>224</v>
      </c>
      <c r="B47" s="261" t="str">
        <f>Expenses!C47</f>
        <v>Contract Accounting- T&amp;D (Oper)</v>
      </c>
      <c r="C47" s="69">
        <f>Expenses!E47</f>
        <v>1817</v>
      </c>
      <c r="D47" s="300" t="s">
        <v>691</v>
      </c>
      <c r="E47" s="301">
        <f>VLOOKUP(D47,'W-Alloc Met-TY'!$C$8:$D$10,2,FALSE)*C47</f>
        <v>1817</v>
      </c>
      <c r="F47" s="301">
        <f>VLOOKUP(D47,'W-Alloc Met-TY'!$C$8:$E$10,3,FALSE)*C47</f>
        <v>0</v>
      </c>
      <c r="G47" s="301">
        <f>VLOOKUP(D47,'W-Alloc Met-TY'!$C$8:$F$10,4,FALSE)*C47</f>
        <v>0</v>
      </c>
      <c r="H47" s="583"/>
    </row>
    <row r="48" spans="1:8">
      <c r="A48" s="154" t="s">
        <v>227</v>
      </c>
      <c r="B48" s="261" t="str">
        <f>Expenses!C48</f>
        <v>Contract Accounting- T&amp;D (Maint)</v>
      </c>
      <c r="C48" s="69">
        <f>Expenses!E48</f>
        <v>1817</v>
      </c>
      <c r="D48" s="300" t="s">
        <v>691</v>
      </c>
      <c r="E48" s="301">
        <f>VLOOKUP(D48,'W-Alloc Met-TY'!$C$8:$D$10,2,FALSE)*C48</f>
        <v>1817</v>
      </c>
      <c r="F48" s="301">
        <f>VLOOKUP(D48,'W-Alloc Met-TY'!$C$8:$E$10,3,FALSE)*C48</f>
        <v>0</v>
      </c>
      <c r="G48" s="301">
        <f>VLOOKUP(D48,'W-Alloc Met-TY'!$C$8:$F$10,4,FALSE)*C48</f>
        <v>0</v>
      </c>
      <c r="H48" s="583"/>
    </row>
    <row r="49" spans="1:8">
      <c r="A49" s="154" t="s">
        <v>230</v>
      </c>
      <c r="B49" s="261" t="str">
        <f>Expenses!C49</f>
        <v>Contract Legal- T&amp;D (Oper)</v>
      </c>
      <c r="C49" s="69">
        <f>Expenses!E49</f>
        <v>0</v>
      </c>
      <c r="D49" s="300" t="s">
        <v>691</v>
      </c>
      <c r="E49" s="301">
        <f>VLOOKUP(D49,'W-Alloc Met-TY'!$C$8:$D$10,2,FALSE)*C49</f>
        <v>0</v>
      </c>
      <c r="F49" s="301">
        <f>VLOOKUP(D49,'W-Alloc Met-TY'!$C$8:$E$10,3,FALSE)*C49</f>
        <v>0</v>
      </c>
      <c r="G49" s="301">
        <f>VLOOKUP(D49,'W-Alloc Met-TY'!$C$8:$F$10,4,FALSE)*C49</f>
        <v>0</v>
      </c>
      <c r="H49" s="583"/>
    </row>
    <row r="50" spans="1:8">
      <c r="A50" s="154" t="s">
        <v>233</v>
      </c>
      <c r="B50" s="261" t="str">
        <f>Expenses!C50</f>
        <v>Contract Legal- T&amp;D (Maint)</v>
      </c>
      <c r="C50" s="69">
        <f>Expenses!E50</f>
        <v>0</v>
      </c>
      <c r="D50" s="300" t="s">
        <v>691</v>
      </c>
      <c r="E50" s="301">
        <f>VLOOKUP(D50,'W-Alloc Met-TY'!$C$8:$D$10,2,FALSE)*C50</f>
        <v>0</v>
      </c>
      <c r="F50" s="301">
        <f>VLOOKUP(D50,'W-Alloc Met-TY'!$C$8:$E$10,3,FALSE)*C50</f>
        <v>0</v>
      </c>
      <c r="G50" s="301">
        <f>VLOOKUP(D50,'W-Alloc Met-TY'!$C$8:$F$10,4,FALSE)*C50</f>
        <v>0</v>
      </c>
      <c r="H50" s="583"/>
    </row>
    <row r="51" spans="1:8">
      <c r="A51" s="154" t="s">
        <v>236</v>
      </c>
      <c r="B51" s="261" t="str">
        <f>Expenses!C51</f>
        <v>Contract Other- T&amp;D (Oper)</v>
      </c>
      <c r="C51" s="69">
        <f>Expenses!E51</f>
        <v>50543</v>
      </c>
      <c r="D51" s="300" t="s">
        <v>691</v>
      </c>
      <c r="E51" s="301">
        <f>VLOOKUP(D51,'W-Alloc Met-TY'!$C$8:$D$10,2,FALSE)*C51</f>
        <v>50543</v>
      </c>
      <c r="F51" s="301">
        <f>VLOOKUP(D51,'W-Alloc Met-TY'!$C$8:$E$10,3,FALSE)*C51</f>
        <v>0</v>
      </c>
      <c r="G51" s="301">
        <f>VLOOKUP(D51,'W-Alloc Met-TY'!$C$8:$F$10,4,FALSE)*C51</f>
        <v>0</v>
      </c>
      <c r="H51" s="583"/>
    </row>
    <row r="52" spans="1:8">
      <c r="A52" s="154" t="s">
        <v>239</v>
      </c>
      <c r="B52" s="261" t="str">
        <f>Expenses!C52</f>
        <v>Contract Other- T&amp;D (Maint)</v>
      </c>
      <c r="C52" s="69">
        <f>Expenses!E52</f>
        <v>178649</v>
      </c>
      <c r="D52" s="300" t="s">
        <v>691</v>
      </c>
      <c r="E52" s="301">
        <f>VLOOKUP(D52,'W-Alloc Met-TY'!$C$8:$D$10,2,FALSE)*C52</f>
        <v>178649</v>
      </c>
      <c r="F52" s="301">
        <f>VLOOKUP(D52,'W-Alloc Met-TY'!$C$8:$E$10,3,FALSE)*C52</f>
        <v>0</v>
      </c>
      <c r="G52" s="301">
        <f>VLOOKUP(D52,'W-Alloc Met-TY'!$C$8:$F$10,4,FALSE)*C52</f>
        <v>0</v>
      </c>
      <c r="H52" s="583"/>
    </row>
    <row r="53" spans="1:8">
      <c r="A53" s="154" t="s">
        <v>242</v>
      </c>
      <c r="B53" s="261" t="str">
        <f>Expenses!C53</f>
        <v>Rent &amp; Utilities- T&amp;D (Oper)</v>
      </c>
      <c r="C53" s="69">
        <f>Expenses!E53</f>
        <v>18877</v>
      </c>
      <c r="D53" s="300" t="s">
        <v>691</v>
      </c>
      <c r="E53" s="301">
        <f>VLOOKUP(D53,'W-Alloc Met-TY'!$C$8:$D$10,2,FALSE)*C53</f>
        <v>18877</v>
      </c>
      <c r="F53" s="301">
        <f>VLOOKUP(D53,'W-Alloc Met-TY'!$C$8:$E$10,3,FALSE)*C53</f>
        <v>0</v>
      </c>
      <c r="G53" s="301">
        <f>VLOOKUP(D53,'W-Alloc Met-TY'!$C$8:$F$10,4,FALSE)*C53</f>
        <v>0</v>
      </c>
      <c r="H53" s="583"/>
    </row>
    <row r="54" spans="1:8">
      <c r="A54" s="154" t="s">
        <v>245</v>
      </c>
      <c r="B54" s="261" t="str">
        <f>Expenses!C54</f>
        <v>Rent &amp; Utilities- T&amp;D (Oper)</v>
      </c>
      <c r="C54" s="69">
        <f>Expenses!E54</f>
        <v>0</v>
      </c>
      <c r="D54" s="300" t="s">
        <v>691</v>
      </c>
      <c r="E54" s="301">
        <f>VLOOKUP(D54,'W-Alloc Met-TY'!$C$8:$D$10,2,FALSE)*C54</f>
        <v>0</v>
      </c>
      <c r="F54" s="301">
        <f>VLOOKUP(D54,'W-Alloc Met-TY'!$C$8:$E$10,3,FALSE)*C54</f>
        <v>0</v>
      </c>
      <c r="G54" s="301">
        <f>VLOOKUP(D54,'W-Alloc Met-TY'!$C$8:$F$10,4,FALSE)*C54</f>
        <v>0</v>
      </c>
      <c r="H54" s="583"/>
    </row>
    <row r="55" spans="1:8">
      <c r="A55" s="154" t="s">
        <v>247</v>
      </c>
      <c r="B55" s="261" t="str">
        <f>Expenses!C55</f>
        <v>Equipment Expense- T&amp;D (Oper)</v>
      </c>
      <c r="C55" s="69">
        <f>Expenses!E55</f>
        <v>108465</v>
      </c>
      <c r="D55" s="300" t="s">
        <v>691</v>
      </c>
      <c r="E55" s="301">
        <f>VLOOKUP(D55,'W-Alloc Met-TY'!$C$8:$D$10,2,FALSE)*C55</f>
        <v>108465</v>
      </c>
      <c r="F55" s="301">
        <f>VLOOKUP(D55,'W-Alloc Met-TY'!$C$8:$E$10,3,FALSE)*C55</f>
        <v>0</v>
      </c>
      <c r="G55" s="301">
        <f>VLOOKUP(D55,'W-Alloc Met-TY'!$C$8:$F$10,4,FALSE)*C55</f>
        <v>0</v>
      </c>
      <c r="H55" s="583"/>
    </row>
    <row r="56" spans="1:8">
      <c r="A56" s="154" t="s">
        <v>250</v>
      </c>
      <c r="B56" s="261" t="str">
        <f>Expenses!C56</f>
        <v>Equipment Expense- T&amp;D (Maint)</v>
      </c>
      <c r="C56" s="69">
        <f>Expenses!E56</f>
        <v>98814</v>
      </c>
      <c r="D56" s="300" t="s">
        <v>691</v>
      </c>
      <c r="E56" s="301">
        <f>VLOOKUP(D56,'W-Alloc Met-TY'!$C$8:$D$10,2,FALSE)*C56</f>
        <v>98814</v>
      </c>
      <c r="F56" s="301">
        <f>VLOOKUP(D56,'W-Alloc Met-TY'!$C$8:$E$10,3,FALSE)*C56</f>
        <v>0</v>
      </c>
      <c r="G56" s="301">
        <f>VLOOKUP(D56,'W-Alloc Met-TY'!$C$8:$F$10,4,FALSE)*C56</f>
        <v>0</v>
      </c>
      <c r="H56" s="583"/>
    </row>
    <row r="57" spans="1:8">
      <c r="A57" s="154" t="s">
        <v>253</v>
      </c>
      <c r="B57" s="261" t="str">
        <f>Expenses!C57</f>
        <v>Insurance G/L- T&amp;D (Oper)</v>
      </c>
      <c r="C57" s="69">
        <f>Expenses!E57</f>
        <v>49168</v>
      </c>
      <c r="D57" s="300" t="s">
        <v>691</v>
      </c>
      <c r="E57" s="301">
        <f>VLOOKUP(D57,'W-Alloc Met-TY'!$C$8:$D$10,2,FALSE)*C57</f>
        <v>49168</v>
      </c>
      <c r="F57" s="301">
        <f>VLOOKUP(D57,'W-Alloc Met-TY'!$C$8:$E$10,3,FALSE)*C57</f>
        <v>0</v>
      </c>
      <c r="G57" s="301">
        <f>VLOOKUP(D57,'W-Alloc Met-TY'!$C$8:$F$10,4,FALSE)*C57</f>
        <v>0</v>
      </c>
      <c r="H57" s="583"/>
    </row>
    <row r="58" spans="1:8">
      <c r="A58" s="154" t="s">
        <v>256</v>
      </c>
      <c r="B58" s="261" t="str">
        <f>Expenses!C58</f>
        <v>Insurance Other- T&amp;D (Oper)</v>
      </c>
      <c r="C58" s="69">
        <f>Expenses!E58</f>
        <v>0</v>
      </c>
      <c r="D58" s="300" t="s">
        <v>691</v>
      </c>
      <c r="E58" s="301">
        <f>VLOOKUP(D58,'W-Alloc Met-TY'!$C$8:$D$10,2,FALSE)*C58</f>
        <v>0</v>
      </c>
      <c r="F58" s="301">
        <f>VLOOKUP(D58,'W-Alloc Met-TY'!$C$8:$E$10,3,FALSE)*C58</f>
        <v>0</v>
      </c>
      <c r="G58" s="301">
        <f>VLOOKUP(D58,'W-Alloc Met-TY'!$C$8:$F$10,4,FALSE)*C58</f>
        <v>0</v>
      </c>
      <c r="H58" s="583"/>
    </row>
    <row r="59" spans="1:8">
      <c r="A59" s="154" t="s">
        <v>259</v>
      </c>
      <c r="B59" s="261" t="str">
        <f>Expenses!C59</f>
        <v>Misc Expense- T&amp;D (Oper)</v>
      </c>
      <c r="C59" s="69">
        <f>Expenses!E59</f>
        <v>0</v>
      </c>
      <c r="D59" s="300" t="s">
        <v>691</v>
      </c>
      <c r="E59" s="301">
        <f>VLOOKUP(D59,'W-Alloc Met-TY'!$C$8:$D$10,2,FALSE)*C59</f>
        <v>0</v>
      </c>
      <c r="F59" s="301">
        <f>VLOOKUP(D59,'W-Alloc Met-TY'!$C$8:$E$10,3,FALSE)*C59</f>
        <v>0</v>
      </c>
      <c r="G59" s="301">
        <f>VLOOKUP(D59,'W-Alloc Met-TY'!$C$8:$F$10,4,FALSE)*C59</f>
        <v>0</v>
      </c>
      <c r="H59" s="583"/>
    </row>
    <row r="60" spans="1:8">
      <c r="A60" s="154" t="s">
        <v>262</v>
      </c>
      <c r="B60" s="261" t="str">
        <f>Expenses!C60</f>
        <v>Misc Expense- T&amp;D (Maint)</v>
      </c>
      <c r="C60" s="69">
        <f>Expenses!E60</f>
        <v>0</v>
      </c>
      <c r="D60" s="300" t="s">
        <v>691</v>
      </c>
      <c r="E60" s="301">
        <f>VLOOKUP(D60,'W-Alloc Met-TY'!$C$8:$D$10,2,FALSE)*C60</f>
        <v>0</v>
      </c>
      <c r="F60" s="301">
        <f>VLOOKUP(D60,'W-Alloc Met-TY'!$C$8:$E$10,3,FALSE)*C60</f>
        <v>0</v>
      </c>
      <c r="G60" s="301">
        <f>VLOOKUP(D60,'W-Alloc Met-TY'!$C$8:$F$10,4,FALSE)*C60</f>
        <v>0</v>
      </c>
      <c r="H60" s="583"/>
    </row>
    <row r="61" spans="1:8">
      <c r="A61" s="154"/>
      <c r="B61" s="261" t="str">
        <f>Expenses!C61</f>
        <v>Chemicals</v>
      </c>
      <c r="C61" s="69">
        <f>Expenses!E61</f>
        <v>0</v>
      </c>
      <c r="D61" s="300" t="s">
        <v>693</v>
      </c>
      <c r="E61" s="301">
        <f>VLOOKUP(D61,'W-Alloc Met-TY'!$C$8:$D$10,2,FALSE)*C61</f>
        <v>0</v>
      </c>
      <c r="F61" s="301">
        <f>VLOOKUP(D61,'W-Alloc Met-TY'!$C$8:$E$10,3,FALSE)*C61</f>
        <v>0</v>
      </c>
      <c r="G61" s="301">
        <f>VLOOKUP(D61,'W-Alloc Met-TY'!$C$8:$F$10,4,FALSE)*C61</f>
        <v>0</v>
      </c>
      <c r="H61" s="583"/>
    </row>
    <row r="62" spans="1:8">
      <c r="A62" s="154" t="s">
        <v>267</v>
      </c>
      <c r="B62" s="261" t="str">
        <f>Expenses!C62</f>
        <v xml:space="preserve">Contract Other- Water (Maint) </v>
      </c>
      <c r="C62" s="69">
        <f>Expenses!E62</f>
        <v>0</v>
      </c>
      <c r="D62" s="300" t="s">
        <v>691</v>
      </c>
      <c r="E62" s="301">
        <f>VLOOKUP(D62,'W-Alloc Met-TY'!$C$8:$D$10,2,FALSE)*C62</f>
        <v>0</v>
      </c>
      <c r="F62" s="301">
        <f>VLOOKUP(D62,'W-Alloc Met-TY'!$C$8:$E$10,3,FALSE)*C62</f>
        <v>0</v>
      </c>
      <c r="G62" s="301">
        <f>VLOOKUP(D62,'W-Alloc Met-TY'!$C$8:$F$10,4,FALSE)*C62</f>
        <v>0</v>
      </c>
      <c r="H62" s="583"/>
    </row>
    <row r="63" spans="1:8">
      <c r="A63" s="154"/>
      <c r="B63" s="261" t="str">
        <f>Expenses!C63</f>
        <v>Payroll Taxes- T&amp;D (Oper)</v>
      </c>
      <c r="C63" s="69">
        <f>Expenses!E63</f>
        <v>34386.35</v>
      </c>
      <c r="D63" s="300" t="s">
        <v>691</v>
      </c>
      <c r="E63" s="301">
        <f>VLOOKUP(D63,'W-Alloc Met-TY'!$C$8:$D$10,2,FALSE)*C63</f>
        <v>34386.35</v>
      </c>
      <c r="F63" s="301">
        <f>VLOOKUP(D63,'W-Alloc Met-TY'!$C$8:$E$10,3,FALSE)*C63</f>
        <v>0</v>
      </c>
      <c r="G63" s="301">
        <f>VLOOKUP(D63,'W-Alloc Met-TY'!$C$8:$F$10,4,FALSE)*C63</f>
        <v>0</v>
      </c>
      <c r="H63" s="583"/>
    </row>
    <row r="64" spans="1:8">
      <c r="A64" s="154"/>
      <c r="B64" s="261" t="str">
        <f>Expenses!C64</f>
        <v>Wages (OH)- T&amp;D (Oper)</v>
      </c>
      <c r="C64" s="69">
        <f>Expenses!E64</f>
        <v>60966.07</v>
      </c>
      <c r="D64" s="300" t="s">
        <v>691</v>
      </c>
      <c r="E64" s="301">
        <f>VLOOKUP(D64,'W-Alloc Met-TY'!$C$8:$D$10,2,FALSE)*C64</f>
        <v>60966.07</v>
      </c>
      <c r="F64" s="301">
        <f>VLOOKUP(D64,'W-Alloc Met-TY'!$C$8:$E$10,3,FALSE)*C64</f>
        <v>0</v>
      </c>
      <c r="G64" s="301">
        <f>VLOOKUP(D64,'W-Alloc Met-TY'!$C$8:$F$10,4,FALSE)*C64</f>
        <v>0</v>
      </c>
      <c r="H64" s="583"/>
    </row>
    <row r="65" spans="1:8">
      <c r="A65" s="154"/>
      <c r="B65" s="261" t="str">
        <f>Expenses!C65</f>
        <v>Worker's Compensation- T&amp;D (Oper)</v>
      </c>
      <c r="C65" s="69">
        <f>Expenses!E65</f>
        <v>2235.79</v>
      </c>
      <c r="D65" s="300" t="s">
        <v>691</v>
      </c>
      <c r="E65" s="301">
        <f>VLOOKUP(D65,'W-Alloc Met-TY'!$C$8:$D$10,2,FALSE)*C65</f>
        <v>2235.79</v>
      </c>
      <c r="F65" s="301">
        <f>VLOOKUP(D65,'W-Alloc Met-TY'!$C$8:$E$10,3,FALSE)*C65</f>
        <v>0</v>
      </c>
      <c r="G65" s="301">
        <f>VLOOKUP(D65,'W-Alloc Met-TY'!$C$8:$F$10,4,FALSE)*C65</f>
        <v>0</v>
      </c>
      <c r="H65" s="583"/>
    </row>
    <row r="66" spans="1:8">
      <c r="A66" s="154"/>
      <c r="B66" s="261" t="str">
        <f>Expenses!C66</f>
        <v>Fringe Benefits- Insurance- T&amp;D (Oper)</v>
      </c>
      <c r="C66" s="69">
        <f>Expenses!E66</f>
        <v>48228.58</v>
      </c>
      <c r="D66" s="300" t="s">
        <v>691</v>
      </c>
      <c r="E66" s="301">
        <f>VLOOKUP(D66,'W-Alloc Met-TY'!$C$8:$D$10,2,FALSE)*C66</f>
        <v>48228.58</v>
      </c>
      <c r="F66" s="301">
        <f>VLOOKUP(D66,'W-Alloc Met-TY'!$C$8:$E$10,3,FALSE)*C66</f>
        <v>0</v>
      </c>
      <c r="G66" s="301">
        <f>VLOOKUP(D66,'W-Alloc Met-TY'!$C$8:$F$10,4,FALSE)*C66</f>
        <v>0</v>
      </c>
      <c r="H66" s="583"/>
    </row>
    <row r="67" spans="1:8">
      <c r="A67" s="154"/>
      <c r="B67" s="261" t="str">
        <f>Expenses!C67</f>
        <v>Retirement- T&amp;D (Oper)</v>
      </c>
      <c r="C67" s="69">
        <f>Expenses!E67</f>
        <v>79891.210000000006</v>
      </c>
      <c r="D67" s="300" t="s">
        <v>691</v>
      </c>
      <c r="E67" s="301">
        <f>VLOOKUP(D67,'W-Alloc Met-TY'!$C$8:$D$10,2,FALSE)*C67</f>
        <v>79891.210000000006</v>
      </c>
      <c r="F67" s="301">
        <f>VLOOKUP(D67,'W-Alloc Met-TY'!$C$8:$E$10,3,FALSE)*C67</f>
        <v>0</v>
      </c>
      <c r="G67" s="301">
        <f>VLOOKUP(D67,'W-Alloc Met-TY'!$C$8:$F$10,4,FALSE)*C67</f>
        <v>0</v>
      </c>
      <c r="H67" s="583"/>
    </row>
    <row r="68" spans="1:8">
      <c r="A68" s="154"/>
      <c r="B68" s="261" t="str">
        <f>Expenses!C68</f>
        <v>Payroll Taxes- T&amp;D (Maint)</v>
      </c>
      <c r="C68" s="69">
        <f>Expenses!E68</f>
        <v>30319.7</v>
      </c>
      <c r="D68" s="300" t="s">
        <v>691</v>
      </c>
      <c r="E68" s="301">
        <f>VLOOKUP(D68,'W-Alloc Met-TY'!$C$8:$D$10,2,FALSE)*C68</f>
        <v>30319.7</v>
      </c>
      <c r="F68" s="301">
        <f>VLOOKUP(D68,'W-Alloc Met-TY'!$C$8:$E$10,3,FALSE)*C68</f>
        <v>0</v>
      </c>
      <c r="G68" s="301">
        <f>VLOOKUP(D68,'W-Alloc Met-TY'!$C$8:$F$10,4,FALSE)*C68</f>
        <v>0</v>
      </c>
      <c r="H68" s="583"/>
    </row>
    <row r="69" spans="1:8">
      <c r="A69" s="154"/>
      <c r="B69" s="261" t="str">
        <f>Expenses!C69</f>
        <v>Wages (OH)- T&amp;D (Maint)</v>
      </c>
      <c r="C69" s="69">
        <f>Expenses!E69</f>
        <v>53756.01</v>
      </c>
      <c r="D69" s="300" t="s">
        <v>691</v>
      </c>
      <c r="E69" s="301">
        <f>VLOOKUP(D69,'W-Alloc Met-TY'!$C$8:$D$10,2,FALSE)*C69</f>
        <v>53756.01</v>
      </c>
      <c r="F69" s="301">
        <f>VLOOKUP(D69,'W-Alloc Met-TY'!$C$8:$E$10,3,FALSE)*C69</f>
        <v>0</v>
      </c>
      <c r="G69" s="301">
        <f>VLOOKUP(D69,'W-Alloc Met-TY'!$C$8:$F$10,4,FALSE)*C69</f>
        <v>0</v>
      </c>
      <c r="H69" s="583"/>
    </row>
    <row r="70" spans="1:8">
      <c r="A70" s="154"/>
      <c r="B70" s="261" t="str">
        <f>Expenses!C70</f>
        <v>Worker's Compensation- T&amp;D (Maint)</v>
      </c>
      <c r="C70" s="69">
        <f>Expenses!E70</f>
        <v>1971.38</v>
      </c>
      <c r="D70" s="300" t="s">
        <v>691</v>
      </c>
      <c r="E70" s="301">
        <f>VLOOKUP(D70,'W-Alloc Met-TY'!$C$8:$D$10,2,FALSE)*C70</f>
        <v>1971.38</v>
      </c>
      <c r="F70" s="301">
        <f>VLOOKUP(D70,'W-Alloc Met-TY'!$C$8:$E$10,3,FALSE)*C70</f>
        <v>0</v>
      </c>
      <c r="G70" s="301">
        <f>VLOOKUP(D70,'W-Alloc Met-TY'!$C$8:$F$10,4,FALSE)*C70</f>
        <v>0</v>
      </c>
      <c r="H70" s="583"/>
    </row>
    <row r="71" spans="1:8">
      <c r="A71" s="154"/>
      <c r="B71" s="261" t="str">
        <f>Expenses!C71</f>
        <v>Fringe Benefits- Insurance- T&amp;D (Maint)</v>
      </c>
      <c r="C71" s="69">
        <f>Expenses!E71</f>
        <v>42524.9</v>
      </c>
      <c r="D71" s="300" t="s">
        <v>691</v>
      </c>
      <c r="E71" s="301">
        <f>VLOOKUP(D71,'W-Alloc Met-TY'!$C$8:$D$10,2,FALSE)*C71</f>
        <v>42524.9</v>
      </c>
      <c r="F71" s="301">
        <f>VLOOKUP(D71,'W-Alloc Met-TY'!$C$8:$E$10,3,FALSE)*C71</f>
        <v>0</v>
      </c>
      <c r="G71" s="301">
        <f>VLOOKUP(D71,'W-Alloc Met-TY'!$C$8:$F$10,4,FALSE)*C71</f>
        <v>0</v>
      </c>
      <c r="H71" s="583"/>
    </row>
    <row r="72" spans="1:8">
      <c r="A72" s="154"/>
      <c r="B72" s="261" t="str">
        <f>Expenses!C72</f>
        <v>Retirement- T&amp;D (Maint)</v>
      </c>
      <c r="C72" s="37">
        <f>Expenses!E72</f>
        <v>70443</v>
      </c>
      <c r="D72" s="299" t="s">
        <v>691</v>
      </c>
      <c r="E72" s="761">
        <f>VLOOKUP(D72,'W-Alloc Met-TY'!$C$8:$D$10,2,FALSE)*C72</f>
        <v>70443</v>
      </c>
      <c r="F72" s="761">
        <f>VLOOKUP(D72,'W-Alloc Met-TY'!$C$8:$E$10,3,FALSE)*C72</f>
        <v>0</v>
      </c>
      <c r="G72" s="762">
        <f>VLOOKUP(D72,'W-Alloc Met-TY'!$C$8:$F$10,4,FALSE)*C72</f>
        <v>0</v>
      </c>
      <c r="H72" s="583"/>
    </row>
    <row r="73" spans="1:8">
      <c r="A73" s="156"/>
      <c r="B73" s="263" t="s">
        <v>29</v>
      </c>
      <c r="C73" s="157">
        <f>SUM(C39:C72)</f>
        <v>1990483.99</v>
      </c>
      <c r="D73" s="157"/>
      <c r="E73" s="157">
        <f>SUM(E39:E72)</f>
        <v>1990483.99</v>
      </c>
      <c r="F73" s="157">
        <f>SUM(F39:F72)</f>
        <v>0</v>
      </c>
      <c r="G73" s="157">
        <f>SUM(G39:G72)</f>
        <v>0</v>
      </c>
      <c r="H73" s="583"/>
    </row>
    <row r="74" spans="1:8">
      <c r="A74" s="855"/>
      <c r="B74" s="264"/>
      <c r="C74" s="147"/>
      <c r="H74" s="583"/>
    </row>
    <row r="75" spans="1:8">
      <c r="A75" s="855"/>
      <c r="B75" s="262" t="s">
        <v>281</v>
      </c>
      <c r="C75" s="259"/>
      <c r="D75" s="153"/>
      <c r="E75" s="153"/>
      <c r="F75" s="153"/>
      <c r="G75" s="153"/>
      <c r="H75" s="583"/>
    </row>
    <row r="76" spans="1:8">
      <c r="A76" s="855" t="s">
        <v>283</v>
      </c>
      <c r="B76" s="261" t="str">
        <f>Expenses!C76</f>
        <v>Wages</v>
      </c>
      <c r="C76" s="69">
        <f>Expenses!E76</f>
        <v>528041</v>
      </c>
      <c r="D76" s="300" t="s">
        <v>691</v>
      </c>
      <c r="E76" s="301">
        <f>VLOOKUP(D76,'W-Alloc Met-TY'!$C$8:$D$10,2,FALSE)*C76</f>
        <v>528041</v>
      </c>
      <c r="F76" s="301">
        <f>VLOOKUP(D76,'W-Alloc Met-TY'!$C$8:$E$10,3,FALSE)*C76</f>
        <v>0</v>
      </c>
      <c r="G76" s="269">
        <f>VLOOKUP(D76,'W-Alloc Met-TY'!$C$8:$F$10,4,FALSE)*C76</f>
        <v>0</v>
      </c>
      <c r="H76" s="17"/>
    </row>
    <row r="77" spans="1:8">
      <c r="A77" s="855" t="s">
        <v>286</v>
      </c>
      <c r="B77" s="261" t="str">
        <f>Expenses!C77</f>
        <v>Employee Overhead</v>
      </c>
      <c r="C77" s="69">
        <f>Expenses!E77</f>
        <v>0</v>
      </c>
      <c r="D77" s="300" t="s">
        <v>691</v>
      </c>
      <c r="E77" s="301">
        <f>VLOOKUP(D77,'W-Alloc Met-TY'!$C$8:$D$10,2,FALSE)*C77</f>
        <v>0</v>
      </c>
      <c r="F77" s="301">
        <f>VLOOKUP(D77,'W-Alloc Met-TY'!$C$8:$E$10,3,FALSE)*C77</f>
        <v>0</v>
      </c>
      <c r="G77" s="301">
        <f>VLOOKUP(D77,'W-Alloc Met-TY'!$C$8:$F$10,4,FALSE)*C77</f>
        <v>0</v>
      </c>
      <c r="H77" s="17"/>
    </row>
    <row r="78" spans="1:8">
      <c r="A78" s="855" t="s">
        <v>288</v>
      </c>
      <c r="B78" s="261" t="str">
        <f>Expenses!C78</f>
        <v xml:space="preserve">Materials &amp; Supplies </v>
      </c>
      <c r="C78" s="69">
        <f>Expenses!E78</f>
        <v>17514</v>
      </c>
      <c r="D78" s="300" t="s">
        <v>691</v>
      </c>
      <c r="E78" s="301">
        <f>VLOOKUP(D78,'W-Alloc Met-TY'!$C$8:$D$10,2,FALSE)*C78</f>
        <v>17514</v>
      </c>
      <c r="F78" s="301">
        <f>VLOOKUP(D78,'W-Alloc Met-TY'!$C$8:$E$10,3,FALSE)*C78</f>
        <v>0</v>
      </c>
      <c r="G78" s="301">
        <f>VLOOKUP(D78,'W-Alloc Met-TY'!$C$8:$F$10,4,FALSE)*C78</f>
        <v>0</v>
      </c>
      <c r="H78" s="583"/>
    </row>
    <row r="79" spans="1:8">
      <c r="A79" s="855" t="s">
        <v>291</v>
      </c>
      <c r="B79" s="261" t="str">
        <f>Expenses!C79</f>
        <v xml:space="preserve">Contract Engineering </v>
      </c>
      <c r="C79" s="69">
        <f>Expenses!E79</f>
        <v>0</v>
      </c>
      <c r="D79" s="300" t="s">
        <v>691</v>
      </c>
      <c r="E79" s="301">
        <f>VLOOKUP(D79,'W-Alloc Met-TY'!$C$8:$D$10,2,FALSE)*C79</f>
        <v>0</v>
      </c>
      <c r="F79" s="301">
        <f>VLOOKUP(D79,'W-Alloc Met-TY'!$C$8:$E$10,3,FALSE)*C79</f>
        <v>0</v>
      </c>
      <c r="G79" s="301">
        <f>VLOOKUP(D79,'W-Alloc Met-TY'!$C$8:$F$10,4,FALSE)*C79</f>
        <v>0</v>
      </c>
      <c r="H79" s="583"/>
    </row>
    <row r="80" spans="1:8">
      <c r="A80" s="855" t="s">
        <v>294</v>
      </c>
      <c r="B80" s="261" t="str">
        <f>Expenses!C80</f>
        <v>Contract Accounting</v>
      </c>
      <c r="C80" s="69">
        <f>Expenses!E80</f>
        <v>3633</v>
      </c>
      <c r="D80" s="300" t="s">
        <v>691</v>
      </c>
      <c r="E80" s="301">
        <f>VLOOKUP(D80,'W-Alloc Met-TY'!$C$8:$D$10,2,FALSE)*C80</f>
        <v>3633</v>
      </c>
      <c r="F80" s="301">
        <f>VLOOKUP(D80,'W-Alloc Met-TY'!$C$8:$E$10,3,FALSE)*C80</f>
        <v>0</v>
      </c>
      <c r="G80" s="301">
        <f>VLOOKUP(D80,'W-Alloc Met-TY'!$C$8:$F$10,4,FALSE)*C80</f>
        <v>0</v>
      </c>
      <c r="H80" s="583"/>
    </row>
    <row r="81" spans="1:8">
      <c r="A81" s="855" t="s">
        <v>297</v>
      </c>
      <c r="B81" s="261" t="str">
        <f>Expenses!C81</f>
        <v>Contract Legal</v>
      </c>
      <c r="C81" s="69">
        <f>Expenses!E81</f>
        <v>0</v>
      </c>
      <c r="D81" s="300" t="s">
        <v>691</v>
      </c>
      <c r="E81" s="301">
        <f>VLOOKUP(D81,'W-Alloc Met-TY'!$C$8:$D$10,2,FALSE)*C81</f>
        <v>0</v>
      </c>
      <c r="F81" s="301">
        <f>VLOOKUP(D81,'W-Alloc Met-TY'!$C$8:$E$10,3,FALSE)*C81</f>
        <v>0</v>
      </c>
      <c r="G81" s="301">
        <f>VLOOKUP(D81,'W-Alloc Met-TY'!$C$8:$F$10,4,FALSE)*C81</f>
        <v>0</v>
      </c>
      <c r="H81" s="583"/>
    </row>
    <row r="82" spans="1:8">
      <c r="A82" s="855" t="s">
        <v>300</v>
      </c>
      <c r="B82" s="261" t="str">
        <f>Expenses!C82</f>
        <v>Contract Other</v>
      </c>
      <c r="C82" s="69">
        <f>Expenses!E82</f>
        <v>224862</v>
      </c>
      <c r="D82" s="300" t="s">
        <v>691</v>
      </c>
      <c r="E82" s="301">
        <f>VLOOKUP(D82,'W-Alloc Met-TY'!$C$8:$D$10,2,FALSE)*C82</f>
        <v>224862</v>
      </c>
      <c r="F82" s="301">
        <f>VLOOKUP(D82,'W-Alloc Met-TY'!$C$8:$E$10,3,FALSE)*C82</f>
        <v>0</v>
      </c>
      <c r="G82" s="301">
        <f>VLOOKUP(D82,'W-Alloc Met-TY'!$C$8:$F$10,4,FALSE)*C82</f>
        <v>0</v>
      </c>
      <c r="H82" s="583"/>
    </row>
    <row r="83" spans="1:8">
      <c r="A83" s="855" t="s">
        <v>303</v>
      </c>
      <c r="B83" s="261" t="str">
        <f>Expenses!C83</f>
        <v xml:space="preserve">Rent &amp; Utilities </v>
      </c>
      <c r="C83" s="69">
        <f>Expenses!E83</f>
        <v>28725</v>
      </c>
      <c r="D83" s="300" t="s">
        <v>691</v>
      </c>
      <c r="E83" s="301">
        <f>VLOOKUP(D83,'W-Alloc Met-TY'!$C$8:$D$10,2,FALSE)*C83</f>
        <v>28725</v>
      </c>
      <c r="F83" s="301">
        <f>VLOOKUP(D83,'W-Alloc Met-TY'!$C$8:$E$10,3,FALSE)*C83</f>
        <v>0</v>
      </c>
      <c r="G83" s="301">
        <f>VLOOKUP(D83,'W-Alloc Met-TY'!$C$8:$F$10,4,FALSE)*C83</f>
        <v>0</v>
      </c>
      <c r="H83" s="583"/>
    </row>
    <row r="84" spans="1:8">
      <c r="A84" s="855" t="s">
        <v>306</v>
      </c>
      <c r="B84" s="261" t="str">
        <f>Expenses!C84</f>
        <v xml:space="preserve">Rent &amp; Utilities </v>
      </c>
      <c r="C84" s="69">
        <f>Expenses!E84</f>
        <v>0</v>
      </c>
      <c r="D84" s="300" t="s">
        <v>691</v>
      </c>
      <c r="E84" s="301">
        <f>VLOOKUP(D84,'W-Alloc Met-TY'!$C$8:$D$10,2,FALSE)*C84</f>
        <v>0</v>
      </c>
      <c r="F84" s="301">
        <f>VLOOKUP(D84,'W-Alloc Met-TY'!$C$8:$E$10,3,FALSE)*C84</f>
        <v>0</v>
      </c>
      <c r="G84" s="301">
        <f>VLOOKUP(D84,'W-Alloc Met-TY'!$C$8:$F$10,4,FALSE)*C84</f>
        <v>0</v>
      </c>
      <c r="H84" s="583"/>
    </row>
    <row r="85" spans="1:8">
      <c r="A85" s="855" t="s">
        <v>308</v>
      </c>
      <c r="B85" s="261" t="str">
        <f>Expenses!C85</f>
        <v>Equipment Expenses</v>
      </c>
      <c r="C85" s="69">
        <f>Expenses!E85</f>
        <v>79805</v>
      </c>
      <c r="D85" s="300" t="s">
        <v>691</v>
      </c>
      <c r="E85" s="301">
        <f>VLOOKUP(D85,'W-Alloc Met-TY'!$C$8:$D$10,2,FALSE)*C85</f>
        <v>79805</v>
      </c>
      <c r="F85" s="301">
        <f>VLOOKUP(D85,'W-Alloc Met-TY'!$C$8:$E$10,3,FALSE)*C85</f>
        <v>0</v>
      </c>
      <c r="G85" s="301">
        <f>VLOOKUP(D85,'W-Alloc Met-TY'!$C$8:$F$10,4,FALSE)*C85</f>
        <v>0</v>
      </c>
      <c r="H85" s="583"/>
    </row>
    <row r="86" spans="1:8">
      <c r="A86" s="855" t="s">
        <v>311</v>
      </c>
      <c r="B86" s="261" t="str">
        <f>Expenses!C86</f>
        <v>Insurance G/L</v>
      </c>
      <c r="C86" s="69">
        <f>Expenses!E86</f>
        <v>5784</v>
      </c>
      <c r="D86" s="300" t="s">
        <v>691</v>
      </c>
      <c r="E86" s="301">
        <f>VLOOKUP(D86,'W-Alloc Met-TY'!$C$8:$D$10,2,FALSE)*C86</f>
        <v>5784</v>
      </c>
      <c r="F86" s="301">
        <f>VLOOKUP(D86,'W-Alloc Met-TY'!$C$8:$E$10,3,FALSE)*C86</f>
        <v>0</v>
      </c>
      <c r="G86" s="301">
        <f>VLOOKUP(D86,'W-Alloc Met-TY'!$C$8:$F$10,4,FALSE)*C86</f>
        <v>0</v>
      </c>
      <c r="H86" s="583"/>
    </row>
    <row r="87" spans="1:8">
      <c r="A87" s="855" t="s">
        <v>314</v>
      </c>
      <c r="B87" s="261" t="str">
        <f>Expenses!C87</f>
        <v>Misc Expense</v>
      </c>
      <c r="C87" s="69">
        <f>Expenses!E87</f>
        <v>5246</v>
      </c>
      <c r="D87" s="300" t="s">
        <v>691</v>
      </c>
      <c r="E87" s="301">
        <f>VLOOKUP(D87,'W-Alloc Met-TY'!$C$8:$D$10,2,FALSE)*C87</f>
        <v>5246</v>
      </c>
      <c r="F87" s="301">
        <f>VLOOKUP(D87,'W-Alloc Met-TY'!$C$8:$E$10,3,FALSE)*C87</f>
        <v>0</v>
      </c>
      <c r="G87" s="301">
        <f>VLOOKUP(D87,'W-Alloc Met-TY'!$C$8:$F$10,4,FALSE)*C87</f>
        <v>0</v>
      </c>
      <c r="H87" s="583"/>
    </row>
    <row r="88" spans="1:8">
      <c r="A88" s="855"/>
      <c r="B88" s="261" t="str">
        <f>Expenses!C88</f>
        <v>Payroll Taxes</v>
      </c>
      <c r="C88" s="69">
        <f>Expenses!E88</f>
        <v>45539.96</v>
      </c>
      <c r="D88" s="300" t="s">
        <v>691</v>
      </c>
      <c r="E88" s="301">
        <f>VLOOKUP(D88,'W-Alloc Met-TY'!$C$8:$D$10,2,FALSE)*C88</f>
        <v>45539.96</v>
      </c>
      <c r="F88" s="301">
        <f>VLOOKUP(D88,'W-Alloc Met-TY'!$C$8:$E$10,3,FALSE)*C88</f>
        <v>0</v>
      </c>
      <c r="G88" s="301">
        <f>VLOOKUP(D88,'W-Alloc Met-TY'!$C$8:$F$10,4,FALSE)*C88</f>
        <v>0</v>
      </c>
      <c r="H88" s="583"/>
    </row>
    <row r="89" spans="1:8">
      <c r="A89" s="855"/>
      <c r="B89" s="261" t="str">
        <f>Expenses!C89</f>
        <v>Wages</v>
      </c>
      <c r="C89" s="69">
        <f>Expenses!E89</f>
        <v>80741.119999999995</v>
      </c>
      <c r="D89" s="300" t="s">
        <v>691</v>
      </c>
      <c r="E89" s="301">
        <f>VLOOKUP(D89,'W-Alloc Met-TY'!$C$8:$D$10,2,FALSE)*C89</f>
        <v>80741.119999999995</v>
      </c>
      <c r="F89" s="301">
        <f>VLOOKUP(D89,'W-Alloc Met-TY'!$C$8:$E$10,3,FALSE)*C89</f>
        <v>0</v>
      </c>
      <c r="G89" s="301">
        <f>VLOOKUP(D89,'W-Alloc Met-TY'!$C$8:$F$10,4,FALSE)*C89</f>
        <v>0</v>
      </c>
      <c r="H89" s="583"/>
    </row>
    <row r="90" spans="1:8">
      <c r="A90" s="855"/>
      <c r="B90" s="261" t="str">
        <f>Expenses!C90</f>
        <v>Worker's Compensation</v>
      </c>
      <c r="C90" s="69">
        <f>Expenses!E90</f>
        <v>2961</v>
      </c>
      <c r="D90" s="300" t="s">
        <v>691</v>
      </c>
      <c r="E90" s="301">
        <f>VLOOKUP(D90,'W-Alloc Met-TY'!$C$8:$D$10,2,FALSE)*C90</f>
        <v>2961</v>
      </c>
      <c r="F90" s="301">
        <f>VLOOKUP(D90,'W-Alloc Met-TY'!$C$8:$E$10,3,FALSE)*C90</f>
        <v>0</v>
      </c>
      <c r="G90" s="301">
        <f>VLOOKUP(D90,'W-Alloc Met-TY'!$C$8:$F$10,4,FALSE)*C90</f>
        <v>0</v>
      </c>
      <c r="H90" s="583"/>
    </row>
    <row r="91" spans="1:8">
      <c r="A91" s="855"/>
      <c r="B91" s="261" t="str">
        <f>Expenses!C91</f>
        <v xml:space="preserve">Fringe Benefits- Insurance </v>
      </c>
      <c r="C91" s="69">
        <f>Expenses!E91</f>
        <v>63872.08</v>
      </c>
      <c r="D91" s="300" t="s">
        <v>691</v>
      </c>
      <c r="E91" s="301">
        <f>VLOOKUP(D91,'W-Alloc Met-TY'!$C$8:$D$10,2,FALSE)*C91</f>
        <v>63872.08</v>
      </c>
      <c r="F91" s="301">
        <f>VLOOKUP(D91,'W-Alloc Met-TY'!$C$8:$E$10,3,FALSE)*C91</f>
        <v>0</v>
      </c>
      <c r="G91" s="301">
        <f>VLOOKUP(D91,'W-Alloc Met-TY'!$C$8:$F$10,4,FALSE)*C91</f>
        <v>0</v>
      </c>
      <c r="H91" s="583"/>
    </row>
    <row r="92" spans="1:8">
      <c r="A92" s="855"/>
      <c r="B92" s="261" t="str">
        <f>Expenses!C92</f>
        <v xml:space="preserve">Retirement </v>
      </c>
      <c r="C92" s="69">
        <f>Expenses!E92</f>
        <v>105804.85</v>
      </c>
      <c r="D92" s="300" t="s">
        <v>691</v>
      </c>
      <c r="E92" s="301">
        <f>VLOOKUP(D92,'W-Alloc Met-TY'!$C$8:$D$10,2,FALSE)*C92</f>
        <v>105804.85</v>
      </c>
      <c r="F92" s="301">
        <f>VLOOKUP(D92,'W-Alloc Met-TY'!$C$8:$E$10,3,FALSE)*C92</f>
        <v>0</v>
      </c>
      <c r="G92" s="301">
        <f>VLOOKUP(D92,'W-Alloc Met-TY'!$C$8:$F$10,4,FALSE)*C92</f>
        <v>0</v>
      </c>
      <c r="H92" s="583"/>
    </row>
    <row r="93" spans="1:8">
      <c r="A93" s="855"/>
      <c r="B93" s="261" t="str">
        <f>Expenses!C93</f>
        <v>-</v>
      </c>
      <c r="C93" s="37">
        <f>Expenses!E93</f>
        <v>0</v>
      </c>
      <c r="D93" s="299" t="s">
        <v>691</v>
      </c>
      <c r="E93" s="761">
        <f>VLOOKUP(D93,'W-Alloc Met-TY'!$C$8:$D$10,2,FALSE)*C93</f>
        <v>0</v>
      </c>
      <c r="F93" s="761">
        <f>VLOOKUP(D93,'W-Alloc Met-TY'!$C$8:$E$10,3,FALSE)*C93</f>
        <v>0</v>
      </c>
      <c r="G93" s="762">
        <f>VLOOKUP(D93,'W-Alloc Met-TY'!$C$8:$F$10,4,FALSE)*C93</f>
        <v>0</v>
      </c>
      <c r="H93" s="583"/>
    </row>
    <row r="94" spans="1:8">
      <c r="A94" s="856"/>
      <c r="B94" s="263" t="s">
        <v>29</v>
      </c>
      <c r="C94" s="157">
        <f>SUM(C76:C93)</f>
        <v>1192529.01</v>
      </c>
      <c r="D94" s="157"/>
      <c r="E94" s="157">
        <f>SUM(E76:E93)</f>
        <v>1192529.01</v>
      </c>
      <c r="F94" s="157">
        <f>SUM(F76:F93)</f>
        <v>0</v>
      </c>
      <c r="G94" s="157">
        <f>SUM(G76:G93)</f>
        <v>0</v>
      </c>
      <c r="H94" s="583"/>
    </row>
    <row r="95" spans="1:8">
      <c r="A95" s="855"/>
      <c r="B95" s="265"/>
      <c r="C95" s="147"/>
      <c r="H95" s="583"/>
    </row>
    <row r="96" spans="1:8">
      <c r="A96" s="855"/>
      <c r="B96" s="262" t="s">
        <v>322</v>
      </c>
      <c r="C96" s="259"/>
      <c r="D96" s="153"/>
      <c r="E96" s="153"/>
      <c r="F96" s="153"/>
      <c r="G96" s="153"/>
      <c r="H96" s="583"/>
    </row>
    <row r="97" spans="1:8">
      <c r="A97" s="154" t="s">
        <v>324</v>
      </c>
      <c r="B97" s="261" t="str">
        <f>Expenses!C97</f>
        <v>Wages</v>
      </c>
      <c r="C97" s="69">
        <f>Expenses!E97</f>
        <v>482363</v>
      </c>
      <c r="D97" s="300" t="s">
        <v>691</v>
      </c>
      <c r="E97" s="301">
        <f>VLOOKUP(D97,'W-Alloc Met-TY'!$C$8:$D$10,2,FALSE)*C97</f>
        <v>482363</v>
      </c>
      <c r="F97" s="301">
        <f>VLOOKUP(D97,'W-Alloc Met-TY'!$C$8:$E$10,3,FALSE)*C97</f>
        <v>0</v>
      </c>
      <c r="G97" s="301">
        <f>VLOOKUP(D97,'W-Alloc Met-TY'!$C$8:$F$10,4,FALSE)*C97</f>
        <v>0</v>
      </c>
      <c r="H97" s="17"/>
    </row>
    <row r="98" spans="1:8">
      <c r="A98" s="154" t="s">
        <v>327</v>
      </c>
      <c r="B98" s="261" t="str">
        <f>Expenses!C98</f>
        <v>Employee Overhead</v>
      </c>
      <c r="C98" s="69">
        <f>Expenses!E98</f>
        <v>0</v>
      </c>
      <c r="D98" s="300" t="s">
        <v>691</v>
      </c>
      <c r="E98" s="301">
        <f>VLOOKUP(D98,'W-Alloc Met-TY'!$C$8:$D$10,2,FALSE)*C98</f>
        <v>0</v>
      </c>
      <c r="F98" s="301">
        <f>VLOOKUP(D98,'W-Alloc Met-TY'!$C$8:$E$10,3,FALSE)*C98</f>
        <v>0</v>
      </c>
      <c r="G98" s="301">
        <f>VLOOKUP(D98,'W-Alloc Met-TY'!$C$8:$F$10,4,FALSE)*C98</f>
        <v>0</v>
      </c>
      <c r="H98" s="17"/>
    </row>
    <row r="99" spans="1:8">
      <c r="A99" s="154" t="s">
        <v>329</v>
      </c>
      <c r="B99" s="261" t="str">
        <f>Expenses!C99</f>
        <v xml:space="preserve">Materials &amp; Supplies </v>
      </c>
      <c r="C99" s="69">
        <f>Expenses!E99</f>
        <v>31108</v>
      </c>
      <c r="D99" s="300" t="s">
        <v>691</v>
      </c>
      <c r="E99" s="301">
        <f>VLOOKUP(D99,'W-Alloc Met-TY'!$C$8:$D$10,2,FALSE)*C99</f>
        <v>31108</v>
      </c>
      <c r="F99" s="301">
        <f>VLOOKUP(D99,'W-Alloc Met-TY'!$C$8:$E$10,3,FALSE)*C99</f>
        <v>0</v>
      </c>
      <c r="G99" s="301">
        <f>VLOOKUP(D99,'W-Alloc Met-TY'!$C$8:$F$10,4,FALSE)*C99</f>
        <v>0</v>
      </c>
      <c r="H99" s="583"/>
    </row>
    <row r="100" spans="1:8">
      <c r="A100" s="154" t="s">
        <v>331</v>
      </c>
      <c r="B100" s="261" t="str">
        <f>Expenses!C100</f>
        <v>Contract Accounting</v>
      </c>
      <c r="C100" s="69">
        <f>Expenses!E100</f>
        <v>3633</v>
      </c>
      <c r="D100" s="300" t="s">
        <v>691</v>
      </c>
      <c r="E100" s="301">
        <f>VLOOKUP(D100,'W-Alloc Met-TY'!$C$8:$D$10,2,FALSE)*C100</f>
        <v>3633</v>
      </c>
      <c r="F100" s="301">
        <f>VLOOKUP(D100,'W-Alloc Met-TY'!$C$8:$E$10,3,FALSE)*C100</f>
        <v>0</v>
      </c>
      <c r="G100" s="301">
        <f>VLOOKUP(D100,'W-Alloc Met-TY'!$C$8:$F$10,4,FALSE)*C100</f>
        <v>0</v>
      </c>
      <c r="H100" s="583"/>
    </row>
    <row r="101" spans="1:8">
      <c r="A101" s="154" t="s">
        <v>333</v>
      </c>
      <c r="B101" s="261" t="str">
        <f>Expenses!C101</f>
        <v>Contract Legal</v>
      </c>
      <c r="C101" s="69">
        <f>Expenses!E101</f>
        <v>16922</v>
      </c>
      <c r="D101" s="300" t="s">
        <v>691</v>
      </c>
      <c r="E101" s="301">
        <f>VLOOKUP(D101,'W-Alloc Met-TY'!$C$8:$D$10,2,FALSE)*C101</f>
        <v>16922</v>
      </c>
      <c r="F101" s="301">
        <f>VLOOKUP(D101,'W-Alloc Met-TY'!$C$8:$E$10,3,FALSE)*C101</f>
        <v>0</v>
      </c>
      <c r="G101" s="301">
        <f>VLOOKUP(D101,'W-Alloc Met-TY'!$C$8:$F$10,4,FALSE)*C101</f>
        <v>0</v>
      </c>
      <c r="H101" s="583"/>
    </row>
    <row r="102" spans="1:8">
      <c r="A102" s="154" t="s">
        <v>335</v>
      </c>
      <c r="B102" s="261" t="str">
        <f>Expenses!C102</f>
        <v>Contract Other</v>
      </c>
      <c r="C102" s="69">
        <f>Expenses!E102</f>
        <v>318815</v>
      </c>
      <c r="D102" s="300" t="s">
        <v>691</v>
      </c>
      <c r="E102" s="301">
        <f>VLOOKUP(D102,'W-Alloc Met-TY'!$C$8:$D$10,2,FALSE)*C102</f>
        <v>318815</v>
      </c>
      <c r="F102" s="301">
        <f>VLOOKUP(D102,'W-Alloc Met-TY'!$C$8:$E$10,3,FALSE)*C102</f>
        <v>0</v>
      </c>
      <c r="G102" s="301">
        <f>VLOOKUP(D102,'W-Alloc Met-TY'!$C$8:$F$10,4,FALSE)*C102</f>
        <v>0</v>
      </c>
      <c r="H102" s="583"/>
    </row>
    <row r="103" spans="1:8">
      <c r="A103" s="154" t="s">
        <v>337</v>
      </c>
      <c r="B103" s="261" t="str">
        <f>Expenses!C103</f>
        <v xml:space="preserve">Rent &amp; Utilities </v>
      </c>
      <c r="C103" s="69">
        <f>Expenses!E103</f>
        <v>4924</v>
      </c>
      <c r="D103" s="300" t="s">
        <v>691</v>
      </c>
      <c r="E103" s="301">
        <f>VLOOKUP(D103,'W-Alloc Met-TY'!$C$8:$D$10,2,FALSE)*C103</f>
        <v>4924</v>
      </c>
      <c r="F103" s="301">
        <f>VLOOKUP(D103,'W-Alloc Met-TY'!$C$8:$E$10,3,FALSE)*C103</f>
        <v>0</v>
      </c>
      <c r="G103" s="301">
        <f>VLOOKUP(D103,'W-Alloc Met-TY'!$C$8:$F$10,4,FALSE)*C103</f>
        <v>0</v>
      </c>
      <c r="H103" s="583"/>
    </row>
    <row r="104" spans="1:8">
      <c r="A104" s="154" t="s">
        <v>339</v>
      </c>
      <c r="B104" s="261" t="str">
        <f>Expenses!C104</f>
        <v>Equipment Expenses</v>
      </c>
      <c r="C104" s="69">
        <f>Expenses!E104</f>
        <v>9716</v>
      </c>
      <c r="D104" s="300" t="s">
        <v>691</v>
      </c>
      <c r="E104" s="301">
        <f>VLOOKUP(D104,'W-Alloc Met-TY'!$C$8:$D$10,2,FALSE)*C104</f>
        <v>9716</v>
      </c>
      <c r="F104" s="301">
        <f>VLOOKUP(D104,'W-Alloc Met-TY'!$C$8:$E$10,3,FALSE)*C104</f>
        <v>0</v>
      </c>
      <c r="G104" s="301">
        <f>VLOOKUP(D104,'W-Alloc Met-TY'!$C$8:$F$10,4,FALSE)*C104</f>
        <v>0</v>
      </c>
      <c r="H104" s="583"/>
    </row>
    <row r="105" spans="1:8">
      <c r="A105" s="154" t="s">
        <v>341</v>
      </c>
      <c r="B105" s="261" t="str">
        <f>Expenses!C105</f>
        <v>Insurance G/L</v>
      </c>
      <c r="C105" s="69">
        <f>Expenses!E105</f>
        <v>5784</v>
      </c>
      <c r="D105" s="300" t="s">
        <v>691</v>
      </c>
      <c r="E105" s="301">
        <f>VLOOKUP(D105,'W-Alloc Met-TY'!$C$8:$D$10,2,FALSE)*C105</f>
        <v>5784</v>
      </c>
      <c r="F105" s="301">
        <f>VLOOKUP(D105,'W-Alloc Met-TY'!$C$8:$E$10,3,FALSE)*C105</f>
        <v>0</v>
      </c>
      <c r="G105" s="301">
        <f>VLOOKUP(D105,'W-Alloc Met-TY'!$C$8:$F$10,4,FALSE)*C105</f>
        <v>0</v>
      </c>
      <c r="H105" s="583"/>
    </row>
    <row r="106" spans="1:8">
      <c r="A106" s="154" t="s">
        <v>343</v>
      </c>
      <c r="B106" s="261" t="str">
        <f>Expenses!C106</f>
        <v xml:space="preserve">Insurance Other </v>
      </c>
      <c r="C106" s="69">
        <f>Expenses!E106</f>
        <v>2843</v>
      </c>
      <c r="D106" s="300" t="s">
        <v>691</v>
      </c>
      <c r="E106" s="301">
        <f>VLOOKUP(D106,'W-Alloc Met-TY'!$C$8:$D$10,2,FALSE)*C106</f>
        <v>2843</v>
      </c>
      <c r="F106" s="301">
        <f>VLOOKUP(D106,'W-Alloc Met-TY'!$C$8:$E$10,3,FALSE)*C106</f>
        <v>0</v>
      </c>
      <c r="G106" s="301">
        <f>VLOOKUP(D106,'W-Alloc Met-TY'!$C$8:$F$10,4,FALSE)*C106</f>
        <v>0</v>
      </c>
      <c r="H106" s="583"/>
    </row>
    <row r="107" spans="1:8">
      <c r="A107" s="154" t="s">
        <v>346</v>
      </c>
      <c r="B107" s="261" t="str">
        <f>Expenses!C107</f>
        <v>Misc Expesne</v>
      </c>
      <c r="C107" s="69">
        <f>Expenses!E107</f>
        <v>50260</v>
      </c>
      <c r="D107" s="300" t="s">
        <v>691</v>
      </c>
      <c r="E107" s="301">
        <f>VLOOKUP(D107,'W-Alloc Met-TY'!$C$8:$D$10,2,FALSE)*C107</f>
        <v>50260</v>
      </c>
      <c r="F107" s="301">
        <f>VLOOKUP(D107,'W-Alloc Met-TY'!$C$8:$E$10,3,FALSE)*C107</f>
        <v>0</v>
      </c>
      <c r="G107" s="301">
        <f>VLOOKUP(D107,'W-Alloc Met-TY'!$C$8:$F$10,4,FALSE)*C107</f>
        <v>0</v>
      </c>
      <c r="H107" s="583"/>
    </row>
    <row r="108" spans="1:8">
      <c r="A108" s="154"/>
      <c r="B108" s="261" t="str">
        <f>Expenses!C108</f>
        <v>Misc Expense- Commissioner Fee</v>
      </c>
      <c r="C108" s="69">
        <f>Expenses!E108</f>
        <v>15000</v>
      </c>
      <c r="D108" s="300" t="s">
        <v>691</v>
      </c>
      <c r="E108" s="301">
        <f>VLOOKUP(D108,'W-Alloc Met-TY'!$C$8:$D$10,2,FALSE)*C108</f>
        <v>15000</v>
      </c>
      <c r="F108" s="301">
        <f>VLOOKUP(D108,'W-Alloc Met-TY'!$C$8:$E$10,3,FALSE)*C108</f>
        <v>0</v>
      </c>
      <c r="G108" s="301">
        <f>VLOOKUP(D108,'W-Alloc Met-TY'!$C$8:$F$10,4,FALSE)*C108</f>
        <v>0</v>
      </c>
      <c r="H108" s="583"/>
    </row>
    <row r="109" spans="1:8">
      <c r="A109" s="154"/>
      <c r="B109" s="261" t="str">
        <f>Expenses!C109</f>
        <v>Commissioner SS &amp; Medicare</v>
      </c>
      <c r="C109" s="69">
        <f>Expenses!E109</f>
        <v>2295</v>
      </c>
      <c r="D109" s="300" t="s">
        <v>691</v>
      </c>
      <c r="E109" s="301">
        <f>VLOOKUP(D109,'W-Alloc Met-TY'!$C$8:$D$10,2,FALSE)*C109</f>
        <v>2295</v>
      </c>
      <c r="F109" s="301">
        <f>VLOOKUP(D109,'W-Alloc Met-TY'!$C$8:$E$10,3,FALSE)*C109</f>
        <v>0</v>
      </c>
      <c r="G109" s="301">
        <f>VLOOKUP(D109,'W-Alloc Met-TY'!$C$8:$F$10,4,FALSE)*C109</f>
        <v>0</v>
      </c>
      <c r="H109" s="583"/>
    </row>
    <row r="110" spans="1:8">
      <c r="A110" s="154"/>
      <c r="B110" s="261" t="str">
        <f>Expenses!C110</f>
        <v>Payroll Taxes</v>
      </c>
      <c r="C110" s="69">
        <f>Expenses!E110</f>
        <v>41724.53</v>
      </c>
      <c r="D110" s="300" t="s">
        <v>691</v>
      </c>
      <c r="E110" s="301">
        <f>VLOOKUP(D110,'W-Alloc Met-TY'!$C$8:$D$10,2,FALSE)*C110</f>
        <v>41724.53</v>
      </c>
      <c r="F110" s="301">
        <f>VLOOKUP(D110,'W-Alloc Met-TY'!$C$8:$E$10,3,FALSE)*C110</f>
        <v>0</v>
      </c>
      <c r="G110" s="301">
        <f>VLOOKUP(D110,'W-Alloc Met-TY'!$C$8:$F$10,4,FALSE)*C110</f>
        <v>0</v>
      </c>
      <c r="H110" s="583"/>
    </row>
    <row r="111" spans="1:8">
      <c r="A111" s="154"/>
      <c r="B111" s="261" t="str">
        <f>Expenses!C111</f>
        <v>Wages</v>
      </c>
      <c r="C111" s="69">
        <f>Expenses!E111</f>
        <v>73976.479999999996</v>
      </c>
      <c r="D111" s="300" t="s">
        <v>691</v>
      </c>
      <c r="E111" s="301">
        <f>VLOOKUP(D111,'W-Alloc Met-TY'!$C$8:$D$10,2,FALSE)*C111</f>
        <v>73976.479999999996</v>
      </c>
      <c r="F111" s="301">
        <f>VLOOKUP(D111,'W-Alloc Met-TY'!$C$8:$E$10,3,FALSE)*C111</f>
        <v>0</v>
      </c>
      <c r="G111" s="301">
        <f>VLOOKUP(D111,'W-Alloc Met-TY'!$C$8:$F$10,4,FALSE)*C111</f>
        <v>0</v>
      </c>
      <c r="H111" s="583"/>
    </row>
    <row r="112" spans="1:8">
      <c r="A112" s="154"/>
      <c r="B112" s="261" t="str">
        <f>Expenses!C112</f>
        <v>Worker's Compensation</v>
      </c>
      <c r="C112" s="69">
        <f>Expenses!E112</f>
        <v>2712.92</v>
      </c>
      <c r="D112" s="300" t="s">
        <v>691</v>
      </c>
      <c r="E112" s="301">
        <f>VLOOKUP(D112,'W-Alloc Met-TY'!$C$8:$D$10,2,FALSE)*C112</f>
        <v>2712.92</v>
      </c>
      <c r="F112" s="301">
        <f>VLOOKUP(D112,'W-Alloc Met-TY'!$C$8:$E$10,3,FALSE)*C112</f>
        <v>0</v>
      </c>
      <c r="G112" s="301">
        <f>VLOOKUP(D112,'W-Alloc Met-TY'!$C$8:$F$10,4,FALSE)*C112</f>
        <v>0</v>
      </c>
      <c r="H112" s="583"/>
    </row>
    <row r="113" spans="1:8">
      <c r="A113" s="154"/>
      <c r="B113" s="261" t="str">
        <f>Expenses!C113</f>
        <v xml:space="preserve">Fringe Benefits- Insurance </v>
      </c>
      <c r="C113" s="69">
        <f>Expenses!E113</f>
        <v>58520.75</v>
      </c>
      <c r="D113" s="300" t="s">
        <v>691</v>
      </c>
      <c r="E113" s="301">
        <f>VLOOKUP(D113,'W-Alloc Met-TY'!$C$8:$D$10,2,FALSE)*C113</f>
        <v>58520.75</v>
      </c>
      <c r="F113" s="301">
        <f>VLOOKUP(D113,'W-Alloc Met-TY'!$C$8:$E$10,3,FALSE)*C113</f>
        <v>0</v>
      </c>
      <c r="G113" s="301">
        <f>VLOOKUP(D113,'W-Alloc Met-TY'!$C$8:$F$10,4,FALSE)*C113</f>
        <v>0</v>
      </c>
      <c r="H113" s="583"/>
    </row>
    <row r="114" spans="1:8">
      <c r="A114" s="154"/>
      <c r="B114" s="261" t="str">
        <f>Expenses!C114</f>
        <v xml:space="preserve">Retirement </v>
      </c>
      <c r="C114" s="69">
        <f>Expenses!E114</f>
        <v>96940.32</v>
      </c>
      <c r="D114" s="300" t="s">
        <v>691</v>
      </c>
      <c r="E114" s="301">
        <f>VLOOKUP(D114,'W-Alloc Met-TY'!$C$8:$D$10,2,FALSE)*C114</f>
        <v>96940.32</v>
      </c>
      <c r="F114" s="301">
        <f>VLOOKUP(D114,'W-Alloc Met-TY'!$C$8:$E$10,3,FALSE)*C114</f>
        <v>0</v>
      </c>
      <c r="G114" s="301">
        <f>VLOOKUP(D114,'W-Alloc Met-TY'!$C$8:$F$10,4,FALSE)*C114</f>
        <v>0</v>
      </c>
      <c r="H114" s="583"/>
    </row>
    <row r="115" spans="1:8">
      <c r="A115" s="154"/>
      <c r="B115" s="261" t="str">
        <f>Expenses!C115</f>
        <v>-</v>
      </c>
      <c r="C115" s="37">
        <f>Expenses!E115</f>
        <v>0</v>
      </c>
      <c r="D115" s="299" t="s">
        <v>691</v>
      </c>
      <c r="E115" s="761">
        <f>VLOOKUP(D115,'W-Alloc Met-TY'!$C$8:$D$10,2,FALSE)*C115</f>
        <v>0</v>
      </c>
      <c r="F115" s="761">
        <f>VLOOKUP(D115,'W-Alloc Met-TY'!$C$8:$E$10,3,FALSE)*C115</f>
        <v>0</v>
      </c>
      <c r="G115" s="762">
        <f>VLOOKUP(D115,'W-Alloc Met-TY'!$C$8:$F$10,4,FALSE)*C115</f>
        <v>0</v>
      </c>
      <c r="H115" s="583"/>
    </row>
    <row r="116" spans="1:8">
      <c r="A116" s="856"/>
      <c r="B116" s="263" t="s">
        <v>29</v>
      </c>
      <c r="C116" s="157">
        <f>SUM(C97:C115)</f>
        <v>1217538</v>
      </c>
      <c r="D116" s="157"/>
      <c r="E116" s="157">
        <f>SUM(E97:E115)</f>
        <v>1217538</v>
      </c>
      <c r="F116" s="157">
        <f>SUM(F97:F115)</f>
        <v>0</v>
      </c>
      <c r="G116" s="157">
        <f>SUM(G97:G115)</f>
        <v>0</v>
      </c>
      <c r="H116" s="583"/>
    </row>
    <row r="117" spans="1:8">
      <c r="A117" s="855"/>
      <c r="B117" s="264"/>
      <c r="C117" s="147"/>
      <c r="H117" s="583"/>
    </row>
    <row r="118" spans="1:8">
      <c r="A118" s="855"/>
      <c r="B118" s="262" t="s">
        <v>102</v>
      </c>
      <c r="C118" s="259"/>
      <c r="D118" s="153"/>
      <c r="E118" s="153"/>
      <c r="F118" s="153"/>
      <c r="G118" s="153"/>
      <c r="H118" s="583"/>
    </row>
    <row r="119" spans="1:8">
      <c r="A119" s="154" t="str">
        <f>Expenses!B119</f>
        <v>604-8200-2</v>
      </c>
      <c r="B119" s="261" t="str">
        <f>Expenses!C119</f>
        <v>Employee Overhead- Reimbursement Acct</v>
      </c>
      <c r="C119" s="69">
        <f>Expenses!E119</f>
        <v>0</v>
      </c>
      <c r="D119" s="300" t="s">
        <v>691</v>
      </c>
      <c r="E119" s="301">
        <f>VLOOKUP(D119,'W-Alloc Met-TY'!$C$8:$D$10,2,FALSE)*C119</f>
        <v>0</v>
      </c>
      <c r="F119" s="301">
        <f>VLOOKUP(D119,'W-Alloc Met-TY'!$C$8:$E$10,3,FALSE)*C119</f>
        <v>0</v>
      </c>
      <c r="G119" s="301">
        <f>VLOOKUP(D119,'W-Alloc Met-TY'!$C$8:$F$10,4,FALSE)*C119</f>
        <v>0</v>
      </c>
      <c r="H119" s="17"/>
    </row>
    <row r="120" spans="1:8">
      <c r="A120" s="154" t="str">
        <f>Expenses!B120</f>
        <v>615-5011-2</v>
      </c>
      <c r="B120" s="261" t="str">
        <f>Expenses!C120</f>
        <v>Purchased Power- Master Mtrs</v>
      </c>
      <c r="C120" s="69">
        <f>Expenses!E120</f>
        <v>4902</v>
      </c>
      <c r="D120" s="300" t="s">
        <v>693</v>
      </c>
      <c r="E120" s="301">
        <f>VLOOKUP(D120,'W-Alloc Met-TY'!$C$8:$D$10,2,FALSE)*C120</f>
        <v>4330.3382462989266</v>
      </c>
      <c r="F120" s="301">
        <f>VLOOKUP(D120,'W-Alloc Met-TY'!$C$8:$E$10,3,FALSE)*C120</f>
        <v>571.66175370107305</v>
      </c>
      <c r="G120" s="301">
        <f>VLOOKUP(D120,'W-Alloc Met-TY'!$C$8:$F$10,4,FALSE)*C120</f>
        <v>0</v>
      </c>
      <c r="H120" s="583"/>
    </row>
    <row r="121" spans="1:8">
      <c r="A121" s="154" t="str">
        <f>Expenses!B121</f>
        <v>615-7001-2</v>
      </c>
      <c r="B121" s="261" t="str">
        <f>Expenses!C121</f>
        <v>Purchased Power- Property</v>
      </c>
      <c r="C121" s="69">
        <f>Expenses!E121</f>
        <v>2376</v>
      </c>
      <c r="D121" s="300" t="s">
        <v>691</v>
      </c>
      <c r="E121" s="301">
        <f>VLOOKUP(D121,'W-Alloc Met-TY'!$C$8:$D$10,2,FALSE)*C121</f>
        <v>2376</v>
      </c>
      <c r="F121" s="301">
        <f>VLOOKUP(D121,'W-Alloc Met-TY'!$C$8:$E$10,3,FALSE)*C121</f>
        <v>0</v>
      </c>
      <c r="G121" s="301">
        <f>VLOOKUP(D121,'W-Alloc Met-TY'!$C$8:$F$10,4,FALSE)*C121</f>
        <v>0</v>
      </c>
      <c r="H121" s="583"/>
    </row>
    <row r="122" spans="1:8">
      <c r="A122" s="154" t="str">
        <f>Expenses!B122</f>
        <v>415-0000-2</v>
      </c>
      <c r="B122" s="261" t="str">
        <f>Expenses!C122</f>
        <v xml:space="preserve">Reimbursement- Trucks &amp; Equipment </v>
      </c>
      <c r="C122" s="69">
        <f>Expenses!E122</f>
        <v>0</v>
      </c>
      <c r="D122" s="300" t="s">
        <v>691</v>
      </c>
      <c r="E122" s="301">
        <f>VLOOKUP(D122,'W-Alloc Met-TY'!$C$8:$D$10,2,FALSE)*C122</f>
        <v>0</v>
      </c>
      <c r="F122" s="301">
        <f>VLOOKUP(D122,'W-Alloc Met-TY'!$C$8:$E$10,3,FALSE)*C122</f>
        <v>0</v>
      </c>
      <c r="G122" s="301">
        <f>VLOOKUP(D122,'W-Alloc Met-TY'!$C$8:$F$10,4,FALSE)*C122</f>
        <v>0</v>
      </c>
      <c r="H122" s="583"/>
    </row>
    <row r="123" spans="1:8">
      <c r="A123" s="154" t="str">
        <f>Expenses!B123</f>
        <v>416-0000-3</v>
      </c>
      <c r="B123" s="261" t="str">
        <f>Expenses!C123</f>
        <v xml:space="preserve">Expense - Trucks &amp; Equipment </v>
      </c>
      <c r="C123" s="69">
        <f>Expenses!E123</f>
        <v>0</v>
      </c>
      <c r="D123" s="300" t="s">
        <v>691</v>
      </c>
      <c r="E123" s="301">
        <f>VLOOKUP(D123,'W-Alloc Met-TY'!$C$8:$D$10,2,FALSE)*C123</f>
        <v>0</v>
      </c>
      <c r="F123" s="301">
        <f>VLOOKUP(D123,'W-Alloc Met-TY'!$C$8:$E$10,3,FALSE)*C123</f>
        <v>0</v>
      </c>
      <c r="G123" s="301">
        <f>VLOOKUP(D123,'W-Alloc Met-TY'!$C$8:$F$10,4,FALSE)*C123</f>
        <v>0</v>
      </c>
      <c r="H123" s="583"/>
    </row>
    <row r="124" spans="1:8">
      <c r="A124" s="154" t="str">
        <f>Expenses!B124</f>
        <v>408-0000-2</v>
      </c>
      <c r="B124" s="261" t="str">
        <f>Expenses!C124</f>
        <v>PSC Assessment</v>
      </c>
      <c r="C124" s="69">
        <f>Expenses!E124</f>
        <v>20980</v>
      </c>
      <c r="D124" s="300" t="s">
        <v>691</v>
      </c>
      <c r="E124" s="301">
        <f>VLOOKUP(D124,'W-Alloc Met-TY'!$C$8:$D$10,2,FALSE)*C124</f>
        <v>20980</v>
      </c>
      <c r="F124" s="301">
        <f>VLOOKUP(D124,'W-Alloc Met-TY'!$C$8:$E$10,3,FALSE)*C124</f>
        <v>0</v>
      </c>
      <c r="G124" s="301">
        <f>VLOOKUP(D124,'W-Alloc Met-TY'!$C$8:$F$10,4,FALSE)*C124</f>
        <v>0</v>
      </c>
      <c r="H124" s="583"/>
    </row>
    <row r="125" spans="1:8">
      <c r="A125" s="154" t="str">
        <f>Expenses!B125</f>
        <v>670-7001-2</v>
      </c>
      <c r="B125" s="261" t="str">
        <f>Expenses!C125</f>
        <v>Bad Debt Expense</v>
      </c>
      <c r="C125" s="69">
        <f>Expenses!E125</f>
        <v>20960</v>
      </c>
      <c r="D125" s="300" t="s">
        <v>691</v>
      </c>
      <c r="E125" s="301">
        <f>VLOOKUP(D125,'W-Alloc Met-TY'!$C$8:$D$10,2,FALSE)*C125</f>
        <v>20960</v>
      </c>
      <c r="F125" s="301">
        <f>VLOOKUP(D125,'W-Alloc Met-TY'!$C$8:$E$10,3,FALSE)*C125</f>
        <v>0</v>
      </c>
      <c r="G125" s="301">
        <f>VLOOKUP(D125,'W-Alloc Met-TY'!$C$8:$F$10,4,FALSE)*C125</f>
        <v>0</v>
      </c>
      <c r="H125" s="583"/>
    </row>
    <row r="126" spans="1:8">
      <c r="A126" s="154" t="str">
        <f>Expenses!B126</f>
        <v>-</v>
      </c>
      <c r="B126" s="261" t="str">
        <f>Expenses!C126</f>
        <v>Bad Debt Expense</v>
      </c>
      <c r="C126" s="69">
        <f>Expenses!E126</f>
        <v>0</v>
      </c>
      <c r="D126" s="300" t="s">
        <v>691</v>
      </c>
      <c r="E126" s="301">
        <f>VLOOKUP(D126,'W-Alloc Met-TY'!$C$8:$D$10,2,FALSE)*C126</f>
        <v>0</v>
      </c>
      <c r="F126" s="301">
        <f>VLOOKUP(D126,'W-Alloc Met-TY'!$C$8:$E$10,3,FALSE)*C126</f>
        <v>0</v>
      </c>
      <c r="G126" s="301">
        <f>VLOOKUP(D126,'W-Alloc Met-TY'!$C$8:$F$10,4,FALSE)*C126</f>
        <v>0</v>
      </c>
      <c r="H126" s="583"/>
    </row>
    <row r="127" spans="1:8">
      <c r="A127" s="154" t="str">
        <f>Expenses!B127</f>
        <v>675-7021-2</v>
      </c>
      <c r="B127" s="261" t="str">
        <f>Expenses!C127</f>
        <v>Misc Expense- Cash Over/Short (CIS)</v>
      </c>
      <c r="C127" s="69">
        <f>Expenses!E127</f>
        <v>-3</v>
      </c>
      <c r="D127" s="300" t="s">
        <v>691</v>
      </c>
      <c r="E127" s="301">
        <f>VLOOKUP(D127,'W-Alloc Met-TY'!$C$8:$D$10,2,FALSE)*C127</f>
        <v>-3</v>
      </c>
      <c r="F127" s="301">
        <f>VLOOKUP(D127,'W-Alloc Met-TY'!$C$8:$E$10,3,FALSE)*C127</f>
        <v>0</v>
      </c>
      <c r="G127" s="301">
        <f>VLOOKUP(D127,'W-Alloc Met-TY'!$C$8:$F$10,4,FALSE)*C127</f>
        <v>0</v>
      </c>
      <c r="H127" s="583"/>
    </row>
    <row r="128" spans="1:8">
      <c r="A128" s="154" t="str">
        <f>Expenses!B128</f>
        <v>675-7025-2</v>
      </c>
      <c r="B128" s="261" t="str">
        <f>Expenses!C128</f>
        <v>Misc Expense- Customer FB (CIS)</v>
      </c>
      <c r="C128" s="69">
        <f>Expenses!E128</f>
        <v>0</v>
      </c>
      <c r="D128" s="300" t="s">
        <v>691</v>
      </c>
      <c r="E128" s="301">
        <f>VLOOKUP(D128,'W-Alloc Met-TY'!$C$8:$D$10,2,FALSE)*C128</f>
        <v>0</v>
      </c>
      <c r="F128" s="301">
        <f>VLOOKUP(D128,'W-Alloc Met-TY'!$C$8:$E$10,3,FALSE)*C128</f>
        <v>0</v>
      </c>
      <c r="G128" s="301">
        <f>VLOOKUP(D128,'W-Alloc Met-TY'!$C$8:$F$10,4,FALSE)*C128</f>
        <v>0</v>
      </c>
      <c r="H128" s="583"/>
    </row>
    <row r="129" spans="1:8">
      <c r="A129" s="154" t="str">
        <f>Expenses!B129</f>
        <v>-</v>
      </c>
      <c r="B129" s="261" t="str">
        <f>Expenses!C129</f>
        <v>Non-Utility Income</v>
      </c>
      <c r="C129" s="69">
        <f>Expenses!E129</f>
        <v>0</v>
      </c>
      <c r="D129" s="300" t="s">
        <v>691</v>
      </c>
      <c r="E129" s="301">
        <f>VLOOKUP(D129,'W-Alloc Met-TY'!$C$8:$D$10,2,FALSE)*C129</f>
        <v>0</v>
      </c>
      <c r="F129" s="301">
        <f>VLOOKUP(D129,'W-Alloc Met-TY'!$C$8:$E$10,3,FALSE)*C129</f>
        <v>0</v>
      </c>
      <c r="G129" s="301">
        <f>VLOOKUP(D129,'W-Alloc Met-TY'!$C$8:$F$10,4,FALSE)*C129</f>
        <v>0</v>
      </c>
      <c r="H129" s="583"/>
    </row>
    <row r="130" spans="1:8">
      <c r="A130" s="154" t="str">
        <f>Expenses!B130</f>
        <v>421-0001-2</v>
      </c>
      <c r="B130" s="261" t="str">
        <f>Expenses!C130</f>
        <v>Non-Utility Income- Miscellaneous</v>
      </c>
      <c r="C130" s="69">
        <f>Expenses!E130</f>
        <v>-11001</v>
      </c>
      <c r="D130" s="300" t="s">
        <v>691</v>
      </c>
      <c r="E130" s="301">
        <f>VLOOKUP(D130,'W-Alloc Met-TY'!$C$8:$D$10,2,FALSE)*C130</f>
        <v>-11001</v>
      </c>
      <c r="F130" s="301">
        <f>VLOOKUP(D130,'W-Alloc Met-TY'!$C$8:$E$10,3,FALSE)*C130</f>
        <v>0</v>
      </c>
      <c r="G130" s="301">
        <f>VLOOKUP(D130,'W-Alloc Met-TY'!$C$8:$F$10,4,FALSE)*C130</f>
        <v>0</v>
      </c>
      <c r="H130" s="583"/>
    </row>
    <row r="131" spans="1:8">
      <c r="A131" s="154" t="str">
        <f>Expenses!B131</f>
        <v>426-0000-2</v>
      </c>
      <c r="B131" s="261" t="str">
        <f>Expenses!C131</f>
        <v>Unrealized (Gain)/Loss on Investments</v>
      </c>
      <c r="C131" s="69">
        <f>Expenses!E131</f>
        <v>3996</v>
      </c>
      <c r="D131" s="300" t="s">
        <v>691</v>
      </c>
      <c r="E131" s="301">
        <f>VLOOKUP(D131,'W-Alloc Met-TY'!$C$8:$D$10,2,FALSE)*C131</f>
        <v>3996</v>
      </c>
      <c r="F131" s="301">
        <f>VLOOKUP(D131,'W-Alloc Met-TY'!$C$8:$E$10,3,FALSE)*C131</f>
        <v>0</v>
      </c>
      <c r="G131" s="301">
        <f>VLOOKUP(D131,'W-Alloc Met-TY'!$C$8:$F$10,4,FALSE)*C131</f>
        <v>0</v>
      </c>
      <c r="H131" s="583"/>
    </row>
    <row r="132" spans="1:8">
      <c r="A132" s="154"/>
      <c r="B132" s="261" t="str">
        <f>Expenses!C132</f>
        <v>Rate Case Expenses</v>
      </c>
      <c r="C132" s="69">
        <f>Expenses!E132</f>
        <v>0</v>
      </c>
      <c r="D132" s="300" t="s">
        <v>691</v>
      </c>
      <c r="E132" s="301">
        <f>VLOOKUP(D132,'W-Alloc Met-TY'!$C$8:$D$10,2,FALSE)*C132</f>
        <v>0</v>
      </c>
      <c r="F132" s="301">
        <f>VLOOKUP(D132,'W-Alloc Met-TY'!$C$8:$E$10,3,FALSE)*C132</f>
        <v>0</v>
      </c>
      <c r="G132" s="301">
        <f>VLOOKUP(D132,'W-Alloc Met-TY'!$C$8:$F$10,4,FALSE)*C132</f>
        <v>0</v>
      </c>
      <c r="H132" s="583"/>
    </row>
    <row r="133" spans="1:8">
      <c r="A133" s="154"/>
      <c r="B133" s="261" t="str">
        <f>Expenses!C133</f>
        <v>-</v>
      </c>
      <c r="C133" s="69">
        <f>Expenses!E133</f>
        <v>0</v>
      </c>
      <c r="D133" s="300" t="s">
        <v>691</v>
      </c>
      <c r="E133" s="301">
        <f>VLOOKUP(D133,'W-Alloc Met-TY'!$C$8:$D$10,2,FALSE)*C133</f>
        <v>0</v>
      </c>
      <c r="F133" s="301">
        <f>VLOOKUP(D133,'W-Alloc Met-TY'!$C$8:$E$10,3,FALSE)*C133</f>
        <v>0</v>
      </c>
      <c r="G133" s="301">
        <f>VLOOKUP(D133,'W-Alloc Met-TY'!$C$8:$F$10,4,FALSE)*C133</f>
        <v>0</v>
      </c>
      <c r="H133" s="583"/>
    </row>
    <row r="134" spans="1:8">
      <c r="A134" s="154"/>
      <c r="B134" s="261" t="str">
        <f>Expenses!C134</f>
        <v>-</v>
      </c>
      <c r="C134" s="69">
        <f>Expenses!E134</f>
        <v>0</v>
      </c>
      <c r="D134" s="300" t="s">
        <v>691</v>
      </c>
      <c r="E134" s="301">
        <f>VLOOKUP(D134,'W-Alloc Met-TY'!$C$8:$D$10,2,FALSE)*C134</f>
        <v>0</v>
      </c>
      <c r="F134" s="301">
        <f>VLOOKUP(D134,'W-Alloc Met-TY'!$C$8:$E$10,3,FALSE)*C134</f>
        <v>0</v>
      </c>
      <c r="G134" s="301">
        <f>VLOOKUP(D134,'W-Alloc Met-TY'!$C$8:$F$10,4,FALSE)*C134</f>
        <v>0</v>
      </c>
      <c r="H134" s="583"/>
    </row>
    <row r="135" spans="1:8">
      <c r="A135" s="154"/>
      <c r="B135" s="261" t="str">
        <f>Expenses!C135</f>
        <v>-</v>
      </c>
      <c r="C135" s="69">
        <f>Expenses!E135</f>
        <v>0</v>
      </c>
      <c r="D135" s="300" t="s">
        <v>691</v>
      </c>
      <c r="E135" s="301">
        <f>VLOOKUP(D135,'W-Alloc Met-TY'!$C$8:$D$10,2,FALSE)*C135</f>
        <v>0</v>
      </c>
      <c r="F135" s="301">
        <f>VLOOKUP(D135,'W-Alloc Met-TY'!$C$8:$E$10,3,FALSE)*C135</f>
        <v>0</v>
      </c>
      <c r="G135" s="301">
        <f>VLOOKUP(D135,'W-Alloc Met-TY'!$C$8:$F$10,4,FALSE)*C135</f>
        <v>0</v>
      </c>
      <c r="H135" s="583"/>
    </row>
    <row r="136" spans="1:8">
      <c r="A136" s="154"/>
      <c r="B136" s="261" t="str">
        <f>Expenses!C136</f>
        <v>-</v>
      </c>
      <c r="C136" s="69">
        <f>Expenses!E136</f>
        <v>0</v>
      </c>
      <c r="D136" s="300" t="s">
        <v>691</v>
      </c>
      <c r="E136" s="301">
        <f>VLOOKUP(D136,'W-Alloc Met-TY'!$C$8:$D$10,2,FALSE)*C136</f>
        <v>0</v>
      </c>
      <c r="F136" s="301">
        <f>VLOOKUP(D136,'W-Alloc Met-TY'!$C$8:$E$10,3,FALSE)*C136</f>
        <v>0</v>
      </c>
      <c r="G136" s="301">
        <f>VLOOKUP(D136,'W-Alloc Met-TY'!$C$8:$F$10,4,FALSE)*C136</f>
        <v>0</v>
      </c>
      <c r="H136" s="583"/>
    </row>
    <row r="137" spans="1:8">
      <c r="A137" s="154"/>
      <c r="B137" s="261" t="str">
        <f>Expenses!C137</f>
        <v>-</v>
      </c>
      <c r="C137" s="37">
        <f>Expenses!E137</f>
        <v>0</v>
      </c>
      <c r="D137" s="299" t="s">
        <v>691</v>
      </c>
      <c r="E137" s="761">
        <f>VLOOKUP(D137,'W-Alloc Met-TY'!$C$8:$D$10,2,FALSE)*C137</f>
        <v>0</v>
      </c>
      <c r="F137" s="761">
        <f>VLOOKUP(D137,'W-Alloc Met-TY'!$C$8:$E$10,3,FALSE)*C137</f>
        <v>0</v>
      </c>
      <c r="G137" s="762">
        <f>VLOOKUP(D137,'W-Alloc Met-TY'!$C$8:$F$10,4,FALSE)*C137</f>
        <v>0</v>
      </c>
      <c r="H137" s="583"/>
    </row>
    <row r="138" spans="1:8">
      <c r="A138" s="856"/>
      <c r="B138" s="263" t="s">
        <v>29</v>
      </c>
      <c r="C138" s="157">
        <f>SUM(C119:C137)</f>
        <v>42210</v>
      </c>
      <c r="D138" s="157"/>
      <c r="E138" s="157">
        <f>SUM(E119:E137)</f>
        <v>41638.338246298925</v>
      </c>
      <c r="F138" s="157">
        <f>SUM(F119:F137)</f>
        <v>571.66175370107305</v>
      </c>
      <c r="G138" s="157">
        <f>SUM(G119:G137)</f>
        <v>0</v>
      </c>
      <c r="H138" s="583"/>
    </row>
    <row r="139" spans="1:8">
      <c r="A139" s="855"/>
      <c r="B139" s="266"/>
      <c r="C139" s="45"/>
      <c r="H139" s="583"/>
    </row>
    <row r="140" spans="1:8">
      <c r="A140" s="855"/>
      <c r="B140" s="262" t="s">
        <v>388</v>
      </c>
      <c r="C140" s="259"/>
      <c r="D140" s="153"/>
      <c r="E140" s="153"/>
      <c r="F140" s="153"/>
      <c r="G140" s="153"/>
      <c r="H140" s="583"/>
    </row>
    <row r="141" spans="1:8">
      <c r="A141" s="855"/>
      <c r="B141" s="267" t="str">
        <f>Expenses!C141</f>
        <v>Improvement (Land)</v>
      </c>
      <c r="C141" s="69">
        <f>Expenses!E141</f>
        <v>0</v>
      </c>
      <c r="D141" s="300" t="s">
        <v>691</v>
      </c>
      <c r="E141" s="301">
        <f>VLOOKUP(D141,'W-Alloc Met-TY'!$C$8:$D$10,2,FALSE)*C141</f>
        <v>0</v>
      </c>
      <c r="F141" s="301">
        <f>VLOOKUP(D141,'W-Alloc Met-TY'!$C$8:$E$10,3,FALSE)*C141</f>
        <v>0</v>
      </c>
      <c r="G141" s="301">
        <f>VLOOKUP(D141,'W-Alloc Met-TY'!$C$8:$F$10,4,FALSE)*C141</f>
        <v>0</v>
      </c>
      <c r="H141" s="610"/>
    </row>
    <row r="142" spans="1:8">
      <c r="A142" s="855" t="s">
        <v>392</v>
      </c>
      <c r="B142" s="267" t="str">
        <f>Expenses!C142</f>
        <v>Structures</v>
      </c>
      <c r="C142" s="69">
        <f>Expenses!E142</f>
        <v>205951</v>
      </c>
      <c r="D142" s="300" t="s">
        <v>691</v>
      </c>
      <c r="E142" s="301">
        <f>VLOOKUP(D142,'W-Alloc Met-TY'!$C$8:$D$10,2,FALSE)*C142</f>
        <v>205951</v>
      </c>
      <c r="F142" s="301">
        <f>VLOOKUP(D142,'W-Alloc Met-TY'!$C$8:$E$10,3,FALSE)*C142</f>
        <v>0</v>
      </c>
      <c r="G142" s="301">
        <f>VLOOKUP(D142,'W-Alloc Met-TY'!$C$8:$F$10,4,FALSE)*C142</f>
        <v>0</v>
      </c>
      <c r="H142" s="583"/>
    </row>
    <row r="143" spans="1:8">
      <c r="A143" s="855"/>
      <c r="B143" s="267" t="str">
        <f>Expenses!C143</f>
        <v>Office Building</v>
      </c>
      <c r="C143" s="69">
        <f>Expenses!E143</f>
        <v>0</v>
      </c>
      <c r="D143" s="300" t="s">
        <v>691</v>
      </c>
      <c r="E143" s="301">
        <f>VLOOKUP(D143,'W-Alloc Met-TY'!$C$8:$D$10,2,FALSE)*C143</f>
        <v>0</v>
      </c>
      <c r="F143" s="301">
        <f>VLOOKUP(D143,'W-Alloc Met-TY'!$C$8:$E$10,3,FALSE)*C143</f>
        <v>0</v>
      </c>
      <c r="G143" s="301">
        <f>VLOOKUP(D143,'W-Alloc Met-TY'!$C$8:$F$10,4,FALSE)*C143</f>
        <v>0</v>
      </c>
      <c r="H143" s="583"/>
    </row>
    <row r="144" spans="1:8">
      <c r="A144" s="855" t="s">
        <v>398</v>
      </c>
      <c r="B144" s="267" t="str">
        <f>Expenses!C144</f>
        <v>Equip (Elec Plumbing)</v>
      </c>
      <c r="C144" s="69">
        <f>Expenses!E144</f>
        <v>133962</v>
      </c>
      <c r="D144" s="300" t="s">
        <v>691</v>
      </c>
      <c r="E144" s="301">
        <f>VLOOKUP(D144,'W-Alloc Met-TY'!$C$8:$D$10,2,FALSE)*C144</f>
        <v>133962</v>
      </c>
      <c r="F144" s="301">
        <f>VLOOKUP(D144,'W-Alloc Met-TY'!$C$8:$E$10,3,FALSE)*C144</f>
        <v>0</v>
      </c>
      <c r="G144" s="301">
        <f>VLOOKUP(D144,'W-Alloc Met-TY'!$C$8:$F$10,4,FALSE)*C144</f>
        <v>0</v>
      </c>
      <c r="H144" s="583"/>
    </row>
    <row r="145" spans="1:8">
      <c r="A145" s="154" t="s">
        <v>401</v>
      </c>
      <c r="B145" s="267" t="str">
        <f>Expenses!C145</f>
        <v>Standpipes</v>
      </c>
      <c r="C145" s="69">
        <f>Expenses!E145</f>
        <v>420299</v>
      </c>
      <c r="D145" s="300" t="s">
        <v>691</v>
      </c>
      <c r="E145" s="301">
        <f>VLOOKUP(D145,'W-Alloc Met-TY'!$C$8:$D$10,2,FALSE)*C145</f>
        <v>420299</v>
      </c>
      <c r="F145" s="301">
        <f>VLOOKUP(D145,'W-Alloc Met-TY'!$C$8:$E$10,3,FALSE)*C145</f>
        <v>0</v>
      </c>
      <c r="G145" s="301">
        <f>VLOOKUP(D145,'W-Alloc Met-TY'!$C$8:$F$10,4,FALSE)*C145</f>
        <v>0</v>
      </c>
      <c r="H145" s="583"/>
    </row>
    <row r="146" spans="1:8">
      <c r="A146" s="154" t="s">
        <v>404</v>
      </c>
      <c r="B146" s="267" t="str">
        <f>Expenses!C146</f>
        <v>Mains (T&amp;D)</v>
      </c>
      <c r="C146" s="69">
        <f>Expenses!E146</f>
        <v>1112300</v>
      </c>
      <c r="D146" s="300" t="s">
        <v>691</v>
      </c>
      <c r="E146" s="301">
        <f>VLOOKUP(D146,'W-Alloc Met-TY'!$C$8:$D$10,2,FALSE)*C146</f>
        <v>1112300</v>
      </c>
      <c r="F146" s="301">
        <f>VLOOKUP(D146,'W-Alloc Met-TY'!$C$8:$E$10,3,FALSE)*C146</f>
        <v>0</v>
      </c>
      <c r="G146" s="301">
        <f>VLOOKUP(D146,'W-Alloc Met-TY'!$C$8:$F$10,4,FALSE)*C146</f>
        <v>0</v>
      </c>
      <c r="H146" s="583"/>
    </row>
    <row r="147" spans="1:8">
      <c r="A147" s="154" t="s">
        <v>408</v>
      </c>
      <c r="B147" s="267" t="str">
        <f>Expenses!C147</f>
        <v>SCADA</v>
      </c>
      <c r="C147" s="69">
        <f>Expenses!E147</f>
        <v>62241</v>
      </c>
      <c r="D147" s="300" t="s">
        <v>691</v>
      </c>
      <c r="E147" s="301">
        <f>VLOOKUP(D147,'W-Alloc Met-TY'!$C$8:$D$10,2,FALSE)*C147</f>
        <v>62241</v>
      </c>
      <c r="F147" s="301">
        <f>VLOOKUP(D147,'W-Alloc Met-TY'!$C$8:$E$10,3,FALSE)*C147</f>
        <v>0</v>
      </c>
      <c r="G147" s="301">
        <f>VLOOKUP(D147,'W-Alloc Met-TY'!$C$8:$F$10,4,FALSE)*C147</f>
        <v>0</v>
      </c>
      <c r="H147" s="583"/>
    </row>
    <row r="148" spans="1:8">
      <c r="A148" s="154" t="s">
        <v>412</v>
      </c>
      <c r="B148" s="267" t="str">
        <f>Expenses!C148</f>
        <v>Meters  (Services)</v>
      </c>
      <c r="C148" s="69">
        <f>Expenses!E148</f>
        <v>337967</v>
      </c>
      <c r="D148" s="300" t="s">
        <v>691</v>
      </c>
      <c r="E148" s="301">
        <f>VLOOKUP(D148,'W-Alloc Met-TY'!$C$8:$D$10,2,FALSE)*C148</f>
        <v>337967</v>
      </c>
      <c r="F148" s="301">
        <f>VLOOKUP(D148,'W-Alloc Met-TY'!$C$8:$E$10,3,FALSE)*C148</f>
        <v>0</v>
      </c>
      <c r="G148" s="301">
        <f>VLOOKUP(D148,'W-Alloc Met-TY'!$C$8:$F$10,4,FALSE)*C148</f>
        <v>0</v>
      </c>
      <c r="H148" s="583"/>
    </row>
    <row r="149" spans="1:8">
      <c r="A149" s="154" t="s">
        <v>415</v>
      </c>
      <c r="B149" s="267" t="str">
        <f>Expenses!C149</f>
        <v>Meters</v>
      </c>
      <c r="C149" s="69">
        <f>Expenses!E149</f>
        <v>973066</v>
      </c>
      <c r="D149" s="300" t="s">
        <v>691</v>
      </c>
      <c r="E149" s="301">
        <f>VLOOKUP(D149,'W-Alloc Met-TY'!$C$8:$D$10,2,FALSE)*C149</f>
        <v>973066</v>
      </c>
      <c r="F149" s="301">
        <f>VLOOKUP(D149,'W-Alloc Met-TY'!$C$8:$E$10,3,FALSE)*C149</f>
        <v>0</v>
      </c>
      <c r="G149" s="301">
        <f>VLOOKUP(D149,'W-Alloc Met-TY'!$C$8:$F$10,4,FALSE)*C149</f>
        <v>0</v>
      </c>
      <c r="H149" s="583"/>
    </row>
    <row r="150" spans="1:8">
      <c r="A150" s="154" t="s">
        <v>418</v>
      </c>
      <c r="B150" s="267" t="str">
        <f>Expenses!C150</f>
        <v>Meters (Installations)</v>
      </c>
      <c r="C150" s="69">
        <f>Expenses!E150</f>
        <v>179775</v>
      </c>
      <c r="D150" s="300" t="s">
        <v>691</v>
      </c>
      <c r="E150" s="301">
        <f>VLOOKUP(D150,'W-Alloc Met-TY'!$C$8:$D$10,2,FALSE)*C150</f>
        <v>179775</v>
      </c>
      <c r="F150" s="301">
        <f>VLOOKUP(D150,'W-Alloc Met-TY'!$C$8:$E$10,3,FALSE)*C150</f>
        <v>0</v>
      </c>
      <c r="G150" s="301">
        <f>VLOOKUP(D150,'W-Alloc Met-TY'!$C$8:$F$10,4,FALSE)*C150</f>
        <v>0</v>
      </c>
      <c r="H150" s="583"/>
    </row>
    <row r="151" spans="1:8">
      <c r="A151" s="154" t="s">
        <v>422</v>
      </c>
      <c r="B151" s="267" t="str">
        <f>Expenses!C151</f>
        <v>Hydrants</v>
      </c>
      <c r="C151" s="69">
        <f>Expenses!E151</f>
        <v>114119</v>
      </c>
      <c r="D151" s="300" t="s">
        <v>691</v>
      </c>
      <c r="E151" s="301">
        <f>VLOOKUP(D151,'W-Alloc Met-TY'!$C$8:$D$10,2,FALSE)*C151</f>
        <v>114119</v>
      </c>
      <c r="F151" s="301">
        <f>VLOOKUP(D151,'W-Alloc Met-TY'!$C$8:$E$10,3,FALSE)*C151</f>
        <v>0</v>
      </c>
      <c r="G151" s="301">
        <f>VLOOKUP(D151,'W-Alloc Met-TY'!$C$8:$F$10,4,FALSE)*C151</f>
        <v>0</v>
      </c>
      <c r="H151" s="583"/>
    </row>
    <row r="152" spans="1:8">
      <c r="A152" s="154" t="s">
        <v>425</v>
      </c>
      <c r="B152" s="267" t="str">
        <f>Expenses!C152</f>
        <v>Equipment (Plumbing)</v>
      </c>
      <c r="C152" s="69">
        <f>Expenses!E152</f>
        <v>12</v>
      </c>
      <c r="D152" s="300" t="s">
        <v>691</v>
      </c>
      <c r="E152" s="301">
        <f>VLOOKUP(D152,'W-Alloc Met-TY'!$C$8:$D$10,2,FALSE)*C152</f>
        <v>12</v>
      </c>
      <c r="F152" s="301">
        <f>VLOOKUP(D152,'W-Alloc Met-TY'!$C$8:$E$10,3,FALSE)*C152</f>
        <v>0</v>
      </c>
      <c r="G152" s="301">
        <f>VLOOKUP(D152,'W-Alloc Met-TY'!$C$8:$F$10,4,FALSE)*C152</f>
        <v>0</v>
      </c>
      <c r="H152" s="583"/>
    </row>
    <row r="153" spans="1:8">
      <c r="A153" s="154" t="s">
        <v>428</v>
      </c>
      <c r="B153" s="267" t="str">
        <f>Expenses!C153</f>
        <v>Software</v>
      </c>
      <c r="C153" s="69">
        <f>Expenses!E153</f>
        <v>123372</v>
      </c>
      <c r="D153" s="300" t="s">
        <v>691</v>
      </c>
      <c r="E153" s="301">
        <f>VLOOKUP(D153,'W-Alloc Met-TY'!$C$8:$D$10,2,FALSE)*C153</f>
        <v>123372</v>
      </c>
      <c r="F153" s="301">
        <f>VLOOKUP(D153,'W-Alloc Met-TY'!$C$8:$E$10,3,FALSE)*C153</f>
        <v>0</v>
      </c>
      <c r="G153" s="301">
        <f>VLOOKUP(D153,'W-Alloc Met-TY'!$C$8:$F$10,4,FALSE)*C153</f>
        <v>0</v>
      </c>
      <c r="H153" s="583"/>
    </row>
    <row r="154" spans="1:8">
      <c r="A154" s="154" t="s">
        <v>432</v>
      </c>
      <c r="B154" s="267" t="str">
        <f>Expenses!C154</f>
        <v>Hardware</v>
      </c>
      <c r="C154" s="69">
        <f>Expenses!E154</f>
        <v>68319</v>
      </c>
      <c r="D154" s="300" t="s">
        <v>691</v>
      </c>
      <c r="E154" s="301">
        <f>VLOOKUP(D154,'W-Alloc Met-TY'!$C$8:$D$10,2,FALSE)*C154</f>
        <v>68319</v>
      </c>
      <c r="F154" s="301">
        <f>VLOOKUP(D154,'W-Alloc Met-TY'!$C$8:$E$10,3,FALSE)*C154</f>
        <v>0</v>
      </c>
      <c r="G154" s="301">
        <f>VLOOKUP(D154,'W-Alloc Met-TY'!$C$8:$F$10,4,FALSE)*C154</f>
        <v>0</v>
      </c>
      <c r="H154" s="583"/>
    </row>
    <row r="155" spans="1:8">
      <c r="A155" s="154" t="s">
        <v>435</v>
      </c>
      <c r="B155" s="267" t="str">
        <f>Expenses!C155</f>
        <v>Datamatic</v>
      </c>
      <c r="C155" s="69">
        <f>Expenses!E155</f>
        <v>0</v>
      </c>
      <c r="D155" s="300" t="s">
        <v>691</v>
      </c>
      <c r="E155" s="301">
        <f>VLOOKUP(D155,'W-Alloc Met-TY'!$C$8:$D$10,2,FALSE)*C155</f>
        <v>0</v>
      </c>
      <c r="F155" s="301">
        <f>VLOOKUP(D155,'W-Alloc Met-TY'!$C$8:$E$10,3,FALSE)*C155</f>
        <v>0</v>
      </c>
      <c r="G155" s="301">
        <f>VLOOKUP(D155,'W-Alloc Met-TY'!$C$8:$F$10,4,FALSE)*C155</f>
        <v>0</v>
      </c>
      <c r="H155" s="583"/>
    </row>
    <row r="156" spans="1:8">
      <c r="A156" s="154" t="s">
        <v>438</v>
      </c>
      <c r="B156" s="267" t="str">
        <f>Expenses!C156</f>
        <v xml:space="preserve">Furniture &amp; Equipment </v>
      </c>
      <c r="C156" s="69">
        <f>Expenses!E156</f>
        <v>606</v>
      </c>
      <c r="D156" s="300" t="s">
        <v>691</v>
      </c>
      <c r="E156" s="301">
        <f>VLOOKUP(D156,'W-Alloc Met-TY'!$C$8:$D$10,2,FALSE)*C156</f>
        <v>606</v>
      </c>
      <c r="F156" s="301">
        <f>VLOOKUP(D156,'W-Alloc Met-TY'!$C$8:$E$10,3,FALSE)*C156</f>
        <v>0</v>
      </c>
      <c r="G156" s="301">
        <f>VLOOKUP(D156,'W-Alloc Met-TY'!$C$8:$F$10,4,FALSE)*C156</f>
        <v>0</v>
      </c>
      <c r="H156" s="583"/>
    </row>
    <row r="157" spans="1:8">
      <c r="A157" s="154" t="s">
        <v>441</v>
      </c>
      <c r="B157" s="267" t="str">
        <f>Expenses!C157</f>
        <v>Trucks &amp; Equipment</v>
      </c>
      <c r="C157" s="69">
        <f>Expenses!E157</f>
        <v>0</v>
      </c>
      <c r="D157" s="300" t="s">
        <v>691</v>
      </c>
      <c r="E157" s="301">
        <f>VLOOKUP(D157,'W-Alloc Met-TY'!$C$8:$D$10,2,FALSE)*C157</f>
        <v>0</v>
      </c>
      <c r="F157" s="301">
        <f>VLOOKUP(D157,'W-Alloc Met-TY'!$C$8:$E$10,3,FALSE)*C157</f>
        <v>0</v>
      </c>
      <c r="G157" s="301">
        <f>VLOOKUP(D157,'W-Alloc Met-TY'!$C$8:$F$10,4,FALSE)*C157</f>
        <v>0</v>
      </c>
      <c r="H157" s="583"/>
    </row>
    <row r="158" spans="1:8">
      <c r="A158" s="154" t="s">
        <v>441</v>
      </c>
      <c r="B158" s="267" t="str">
        <f>Expenses!C158</f>
        <v>Equipment (Tools)</v>
      </c>
      <c r="C158" s="69">
        <f>Expenses!E158</f>
        <v>0</v>
      </c>
      <c r="D158" s="300" t="s">
        <v>691</v>
      </c>
      <c r="E158" s="301">
        <f>VLOOKUP(D158,'W-Alloc Met-TY'!$C$8:$D$10,2,FALSE)*C158</f>
        <v>0</v>
      </c>
      <c r="F158" s="301">
        <f>VLOOKUP(D158,'W-Alloc Met-TY'!$C$8:$E$10,3,FALSE)*C158</f>
        <v>0</v>
      </c>
      <c r="G158" s="301">
        <f>VLOOKUP(D158,'W-Alloc Met-TY'!$C$8:$F$10,4,FALSE)*C158</f>
        <v>0</v>
      </c>
      <c r="H158" s="583"/>
    </row>
    <row r="159" spans="1:8">
      <c r="A159" s="154" t="s">
        <v>446</v>
      </c>
      <c r="B159" s="267" t="str">
        <f>Expenses!C159</f>
        <v>Equip (Communication)</v>
      </c>
      <c r="C159" s="69">
        <f>Expenses!E159</f>
        <v>21250</v>
      </c>
      <c r="D159" s="300" t="s">
        <v>691</v>
      </c>
      <c r="E159" s="301">
        <f>VLOOKUP(D159,'W-Alloc Met-TY'!$C$8:$D$10,2,FALSE)*C159</f>
        <v>21250</v>
      </c>
      <c r="F159" s="301">
        <f>VLOOKUP(D159,'W-Alloc Met-TY'!$C$8:$E$10,3,FALSE)*C159</f>
        <v>0</v>
      </c>
      <c r="G159" s="301">
        <f>VLOOKUP(D159,'W-Alloc Met-TY'!$C$8:$F$10,4,FALSE)*C159</f>
        <v>0</v>
      </c>
      <c r="H159" s="583"/>
    </row>
    <row r="160" spans="1:8">
      <c r="A160" s="154" t="s">
        <v>449</v>
      </c>
      <c r="B160" s="267" t="str">
        <f>Expenses!C160</f>
        <v>Depreciation Expense (Old)</v>
      </c>
      <c r="C160" s="69">
        <f>Expenses!E160</f>
        <v>0</v>
      </c>
      <c r="D160" s="300" t="s">
        <v>691</v>
      </c>
      <c r="E160" s="301">
        <f>VLOOKUP(D160,'W-Alloc Met-TY'!$C$8:$D$10,2,FALSE)*C160</f>
        <v>0</v>
      </c>
      <c r="F160" s="301">
        <f>VLOOKUP(D160,'W-Alloc Met-TY'!$C$8:$E$10,3,FALSE)*C160</f>
        <v>0</v>
      </c>
      <c r="G160" s="301">
        <f>VLOOKUP(D160,'W-Alloc Met-TY'!$C$8:$F$10,4,FALSE)*C160</f>
        <v>0</v>
      </c>
      <c r="H160" s="583"/>
    </row>
    <row r="161" spans="1:8">
      <c r="A161" s="154" t="s">
        <v>451</v>
      </c>
      <c r="B161" s="267" t="str">
        <f>Expenses!C161</f>
        <v>Structures</v>
      </c>
      <c r="C161" s="69">
        <f>Expenses!E161</f>
        <v>0</v>
      </c>
      <c r="D161" s="300" t="s">
        <v>691</v>
      </c>
      <c r="E161" s="301">
        <f>VLOOKUP(D161,'W-Alloc Met-TY'!$C$8:$D$10,2,FALSE)*C161</f>
        <v>0</v>
      </c>
      <c r="F161" s="301">
        <f>VLOOKUP(D161,'W-Alloc Met-TY'!$C$8:$E$10,3,FALSE)*C161</f>
        <v>0</v>
      </c>
      <c r="G161" s="301">
        <f>VLOOKUP(D161,'W-Alloc Met-TY'!$C$8:$F$10,4,FALSE)*C161</f>
        <v>0</v>
      </c>
      <c r="H161" s="583"/>
    </row>
    <row r="162" spans="1:8">
      <c r="A162" s="154" t="s">
        <v>453</v>
      </c>
      <c r="B162" s="267" t="str">
        <f>Expenses!C162</f>
        <v>505 Hwy 31 W (Block Bldg)</v>
      </c>
      <c r="C162" s="69">
        <f>Expenses!E162</f>
        <v>5988</v>
      </c>
      <c r="D162" s="300" t="s">
        <v>691</v>
      </c>
      <c r="E162" s="301">
        <f>VLOOKUP(D162,'W-Alloc Met-TY'!$C$8:$D$10,2,FALSE)*C162</f>
        <v>5988</v>
      </c>
      <c r="F162" s="301">
        <f>VLOOKUP(D162,'W-Alloc Met-TY'!$C$8:$E$10,3,FALSE)*C162</f>
        <v>0</v>
      </c>
      <c r="G162" s="301">
        <f>VLOOKUP(D162,'W-Alloc Met-TY'!$C$8:$F$10,4,FALSE)*C162</f>
        <v>0</v>
      </c>
      <c r="H162" s="583"/>
    </row>
    <row r="163" spans="1:8">
      <c r="A163" s="154" t="s">
        <v>455</v>
      </c>
      <c r="B163" s="267" t="str">
        <f>Expenses!C163</f>
        <v>505 Hwy 31 W (Rental Bldg)</v>
      </c>
      <c r="C163" s="69">
        <f>Expenses!E163</f>
        <v>4116</v>
      </c>
      <c r="D163" s="300" t="s">
        <v>691</v>
      </c>
      <c r="E163" s="301">
        <f>VLOOKUP(D163,'W-Alloc Met-TY'!$C$8:$D$10,2,FALSE)*C163</f>
        <v>4116</v>
      </c>
      <c r="F163" s="301">
        <f>VLOOKUP(D163,'W-Alloc Met-TY'!$C$8:$E$10,3,FALSE)*C163</f>
        <v>0</v>
      </c>
      <c r="G163" s="301">
        <f>VLOOKUP(D163,'W-Alloc Met-TY'!$C$8:$F$10,4,FALSE)*C163</f>
        <v>0</v>
      </c>
      <c r="H163" s="583"/>
    </row>
    <row r="164" spans="1:8">
      <c r="A164" s="154" t="s">
        <v>457</v>
      </c>
      <c r="B164" s="267" t="str">
        <f>Expenses!C164</f>
        <v xml:space="preserve">Equipment </v>
      </c>
      <c r="C164" s="69">
        <f>Expenses!E164</f>
        <v>0</v>
      </c>
      <c r="D164" s="300" t="s">
        <v>691</v>
      </c>
      <c r="E164" s="301">
        <f>VLOOKUP(D164,'W-Alloc Met-TY'!$C$8:$D$10,2,FALSE)*C164</f>
        <v>0</v>
      </c>
      <c r="F164" s="301">
        <f>VLOOKUP(D164,'W-Alloc Met-TY'!$C$8:$E$10,3,FALSE)*C164</f>
        <v>0</v>
      </c>
      <c r="G164" s="301">
        <f>VLOOKUP(D164,'W-Alloc Met-TY'!$C$8:$F$10,4,FALSE)*C164</f>
        <v>0</v>
      </c>
      <c r="H164" s="583"/>
    </row>
    <row r="165" spans="1:8">
      <c r="A165" s="154" t="s">
        <v>459</v>
      </c>
      <c r="B165" s="267" t="str">
        <f>Expenses!C165</f>
        <v>Unidentified Assets</v>
      </c>
      <c r="C165" s="69">
        <f>Expenses!E165</f>
        <v>0</v>
      </c>
      <c r="D165" s="300" t="s">
        <v>691</v>
      </c>
      <c r="E165" s="301">
        <f>VLOOKUP(D165,'W-Alloc Met-TY'!$C$8:$D$10,2,FALSE)*C165</f>
        <v>0</v>
      </c>
      <c r="F165" s="301">
        <f>VLOOKUP(D165,'W-Alloc Met-TY'!$C$8:$E$10,3,FALSE)*C165</f>
        <v>0</v>
      </c>
      <c r="G165" s="301">
        <f>VLOOKUP(D165,'W-Alloc Met-TY'!$C$8:$F$10,4,FALSE)*C165</f>
        <v>0</v>
      </c>
      <c r="H165" s="583"/>
    </row>
    <row r="166" spans="1:8">
      <c r="A166" s="154" t="s">
        <v>461</v>
      </c>
      <c r="B166" s="267" t="str">
        <f>Expenses!C166</f>
        <v>Equipment (T&amp;D)</v>
      </c>
      <c r="C166" s="69">
        <f>Expenses!E166</f>
        <v>6</v>
      </c>
      <c r="D166" s="300" t="s">
        <v>691</v>
      </c>
      <c r="E166" s="301">
        <f>VLOOKUP(D166,'W-Alloc Met-TY'!$C$8:$D$10,2,FALSE)*C166</f>
        <v>6</v>
      </c>
      <c r="F166" s="301">
        <f>VLOOKUP(D166,'W-Alloc Met-TY'!$C$8:$E$10,3,FALSE)*C166</f>
        <v>0</v>
      </c>
      <c r="G166" s="301">
        <f>VLOOKUP(D166,'W-Alloc Met-TY'!$C$8:$F$10,4,FALSE)*C166</f>
        <v>0</v>
      </c>
      <c r="H166" s="583"/>
    </row>
    <row r="167" spans="1:8">
      <c r="A167" s="154"/>
      <c r="B167" s="267" t="str">
        <f>Expenses!C167</f>
        <v>-</v>
      </c>
      <c r="C167" s="69">
        <f>Expenses!E167</f>
        <v>0</v>
      </c>
      <c r="D167" s="300" t="s">
        <v>691</v>
      </c>
      <c r="E167" s="301">
        <f>VLOOKUP(D167,'W-Alloc Met-TY'!$C$8:$D$10,2,FALSE)*C167</f>
        <v>0</v>
      </c>
      <c r="F167" s="301">
        <f>VLOOKUP(D167,'W-Alloc Met-TY'!$C$8:$E$10,3,FALSE)*C167</f>
        <v>0</v>
      </c>
      <c r="G167" s="301">
        <f>VLOOKUP(D167,'W-Alloc Met-TY'!$C$8:$F$10,4,FALSE)*C167</f>
        <v>0</v>
      </c>
      <c r="H167" s="583"/>
    </row>
    <row r="168" spans="1:8">
      <c r="A168" s="154"/>
      <c r="B168" s="267" t="str">
        <f>Expenses!C168</f>
        <v>-</v>
      </c>
      <c r="C168" s="69">
        <f>Expenses!E168</f>
        <v>0</v>
      </c>
      <c r="D168" s="300" t="s">
        <v>691</v>
      </c>
      <c r="E168" s="301">
        <f>VLOOKUP(D168,'W-Alloc Met-TY'!$C$8:$D$10,2,FALSE)*C168</f>
        <v>0</v>
      </c>
      <c r="F168" s="301">
        <f>VLOOKUP(D168,'W-Alloc Met-TY'!$C$8:$E$10,3,FALSE)*C168</f>
        <v>0</v>
      </c>
      <c r="G168" s="301">
        <f>VLOOKUP(D168,'W-Alloc Met-TY'!$C$8:$F$10,4,FALSE)*C168</f>
        <v>0</v>
      </c>
      <c r="H168" s="583"/>
    </row>
    <row r="169" spans="1:8">
      <c r="A169" s="855"/>
      <c r="B169" s="267" t="str">
        <f>Expenses!C169</f>
        <v>-</v>
      </c>
      <c r="C169" s="69">
        <f>Expenses!E169</f>
        <v>0</v>
      </c>
      <c r="D169" s="300" t="s">
        <v>691</v>
      </c>
      <c r="E169" s="301">
        <f>VLOOKUP(D169,'W-Alloc Met-TY'!$C$8:$D$10,2,FALSE)*C169</f>
        <v>0</v>
      </c>
      <c r="F169" s="301">
        <f>VLOOKUP(D169,'W-Alloc Met-TY'!$C$8:$E$10,3,FALSE)*C169</f>
        <v>0</v>
      </c>
      <c r="G169" s="301">
        <f>VLOOKUP(D169,'W-Alloc Met-TY'!$C$8:$F$10,4,FALSE)*C169</f>
        <v>0</v>
      </c>
      <c r="H169" s="583"/>
    </row>
    <row r="170" spans="1:8">
      <c r="A170" s="855"/>
      <c r="B170" s="267" t="str">
        <f>Expenses!C170</f>
        <v>-</v>
      </c>
      <c r="C170" s="69">
        <f>Expenses!E170</f>
        <v>0</v>
      </c>
      <c r="D170" s="300" t="s">
        <v>691</v>
      </c>
      <c r="E170" s="301">
        <f>VLOOKUP(D170,'W-Alloc Met-TY'!$C$8:$D$10,2,FALSE)*C170</f>
        <v>0</v>
      </c>
      <c r="F170" s="301">
        <f>VLOOKUP(D170,'W-Alloc Met-TY'!$C$8:$E$10,3,FALSE)*C170</f>
        <v>0</v>
      </c>
      <c r="G170" s="301">
        <f>VLOOKUP(D170,'W-Alloc Met-TY'!$C$8:$F$10,4,FALSE)*C170</f>
        <v>0</v>
      </c>
      <c r="H170" s="583"/>
    </row>
    <row r="171" spans="1:8">
      <c r="A171" s="855"/>
      <c r="B171" s="267" t="str">
        <f>Expenses!C171</f>
        <v>-</v>
      </c>
      <c r="C171" s="69">
        <f>Expenses!E171</f>
        <v>0</v>
      </c>
      <c r="D171" s="300" t="s">
        <v>691</v>
      </c>
      <c r="E171" s="301">
        <f>VLOOKUP(D171,'W-Alloc Met-TY'!$C$8:$D$10,2,FALSE)*C171</f>
        <v>0</v>
      </c>
      <c r="F171" s="301">
        <f>VLOOKUP(D171,'W-Alloc Met-TY'!$C$8:$E$10,3,FALSE)*C171</f>
        <v>0</v>
      </c>
      <c r="G171" s="301">
        <f>VLOOKUP(D171,'W-Alloc Met-TY'!$C$8:$F$10,4,FALSE)*C171</f>
        <v>0</v>
      </c>
      <c r="H171" s="583"/>
    </row>
    <row r="172" spans="1:8">
      <c r="A172" s="855"/>
      <c r="B172" s="267" t="str">
        <f>Expenses!C172</f>
        <v>-</v>
      </c>
      <c r="C172" s="37">
        <f>Expenses!E172</f>
        <v>0</v>
      </c>
      <c r="D172" s="299" t="s">
        <v>691</v>
      </c>
      <c r="E172" s="761">
        <f>VLOOKUP(D172,'W-Alloc Met-TY'!$C$8:$D$10,2,FALSE)*C172</f>
        <v>0</v>
      </c>
      <c r="F172" s="761">
        <f>VLOOKUP(D172,'W-Alloc Met-TY'!$C$8:$E$10,3,FALSE)*C172</f>
        <v>0</v>
      </c>
      <c r="G172" s="762">
        <f>VLOOKUP(D172,'W-Alloc Met-TY'!$C$8:$F$10,4,FALSE)*C172</f>
        <v>0</v>
      </c>
      <c r="H172" s="583"/>
    </row>
    <row r="173" spans="1:8">
      <c r="A173" s="856"/>
      <c r="B173" s="263" t="s">
        <v>29</v>
      </c>
      <c r="C173" s="157">
        <f>SUM(C141:C172)</f>
        <v>3763349</v>
      </c>
      <c r="D173" s="157"/>
      <c r="E173" s="157">
        <f>SUM(E141:E172)</f>
        <v>3763349</v>
      </c>
      <c r="F173" s="157">
        <f>SUM(F141:F172)</f>
        <v>0</v>
      </c>
      <c r="G173" s="157">
        <f>SUM(G141:G172)</f>
        <v>0</v>
      </c>
      <c r="H173" s="583"/>
    </row>
    <row r="174" spans="1:8">
      <c r="A174" s="855"/>
      <c r="B174" s="266"/>
      <c r="C174" s="45"/>
      <c r="H174" s="583"/>
    </row>
    <row r="175" spans="1:8">
      <c r="A175" s="855"/>
      <c r="B175" s="262" t="s">
        <v>34</v>
      </c>
      <c r="C175" s="259"/>
      <c r="D175" s="153"/>
      <c r="E175" s="153"/>
      <c r="F175" s="153"/>
      <c r="G175" s="153"/>
      <c r="H175" s="583"/>
    </row>
    <row r="176" spans="1:8">
      <c r="A176" s="855" t="s">
        <v>464</v>
      </c>
      <c r="B176" s="267" t="str">
        <f>Expenses!C176</f>
        <v>Series 1970, USDA</v>
      </c>
      <c r="C176" s="69">
        <f>Expenses!E176</f>
        <v>0</v>
      </c>
      <c r="D176" s="300" t="s">
        <v>691</v>
      </c>
      <c r="E176" s="301">
        <f>VLOOKUP(D176,'W-Alloc Met-TY'!$C$8:$D$10,2,FALSE)*C176</f>
        <v>0</v>
      </c>
      <c r="F176" s="301">
        <f>VLOOKUP(D176,'W-Alloc Met-TY'!$C$8:$E$10,3,FALSE)*C176</f>
        <v>0</v>
      </c>
      <c r="G176" s="301">
        <f>VLOOKUP(D176,'W-Alloc Met-TY'!$C$8:$F$10,4,FALSE)*C176</f>
        <v>0</v>
      </c>
      <c r="H176" s="583"/>
    </row>
    <row r="177" spans="1:8">
      <c r="A177" s="855" t="s">
        <v>468</v>
      </c>
      <c r="B177" s="267" t="str">
        <f>Expenses!C177</f>
        <v>Series 1993, USDA</v>
      </c>
      <c r="C177" s="69">
        <f>Expenses!E177</f>
        <v>0</v>
      </c>
      <c r="D177" s="300" t="s">
        <v>691</v>
      </c>
      <c r="E177" s="301">
        <f>VLOOKUP(D177,'W-Alloc Met-TY'!$C$8:$D$10,2,FALSE)*C177</f>
        <v>0</v>
      </c>
      <c r="F177" s="301">
        <f>VLOOKUP(D177,'W-Alloc Met-TY'!$C$8:$E$10,3,FALSE)*C177</f>
        <v>0</v>
      </c>
      <c r="G177" s="301">
        <f>VLOOKUP(D177,'W-Alloc Met-TY'!$C$8:$F$10,4,FALSE)*C177</f>
        <v>0</v>
      </c>
      <c r="H177" s="583"/>
    </row>
    <row r="178" spans="1:8">
      <c r="A178" s="154" t="s">
        <v>471</v>
      </c>
      <c r="B178" s="267" t="str">
        <f>Expenses!C178</f>
        <v>Series 1995, USDA</v>
      </c>
      <c r="C178" s="69">
        <f>Expenses!E178</f>
        <v>0</v>
      </c>
      <c r="D178" s="300" t="s">
        <v>691</v>
      </c>
      <c r="E178" s="301">
        <f>VLOOKUP(D178,'W-Alloc Met-TY'!$C$8:$D$10,2,FALSE)*C178</f>
        <v>0</v>
      </c>
      <c r="F178" s="301">
        <f>VLOOKUP(D178,'W-Alloc Met-TY'!$C$8:$E$10,3,FALSE)*C178</f>
        <v>0</v>
      </c>
      <c r="G178" s="301">
        <f>VLOOKUP(D178,'W-Alloc Met-TY'!$C$8:$F$10,4,FALSE)*C178</f>
        <v>0</v>
      </c>
      <c r="H178" s="583"/>
    </row>
    <row r="179" spans="1:8">
      <c r="A179" s="154"/>
      <c r="B179" s="267" t="str">
        <f>Expenses!C179</f>
        <v>KIA Russellville Rd</v>
      </c>
      <c r="C179" s="69">
        <f>Expenses!E179</f>
        <v>0</v>
      </c>
      <c r="D179" s="300" t="s">
        <v>691</v>
      </c>
      <c r="E179" s="301">
        <f>VLOOKUP(D179,'W-Alloc Met-TY'!$C$8:$D$10,2,FALSE)*C179</f>
        <v>0</v>
      </c>
      <c r="F179" s="301">
        <f>VLOOKUP(D179,'W-Alloc Met-TY'!$C$8:$E$10,3,FALSE)*C179</f>
        <v>0</v>
      </c>
      <c r="G179" s="301">
        <f>VLOOKUP(D179,'W-Alloc Met-TY'!$C$8:$F$10,4,FALSE)*C179</f>
        <v>0</v>
      </c>
      <c r="H179" s="583"/>
    </row>
    <row r="180" spans="1:8">
      <c r="A180" s="154"/>
      <c r="B180" s="267" t="str">
        <f>Expenses!C180</f>
        <v>KIA Barren River Rd (A98-02)</v>
      </c>
      <c r="C180" s="69">
        <f>Expenses!E180</f>
        <v>0</v>
      </c>
      <c r="D180" s="300" t="s">
        <v>691</v>
      </c>
      <c r="E180" s="301">
        <f>VLOOKUP(D180,'W-Alloc Met-TY'!$C$8:$D$10,2,FALSE)*C180</f>
        <v>0</v>
      </c>
      <c r="F180" s="301">
        <f>VLOOKUP(D180,'W-Alloc Met-TY'!$C$8:$E$10,3,FALSE)*C180</f>
        <v>0</v>
      </c>
      <c r="G180" s="301">
        <f>VLOOKUP(D180,'W-Alloc Met-TY'!$C$8:$F$10,4,FALSE)*C180</f>
        <v>0</v>
      </c>
      <c r="H180" s="583"/>
    </row>
    <row r="181" spans="1:8">
      <c r="A181" s="154"/>
      <c r="B181" s="267" t="str">
        <f>Expenses!C181</f>
        <v>2019 USDA</v>
      </c>
      <c r="C181" s="69">
        <f>Expenses!E181</f>
        <v>0</v>
      </c>
      <c r="D181" s="300" t="s">
        <v>691</v>
      </c>
      <c r="E181" s="301">
        <f>VLOOKUP(D181,'W-Alloc Met-TY'!$C$8:$D$10,2,FALSE)*C181</f>
        <v>0</v>
      </c>
      <c r="F181" s="301">
        <f>VLOOKUP(D181,'W-Alloc Met-TY'!$C$8:$E$10,3,FALSE)*C181</f>
        <v>0</v>
      </c>
      <c r="G181" s="301">
        <f>VLOOKUP(D181,'W-Alloc Met-TY'!$C$8:$F$10,4,FALSE)*C181</f>
        <v>0</v>
      </c>
      <c r="H181" s="583"/>
    </row>
    <row r="182" spans="1:8">
      <c r="A182" s="154"/>
      <c r="B182" s="267" t="str">
        <f>Expenses!C182</f>
        <v>Series 2003C, KRWFC</v>
      </c>
      <c r="C182" s="69">
        <f>Expenses!E182</f>
        <v>0</v>
      </c>
      <c r="D182" s="300" t="s">
        <v>691</v>
      </c>
      <c r="E182" s="301">
        <f>VLOOKUP(D182,'W-Alloc Met-TY'!$C$8:$D$10,2,FALSE)*C182</f>
        <v>0</v>
      </c>
      <c r="F182" s="301">
        <f>VLOOKUP(D182,'W-Alloc Met-TY'!$C$8:$E$10,3,FALSE)*C182</f>
        <v>0</v>
      </c>
      <c r="G182" s="301">
        <f>VLOOKUP(D182,'W-Alloc Met-TY'!$C$8:$F$10,4,FALSE)*C182</f>
        <v>0</v>
      </c>
      <c r="H182" s="583"/>
    </row>
    <row r="183" spans="1:8">
      <c r="A183" s="154"/>
      <c r="B183" s="267" t="str">
        <f>Expenses!C183</f>
        <v>KIA, Buchanon Park (C11-02)</v>
      </c>
      <c r="C183" s="69">
        <f>Expenses!E183</f>
        <v>0</v>
      </c>
      <c r="D183" s="300" t="s">
        <v>691</v>
      </c>
      <c r="E183" s="301">
        <f>VLOOKUP(D183,'W-Alloc Met-TY'!$C$8:$D$10,2,FALSE)*C183</f>
        <v>0</v>
      </c>
      <c r="F183" s="301">
        <f>VLOOKUP(D183,'W-Alloc Met-TY'!$C$8:$E$10,3,FALSE)*C183</f>
        <v>0</v>
      </c>
      <c r="G183" s="301">
        <f>VLOOKUP(D183,'W-Alloc Met-TY'!$C$8:$F$10,4,FALSE)*C183</f>
        <v>0</v>
      </c>
      <c r="H183" s="583"/>
    </row>
    <row r="184" spans="1:8">
      <c r="A184" s="154"/>
      <c r="B184" s="267" t="str">
        <f>Expenses!C184</f>
        <v>Series 2013B, KRWFC</v>
      </c>
      <c r="C184" s="69">
        <f>Expenses!E184</f>
        <v>0</v>
      </c>
      <c r="D184" s="300" t="s">
        <v>691</v>
      </c>
      <c r="E184" s="301">
        <f>VLOOKUP(D184,'W-Alloc Met-TY'!$C$8:$D$10,2,FALSE)*C184</f>
        <v>0</v>
      </c>
      <c r="F184" s="301">
        <f>VLOOKUP(D184,'W-Alloc Met-TY'!$C$8:$E$10,3,FALSE)*C184</f>
        <v>0</v>
      </c>
      <c r="G184" s="301">
        <f>VLOOKUP(D184,'W-Alloc Met-TY'!$C$8:$F$10,4,FALSE)*C184</f>
        <v>0</v>
      </c>
      <c r="H184" s="583"/>
    </row>
    <row r="185" spans="1:8">
      <c r="A185" s="154"/>
      <c r="B185" s="267" t="str">
        <f>Expenses!C185</f>
        <v>KIA, Alvanton Area Improvement</v>
      </c>
      <c r="C185" s="69">
        <f>Expenses!E185</f>
        <v>0</v>
      </c>
      <c r="D185" s="300" t="s">
        <v>691</v>
      </c>
      <c r="E185" s="301">
        <f>VLOOKUP(D185,'W-Alloc Met-TY'!$C$8:$D$10,2,FALSE)*C185</f>
        <v>0</v>
      </c>
      <c r="F185" s="301">
        <f>VLOOKUP(D185,'W-Alloc Met-TY'!$C$8:$E$10,3,FALSE)*C185</f>
        <v>0</v>
      </c>
      <c r="G185" s="301">
        <f>VLOOKUP(D185,'W-Alloc Met-TY'!$C$8:$F$10,4,FALSE)*C185</f>
        <v>0</v>
      </c>
      <c r="H185" s="583"/>
    </row>
    <row r="186" spans="1:8">
      <c r="A186" s="154"/>
      <c r="B186" s="267" t="str">
        <f>Expenses!C186</f>
        <v>KIA, Plum Springs Rehab</v>
      </c>
      <c r="C186" s="69">
        <f>Expenses!E186</f>
        <v>0</v>
      </c>
      <c r="D186" s="300" t="s">
        <v>691</v>
      </c>
      <c r="E186" s="301">
        <f>VLOOKUP(D186,'W-Alloc Met-TY'!$C$8:$D$10,2,FALSE)*C186</f>
        <v>0</v>
      </c>
      <c r="F186" s="301">
        <f>VLOOKUP(D186,'W-Alloc Met-TY'!$C$8:$E$10,3,FALSE)*C186</f>
        <v>0</v>
      </c>
      <c r="G186" s="301">
        <f>VLOOKUP(D186,'W-Alloc Met-TY'!$C$8:$F$10,4,FALSE)*C186</f>
        <v>0</v>
      </c>
      <c r="H186" s="583"/>
    </row>
    <row r="187" spans="1:8">
      <c r="A187" s="154"/>
      <c r="B187" s="267" t="str">
        <f>Expenses!C187</f>
        <v>Series 2021A, KRWFC</v>
      </c>
      <c r="C187" s="69">
        <f>Expenses!E187</f>
        <v>0</v>
      </c>
      <c r="D187" s="300" t="s">
        <v>691</v>
      </c>
      <c r="E187" s="301">
        <f>VLOOKUP(D187,'W-Alloc Met-TY'!$C$8:$D$10,2,FALSE)*C187</f>
        <v>0</v>
      </c>
      <c r="F187" s="301">
        <f>VLOOKUP(D187,'W-Alloc Met-TY'!$C$8:$E$10,3,FALSE)*C187</f>
        <v>0</v>
      </c>
      <c r="G187" s="301">
        <f>VLOOKUP(D187,'W-Alloc Met-TY'!$C$8:$F$10,4,FALSE)*C187</f>
        <v>0</v>
      </c>
      <c r="H187" s="583"/>
    </row>
    <row r="188" spans="1:8">
      <c r="A188" s="154"/>
      <c r="B188" s="267" t="str">
        <f>Expenses!C188</f>
        <v>Series 2022D, KRWFC</v>
      </c>
      <c r="C188" s="69">
        <f>Expenses!E188</f>
        <v>0</v>
      </c>
      <c r="D188" s="300" t="s">
        <v>691</v>
      </c>
      <c r="E188" s="301">
        <f>VLOOKUP(D188,'W-Alloc Met-TY'!$C$8:$D$10,2,FALSE)*C188</f>
        <v>0</v>
      </c>
      <c r="F188" s="301">
        <f>VLOOKUP(D188,'W-Alloc Met-TY'!$C$8:$E$10,3,FALSE)*C188</f>
        <v>0</v>
      </c>
      <c r="G188" s="301">
        <f>VLOOKUP(D188,'W-Alloc Met-TY'!$C$8:$F$10,4,FALSE)*C188</f>
        <v>0</v>
      </c>
      <c r="H188" s="583"/>
    </row>
    <row r="189" spans="1:8">
      <c r="A189" s="154"/>
      <c r="B189" s="267" t="str">
        <f>Expenses!C189</f>
        <v>Consumer Deposits</v>
      </c>
      <c r="C189" s="69">
        <f>Expenses!E189</f>
        <v>0</v>
      </c>
      <c r="D189" s="300" t="s">
        <v>691</v>
      </c>
      <c r="E189" s="301">
        <f>VLOOKUP(D189,'W-Alloc Met-TY'!$C$8:$D$10,2,FALSE)*C189</f>
        <v>0</v>
      </c>
      <c r="F189" s="301">
        <f>VLOOKUP(D189,'W-Alloc Met-TY'!$C$8:$E$10,3,FALSE)*C189</f>
        <v>0</v>
      </c>
      <c r="G189" s="301">
        <f>VLOOKUP(D189,'W-Alloc Met-TY'!$C$8:$F$10,4,FALSE)*C189</f>
        <v>0</v>
      </c>
      <c r="H189" s="583"/>
    </row>
    <row r="190" spans="1:8">
      <c r="A190" s="154"/>
      <c r="B190" s="267" t="str">
        <f>Expenses!C190</f>
        <v>Other</v>
      </c>
      <c r="C190" s="69">
        <f>Expenses!E190</f>
        <v>0</v>
      </c>
      <c r="D190" s="300" t="s">
        <v>691</v>
      </c>
      <c r="E190" s="301">
        <f>VLOOKUP(D190,'W-Alloc Met-TY'!$C$8:$D$10,2,FALSE)*C190</f>
        <v>0</v>
      </c>
      <c r="F190" s="301">
        <f>VLOOKUP(D190,'W-Alloc Met-TY'!$C$8:$E$10,3,FALSE)*C190</f>
        <v>0</v>
      </c>
      <c r="G190" s="301">
        <f>VLOOKUP(D190,'W-Alloc Met-TY'!$C$8:$F$10,4,FALSE)*C190</f>
        <v>0</v>
      </c>
      <c r="H190" s="583"/>
    </row>
    <row r="191" spans="1:8">
      <c r="A191" s="154"/>
      <c r="B191" s="267" t="str">
        <f>Expenses!C191</f>
        <v>Amortized Debt Expense</v>
      </c>
      <c r="C191" s="69">
        <f>Expenses!E191</f>
        <v>0</v>
      </c>
      <c r="D191" s="300" t="s">
        <v>691</v>
      </c>
      <c r="E191" s="301">
        <f>VLOOKUP(D191,'W-Alloc Met-TY'!$C$8:$D$10,2,FALSE)*C191</f>
        <v>0</v>
      </c>
      <c r="F191" s="301">
        <f>VLOOKUP(D191,'W-Alloc Met-TY'!$C$8:$E$10,3,FALSE)*C191</f>
        <v>0</v>
      </c>
      <c r="G191" s="301">
        <f>VLOOKUP(D191,'W-Alloc Met-TY'!$C$8:$F$10,4,FALSE)*C191</f>
        <v>0</v>
      </c>
      <c r="H191" s="583"/>
    </row>
    <row r="192" spans="1:8">
      <c r="A192" s="154"/>
      <c r="B192" s="267" t="str">
        <f>Expenses!C192</f>
        <v>Am Prem/Disc-KRWFC, Series 2021A</v>
      </c>
      <c r="C192" s="69">
        <f>Expenses!E192</f>
        <v>0</v>
      </c>
      <c r="D192" s="300" t="s">
        <v>691</v>
      </c>
      <c r="E192" s="301">
        <f>VLOOKUP(D192,'W-Alloc Met-TY'!$C$8:$D$10,2,FALSE)*C192</f>
        <v>0</v>
      </c>
      <c r="F192" s="301">
        <f>VLOOKUP(D192,'W-Alloc Met-TY'!$C$8:$E$10,3,FALSE)*C192</f>
        <v>0</v>
      </c>
      <c r="G192" s="301">
        <f>VLOOKUP(D192,'W-Alloc Met-TY'!$C$8:$F$10,4,FALSE)*C192</f>
        <v>0</v>
      </c>
      <c r="H192" s="583"/>
    </row>
    <row r="193" spans="1:8">
      <c r="A193" s="154" t="s">
        <v>501</v>
      </c>
      <c r="B193" s="267" t="str">
        <f>Expenses!C193</f>
        <v>Series 2004A, Refunding</v>
      </c>
      <c r="C193" s="69">
        <f>Expenses!E193</f>
        <v>0</v>
      </c>
      <c r="D193" s="300" t="s">
        <v>691</v>
      </c>
      <c r="E193" s="301">
        <f>VLOOKUP(D193,'W-Alloc Met-TY'!$C$8:$D$10,2,FALSE)*C193</f>
        <v>0</v>
      </c>
      <c r="F193" s="301">
        <f>VLOOKUP(D193,'W-Alloc Met-TY'!$C$8:$E$10,3,FALSE)*C193</f>
        <v>0</v>
      </c>
      <c r="G193" s="301">
        <f>VLOOKUP(D193,'W-Alloc Met-TY'!$C$8:$F$10,4,FALSE)*C193</f>
        <v>0</v>
      </c>
      <c r="H193" s="583"/>
    </row>
    <row r="194" spans="1:8">
      <c r="A194" s="154" t="s">
        <v>503</v>
      </c>
      <c r="B194" s="267" t="str">
        <f>Expenses!C194</f>
        <v>KIA, So KY Industrial/Hwy 31W</v>
      </c>
      <c r="C194" s="69">
        <f>Expenses!E194</f>
        <v>0</v>
      </c>
      <c r="D194" s="300" t="s">
        <v>691</v>
      </c>
      <c r="E194" s="301">
        <f>VLOOKUP(D194,'W-Alloc Met-TY'!$C$8:$D$10,2,FALSE)*C194</f>
        <v>0</v>
      </c>
      <c r="F194" s="301">
        <f>VLOOKUP(D194,'W-Alloc Met-TY'!$C$8:$E$10,3,FALSE)*C194</f>
        <v>0</v>
      </c>
      <c r="G194" s="301">
        <f>VLOOKUP(D194,'W-Alloc Met-TY'!$C$8:$F$10,4,FALSE)*C194</f>
        <v>0</v>
      </c>
      <c r="H194" s="583"/>
    </row>
    <row r="195" spans="1:8">
      <c r="A195" s="154" t="s">
        <v>505</v>
      </c>
      <c r="B195" s="267" t="str">
        <f>Expenses!C195</f>
        <v>KIA, So KY Industrial Park</v>
      </c>
      <c r="C195" s="69">
        <f>Expenses!E195</f>
        <v>0</v>
      </c>
      <c r="D195" s="300" t="s">
        <v>691</v>
      </c>
      <c r="E195" s="301">
        <f>VLOOKUP(D195,'W-Alloc Met-TY'!$C$8:$D$10,2,FALSE)*C195</f>
        <v>0</v>
      </c>
      <c r="F195" s="301">
        <f>VLOOKUP(D195,'W-Alloc Met-TY'!$C$8:$E$10,3,FALSE)*C195</f>
        <v>0</v>
      </c>
      <c r="G195" s="301">
        <f>VLOOKUP(D195,'W-Alloc Met-TY'!$C$8:$F$10,4,FALSE)*C195</f>
        <v>0</v>
      </c>
      <c r="H195" s="583"/>
    </row>
    <row r="196" spans="1:8">
      <c r="A196" s="154" t="s">
        <v>507</v>
      </c>
      <c r="B196" s="267" t="str">
        <f>Expenses!C196</f>
        <v xml:space="preserve">Series 2005A, USDA </v>
      </c>
      <c r="C196" s="69">
        <f>Expenses!E196</f>
        <v>39540</v>
      </c>
      <c r="D196" s="300" t="s">
        <v>691</v>
      </c>
      <c r="E196" s="301">
        <f>VLOOKUP(D196,'W-Alloc Met-TY'!$C$8:$D$10,2,FALSE)*C196</f>
        <v>39540</v>
      </c>
      <c r="F196" s="301">
        <f>VLOOKUP(D196,'W-Alloc Met-TY'!$C$8:$E$10,3,FALSE)*C196</f>
        <v>0</v>
      </c>
      <c r="G196" s="301">
        <f>VLOOKUP(D196,'W-Alloc Met-TY'!$C$8:$F$10,4,FALSE)*C196</f>
        <v>0</v>
      </c>
      <c r="H196" s="583"/>
    </row>
    <row r="197" spans="1:8">
      <c r="A197" s="154" t="s">
        <v>509</v>
      </c>
      <c r="B197" s="267" t="str">
        <f>Expenses!C197</f>
        <v>-</v>
      </c>
      <c r="C197" s="69">
        <f>Expenses!E197</f>
        <v>0</v>
      </c>
      <c r="D197" s="300" t="s">
        <v>691</v>
      </c>
      <c r="E197" s="301">
        <f>VLOOKUP(D197,'W-Alloc Met-TY'!$C$8:$D$10,2,FALSE)*C197</f>
        <v>0</v>
      </c>
      <c r="F197" s="301">
        <f>VLOOKUP(D197,'W-Alloc Met-TY'!$C$8:$E$10,3,FALSE)*C197</f>
        <v>0</v>
      </c>
      <c r="G197" s="301">
        <f>VLOOKUP(D197,'W-Alloc Met-TY'!$C$8:$F$10,4,FALSE)*C197</f>
        <v>0</v>
      </c>
      <c r="H197" s="583"/>
    </row>
    <row r="198" spans="1:8">
      <c r="A198" s="154" t="s">
        <v>510</v>
      </c>
      <c r="B198" s="267" t="str">
        <f>Expenses!C198</f>
        <v>Series 1998, Refunding</v>
      </c>
      <c r="C198" s="69">
        <f>Expenses!E198</f>
        <v>0</v>
      </c>
      <c r="D198" s="300" t="s">
        <v>691</v>
      </c>
      <c r="E198" s="301">
        <f>VLOOKUP(D198,'W-Alloc Met-TY'!$C$8:$D$10,2,FALSE)*C198</f>
        <v>0</v>
      </c>
      <c r="F198" s="301">
        <f>VLOOKUP(D198,'W-Alloc Met-TY'!$C$8:$E$10,3,FALSE)*C198</f>
        <v>0</v>
      </c>
      <c r="G198" s="301">
        <f>VLOOKUP(D198,'W-Alloc Met-TY'!$C$8:$F$10,4,FALSE)*C198</f>
        <v>0</v>
      </c>
      <c r="H198" s="583"/>
    </row>
    <row r="199" spans="1:8">
      <c r="A199" s="154" t="s">
        <v>512</v>
      </c>
      <c r="B199" s="267" t="str">
        <f>Expenses!C199</f>
        <v>Series 1998B, Revenue</v>
      </c>
      <c r="C199" s="69">
        <f>Expenses!E199</f>
        <v>0</v>
      </c>
      <c r="D199" s="300" t="s">
        <v>691</v>
      </c>
      <c r="E199" s="301">
        <f>VLOOKUP(D199,'W-Alloc Met-TY'!$C$8:$D$10,2,FALSE)*C199</f>
        <v>0</v>
      </c>
      <c r="F199" s="301">
        <f>VLOOKUP(D199,'W-Alloc Met-TY'!$C$8:$E$10,3,FALSE)*C199</f>
        <v>0</v>
      </c>
      <c r="G199" s="301">
        <f>VLOOKUP(D199,'W-Alloc Met-TY'!$C$8:$F$10,4,FALSE)*C199</f>
        <v>0</v>
      </c>
      <c r="H199" s="583"/>
    </row>
    <row r="200" spans="1:8">
      <c r="A200" s="154" t="s">
        <v>514</v>
      </c>
      <c r="B200" s="267" t="str">
        <f>Expenses!C200</f>
        <v>Series 1999 A, USDA</v>
      </c>
      <c r="C200" s="69">
        <f>Expenses!E200</f>
        <v>0</v>
      </c>
      <c r="D200" s="300" t="s">
        <v>691</v>
      </c>
      <c r="E200" s="301">
        <f>VLOOKUP(D200,'W-Alloc Met-TY'!$C$8:$D$10,2,FALSE)*C200</f>
        <v>0</v>
      </c>
      <c r="F200" s="301">
        <f>VLOOKUP(D200,'W-Alloc Met-TY'!$C$8:$E$10,3,FALSE)*C200</f>
        <v>0</v>
      </c>
      <c r="G200" s="301">
        <f>VLOOKUP(D200,'W-Alloc Met-TY'!$C$8:$F$10,4,FALSE)*C200</f>
        <v>0</v>
      </c>
      <c r="H200" s="583"/>
    </row>
    <row r="201" spans="1:8">
      <c r="A201" s="154" t="s">
        <v>516</v>
      </c>
      <c r="B201" s="267" t="str">
        <f>Expenses!C201</f>
        <v>KRWFC 2003, KRWFC</v>
      </c>
      <c r="C201" s="69">
        <f>Expenses!E201</f>
        <v>0</v>
      </c>
      <c r="D201" s="300" t="s">
        <v>691</v>
      </c>
      <c r="E201" s="301">
        <f>VLOOKUP(D201,'W-Alloc Met-TY'!$C$8:$D$10,2,FALSE)*C201</f>
        <v>0</v>
      </c>
      <c r="F201" s="301">
        <f>VLOOKUP(D201,'W-Alloc Met-TY'!$C$8:$E$10,3,FALSE)*C201</f>
        <v>0</v>
      </c>
      <c r="G201" s="301">
        <f>VLOOKUP(D201,'W-Alloc Met-TY'!$C$8:$F$10,4,FALSE)*C201</f>
        <v>0</v>
      </c>
      <c r="H201" s="583"/>
    </row>
    <row r="202" spans="1:8">
      <c r="A202" s="154" t="s">
        <v>518</v>
      </c>
      <c r="B202" s="267" t="str">
        <f>Expenses!C202</f>
        <v>Series 2003C, KRWFC</v>
      </c>
      <c r="C202" s="69">
        <f>Expenses!E202</f>
        <v>0</v>
      </c>
      <c r="D202" s="300" t="s">
        <v>691</v>
      </c>
      <c r="E202" s="301">
        <f>VLOOKUP(D202,'W-Alloc Met-TY'!$C$8:$D$10,2,FALSE)*C202</f>
        <v>0</v>
      </c>
      <c r="F202" s="301">
        <f>VLOOKUP(D202,'W-Alloc Met-TY'!$C$8:$E$10,3,FALSE)*C202</f>
        <v>0</v>
      </c>
      <c r="G202" s="301">
        <f>VLOOKUP(D202,'W-Alloc Met-TY'!$C$8:$F$10,4,FALSE)*C202</f>
        <v>0</v>
      </c>
      <c r="H202" s="583"/>
    </row>
    <row r="203" spans="1:8">
      <c r="A203" s="154" t="s">
        <v>519</v>
      </c>
      <c r="B203" s="267" t="str">
        <f>Expenses!C203</f>
        <v>Series 2013B, KRWFC</v>
      </c>
      <c r="C203" s="69">
        <f>Expenses!E203</f>
        <v>18892</v>
      </c>
      <c r="D203" s="300" t="s">
        <v>691</v>
      </c>
      <c r="E203" s="301">
        <f>VLOOKUP(D203,'W-Alloc Met-TY'!$C$8:$D$10,2,FALSE)*C203</f>
        <v>18892</v>
      </c>
      <c r="F203" s="301">
        <f>VLOOKUP(D203,'W-Alloc Met-TY'!$C$8:$E$10,3,FALSE)*C203</f>
        <v>0</v>
      </c>
      <c r="G203" s="301">
        <f>VLOOKUP(D203,'W-Alloc Met-TY'!$C$8:$F$10,4,FALSE)*C203</f>
        <v>0</v>
      </c>
      <c r="H203" s="583"/>
    </row>
    <row r="204" spans="1:8">
      <c r="A204" s="154" t="s">
        <v>520</v>
      </c>
      <c r="B204" s="267" t="str">
        <f>Expenses!C204</f>
        <v>Series 2016B, KRWFC</v>
      </c>
      <c r="C204" s="69">
        <f>Expenses!E204</f>
        <v>37922</v>
      </c>
      <c r="D204" s="300" t="s">
        <v>691</v>
      </c>
      <c r="E204" s="301">
        <f>VLOOKUP(D204,'W-Alloc Met-TY'!$C$8:$D$10,2,FALSE)*C204</f>
        <v>37922</v>
      </c>
      <c r="F204" s="301">
        <f>VLOOKUP(D204,'W-Alloc Met-TY'!$C$8:$E$10,3,FALSE)*C204</f>
        <v>0</v>
      </c>
      <c r="G204" s="301">
        <f>VLOOKUP(D204,'W-Alloc Met-TY'!$C$8:$F$10,4,FALSE)*C204</f>
        <v>0</v>
      </c>
      <c r="H204" s="583"/>
    </row>
    <row r="205" spans="1:8">
      <c r="A205" s="154" t="s">
        <v>522</v>
      </c>
      <c r="B205" s="267" t="str">
        <f>Expenses!C205</f>
        <v>KIA Morgantown Rd Improvements</v>
      </c>
      <c r="C205" s="69">
        <f>Expenses!E205</f>
        <v>54693</v>
      </c>
      <c r="D205" s="300" t="s">
        <v>691</v>
      </c>
      <c r="E205" s="301">
        <f>VLOOKUP(D205,'W-Alloc Met-TY'!$C$8:$D$10,2,FALSE)*C205</f>
        <v>54693</v>
      </c>
      <c r="F205" s="301">
        <f>VLOOKUP(D205,'W-Alloc Met-TY'!$C$8:$E$10,3,FALSE)*C205</f>
        <v>0</v>
      </c>
      <c r="G205" s="301">
        <f>VLOOKUP(D205,'W-Alloc Met-TY'!$C$8:$F$10,4,FALSE)*C205</f>
        <v>0</v>
      </c>
      <c r="H205" s="583"/>
    </row>
    <row r="206" spans="1:8">
      <c r="A206" s="154" t="s">
        <v>524</v>
      </c>
      <c r="B206" s="267" t="str">
        <f>Expenses!C206</f>
        <v>Series 2021A, KRWFC</v>
      </c>
      <c r="C206" s="69">
        <f>Expenses!E206</f>
        <v>43655</v>
      </c>
      <c r="D206" s="300" t="s">
        <v>691</v>
      </c>
      <c r="E206" s="301">
        <f>VLOOKUP(D206,'W-Alloc Met-TY'!$C$8:$D$10,2,FALSE)*C206</f>
        <v>43655</v>
      </c>
      <c r="F206" s="301">
        <f>VLOOKUP(D206,'W-Alloc Met-TY'!$C$8:$E$10,3,FALSE)*C206</f>
        <v>0</v>
      </c>
      <c r="G206" s="301">
        <f>VLOOKUP(D206,'W-Alloc Met-TY'!$C$8:$F$10,4,FALSE)*C206</f>
        <v>0</v>
      </c>
      <c r="H206" s="583"/>
    </row>
    <row r="207" spans="1:8">
      <c r="A207" s="154" t="s">
        <v>524</v>
      </c>
      <c r="B207" s="267" t="str">
        <f>Expenses!C207</f>
        <v>Series 2022D, KRWFC</v>
      </c>
      <c r="C207" s="69">
        <f>Expenses!E207</f>
        <v>104697</v>
      </c>
      <c r="D207" s="300" t="s">
        <v>691</v>
      </c>
      <c r="E207" s="301">
        <f>VLOOKUP(D207,'W-Alloc Met-TY'!$C$8:$D$10,2,FALSE)*C207</f>
        <v>104697</v>
      </c>
      <c r="F207" s="301">
        <f>VLOOKUP(D207,'W-Alloc Met-TY'!$C$8:$E$10,3,FALSE)*C207</f>
        <v>0</v>
      </c>
      <c r="G207" s="301">
        <f>VLOOKUP(D207,'W-Alloc Met-TY'!$C$8:$F$10,4,FALSE)*C207</f>
        <v>0</v>
      </c>
      <c r="H207" s="583"/>
    </row>
    <row r="208" spans="1:8">
      <c r="A208" s="154" t="s">
        <v>526</v>
      </c>
      <c r="B208" s="267" t="str">
        <f>Expenses!C208</f>
        <v>Consumer Deposits</v>
      </c>
      <c r="C208" s="69">
        <f>Expenses!E208</f>
        <v>15005</v>
      </c>
      <c r="D208" s="300" t="s">
        <v>691</v>
      </c>
      <c r="E208" s="301">
        <f>VLOOKUP(D208,'W-Alloc Met-TY'!$C$8:$D$10,2,FALSE)*C208</f>
        <v>15005</v>
      </c>
      <c r="F208" s="301">
        <f>VLOOKUP(D208,'W-Alloc Met-TY'!$C$8:$E$10,3,FALSE)*C208</f>
        <v>0</v>
      </c>
      <c r="G208" s="301">
        <f>VLOOKUP(D208,'W-Alloc Met-TY'!$C$8:$F$10,4,FALSE)*C208</f>
        <v>0</v>
      </c>
      <c r="H208" s="583"/>
    </row>
    <row r="209" spans="1:8">
      <c r="A209" s="154" t="s">
        <v>527</v>
      </c>
      <c r="B209" s="267" t="str">
        <f>Expenses!C209</f>
        <v>Other</v>
      </c>
      <c r="C209" s="69">
        <f>Expenses!E209</f>
        <v>0</v>
      </c>
      <c r="D209" s="300" t="s">
        <v>691</v>
      </c>
      <c r="E209" s="301">
        <f>VLOOKUP(D209,'W-Alloc Met-TY'!$C$8:$D$10,2,FALSE)*C209</f>
        <v>0</v>
      </c>
      <c r="F209" s="301">
        <f>VLOOKUP(D209,'W-Alloc Met-TY'!$C$8:$E$10,3,FALSE)*C209</f>
        <v>0</v>
      </c>
      <c r="G209" s="301">
        <f>VLOOKUP(D209,'W-Alloc Met-TY'!$C$8:$F$10,4,FALSE)*C209</f>
        <v>0</v>
      </c>
      <c r="H209" s="583"/>
    </row>
    <row r="210" spans="1:8">
      <c r="A210" s="154" t="s">
        <v>528</v>
      </c>
      <c r="B210" s="872" t="str">
        <f>Expenses!C210</f>
        <v>Amortized Prem/Disc Exp- Rev Bonds, Series 2004A</v>
      </c>
      <c r="C210" s="69">
        <f>Expenses!E210</f>
        <v>0</v>
      </c>
      <c r="D210" s="300" t="s">
        <v>691</v>
      </c>
      <c r="E210" s="301">
        <f>VLOOKUP(D210,'W-Alloc Met-TY'!$C$8:$D$10,2,FALSE)*C210</f>
        <v>0</v>
      </c>
      <c r="F210" s="301">
        <f>VLOOKUP(D210,'W-Alloc Met-TY'!$C$8:$E$10,3,FALSE)*C210</f>
        <v>0</v>
      </c>
      <c r="G210" s="301">
        <f>VLOOKUP(D210,'W-Alloc Met-TY'!$C$8:$F$10,4,FALSE)*C210</f>
        <v>0</v>
      </c>
      <c r="H210" s="583"/>
    </row>
    <row r="211" spans="1:8">
      <c r="A211" s="154" t="s">
        <v>530</v>
      </c>
      <c r="B211" s="872" t="str">
        <f>Expenses!C211</f>
        <v>Amortized Prem/Disc Exp- KRWFC, Series 2006A</v>
      </c>
      <c r="C211" s="69">
        <f>Expenses!E211</f>
        <v>0</v>
      </c>
      <c r="D211" s="300" t="s">
        <v>691</v>
      </c>
      <c r="E211" s="301">
        <f>VLOOKUP(D211,'W-Alloc Met-TY'!$C$8:$D$10,2,FALSE)*C211</f>
        <v>0</v>
      </c>
      <c r="F211" s="301">
        <f>VLOOKUP(D211,'W-Alloc Met-TY'!$C$8:$E$10,3,FALSE)*C211</f>
        <v>0</v>
      </c>
      <c r="G211" s="301">
        <f>VLOOKUP(D211,'W-Alloc Met-TY'!$C$8:$F$10,4,FALSE)*C211</f>
        <v>0</v>
      </c>
      <c r="H211" s="583"/>
    </row>
    <row r="212" spans="1:8">
      <c r="A212" s="154" t="s">
        <v>532</v>
      </c>
      <c r="B212" s="872" t="str">
        <f>Expenses!C212</f>
        <v>Amortized Prem/Disc Exp- KRWFC, Series 2012B</v>
      </c>
      <c r="C212" s="69">
        <f>Expenses!E212</f>
        <v>0</v>
      </c>
      <c r="D212" s="300" t="s">
        <v>691</v>
      </c>
      <c r="E212" s="301">
        <f>VLOOKUP(D212,'W-Alloc Met-TY'!$C$8:$D$10,2,FALSE)*C212</f>
        <v>0</v>
      </c>
      <c r="F212" s="301">
        <f>VLOOKUP(D212,'W-Alloc Met-TY'!$C$8:$E$10,3,FALSE)*C212</f>
        <v>0</v>
      </c>
      <c r="G212" s="301">
        <f>VLOOKUP(D212,'W-Alloc Met-TY'!$C$8:$F$10,4,FALSE)*C212</f>
        <v>0</v>
      </c>
      <c r="H212" s="583"/>
    </row>
    <row r="213" spans="1:8">
      <c r="A213" s="154" t="s">
        <v>534</v>
      </c>
      <c r="B213" s="872" t="str">
        <f>Expenses!C213</f>
        <v>Amortized Prem/Disc Exp- KRWFC, Series 2013B</v>
      </c>
      <c r="C213" s="69">
        <f>Expenses!E213</f>
        <v>844</v>
      </c>
      <c r="D213" s="300" t="s">
        <v>691</v>
      </c>
      <c r="E213" s="301">
        <f>VLOOKUP(D213,'W-Alloc Met-TY'!$C$8:$D$10,2,FALSE)*C213</f>
        <v>844</v>
      </c>
      <c r="F213" s="301">
        <f>VLOOKUP(D213,'W-Alloc Met-TY'!$C$8:$E$10,3,FALSE)*C213</f>
        <v>0</v>
      </c>
      <c r="G213" s="301">
        <f>VLOOKUP(D213,'W-Alloc Met-TY'!$C$8:$F$10,4,FALSE)*C213</f>
        <v>0</v>
      </c>
      <c r="H213" s="583"/>
    </row>
    <row r="214" spans="1:8">
      <c r="A214" s="154" t="s">
        <v>536</v>
      </c>
      <c r="B214" s="872" t="str">
        <f>Expenses!C214</f>
        <v>Amortized Prem/Disc Exp- KRWFC, Series 2016B</v>
      </c>
      <c r="C214" s="69">
        <f>Expenses!E214</f>
        <v>-1973</v>
      </c>
      <c r="D214" s="300" t="s">
        <v>691</v>
      </c>
      <c r="E214" s="301">
        <f>VLOOKUP(D214,'W-Alloc Met-TY'!$C$8:$D$10,2,FALSE)*C214</f>
        <v>-1973</v>
      </c>
      <c r="F214" s="301">
        <f>VLOOKUP(D214,'W-Alloc Met-TY'!$C$8:$E$10,3,FALSE)*C214</f>
        <v>0</v>
      </c>
      <c r="G214" s="301">
        <f>VLOOKUP(D214,'W-Alloc Met-TY'!$C$8:$F$10,4,FALSE)*C214</f>
        <v>0</v>
      </c>
      <c r="H214" s="583"/>
    </row>
    <row r="215" spans="1:8">
      <c r="A215" s="154" t="s">
        <v>538</v>
      </c>
      <c r="B215" s="872" t="str">
        <f>Expenses!C215</f>
        <v>Amortized Prem/Disc Exp- KRWFC, Series 2021A</v>
      </c>
      <c r="C215" s="69">
        <f>Expenses!E215</f>
        <v>-11561</v>
      </c>
      <c r="D215" s="300" t="s">
        <v>691</v>
      </c>
      <c r="E215" s="301">
        <f>VLOOKUP(D215,'W-Alloc Met-TY'!$C$8:$D$10,2,FALSE)*C215</f>
        <v>-11561</v>
      </c>
      <c r="F215" s="301">
        <f>VLOOKUP(D215,'W-Alloc Met-TY'!$C$8:$E$10,3,FALSE)*C215</f>
        <v>0</v>
      </c>
      <c r="G215" s="301">
        <f>VLOOKUP(D215,'W-Alloc Met-TY'!$C$8:$F$10,4,FALSE)*C215</f>
        <v>0</v>
      </c>
      <c r="H215" s="583"/>
    </row>
    <row r="216" spans="1:8">
      <c r="A216" s="154"/>
      <c r="B216" s="267" t="str">
        <f>Expenses!C216</f>
        <v>-</v>
      </c>
      <c r="C216" s="69">
        <f>Expenses!E216</f>
        <v>0</v>
      </c>
      <c r="D216" s="300" t="s">
        <v>691</v>
      </c>
      <c r="E216" s="301">
        <f>VLOOKUP(D216,'W-Alloc Met-TY'!$C$8:$D$10,2,FALSE)*C216</f>
        <v>0</v>
      </c>
      <c r="F216" s="301">
        <f>VLOOKUP(D216,'W-Alloc Met-TY'!$C$8:$E$10,3,FALSE)*C216</f>
        <v>0</v>
      </c>
      <c r="G216" s="301">
        <f>VLOOKUP(D216,'W-Alloc Met-TY'!$C$8:$F$10,4,FALSE)*C216</f>
        <v>0</v>
      </c>
      <c r="H216" s="583"/>
    </row>
    <row r="217" spans="1:8">
      <c r="A217" s="154"/>
      <c r="B217" s="267" t="str">
        <f>Expenses!C217</f>
        <v>-</v>
      </c>
      <c r="C217" s="69">
        <f>Expenses!E217</f>
        <v>0</v>
      </c>
      <c r="D217" s="300" t="s">
        <v>691</v>
      </c>
      <c r="E217" s="301">
        <f>VLOOKUP(D217,'W-Alloc Met-TY'!$C$8:$D$10,2,FALSE)*C217</f>
        <v>0</v>
      </c>
      <c r="F217" s="301">
        <f>VLOOKUP(D217,'W-Alloc Met-TY'!$C$8:$E$10,3,FALSE)*C217</f>
        <v>0</v>
      </c>
      <c r="G217" s="301">
        <f>VLOOKUP(D217,'W-Alloc Met-TY'!$C$8:$F$10,4,FALSE)*C217</f>
        <v>0</v>
      </c>
      <c r="H217" s="583"/>
    </row>
    <row r="218" spans="1:8">
      <c r="A218" s="154"/>
      <c r="B218" s="267" t="str">
        <f>Expenses!C218</f>
        <v>-</v>
      </c>
      <c r="C218" s="69">
        <f>Expenses!E218</f>
        <v>0</v>
      </c>
      <c r="D218" s="300" t="s">
        <v>691</v>
      </c>
      <c r="E218" s="301">
        <f>VLOOKUP(D218,'W-Alloc Met-TY'!$C$8:$D$10,2,FALSE)*C218</f>
        <v>0</v>
      </c>
      <c r="F218" s="301">
        <f>VLOOKUP(D218,'W-Alloc Met-TY'!$C$8:$E$10,3,FALSE)*C218</f>
        <v>0</v>
      </c>
      <c r="G218" s="301">
        <f>VLOOKUP(D218,'W-Alloc Met-TY'!$C$8:$F$10,4,FALSE)*C218</f>
        <v>0</v>
      </c>
      <c r="H218" s="583"/>
    </row>
    <row r="219" spans="1:8">
      <c r="A219" s="855"/>
      <c r="B219" s="267" t="str">
        <f>Expenses!C219</f>
        <v>-</v>
      </c>
      <c r="C219" s="69">
        <f>Expenses!E219</f>
        <v>0</v>
      </c>
      <c r="D219" s="300" t="s">
        <v>691</v>
      </c>
      <c r="E219" s="301">
        <f>VLOOKUP(D219,'W-Alloc Met-TY'!$C$8:$D$10,2,FALSE)*C219</f>
        <v>0</v>
      </c>
      <c r="F219" s="301">
        <f>VLOOKUP(D219,'W-Alloc Met-TY'!$C$8:$E$10,3,FALSE)*C219</f>
        <v>0</v>
      </c>
      <c r="G219" s="301">
        <f>VLOOKUP(D219,'W-Alloc Met-TY'!$C$8:$F$10,4,FALSE)*C219</f>
        <v>0</v>
      </c>
      <c r="H219" s="583"/>
    </row>
    <row r="220" spans="1:8">
      <c r="A220" s="855"/>
      <c r="B220" s="267" t="str">
        <f>Expenses!C220</f>
        <v>-</v>
      </c>
      <c r="C220" s="69">
        <f>Expenses!E220</f>
        <v>0</v>
      </c>
      <c r="D220" s="300" t="s">
        <v>691</v>
      </c>
      <c r="E220" s="301">
        <f>VLOOKUP(D220,'W-Alloc Met-TY'!$C$8:$D$10,2,FALSE)*C220</f>
        <v>0</v>
      </c>
      <c r="F220" s="301">
        <f>VLOOKUP(D220,'W-Alloc Met-TY'!$C$8:$E$10,3,FALSE)*C220</f>
        <v>0</v>
      </c>
      <c r="G220" s="479">
        <f>VLOOKUP(D220,'W-Alloc Met-TY'!$C$8:$F$10,4,FALSE)*C220</f>
        <v>0</v>
      </c>
      <c r="H220" s="583"/>
    </row>
    <row r="221" spans="1:8">
      <c r="A221" s="857"/>
      <c r="B221" s="267" t="str">
        <f>Expenses!C221</f>
        <v>-</v>
      </c>
      <c r="C221" s="37">
        <f>Expenses!E221</f>
        <v>0</v>
      </c>
      <c r="D221" s="299" t="s">
        <v>691</v>
      </c>
      <c r="E221" s="761">
        <f>VLOOKUP(D221,'W-Alloc Met-TY'!$C$8:$D$10,2,FALSE)*C221</f>
        <v>0</v>
      </c>
      <c r="F221" s="761">
        <f>VLOOKUP(D221,'W-Alloc Met-TY'!$C$8:$E$10,3,FALSE)*C221</f>
        <v>0</v>
      </c>
      <c r="G221" s="762">
        <f>VLOOKUP(D221,'W-Alloc Met-TY'!$C$8:$F$10,4,FALSE)*C221</f>
        <v>0</v>
      </c>
      <c r="H221" s="583"/>
    </row>
    <row r="222" spans="1:8">
      <c r="A222" s="856"/>
      <c r="B222" s="263" t="s">
        <v>29</v>
      </c>
      <c r="C222" s="157">
        <f>SUM(C176:C220)</f>
        <v>301714</v>
      </c>
      <c r="D222" s="157"/>
      <c r="E222" s="157">
        <f>SUM(E176:E220)</f>
        <v>301714</v>
      </c>
      <c r="F222" s="157">
        <f>SUM(F176:F221)</f>
        <v>0</v>
      </c>
      <c r="G222" s="157">
        <f>SUM(G176:G221)</f>
        <v>0</v>
      </c>
      <c r="H222" s="583"/>
    </row>
    <row r="223" spans="1:8">
      <c r="A223" s="855"/>
      <c r="B223" s="266"/>
      <c r="C223" s="45"/>
      <c r="H223" s="583"/>
    </row>
    <row r="224" spans="1:8">
      <c r="A224" s="855"/>
      <c r="B224" s="262" t="s">
        <v>35</v>
      </c>
      <c r="C224" s="320"/>
      <c r="D224" s="153"/>
      <c r="E224" s="153"/>
      <c r="F224" s="153"/>
      <c r="G224" s="153"/>
      <c r="H224" s="583"/>
    </row>
    <row r="225" spans="1:8">
      <c r="A225" s="855" t="s">
        <v>541</v>
      </c>
      <c r="B225" s="267" t="str">
        <f>Expenses!C225</f>
        <v>Amortized Debt Expense</v>
      </c>
      <c r="C225" s="69">
        <f>Expenses!E225</f>
        <v>0</v>
      </c>
      <c r="D225" s="300" t="s">
        <v>691</v>
      </c>
      <c r="E225" s="301">
        <f>VLOOKUP(D225,'W-Alloc Met-TY'!$C$8:$D$10,2,FALSE)*C225</f>
        <v>0</v>
      </c>
      <c r="F225" s="301">
        <f>VLOOKUP(D225,'W-Alloc Met-TY'!$C$8:$E$10,3,FALSE)*C225</f>
        <v>0</v>
      </c>
      <c r="G225" s="301">
        <f>VLOOKUP(D225,'W-Alloc Met-TY'!$C$8:$F$10,4,FALSE)*C225</f>
        <v>0</v>
      </c>
      <c r="H225" s="583"/>
    </row>
    <row r="226" spans="1:8">
      <c r="A226" s="855" t="s">
        <v>542</v>
      </c>
      <c r="B226" s="872" t="str">
        <f>Expenses!C226</f>
        <v>Amortized Debt Gain/Loss KRWFC Series 2016B</v>
      </c>
      <c r="C226" s="69">
        <f>Expenses!E226</f>
        <v>1192</v>
      </c>
      <c r="D226" s="300" t="s">
        <v>691</v>
      </c>
      <c r="E226" s="301">
        <f>VLOOKUP(D226,'W-Alloc Met-TY'!$C$8:$D$10,2,FALSE)*C226</f>
        <v>1192</v>
      </c>
      <c r="F226" s="301">
        <f>VLOOKUP(D226,'W-Alloc Met-TY'!$C$8:$E$10,3,FALSE)*C226</f>
        <v>0</v>
      </c>
      <c r="G226" s="301">
        <f>VLOOKUP(D226,'W-Alloc Met-TY'!$C$8:$F$10,4,FALSE)*C226</f>
        <v>0</v>
      </c>
      <c r="H226" s="583"/>
    </row>
    <row r="227" spans="1:8">
      <c r="A227" s="154" t="s">
        <v>545</v>
      </c>
      <c r="B227" s="872" t="str">
        <f>Expenses!C227</f>
        <v>Amortized Debt Gain/Loss KRWFC Series 2021A</v>
      </c>
      <c r="C227" s="69">
        <f>Expenses!E227</f>
        <v>2055</v>
      </c>
      <c r="D227" s="300" t="s">
        <v>691</v>
      </c>
      <c r="E227" s="301">
        <f>VLOOKUP(D227,'W-Alloc Met-TY'!$C$8:$D$10,2,FALSE)*C227</f>
        <v>2055</v>
      </c>
      <c r="F227" s="301">
        <f>VLOOKUP(D227,'W-Alloc Met-TY'!$C$8:$E$10,3,FALSE)*C227</f>
        <v>0</v>
      </c>
      <c r="G227" s="301">
        <f>VLOOKUP(D227,'W-Alloc Met-TY'!$C$8:$F$10,4,FALSE)*C227</f>
        <v>0</v>
      </c>
      <c r="H227" s="583"/>
    </row>
    <row r="228" spans="1:8">
      <c r="A228" s="154"/>
      <c r="B228" s="267" t="str">
        <f>Expenses!C228</f>
        <v>Amortized Debt Expense</v>
      </c>
      <c r="C228" s="69">
        <f>Expenses!E228</f>
        <v>0</v>
      </c>
      <c r="D228" s="300" t="s">
        <v>691</v>
      </c>
      <c r="E228" s="301">
        <f>VLOOKUP(D228,'W-Alloc Met-TY'!$C$8:$D$10,2,FALSE)*C228</f>
        <v>0</v>
      </c>
      <c r="F228" s="301">
        <f>VLOOKUP(D228,'W-Alloc Met-TY'!$C$8:$E$10,3,FALSE)*C228</f>
        <v>0</v>
      </c>
      <c r="G228" s="301">
        <f>VLOOKUP(D228,'W-Alloc Met-TY'!$C$8:$F$10,4,FALSE)*C228</f>
        <v>0</v>
      </c>
      <c r="H228" s="583"/>
    </row>
    <row r="229" spans="1:8">
      <c r="A229" s="154" t="s">
        <v>548</v>
      </c>
      <c r="B229" s="267" t="str">
        <f>Expenses!C229</f>
        <v>Debt Issuance Expense</v>
      </c>
      <c r="C229" s="69">
        <f>Expenses!E229</f>
        <v>-2384</v>
      </c>
      <c r="D229" s="300" t="s">
        <v>691</v>
      </c>
      <c r="E229" s="301">
        <f>VLOOKUP(D229,'W-Alloc Met-TY'!$C$8:$D$10,2,FALSE)*C229</f>
        <v>-2384</v>
      </c>
      <c r="F229" s="301">
        <f>VLOOKUP(D229,'W-Alloc Met-TY'!$C$8:$E$10,3,FALSE)*C229</f>
        <v>0</v>
      </c>
      <c r="G229" s="301">
        <f>VLOOKUP(D229,'W-Alloc Met-TY'!$C$8:$F$10,4,FALSE)*C229</f>
        <v>0</v>
      </c>
      <c r="H229" s="583"/>
    </row>
    <row r="230" spans="1:8">
      <c r="A230" s="154" t="s">
        <v>551</v>
      </c>
      <c r="B230" s="267" t="str">
        <f>Expenses!C230</f>
        <v>OPEB Expense</v>
      </c>
      <c r="C230" s="69">
        <f>Expenses!E230</f>
        <v>29230</v>
      </c>
      <c r="D230" s="300" t="s">
        <v>691</v>
      </c>
      <c r="E230" s="301">
        <f>VLOOKUP(D230,'W-Alloc Met-TY'!$C$8:$D$10,2,FALSE)*C230</f>
        <v>29230</v>
      </c>
      <c r="F230" s="301">
        <f>VLOOKUP(D230,'W-Alloc Met-TY'!$C$8:$E$10,3,FALSE)*C230</f>
        <v>0</v>
      </c>
      <c r="G230" s="301">
        <f>VLOOKUP(D230,'W-Alloc Met-TY'!$C$8:$F$10,4,FALSE)*C230</f>
        <v>0</v>
      </c>
      <c r="H230" s="583"/>
    </row>
    <row r="231" spans="1:8">
      <c r="A231" s="154"/>
      <c r="B231" s="267" t="str">
        <f>Expenses!C231</f>
        <v xml:space="preserve">Bonds- Series 2020, USDA </v>
      </c>
      <c r="C231" s="69">
        <f>Expenses!E231</f>
        <v>0</v>
      </c>
      <c r="D231" s="300" t="s">
        <v>691</v>
      </c>
      <c r="E231" s="301">
        <f>VLOOKUP(D231,'W-Alloc Met-TY'!$C$8:$D$10,2,FALSE)*C231</f>
        <v>0</v>
      </c>
      <c r="F231" s="301">
        <f>VLOOKUP(D231,'W-Alloc Met-TY'!$C$8:$E$10,3,FALSE)*C231</f>
        <v>0</v>
      </c>
      <c r="G231" s="301">
        <f>VLOOKUP(D231,'W-Alloc Met-TY'!$C$8:$F$10,4,FALSE)*C231</f>
        <v>0</v>
      </c>
      <c r="H231" s="583"/>
    </row>
    <row r="232" spans="1:8">
      <c r="A232" s="154"/>
      <c r="B232" s="267" t="str">
        <f>Expenses!C232</f>
        <v>Loan- KIA, Buchanon Park (C11-02)</v>
      </c>
      <c r="C232" s="69">
        <f>Expenses!E232</f>
        <v>0</v>
      </c>
      <c r="D232" s="300" t="s">
        <v>691</v>
      </c>
      <c r="E232" s="301">
        <f>VLOOKUP(D232,'W-Alloc Met-TY'!$C$8:$D$10,2,FALSE)*C232</f>
        <v>0</v>
      </c>
      <c r="F232" s="301">
        <f>VLOOKUP(D232,'W-Alloc Met-TY'!$C$8:$E$10,3,FALSE)*C232</f>
        <v>0</v>
      </c>
      <c r="G232" s="301">
        <f>VLOOKUP(D232,'W-Alloc Met-TY'!$C$8:$F$10,4,FALSE)*C232</f>
        <v>0</v>
      </c>
      <c r="H232" s="583"/>
    </row>
    <row r="233" spans="1:8">
      <c r="A233" s="154"/>
      <c r="B233" s="267" t="str">
        <f>Expenses!C233</f>
        <v>Loan- Series 2013B, RWFA</v>
      </c>
      <c r="C233" s="69">
        <f>Expenses!E233</f>
        <v>0</v>
      </c>
      <c r="D233" s="300" t="s">
        <v>691</v>
      </c>
      <c r="E233" s="301">
        <f>VLOOKUP(D233,'W-Alloc Met-TY'!$C$8:$D$10,2,FALSE)*C233</f>
        <v>0</v>
      </c>
      <c r="F233" s="301">
        <f>VLOOKUP(D233,'W-Alloc Met-TY'!$C$8:$E$10,3,FALSE)*C233</f>
        <v>0</v>
      </c>
      <c r="G233" s="301">
        <f>VLOOKUP(D233,'W-Alloc Met-TY'!$C$8:$F$10,4,FALSE)*C233</f>
        <v>0</v>
      </c>
      <c r="H233" s="583"/>
    </row>
    <row r="234" spans="1:8">
      <c r="A234" s="154"/>
      <c r="B234" s="872" t="str">
        <f>Expenses!C234</f>
        <v>Loan - KIA, Plum Springs Rehab (B19-006)</v>
      </c>
      <c r="C234" s="69">
        <f>Expenses!E234</f>
        <v>0</v>
      </c>
      <c r="D234" s="300" t="s">
        <v>691</v>
      </c>
      <c r="E234" s="301">
        <f>VLOOKUP(D234,'W-Alloc Met-TY'!$C$8:$D$10,2,FALSE)*C234</f>
        <v>0</v>
      </c>
      <c r="F234" s="301">
        <f>VLOOKUP(D234,'W-Alloc Met-TY'!$C$8:$E$10,3,FALSE)*C234</f>
        <v>0</v>
      </c>
      <c r="G234" s="301">
        <f>VLOOKUP(D234,'W-Alloc Met-TY'!$C$8:$F$10,4,FALSE)*C234</f>
        <v>0</v>
      </c>
      <c r="H234" s="583"/>
    </row>
    <row r="235" spans="1:8">
      <c r="A235" s="154"/>
      <c r="B235" s="267" t="str">
        <f>Expenses!C235</f>
        <v>Loan- Series 2021A, KRWFC</v>
      </c>
      <c r="C235" s="69">
        <f>Expenses!E235</f>
        <v>155000</v>
      </c>
      <c r="D235" s="300" t="s">
        <v>691</v>
      </c>
      <c r="E235" s="301">
        <f>VLOOKUP(D235,'W-Alloc Met-TY'!$C$8:$D$10,2,FALSE)*C235</f>
        <v>155000</v>
      </c>
      <c r="F235" s="301">
        <f>VLOOKUP(D235,'W-Alloc Met-TY'!$C$8:$E$10,3,FALSE)*C235</f>
        <v>0</v>
      </c>
      <c r="G235" s="301">
        <f>VLOOKUP(D235,'W-Alloc Met-TY'!$C$8:$F$10,4,FALSE)*C235</f>
        <v>0</v>
      </c>
      <c r="H235" s="583"/>
    </row>
    <row r="236" spans="1:8">
      <c r="A236" s="154"/>
      <c r="B236" s="267" t="str">
        <f>Expenses!C236</f>
        <v>Loan- Series 2022D, KRWFC</v>
      </c>
      <c r="C236" s="69">
        <f>Expenses!E236</f>
        <v>0</v>
      </c>
      <c r="D236" s="300" t="s">
        <v>691</v>
      </c>
      <c r="E236" s="301">
        <f>VLOOKUP(D236,'W-Alloc Met-TY'!$C$8:$D$10,2,FALSE)*C236</f>
        <v>0</v>
      </c>
      <c r="F236" s="301">
        <f>VLOOKUP(D236,'W-Alloc Met-TY'!$C$8:$E$10,3,FALSE)*C236</f>
        <v>0</v>
      </c>
      <c r="G236" s="301">
        <f>VLOOKUP(D236,'W-Alloc Met-TY'!$C$8:$F$10,4,FALSE)*C236</f>
        <v>0</v>
      </c>
      <c r="H236" s="583"/>
    </row>
    <row r="237" spans="1:8">
      <c r="A237" s="154"/>
      <c r="B237" s="267" t="str">
        <f>Expenses!C237</f>
        <v>Bond- Series 2005A, USDA (RD)</v>
      </c>
      <c r="C237" s="69">
        <f>Expenses!E237</f>
        <v>26000</v>
      </c>
      <c r="D237" s="300" t="s">
        <v>691</v>
      </c>
      <c r="E237" s="301">
        <f>VLOOKUP(D237,'W-Alloc Met-TY'!$C$8:$D$10,2,FALSE)*C237</f>
        <v>26000</v>
      </c>
      <c r="F237" s="301">
        <f>VLOOKUP(D237,'W-Alloc Met-TY'!$C$8:$E$10,3,FALSE)*C237</f>
        <v>0</v>
      </c>
      <c r="G237" s="301">
        <f>VLOOKUP(D237,'W-Alloc Met-TY'!$C$8:$F$10,4,FALSE)*C237</f>
        <v>0</v>
      </c>
      <c r="H237" s="583"/>
    </row>
    <row r="238" spans="1:8">
      <c r="A238" s="154"/>
      <c r="B238" s="267" t="str">
        <f>Expenses!C238</f>
        <v>Loan- Series 2013B, KRWFC</v>
      </c>
      <c r="C238" s="69">
        <f>Expenses!E238</f>
        <v>140129.04999999999</v>
      </c>
      <c r="D238" s="300" t="s">
        <v>691</v>
      </c>
      <c r="E238" s="301">
        <f>VLOOKUP(D238,'W-Alloc Met-TY'!$C$8:$D$10,2,FALSE)*C238</f>
        <v>140129.04999999999</v>
      </c>
      <c r="F238" s="301">
        <f>VLOOKUP(D238,'W-Alloc Met-TY'!$C$8:$E$10,3,FALSE)*C238</f>
        <v>0</v>
      </c>
      <c r="G238" s="301">
        <f>VLOOKUP(D238,'W-Alloc Met-TY'!$C$8:$F$10,4,FALSE)*C238</f>
        <v>0</v>
      </c>
      <c r="H238" s="583"/>
    </row>
    <row r="239" spans="1:8">
      <c r="A239" s="154"/>
      <c r="B239" s="267" t="str">
        <f>Expenses!C239</f>
        <v>Loan- Series 2016B, KRWFC</v>
      </c>
      <c r="C239" s="69">
        <f>Expenses!E239</f>
        <v>165000</v>
      </c>
      <c r="D239" s="300" t="s">
        <v>691</v>
      </c>
      <c r="E239" s="301">
        <f>VLOOKUP(D239,'W-Alloc Met-TY'!$C$8:$D$10,2,FALSE)*C239</f>
        <v>165000</v>
      </c>
      <c r="F239" s="301">
        <f>VLOOKUP(D239,'W-Alloc Met-TY'!$C$8:$E$10,3,FALSE)*C239</f>
        <v>0</v>
      </c>
      <c r="G239" s="301">
        <f>VLOOKUP(D239,'W-Alloc Met-TY'!$C$8:$F$10,4,FALSE)*C239</f>
        <v>0</v>
      </c>
      <c r="H239" s="583"/>
    </row>
    <row r="240" spans="1:8">
      <c r="A240" s="154"/>
      <c r="B240" s="267" t="str">
        <f>Expenses!C240</f>
        <v xml:space="preserve">Loan- Series 2020 KIA </v>
      </c>
      <c r="C240" s="69">
        <f>Expenses!E240</f>
        <v>78818.14</v>
      </c>
      <c r="D240" s="300" t="s">
        <v>691</v>
      </c>
      <c r="E240" s="301">
        <f>VLOOKUP(D240,'W-Alloc Met-TY'!$C$8:$D$10,2,FALSE)*C240</f>
        <v>78818.14</v>
      </c>
      <c r="F240" s="301">
        <f>VLOOKUP(D240,'W-Alloc Met-TY'!$C$8:$E$10,3,FALSE)*C240</f>
        <v>0</v>
      </c>
      <c r="G240" s="301">
        <f>VLOOKUP(D240,'W-Alloc Met-TY'!$C$8:$F$10,4,FALSE)*C240</f>
        <v>0</v>
      </c>
      <c r="H240" s="583"/>
    </row>
    <row r="241" spans="1:8">
      <c r="A241" s="154"/>
      <c r="B241" s="267" t="str">
        <f>Expenses!C241</f>
        <v>-</v>
      </c>
      <c r="C241" s="69">
        <f>Expenses!E241</f>
        <v>0</v>
      </c>
      <c r="D241" s="300" t="s">
        <v>691</v>
      </c>
      <c r="E241" s="301">
        <f>VLOOKUP(D241,'W-Alloc Met-TY'!$C$8:$D$10,2,FALSE)*C241</f>
        <v>0</v>
      </c>
      <c r="F241" s="301">
        <f>VLOOKUP(D241,'W-Alloc Met-TY'!$C$8:$E$10,3,FALSE)*C241</f>
        <v>0</v>
      </c>
      <c r="G241" s="301">
        <f>VLOOKUP(D241,'W-Alloc Met-TY'!$C$8:$F$10,4,FALSE)*C241</f>
        <v>0</v>
      </c>
      <c r="H241" s="583"/>
    </row>
    <row r="242" spans="1:8">
      <c r="A242" s="154"/>
      <c r="B242" s="267" t="s">
        <v>93</v>
      </c>
      <c r="C242" s="69">
        <f>Expenses!E242</f>
        <v>0</v>
      </c>
      <c r="D242" s="300" t="s">
        <v>691</v>
      </c>
      <c r="E242" s="301">
        <f>VLOOKUP(D242,'W-Alloc Met-TY'!$C$8:$D$10,2,FALSE)*C242</f>
        <v>0</v>
      </c>
      <c r="F242" s="301">
        <f>VLOOKUP(D242,'W-Alloc Met-TY'!$C$8:$E$10,3,FALSE)*C242</f>
        <v>0</v>
      </c>
      <c r="G242" s="301">
        <f>VLOOKUP(D242,'W-Alloc Met-TY'!$C$8:$F$10,4,FALSE)*C242</f>
        <v>0</v>
      </c>
      <c r="H242" s="583"/>
    </row>
    <row r="243" spans="1:8">
      <c r="A243" s="154"/>
      <c r="B243" s="267" t="str">
        <f>Expenses!C244</f>
        <v>-</v>
      </c>
      <c r="C243" s="37">
        <f>Expenses!E243</f>
        <v>0</v>
      </c>
      <c r="D243" s="299" t="s">
        <v>691</v>
      </c>
      <c r="E243" s="761">
        <f>VLOOKUP(D243,'W-Alloc Met-TY'!$C$8:$D$10,2,FALSE)*C243</f>
        <v>0</v>
      </c>
      <c r="F243" s="761">
        <f>VLOOKUP(D243,'W-Alloc Met-TY'!$C$8:$E$10,3,FALSE)*C243</f>
        <v>0</v>
      </c>
      <c r="G243" s="762">
        <f>VLOOKUP(D243,'W-Alloc Met-TY'!$C$8:$F$10,4,FALSE)*C243</f>
        <v>0</v>
      </c>
      <c r="H243" s="583"/>
    </row>
    <row r="244" spans="1:8">
      <c r="A244" s="156"/>
      <c r="B244" s="263" t="s">
        <v>29</v>
      </c>
      <c r="C244" s="157">
        <f>SUM(C225:C243)</f>
        <v>595040.18999999994</v>
      </c>
      <c r="D244" s="157"/>
      <c r="E244" s="157">
        <f>SUM(E225:E243)</f>
        <v>595040.18999999994</v>
      </c>
      <c r="F244" s="157">
        <f>SUM(F225:F243)</f>
        <v>0</v>
      </c>
      <c r="G244" s="157">
        <f>SUM(G225:G243)</f>
        <v>0</v>
      </c>
      <c r="H244" s="583"/>
    </row>
    <row r="245" spans="1:8">
      <c r="A245" s="22"/>
      <c r="B245" s="268"/>
      <c r="C245" s="45"/>
      <c r="H245" s="583"/>
    </row>
    <row r="246" spans="1:8" ht="14.5" thickBot="1">
      <c r="A246" s="374"/>
      <c r="B246" s="375" t="s">
        <v>37</v>
      </c>
      <c r="C246" s="376">
        <f>SUM(C36,C73,C94,C116,C138,C173,C222,C244)</f>
        <v>17800297.190000001</v>
      </c>
      <c r="D246" s="376"/>
      <c r="E246" s="376">
        <f>SUM(E36,E73,E94,E116,E138,E173,E222,E244)</f>
        <v>16779403.99175851</v>
      </c>
      <c r="F246" s="376">
        <f>SUM(F36,F73,F94,F116,F138,F173,F222,F244)</f>
        <v>1020893.1982414903</v>
      </c>
      <c r="G246" s="376">
        <f>SUM(G36,G73,G94,G116,G138,G173,G222,G244)</f>
        <v>0</v>
      </c>
      <c r="H246" s="611"/>
    </row>
    <row r="249" spans="1:8">
      <c r="A249" s="116" t="s">
        <v>123</v>
      </c>
    </row>
    <row r="250" spans="1:8">
      <c r="A250" s="116" t="s">
        <v>708</v>
      </c>
      <c r="B250" s="116"/>
      <c r="C250" s="116"/>
    </row>
    <row r="251" spans="1:8">
      <c r="A251" s="116" t="s">
        <v>709</v>
      </c>
      <c r="B251" s="116"/>
      <c r="C251" s="116"/>
    </row>
  </sheetData>
  <mergeCells count="7">
    <mergeCell ref="A1:B2"/>
    <mergeCell ref="H1:H3"/>
    <mergeCell ref="D1:D3"/>
    <mergeCell ref="E1:E3"/>
    <mergeCell ref="F1:F3"/>
    <mergeCell ref="G1:G3"/>
    <mergeCell ref="C1:C3"/>
  </mergeCells>
  <pageMargins left="0.7" right="0.7" top="0.75" bottom="0.75" header="0.3" footer="0.3"/>
  <pageSetup paperSize="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14</vt:i4>
      </vt:variant>
    </vt:vector>
  </HeadingPairs>
  <TitlesOfParts>
    <vt:vector size="34" baseType="lpstr">
      <vt:lpstr>Expenses-Summary</vt:lpstr>
      <vt:lpstr>Revenues- Summary</vt:lpstr>
      <vt:lpstr>Revenues</vt:lpstr>
      <vt:lpstr>Expenses</vt:lpstr>
      <vt:lpstr>W-Sales-TY</vt:lpstr>
      <vt:lpstr>Purchased-TY</vt:lpstr>
      <vt:lpstr>W-Sales By Meter-TY</vt:lpstr>
      <vt:lpstr>W-Alloc Met-TY</vt:lpstr>
      <vt:lpstr>W Exp Alloc-TY</vt:lpstr>
      <vt:lpstr>W-Alloc %-TY</vt:lpstr>
      <vt:lpstr>W-Summary-TY</vt:lpstr>
      <vt:lpstr>Flow Adjustments</vt:lpstr>
      <vt:lpstr>W-Sales-TY Adj</vt:lpstr>
      <vt:lpstr>W-Purchased-TY Adj</vt:lpstr>
      <vt:lpstr>W-Sales By Meter-TY Adj</vt:lpstr>
      <vt:lpstr>W-Summary-TY Adj</vt:lpstr>
      <vt:lpstr>W-Alloc Met-TY Adj</vt:lpstr>
      <vt:lpstr>W-Exp Alloc-TY Adj</vt:lpstr>
      <vt:lpstr>W-Alloc %-TY Adj</vt:lpstr>
      <vt:lpstr>SAO</vt:lpstr>
      <vt:lpstr>Expenses!Print_Area</vt:lpstr>
      <vt:lpstr>Revenues!Print_Area</vt:lpstr>
      <vt:lpstr>SAO!Print_Area</vt:lpstr>
      <vt:lpstr>'W Exp Alloc-TY'!Print_Area</vt:lpstr>
      <vt:lpstr>'W-Alloc %-TY'!Print_Area</vt:lpstr>
      <vt:lpstr>'W-Alloc %-TY Adj'!Print_Area</vt:lpstr>
      <vt:lpstr>'W-Alloc Met-TY'!Print_Area</vt:lpstr>
      <vt:lpstr>'W-Alloc Met-TY Adj'!Print_Area</vt:lpstr>
      <vt:lpstr>'W-Exp Alloc-TY Adj'!Print_Area</vt:lpstr>
      <vt:lpstr>'W-Sales By Meter-TY'!Print_Area</vt:lpstr>
      <vt:lpstr>'W-Sales By Meter-TY Adj'!Print_Area</vt:lpstr>
      <vt:lpstr>'W-Sales-TY Adj'!Print_Area</vt:lpstr>
      <vt:lpstr>'W-Summary-TY'!Print_Area</vt:lpstr>
      <vt:lpstr>'W-Summary-TY Adj'!Print_Area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abbey.osborne@hdrinc.com</dc:creator>
  <cp:keywords/>
  <dc:description/>
  <cp:lastModifiedBy>Emily Childress</cp:lastModifiedBy>
  <cp:revision/>
  <cp:lastPrinted>2024-07-26T18:58:12Z</cp:lastPrinted>
  <dcterms:created xsi:type="dcterms:W3CDTF">2024-01-29T18:33:40Z</dcterms:created>
  <dcterms:modified xsi:type="dcterms:W3CDTF">2024-09-12T03:26:43Z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30ee07-aa2b-47c7-bd4c-7cc545b5d455_Enabled">
    <vt:lpwstr>true</vt:lpwstr>
  </property>
  <property fmtid="{D5CDD505-2E9C-101B-9397-08002B2CF9AE}" pid="3" name="MSIP_Label_b530ee07-aa2b-47c7-bd4c-7cc545b5d455_SetDate">
    <vt:lpwstr>2024-05-17T20:48:22Z</vt:lpwstr>
  </property>
  <property fmtid="{D5CDD505-2E9C-101B-9397-08002B2CF9AE}" pid="4" name="MSIP_Label_b530ee07-aa2b-47c7-bd4c-7cc545b5d455_Method">
    <vt:lpwstr>Standard</vt:lpwstr>
  </property>
  <property fmtid="{D5CDD505-2E9C-101B-9397-08002B2CF9AE}" pid="5" name="MSIP_Label_b530ee07-aa2b-47c7-bd4c-7cc545b5d455_Name">
    <vt:lpwstr>HDR General Label</vt:lpwstr>
  </property>
  <property fmtid="{D5CDD505-2E9C-101B-9397-08002B2CF9AE}" pid="6" name="MSIP_Label_b530ee07-aa2b-47c7-bd4c-7cc545b5d455_SiteId">
    <vt:lpwstr>3667e201-cbdc-48b3-9b42-5d2d3f16e2a9</vt:lpwstr>
  </property>
  <property fmtid="{D5CDD505-2E9C-101B-9397-08002B2CF9AE}" pid="7" name="MSIP_Label_b530ee07-aa2b-47c7-bd4c-7cc545b5d455_ActionId">
    <vt:lpwstr>d786c967-2d53-44b2-be64-1dd19960824e</vt:lpwstr>
  </property>
  <property fmtid="{D5CDD505-2E9C-101B-9397-08002B2CF9AE}" pid="8" name="MSIP_Label_b530ee07-aa2b-47c7-bd4c-7cc545b5d455_ContentBits">
    <vt:lpwstr>0</vt:lpwstr>
  </property>
  <property fmtid="{D5CDD505-2E9C-101B-9397-08002B2CF9AE}" pid="9" name="ndDocumentId">
    <vt:lpwstr>4895-9763-0935</vt:lpwstr>
  </property>
</Properties>
</file>