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8C1BC832-843E-462C-8B7F-894C66BF94E4}" xr6:coauthVersionLast="47" xr6:coauthVersionMax="47" xr10:uidLastSave="{00000000-0000-0000-0000-000000000000}"/>
  <bookViews>
    <workbookView xWindow="-98" yWindow="-98" windowWidth="21795" windowHeight="13875" tabRatio="641" xr2:uid="{00000000-000D-0000-FFFF-FFFF00000000}"/>
  </bookViews>
  <sheets>
    <sheet name="SAO" sheetId="6" r:id="rId1"/>
    <sheet name="Wages" sheetId="55" r:id="rId2"/>
    <sheet name="Medical" sheetId="40" r:id="rId3"/>
    <sheet name="Depreciation" sheetId="51" r:id="rId4"/>
    <sheet name="Capital" sheetId="56" r:id="rId5"/>
    <sheet name="Rates" sheetId="2" r:id="rId6"/>
    <sheet name="CPR" sheetId="64" r:id="rId7"/>
    <sheet name="Bills" sheetId="42" r:id="rId8"/>
    <sheet name="ExBA" sheetId="52" r:id="rId9"/>
    <sheet name="PrBA" sheetId="58" r:id="rId10"/>
    <sheet name="Sys" sheetId="60" r:id="rId11"/>
    <sheet name="Mtrx" sheetId="62" r:id="rId12"/>
    <sheet name="Fac" sheetId="61" r:id="rId13"/>
    <sheet name="Whol" sheetId="63" r:id="rId14"/>
  </sheets>
  <definedNames>
    <definedName name="AHV">#REF!</definedName>
    <definedName name="_xlnm.Print_Area" localSheetId="7">Bills!$C$31:$O$36</definedName>
    <definedName name="_xlnm.Print_Area" localSheetId="3">Depreciation!$A$1:$M$53</definedName>
    <definedName name="_xlnm.Print_Area" localSheetId="8">ExBA!$A$1:$I$97</definedName>
    <definedName name="_xlnm.Print_Area" localSheetId="11">Mtrx!$A$1:$K$53</definedName>
    <definedName name="_xlnm.Print_Area" localSheetId="9">PrBA!$A$1:$I$97</definedName>
    <definedName name="_xlnm.Print_Area" localSheetId="5">Rates!$A$1:$P$43</definedName>
    <definedName name="_xlnm.Print_Area" localSheetId="0">SAO!$A$1:$J$54</definedName>
    <definedName name="_xlnm.Print_Area" localSheetId="13">Whol!$A$1:$J$80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42" l="1"/>
  <c r="L35" i="42"/>
  <c r="L34" i="42"/>
  <c r="L33" i="42"/>
  <c r="G36" i="42"/>
  <c r="G35" i="42"/>
  <c r="G34" i="42"/>
  <c r="G33" i="42"/>
  <c r="G32" i="42"/>
  <c r="L32" i="42" s="1"/>
  <c r="H36" i="42"/>
  <c r="H35" i="42"/>
  <c r="H34" i="42"/>
  <c r="H33" i="42"/>
  <c r="H32" i="42"/>
  <c r="D89" i="58"/>
  <c r="C89" i="58"/>
  <c r="F89" i="58" s="1"/>
  <c r="D88" i="58"/>
  <c r="C88" i="58"/>
  <c r="E88" i="58" s="1"/>
  <c r="D87" i="58"/>
  <c r="C87" i="58"/>
  <c r="D73" i="58"/>
  <c r="C73" i="58"/>
  <c r="F73" i="58" s="1"/>
  <c r="D72" i="58"/>
  <c r="C72" i="58"/>
  <c r="E72" i="58" s="1"/>
  <c r="D71" i="58"/>
  <c r="C71" i="58"/>
  <c r="D56" i="58"/>
  <c r="C56" i="58"/>
  <c r="E56" i="58" s="1"/>
  <c r="D55" i="58"/>
  <c r="C55" i="58"/>
  <c r="E55" i="58" s="1"/>
  <c r="D54" i="58"/>
  <c r="C54" i="58"/>
  <c r="E39" i="58"/>
  <c r="D40" i="58"/>
  <c r="C40" i="58"/>
  <c r="F40" i="58" s="1"/>
  <c r="D39" i="58"/>
  <c r="C39" i="58"/>
  <c r="D38" i="58"/>
  <c r="C38" i="58"/>
  <c r="D23" i="58"/>
  <c r="C23" i="58"/>
  <c r="D22" i="58"/>
  <c r="C22" i="58"/>
  <c r="D21" i="58"/>
  <c r="C21" i="58"/>
  <c r="D20" i="58"/>
  <c r="C20" i="58"/>
  <c r="A82" i="63"/>
  <c r="E40" i="58" l="1"/>
  <c r="E73" i="58"/>
  <c r="E89" i="58"/>
  <c r="G7" i="62"/>
  <c r="F7" i="62"/>
  <c r="F36" i="62"/>
  <c r="G18" i="62"/>
  <c r="L11" i="62"/>
  <c r="I23" i="62"/>
  <c r="I22" i="62"/>
  <c r="I27" i="62"/>
  <c r="D55" i="62"/>
  <c r="D34" i="62"/>
  <c r="D26" i="62"/>
  <c r="D25" i="62"/>
  <c r="D24" i="62"/>
  <c r="D20" i="62"/>
  <c r="G20" i="62" s="1"/>
  <c r="D19" i="62"/>
  <c r="G19" i="62" s="1"/>
  <c r="D14" i="62"/>
  <c r="D13" i="62"/>
  <c r="F13" i="62" s="1"/>
  <c r="D12" i="62"/>
  <c r="D10" i="62"/>
  <c r="D9" i="62"/>
  <c r="D7" i="62"/>
  <c r="F39" i="6"/>
  <c r="F34" i="6"/>
  <c r="G11" i="52"/>
  <c r="F11" i="52"/>
  <c r="E11" i="52"/>
  <c r="F95" i="52"/>
  <c r="D94" i="52"/>
  <c r="E89" i="52"/>
  <c r="E88" i="52"/>
  <c r="E73" i="52"/>
  <c r="E72" i="52"/>
  <c r="E56" i="52"/>
  <c r="E55" i="52"/>
  <c r="F40" i="52"/>
  <c r="E40" i="52"/>
  <c r="E39" i="52"/>
  <c r="G13" i="52"/>
  <c r="F36" i="6"/>
  <c r="F32" i="51"/>
  <c r="H32" i="51"/>
  <c r="F18" i="51"/>
  <c r="F42" i="51"/>
  <c r="F10" i="51"/>
  <c r="F24" i="51"/>
  <c r="F35" i="51"/>
  <c r="F39" i="51"/>
  <c r="F12" i="51"/>
  <c r="F28" i="51"/>
  <c r="F30" i="51"/>
  <c r="F41" i="60" l="1"/>
  <c r="F34" i="60"/>
  <c r="D6" i="6" l="1"/>
  <c r="D41" i="62"/>
  <c r="D47" i="62"/>
  <c r="D43" i="62"/>
  <c r="D42" i="62"/>
  <c r="G32" i="55" l="1"/>
  <c r="H31" i="6"/>
  <c r="D29" i="6"/>
  <c r="D26" i="6"/>
  <c r="G15" i="52" l="1"/>
  <c r="G73" i="63"/>
  <c r="K55" i="63"/>
  <c r="H43" i="63"/>
  <c r="H38" i="63"/>
  <c r="K21" i="63"/>
  <c r="F43" i="62"/>
  <c r="G43" i="62"/>
  <c r="E42" i="63" s="1"/>
  <c r="H43" i="62"/>
  <c r="I43" i="62"/>
  <c r="E44" i="63" s="1"/>
  <c r="E43" i="62"/>
  <c r="I41" i="62"/>
  <c r="E39" i="63" s="1"/>
  <c r="F15" i="62"/>
  <c r="G15" i="62"/>
  <c r="H15" i="62"/>
  <c r="I15" i="62"/>
  <c r="E15" i="62"/>
  <c r="E36" i="62"/>
  <c r="F8" i="62"/>
  <c r="F10" i="62" s="1"/>
  <c r="I50" i="62"/>
  <c r="E60" i="63" s="1"/>
  <c r="H50" i="62"/>
  <c r="E59" i="63" s="1"/>
  <c r="H59" i="63" s="1"/>
  <c r="E58" i="63"/>
  <c r="E57" i="63"/>
  <c r="E50" i="62"/>
  <c r="I49" i="62"/>
  <c r="G49" i="62"/>
  <c r="F49" i="62"/>
  <c r="E49" i="62"/>
  <c r="H48" i="62"/>
  <c r="G48" i="62"/>
  <c r="F48" i="62"/>
  <c r="E48" i="62"/>
  <c r="D48" i="62"/>
  <c r="H47" i="62"/>
  <c r="G47" i="62"/>
  <c r="F47" i="62"/>
  <c r="E47" i="62"/>
  <c r="H46" i="62"/>
  <c r="G46" i="62"/>
  <c r="F46" i="62"/>
  <c r="E46" i="62"/>
  <c r="D46" i="62"/>
  <c r="I46" i="62" s="1"/>
  <c r="I45" i="62"/>
  <c r="H45" i="62"/>
  <c r="G45" i="62"/>
  <c r="F45" i="62"/>
  <c r="E45" i="62"/>
  <c r="D45" i="62"/>
  <c r="I44" i="62"/>
  <c r="H44" i="62"/>
  <c r="G44" i="62"/>
  <c r="F44" i="62"/>
  <c r="E44" i="62"/>
  <c r="D44" i="62"/>
  <c r="I42" i="62"/>
  <c r="H42" i="62"/>
  <c r="F42" i="62"/>
  <c r="E42" i="62"/>
  <c r="H41" i="62"/>
  <c r="G41" i="62"/>
  <c r="E37" i="63" s="1"/>
  <c r="F41" i="62"/>
  <c r="E41" i="62"/>
  <c r="I40" i="62"/>
  <c r="H40" i="62"/>
  <c r="G40" i="62"/>
  <c r="F40" i="62"/>
  <c r="E40" i="62"/>
  <c r="D40" i="62"/>
  <c r="I39" i="62"/>
  <c r="E34" i="63" s="1"/>
  <c r="H39" i="62"/>
  <c r="G39" i="62"/>
  <c r="F39" i="62"/>
  <c r="E39" i="62"/>
  <c r="I37" i="62"/>
  <c r="H37" i="62"/>
  <c r="G37" i="62"/>
  <c r="E37" i="62"/>
  <c r="I36" i="62"/>
  <c r="E25" i="63" s="1"/>
  <c r="H36" i="62"/>
  <c r="G36" i="62"/>
  <c r="E24" i="63" s="1"/>
  <c r="I35" i="62"/>
  <c r="H35" i="62"/>
  <c r="G35" i="62"/>
  <c r="F35" i="62"/>
  <c r="E35" i="62"/>
  <c r="D35" i="62"/>
  <c r="D28" i="62"/>
  <c r="L27" i="62"/>
  <c r="H26" i="62"/>
  <c r="H49" i="62" s="1"/>
  <c r="I25" i="62"/>
  <c r="L25" i="62" s="1"/>
  <c r="I24" i="62"/>
  <c r="I47" i="62" s="1"/>
  <c r="L23" i="62"/>
  <c r="L22" i="62"/>
  <c r="L21" i="62"/>
  <c r="L20" i="62"/>
  <c r="L19" i="62"/>
  <c r="L18" i="62"/>
  <c r="L17" i="62"/>
  <c r="L16" i="62"/>
  <c r="L14" i="62"/>
  <c r="L12" i="62"/>
  <c r="L9" i="62"/>
  <c r="I8" i="62"/>
  <c r="I10" i="62" s="1"/>
  <c r="H8" i="62"/>
  <c r="H10" i="62" s="1"/>
  <c r="E8" i="62"/>
  <c r="E10" i="62" s="1"/>
  <c r="E24" i="60"/>
  <c r="G24" i="60"/>
  <c r="H22" i="60"/>
  <c r="H21" i="60"/>
  <c r="H20" i="60"/>
  <c r="D21" i="60"/>
  <c r="D22" i="60"/>
  <c r="D20" i="60"/>
  <c r="F15" i="60"/>
  <c r="F16" i="60"/>
  <c r="E22" i="60"/>
  <c r="F22" i="60" s="1"/>
  <c r="E21" i="60"/>
  <c r="F21" i="60" s="1"/>
  <c r="E20" i="60"/>
  <c r="F20" i="60" s="1"/>
  <c r="E19" i="60"/>
  <c r="F19" i="60" s="1"/>
  <c r="E18" i="60"/>
  <c r="F18" i="60" s="1"/>
  <c r="E17" i="60"/>
  <c r="F17" i="60" s="1"/>
  <c r="E15" i="60"/>
  <c r="D15" i="60" s="1"/>
  <c r="E14" i="60"/>
  <c r="D14" i="60" s="1"/>
  <c r="H14" i="61"/>
  <c r="D38" i="61" s="1"/>
  <c r="F37" i="60"/>
  <c r="H15" i="61" s="1"/>
  <c r="F44" i="61" s="1"/>
  <c r="G40" i="60"/>
  <c r="G39" i="60"/>
  <c r="H10" i="61" s="1"/>
  <c r="F28" i="61" s="1"/>
  <c r="H19" i="60"/>
  <c r="H18" i="60"/>
  <c r="H16" i="60"/>
  <c r="H24" i="60" s="1"/>
  <c r="H17" i="60"/>
  <c r="L44" i="62" l="1"/>
  <c r="M44" i="62" s="1"/>
  <c r="L15" i="62"/>
  <c r="E23" i="63"/>
  <c r="K25" i="63" s="1"/>
  <c r="K44" i="63"/>
  <c r="L41" i="62"/>
  <c r="M41" i="62" s="1"/>
  <c r="L36" i="62"/>
  <c r="E52" i="63"/>
  <c r="H52" i="63" s="1"/>
  <c r="E51" i="63"/>
  <c r="L45" i="62"/>
  <c r="M45" i="62" s="1"/>
  <c r="E53" i="63"/>
  <c r="E50" i="63"/>
  <c r="E36" i="63"/>
  <c r="L35" i="62"/>
  <c r="M35" i="62" s="1"/>
  <c r="F14" i="60"/>
  <c r="F24" i="60" s="1"/>
  <c r="K60" i="63"/>
  <c r="K39" i="63"/>
  <c r="K34" i="63"/>
  <c r="G55" i="63"/>
  <c r="H55" i="63" s="1"/>
  <c r="L55" i="63" s="1"/>
  <c r="L50" i="62"/>
  <c r="M50" i="62" s="1"/>
  <c r="L46" i="62"/>
  <c r="M46" i="62" s="1"/>
  <c r="E28" i="62"/>
  <c r="F28" i="62"/>
  <c r="L7" i="62"/>
  <c r="L47" i="62"/>
  <c r="M47" i="62" s="1"/>
  <c r="L40" i="62"/>
  <c r="M40" i="62" s="1"/>
  <c r="G8" i="62"/>
  <c r="H28" i="62"/>
  <c r="L49" i="62"/>
  <c r="M49" i="62" s="1"/>
  <c r="I28" i="62"/>
  <c r="I48" i="62"/>
  <c r="L43" i="62"/>
  <c r="M43" i="62" s="1"/>
  <c r="G42" i="62"/>
  <c r="L39" i="62"/>
  <c r="M39" i="62" s="1"/>
  <c r="L24" i="62"/>
  <c r="L26" i="62"/>
  <c r="L13" i="62"/>
  <c r="F34" i="61"/>
  <c r="F36" i="61"/>
  <c r="F42" i="61"/>
  <c r="H43" i="61" s="1"/>
  <c r="F67" i="63" s="1"/>
  <c r="D40" i="61"/>
  <c r="D16" i="60"/>
  <c r="D17" i="60"/>
  <c r="G41" i="60"/>
  <c r="H9" i="61" s="1"/>
  <c r="D25" i="61" s="1"/>
  <c r="H12" i="61"/>
  <c r="F21" i="61" s="1"/>
  <c r="D18" i="60"/>
  <c r="F34" i="2"/>
  <c r="F33" i="2"/>
  <c r="J34" i="2"/>
  <c r="J32" i="2"/>
  <c r="J33" i="2"/>
  <c r="F39" i="2"/>
  <c r="F38" i="2"/>
  <c r="F37" i="2"/>
  <c r="D39" i="2"/>
  <c r="J39" i="2" s="1"/>
  <c r="D38" i="2"/>
  <c r="D37" i="2"/>
  <c r="J37" i="2" s="1"/>
  <c r="J38" i="2"/>
  <c r="F29" i="2"/>
  <c r="F28" i="2"/>
  <c r="F27" i="2"/>
  <c r="D29" i="2"/>
  <c r="J29" i="2" s="1"/>
  <c r="D28" i="2"/>
  <c r="J28" i="2" s="1"/>
  <c r="D27" i="2"/>
  <c r="J27" i="2" s="1"/>
  <c r="F24" i="2"/>
  <c r="F23" i="2"/>
  <c r="F22" i="2"/>
  <c r="D24" i="2"/>
  <c r="J24" i="2" s="1"/>
  <c r="D23" i="2"/>
  <c r="J23" i="2" s="1"/>
  <c r="D22" i="2"/>
  <c r="J22" i="2" s="1"/>
  <c r="F19" i="2"/>
  <c r="F18" i="2"/>
  <c r="F17" i="2"/>
  <c r="J11" i="2"/>
  <c r="D19" i="2"/>
  <c r="J19" i="2" s="1"/>
  <c r="D18" i="2"/>
  <c r="J18" i="2" s="1"/>
  <c r="D17" i="2"/>
  <c r="J17" i="2" s="1"/>
  <c r="F12" i="2"/>
  <c r="F13" i="2"/>
  <c r="F11" i="2"/>
  <c r="E9" i="42" s="1"/>
  <c r="D14" i="2"/>
  <c r="J14" i="2" s="1"/>
  <c r="D13" i="2"/>
  <c r="J13" i="2" s="1"/>
  <c r="D12" i="2"/>
  <c r="J12" i="2" s="1"/>
  <c r="I31" i="2"/>
  <c r="I36" i="2"/>
  <c r="I41" i="2"/>
  <c r="G10" i="62" l="1"/>
  <c r="L10" i="62" s="1"/>
  <c r="K53" i="63"/>
  <c r="E19" i="42"/>
  <c r="E21" i="42"/>
  <c r="L8" i="62"/>
  <c r="L42" i="62"/>
  <c r="M42" i="62" s="1"/>
  <c r="E40" i="63"/>
  <c r="K40" i="63" s="1"/>
  <c r="L48" i="62"/>
  <c r="M48" i="62" s="1"/>
  <c r="E54" i="63"/>
  <c r="K54" i="63" s="1"/>
  <c r="H11" i="61"/>
  <c r="H13" i="61"/>
  <c r="F23" i="61" s="1"/>
  <c r="H22" i="61" s="1"/>
  <c r="D19" i="60"/>
  <c r="D24" i="60" s="1"/>
  <c r="E18" i="42"/>
  <c r="E10" i="42"/>
  <c r="E11" i="42"/>
  <c r="E20" i="42"/>
  <c r="E22" i="42"/>
  <c r="E23" i="42"/>
  <c r="E8" i="42"/>
  <c r="E16" i="42"/>
  <c r="E17" i="42"/>
  <c r="B10" i="40"/>
  <c r="B9" i="40"/>
  <c r="B6" i="40"/>
  <c r="B7" i="40"/>
  <c r="F7" i="40"/>
  <c r="H7" i="40" s="1"/>
  <c r="G20" i="6"/>
  <c r="G38" i="6"/>
  <c r="G25" i="6"/>
  <c r="G35" i="55"/>
  <c r="G29" i="55"/>
  <c r="G23" i="55"/>
  <c r="G15" i="55"/>
  <c r="F7" i="55"/>
  <c r="F8" i="55"/>
  <c r="F9" i="55"/>
  <c r="F10" i="55"/>
  <c r="F11" i="55"/>
  <c r="F12" i="55"/>
  <c r="F13" i="55"/>
  <c r="E7" i="55"/>
  <c r="G7" i="55" s="1"/>
  <c r="E8" i="55"/>
  <c r="G8" i="55" s="1"/>
  <c r="E9" i="55"/>
  <c r="E10" i="55"/>
  <c r="E11" i="55"/>
  <c r="G11" i="55" s="1"/>
  <c r="E12" i="55"/>
  <c r="G12" i="55" s="1"/>
  <c r="E13" i="55"/>
  <c r="G13" i="55" s="1"/>
  <c r="F19" i="6"/>
  <c r="G13" i="58"/>
  <c r="B96" i="58"/>
  <c r="B94" i="58"/>
  <c r="D90" i="58"/>
  <c r="C90" i="58"/>
  <c r="C94" i="58" s="1"/>
  <c r="F88" i="58"/>
  <c r="H88" i="58" s="1"/>
  <c r="E87" i="58"/>
  <c r="E90" i="58" s="1"/>
  <c r="D94" i="58" s="1"/>
  <c r="G86" i="58"/>
  <c r="F86" i="58"/>
  <c r="G89" i="58" s="1"/>
  <c r="G90" i="58" s="1"/>
  <c r="D96" i="58" s="1"/>
  <c r="E86" i="58"/>
  <c r="B80" i="58"/>
  <c r="B78" i="58"/>
  <c r="D74" i="58"/>
  <c r="C74" i="58"/>
  <c r="C78" i="58" s="1"/>
  <c r="C81" i="58" s="1"/>
  <c r="F72" i="58"/>
  <c r="E71" i="58"/>
  <c r="E74" i="58" s="1"/>
  <c r="D78" i="58" s="1"/>
  <c r="G70" i="58"/>
  <c r="F70" i="58"/>
  <c r="E70" i="58"/>
  <c r="B63" i="58"/>
  <c r="B61" i="58"/>
  <c r="D57" i="58"/>
  <c r="F8" i="58" s="1"/>
  <c r="C57" i="58"/>
  <c r="E8" i="58" s="1"/>
  <c r="F55" i="58"/>
  <c r="H55" i="58" s="1"/>
  <c r="E54" i="58"/>
  <c r="H54" i="58" s="1"/>
  <c r="G53" i="58"/>
  <c r="F53" i="58"/>
  <c r="F56" i="58" s="1"/>
  <c r="E53" i="58"/>
  <c r="B45" i="58"/>
  <c r="D41" i="58"/>
  <c r="F7" i="58" s="1"/>
  <c r="C41" i="58"/>
  <c r="C45" i="58" s="1"/>
  <c r="G40" i="58"/>
  <c r="H40" i="58" s="1"/>
  <c r="F39" i="58"/>
  <c r="H39" i="58" s="1"/>
  <c r="E38" i="58"/>
  <c r="E41" i="58" s="1"/>
  <c r="D45" i="58" s="1"/>
  <c r="G37" i="58"/>
  <c r="F37" i="58"/>
  <c r="R32" i="58"/>
  <c r="B32" i="58"/>
  <c r="B30" i="58"/>
  <c r="B29" i="58"/>
  <c r="B28" i="58"/>
  <c r="D24" i="58"/>
  <c r="F6" i="58" s="1"/>
  <c r="C24" i="58"/>
  <c r="E6" i="58" s="1"/>
  <c r="E20" i="58"/>
  <c r="I20" i="58" s="1"/>
  <c r="H19" i="58"/>
  <c r="G19" i="58"/>
  <c r="G23" i="58" s="1"/>
  <c r="F19" i="58"/>
  <c r="F23" i="58" s="1"/>
  <c r="E19" i="58"/>
  <c r="E23" i="58" s="1"/>
  <c r="H23" i="58" s="1"/>
  <c r="H24" i="58" s="1"/>
  <c r="D32" i="58" s="1"/>
  <c r="F12" i="58"/>
  <c r="E12" i="58"/>
  <c r="F11" i="51"/>
  <c r="F14" i="51"/>
  <c r="J28" i="51"/>
  <c r="F19" i="51"/>
  <c r="J27" i="51"/>
  <c r="K27" i="51" s="1"/>
  <c r="F22" i="51"/>
  <c r="G28" i="62" l="1"/>
  <c r="E57" i="58"/>
  <c r="D61" i="58" s="1"/>
  <c r="E22" i="58"/>
  <c r="F22" i="58"/>
  <c r="E21" i="58"/>
  <c r="E24" i="58"/>
  <c r="D28" i="58" s="1"/>
  <c r="C28" i="58"/>
  <c r="C33" i="58" s="1"/>
  <c r="F74" i="58"/>
  <c r="D79" i="58" s="1"/>
  <c r="H39" i="61"/>
  <c r="F25" i="61"/>
  <c r="H25" i="61" s="1"/>
  <c r="D28" i="61" s="1"/>
  <c r="H28" i="61" s="1"/>
  <c r="F32" i="61" s="1"/>
  <c r="H31" i="61" s="1"/>
  <c r="D34" i="61" s="1"/>
  <c r="F39" i="61"/>
  <c r="F19" i="61"/>
  <c r="H18" i="61"/>
  <c r="D36" i="61" s="1"/>
  <c r="E13" i="42"/>
  <c r="E15" i="42"/>
  <c r="E14" i="42"/>
  <c r="E12" i="42"/>
  <c r="G10" i="55"/>
  <c r="G9" i="55"/>
  <c r="C49" i="58"/>
  <c r="C97" i="58"/>
  <c r="G56" i="58"/>
  <c r="G57" i="58" s="1"/>
  <c r="D63" i="58" s="1"/>
  <c r="F57" i="58"/>
  <c r="D62" i="58" s="1"/>
  <c r="G73" i="58"/>
  <c r="G74" i="58" s="1"/>
  <c r="D80" i="58" s="1"/>
  <c r="H38" i="58"/>
  <c r="H41" i="58" s="1"/>
  <c r="I23" i="58"/>
  <c r="G22" i="58"/>
  <c r="G24" i="58" s="1"/>
  <c r="D30" i="58" s="1"/>
  <c r="C61" i="58"/>
  <c r="G41" i="58"/>
  <c r="D48" i="58" s="1"/>
  <c r="F41" i="58"/>
  <c r="D47" i="58" s="1"/>
  <c r="D49" i="58" s="1"/>
  <c r="E7" i="58"/>
  <c r="H71" i="58"/>
  <c r="H89" i="58"/>
  <c r="H87" i="58"/>
  <c r="H72" i="58"/>
  <c r="F90" i="58"/>
  <c r="D95" i="58" s="1"/>
  <c r="D97" i="58" s="1"/>
  <c r="F21" i="58" l="1"/>
  <c r="I21" i="58"/>
  <c r="F24" i="58"/>
  <c r="D29" i="58" s="1"/>
  <c r="D33" i="58" s="1"/>
  <c r="D81" i="58"/>
  <c r="L28" i="62"/>
  <c r="J28" i="62"/>
  <c r="H90" i="58"/>
  <c r="F68" i="63"/>
  <c r="F32" i="63"/>
  <c r="F25" i="63"/>
  <c r="G25" i="63" s="1"/>
  <c r="H25" i="63" s="1"/>
  <c r="F66" i="63"/>
  <c r="F58" i="63"/>
  <c r="G58" i="63" s="1"/>
  <c r="H58" i="63" s="1"/>
  <c r="F19" i="63"/>
  <c r="F37" i="63"/>
  <c r="G37" i="63" s="1"/>
  <c r="H37" i="63" s="1"/>
  <c r="F14" i="63"/>
  <c r="F54" i="63"/>
  <c r="G54" i="63" s="1"/>
  <c r="H54" i="63" s="1"/>
  <c r="L54" i="63" s="1"/>
  <c r="F42" i="63"/>
  <c r="G42" i="63" s="1"/>
  <c r="H42" i="63" s="1"/>
  <c r="F17" i="63"/>
  <c r="F51" i="63"/>
  <c r="G51" i="63" s="1"/>
  <c r="H51" i="63" s="1"/>
  <c r="F24" i="63"/>
  <c r="G24" i="63" s="1"/>
  <c r="H24" i="63" s="1"/>
  <c r="F12" i="63"/>
  <c r="F30" i="63"/>
  <c r="F40" i="63"/>
  <c r="G40" i="63" s="1"/>
  <c r="H40" i="63" s="1"/>
  <c r="L40" i="63" s="1"/>
  <c r="H35" i="61"/>
  <c r="I22" i="58"/>
  <c r="I24" i="58" s="1"/>
  <c r="D64" i="58"/>
  <c r="C64" i="58"/>
  <c r="H73" i="58"/>
  <c r="H74" i="58" s="1"/>
  <c r="H56" i="58"/>
  <c r="H57" i="58" s="1"/>
  <c r="F44" i="63" l="1"/>
  <c r="G44" i="63" s="1"/>
  <c r="H44" i="63" s="1"/>
  <c r="L44" i="63" s="1"/>
  <c r="F65" i="63"/>
  <c r="F16" i="63"/>
  <c r="F60" i="63"/>
  <c r="G60" i="63" s="1"/>
  <c r="H60" i="63" s="1"/>
  <c r="L60" i="63" s="1"/>
  <c r="F20" i="63"/>
  <c r="F11" i="63"/>
  <c r="F53" i="63"/>
  <c r="G53" i="63" s="1"/>
  <c r="H53" i="63" s="1"/>
  <c r="F36" i="63"/>
  <c r="G36" i="63" s="1"/>
  <c r="H36" i="63" s="1"/>
  <c r="F27" i="63"/>
  <c r="F50" i="63"/>
  <c r="G50" i="63" s="1"/>
  <c r="H50" i="63" s="1"/>
  <c r="F34" i="63"/>
  <c r="G34" i="63" s="1"/>
  <c r="H34" i="63" s="1"/>
  <c r="L34" i="63" s="1"/>
  <c r="F29" i="63"/>
  <c r="F23" i="63"/>
  <c r="G23" i="63" s="1"/>
  <c r="H23" i="63" s="1"/>
  <c r="L25" i="63" s="1"/>
  <c r="F57" i="63"/>
  <c r="G57" i="63" s="1"/>
  <c r="H57" i="63" s="1"/>
  <c r="F21" i="63"/>
  <c r="G21" i="63" s="1"/>
  <c r="H21" i="63" s="1"/>
  <c r="L21" i="63" s="1"/>
  <c r="F39" i="63"/>
  <c r="G39" i="63" s="1"/>
  <c r="H39" i="63" s="1"/>
  <c r="F25" i="6"/>
  <c r="F16" i="6"/>
  <c r="G40" i="52"/>
  <c r="H40" i="52" s="1"/>
  <c r="F39" i="52"/>
  <c r="H23" i="6"/>
  <c r="D36" i="62" s="1"/>
  <c r="M36" i="62" s="1"/>
  <c r="H22" i="6"/>
  <c r="D12" i="6"/>
  <c r="H10" i="6"/>
  <c r="H11" i="6"/>
  <c r="H9" i="6"/>
  <c r="F12" i="52"/>
  <c r="E12" i="52"/>
  <c r="B96" i="52"/>
  <c r="B94" i="52"/>
  <c r="D90" i="52"/>
  <c r="C90" i="52"/>
  <c r="C94" i="52" s="1"/>
  <c r="F88" i="52"/>
  <c r="H88" i="52" s="1"/>
  <c r="E87" i="52"/>
  <c r="H87" i="52" s="1"/>
  <c r="G86" i="52"/>
  <c r="F86" i="52"/>
  <c r="F89" i="52" s="1"/>
  <c r="E86" i="52"/>
  <c r="B80" i="52"/>
  <c r="B78" i="52"/>
  <c r="D74" i="52"/>
  <c r="C74" i="52"/>
  <c r="C78" i="52" s="1"/>
  <c r="F72" i="52"/>
  <c r="H72" i="52" s="1"/>
  <c r="E71" i="52"/>
  <c r="H71" i="52" s="1"/>
  <c r="G70" i="52"/>
  <c r="F70" i="52"/>
  <c r="F73" i="52" s="1"/>
  <c r="E70" i="52"/>
  <c r="B63" i="52"/>
  <c r="B61" i="52"/>
  <c r="D57" i="52"/>
  <c r="F8" i="52" s="1"/>
  <c r="C57" i="52"/>
  <c r="C61" i="52" s="1"/>
  <c r="F61" i="52" s="1"/>
  <c r="E54" i="52"/>
  <c r="H54" i="52" s="1"/>
  <c r="G53" i="52"/>
  <c r="F53" i="52"/>
  <c r="F56" i="52" s="1"/>
  <c r="G56" i="52" s="1"/>
  <c r="E53" i="52"/>
  <c r="F46" i="52"/>
  <c r="B45" i="52"/>
  <c r="D41" i="52"/>
  <c r="F7" i="52" s="1"/>
  <c r="C41" i="52"/>
  <c r="C45" i="52" s="1"/>
  <c r="H39" i="52"/>
  <c r="E38" i="52"/>
  <c r="H38" i="52" s="1"/>
  <c r="G37" i="52"/>
  <c r="F37" i="52"/>
  <c r="Q32" i="52"/>
  <c r="B32" i="52"/>
  <c r="B30" i="52"/>
  <c r="B29" i="52"/>
  <c r="B28" i="52"/>
  <c r="D24" i="52"/>
  <c r="F6" i="52" s="1"/>
  <c r="C24" i="52"/>
  <c r="C28" i="52" s="1"/>
  <c r="E20" i="52"/>
  <c r="I20" i="52" s="1"/>
  <c r="H19" i="52"/>
  <c r="G19" i="52"/>
  <c r="G23" i="52" s="1"/>
  <c r="F19" i="52"/>
  <c r="E19" i="52"/>
  <c r="E21" i="52" s="1"/>
  <c r="F21" i="52" l="1"/>
  <c r="I21" i="52" s="1"/>
  <c r="H48" i="6"/>
  <c r="L53" i="63"/>
  <c r="L39" i="63"/>
  <c r="E90" i="52"/>
  <c r="F94" i="52"/>
  <c r="C97" i="52"/>
  <c r="G89" i="52"/>
  <c r="G90" i="52" s="1"/>
  <c r="D96" i="52" s="1"/>
  <c r="F96" i="52" s="1"/>
  <c r="F90" i="52"/>
  <c r="D95" i="52" s="1"/>
  <c r="F22" i="52"/>
  <c r="F23" i="52"/>
  <c r="E74" i="52"/>
  <c r="D78" i="52" s="1"/>
  <c r="C81" i="52"/>
  <c r="E9" i="52" s="1"/>
  <c r="F78" i="52"/>
  <c r="F74" i="52"/>
  <c r="D79" i="52" s="1"/>
  <c r="F79" i="52" s="1"/>
  <c r="G73" i="52"/>
  <c r="G74" i="52" s="1"/>
  <c r="D80" i="52" s="1"/>
  <c r="F80" i="52" s="1"/>
  <c r="E8" i="52"/>
  <c r="C64" i="52"/>
  <c r="F41" i="52"/>
  <c r="D47" i="52" s="1"/>
  <c r="F47" i="52" s="1"/>
  <c r="G41" i="52"/>
  <c r="D48" i="52" s="1"/>
  <c r="F48" i="52" s="1"/>
  <c r="F28" i="52"/>
  <c r="C33" i="52"/>
  <c r="E6" i="52"/>
  <c r="G57" i="52"/>
  <c r="D63" i="52" s="1"/>
  <c r="F63" i="52" s="1"/>
  <c r="F45" i="52"/>
  <c r="C49" i="52"/>
  <c r="E22" i="52"/>
  <c r="E23" i="52"/>
  <c r="E7" i="52"/>
  <c r="H23" i="52" l="1"/>
  <c r="H24" i="52" s="1"/>
  <c r="D32" i="52" s="1"/>
  <c r="F32" i="52" s="1"/>
  <c r="D97" i="52"/>
  <c r="F97" i="52"/>
  <c r="H89" i="52"/>
  <c r="H90" i="52" s="1"/>
  <c r="F24" i="52"/>
  <c r="D29" i="52" s="1"/>
  <c r="F29" i="52" s="1"/>
  <c r="F81" i="52"/>
  <c r="G9" i="52" s="1"/>
  <c r="D81" i="52"/>
  <c r="F9" i="52" s="1"/>
  <c r="H73" i="52"/>
  <c r="H74" i="52" s="1"/>
  <c r="G22" i="52"/>
  <c r="G24" i="52" s="1"/>
  <c r="D30" i="52" s="1"/>
  <c r="F30" i="52" s="1"/>
  <c r="F55" i="52"/>
  <c r="F57" i="52" s="1"/>
  <c r="D62" i="52" s="1"/>
  <c r="F62" i="52" s="1"/>
  <c r="F64" i="52" s="1"/>
  <c r="G8" i="52" s="1"/>
  <c r="E24" i="52"/>
  <c r="D28" i="52" s="1"/>
  <c r="H56" i="52"/>
  <c r="E41" i="52"/>
  <c r="D45" i="52" s="1"/>
  <c r="D49" i="52" s="1"/>
  <c r="H41" i="52"/>
  <c r="E57" i="52"/>
  <c r="D61" i="52" s="1"/>
  <c r="F49" i="52"/>
  <c r="G7" i="52" s="1"/>
  <c r="F33" i="52" l="1"/>
  <c r="G6" i="52" s="1"/>
  <c r="G12" i="52" s="1"/>
  <c r="G14" i="52" s="1"/>
  <c r="G16" i="52" s="1"/>
  <c r="H16" i="52" s="1"/>
  <c r="D33" i="52"/>
  <c r="D64" i="52"/>
  <c r="I23" i="52"/>
  <c r="H55" i="52"/>
  <c r="H57" i="52" s="1"/>
  <c r="I22" i="52"/>
  <c r="F6" i="6" l="1"/>
  <c r="I24" i="52"/>
  <c r="E6" i="55" l="1"/>
  <c r="F6" i="55"/>
  <c r="G6" i="55" l="1"/>
  <c r="F45" i="51"/>
  <c r="J19" i="51"/>
  <c r="J18" i="51"/>
  <c r="J43" i="51"/>
  <c r="J23" i="51"/>
  <c r="K23" i="51" s="1"/>
  <c r="F10" i="40"/>
  <c r="H10" i="40" s="1"/>
  <c r="F9" i="40"/>
  <c r="H9" i="40" s="1"/>
  <c r="F8" i="40"/>
  <c r="H8" i="40" s="1"/>
  <c r="F6" i="40"/>
  <c r="H6" i="40" s="1"/>
  <c r="C11" i="40"/>
  <c r="B11" i="40"/>
  <c r="H11" i="40" l="1"/>
  <c r="C13" i="40" s="1"/>
  <c r="C15" i="40" s="1"/>
  <c r="F21" i="6" s="1"/>
  <c r="K19" i="51"/>
  <c r="K18" i="51"/>
  <c r="K43" i="51"/>
  <c r="F11" i="40"/>
  <c r="C6" i="56"/>
  <c r="C5" i="56"/>
  <c r="F5" i="55"/>
  <c r="F16" i="55" s="1"/>
  <c r="E5" i="55" l="1"/>
  <c r="E16" i="55" s="1"/>
  <c r="G5" i="55" l="1"/>
  <c r="G16" i="55" s="1"/>
  <c r="G18" i="55" l="1"/>
  <c r="G22" i="55" s="1"/>
  <c r="G24" i="55" s="1"/>
  <c r="F17" i="6" s="1"/>
  <c r="H17" i="6" s="1"/>
  <c r="D32" i="62" s="1"/>
  <c r="G34" i="55"/>
  <c r="G36" i="55" s="1"/>
  <c r="F20" i="6" s="1"/>
  <c r="H21" i="6" s="1"/>
  <c r="H45" i="51"/>
  <c r="J42" i="51"/>
  <c r="J39" i="51"/>
  <c r="J36" i="51"/>
  <c r="K36" i="51" s="1"/>
  <c r="J35" i="51"/>
  <c r="J34" i="51"/>
  <c r="K34" i="51" s="1"/>
  <c r="J33" i="51"/>
  <c r="K33" i="51" s="1"/>
  <c r="J32" i="51"/>
  <c r="K32" i="51" s="1"/>
  <c r="J31" i="51"/>
  <c r="K31" i="51" s="1"/>
  <c r="J30" i="51"/>
  <c r="J29" i="51"/>
  <c r="K28" i="51"/>
  <c r="J24" i="51"/>
  <c r="K24" i="51" s="1"/>
  <c r="J22" i="51"/>
  <c r="J15" i="51"/>
  <c r="K15" i="51" s="1"/>
  <c r="J14" i="51"/>
  <c r="K14" i="51" s="1"/>
  <c r="J13" i="51"/>
  <c r="K13" i="51" s="1"/>
  <c r="J12" i="51"/>
  <c r="J11" i="51"/>
  <c r="K11" i="51" s="1"/>
  <c r="J10" i="51"/>
  <c r="K10" i="51" s="1"/>
  <c r="K29" i="51" l="1"/>
  <c r="E66" i="63"/>
  <c r="K22" i="51"/>
  <c r="K42" i="51"/>
  <c r="E65" i="63"/>
  <c r="G65" i="63" s="1"/>
  <c r="H65" i="63" s="1"/>
  <c r="K35" i="51"/>
  <c r="E67" i="63"/>
  <c r="G67" i="63" s="1"/>
  <c r="H67" i="63" s="1"/>
  <c r="K39" i="51"/>
  <c r="E69" i="63"/>
  <c r="G69" i="63" s="1"/>
  <c r="H69" i="63" s="1"/>
  <c r="K12" i="51"/>
  <c r="E68" i="63"/>
  <c r="G68" i="63" s="1"/>
  <c r="H68" i="63" s="1"/>
  <c r="K30" i="51"/>
  <c r="J45" i="51"/>
  <c r="F50" i="51" s="1"/>
  <c r="F52" i="51" s="1"/>
  <c r="F37" i="6" s="1"/>
  <c r="H37" i="6" s="1"/>
  <c r="G32" i="62"/>
  <c r="I32" i="62"/>
  <c r="E32" i="62"/>
  <c r="F32" i="62"/>
  <c r="H32" i="62"/>
  <c r="G26" i="55"/>
  <c r="G28" i="55" s="1"/>
  <c r="G30" i="55" s="1"/>
  <c r="F38" i="6" s="1"/>
  <c r="H38" i="6" s="1"/>
  <c r="K45" i="51" l="1"/>
  <c r="K69" i="63"/>
  <c r="G66" i="63"/>
  <c r="H66" i="63" s="1"/>
  <c r="L69" i="63" s="1"/>
  <c r="I34" i="62"/>
  <c r="E19" i="63" s="1"/>
  <c r="G19" i="63" s="1"/>
  <c r="H19" i="63" s="1"/>
  <c r="F34" i="62"/>
  <c r="E34" i="62"/>
  <c r="H34" i="62"/>
  <c r="E18" i="63" s="1"/>
  <c r="G18" i="63" s="1"/>
  <c r="H18" i="63" s="1"/>
  <c r="G34" i="62"/>
  <c r="E17" i="63" s="1"/>
  <c r="G17" i="63" s="1"/>
  <c r="H17" i="63" s="1"/>
  <c r="E13" i="63"/>
  <c r="G13" i="63" s="1"/>
  <c r="H13" i="63" s="1"/>
  <c r="E11" i="63"/>
  <c r="L32" i="62"/>
  <c r="M32" i="62" s="1"/>
  <c r="E14" i="63"/>
  <c r="G14" i="63" s="1"/>
  <c r="H14" i="63" s="1"/>
  <c r="E12" i="63"/>
  <c r="G12" i="63" s="1"/>
  <c r="H12" i="63" s="1"/>
  <c r="D54" i="62"/>
  <c r="E16" i="63" l="1"/>
  <c r="K19" i="63" s="1"/>
  <c r="L34" i="62"/>
  <c r="M34" i="62" s="1"/>
  <c r="K14" i="63"/>
  <c r="G11" i="63"/>
  <c r="H6" i="6"/>
  <c r="H52" i="6" s="1"/>
  <c r="H33" i="6"/>
  <c r="H32" i="6"/>
  <c r="H30" i="6"/>
  <c r="H29" i="6"/>
  <c r="H28" i="6"/>
  <c r="H27" i="6"/>
  <c r="H25" i="6"/>
  <c r="D38" i="62" s="1"/>
  <c r="H24" i="6"/>
  <c r="D37" i="62" s="1"/>
  <c r="H18" i="6"/>
  <c r="D33" i="62" s="1"/>
  <c r="G16" i="63" l="1"/>
  <c r="H16" i="63" s="1"/>
  <c r="L19" i="63" s="1"/>
  <c r="I33" i="62"/>
  <c r="F37" i="62"/>
  <c r="D51" i="62"/>
  <c r="D56" i="62" s="1"/>
  <c r="G38" i="62"/>
  <c r="F38" i="62"/>
  <c r="F51" i="62" s="1"/>
  <c r="E38" i="62"/>
  <c r="I38" i="62"/>
  <c r="H38" i="62"/>
  <c r="H11" i="63"/>
  <c r="H26" i="6"/>
  <c r="H34" i="6" s="1"/>
  <c r="E27" i="63" l="1"/>
  <c r="L37" i="62"/>
  <c r="M37" i="62" s="1"/>
  <c r="E20" i="63"/>
  <c r="L33" i="62"/>
  <c r="M33" i="62" s="1"/>
  <c r="E30" i="63"/>
  <c r="G30" i="63" s="1"/>
  <c r="H30" i="63" s="1"/>
  <c r="G51" i="62"/>
  <c r="L14" i="63"/>
  <c r="E31" i="63"/>
  <c r="H31" i="63" s="1"/>
  <c r="H51" i="62"/>
  <c r="E32" i="63"/>
  <c r="I51" i="62"/>
  <c r="E29" i="63"/>
  <c r="L38" i="62"/>
  <c r="E51" i="62"/>
  <c r="D34" i="6"/>
  <c r="K20" i="63" l="1"/>
  <c r="G20" i="63"/>
  <c r="H20" i="63" s="1"/>
  <c r="L20" i="63" s="1"/>
  <c r="K27" i="63"/>
  <c r="G27" i="63"/>
  <c r="H27" i="63" s="1"/>
  <c r="L27" i="63" s="1"/>
  <c r="L51" i="62"/>
  <c r="M38" i="62"/>
  <c r="M51" i="62" s="1"/>
  <c r="G29" i="63"/>
  <c r="K32" i="63"/>
  <c r="E62" i="63"/>
  <c r="E71" i="63" s="1"/>
  <c r="G32" i="63"/>
  <c r="H32" i="63" s="1"/>
  <c r="D39" i="6"/>
  <c r="K62" i="63" l="1"/>
  <c r="K71" i="63" s="1"/>
  <c r="H29" i="63"/>
  <c r="G62" i="63"/>
  <c r="H39" i="6"/>
  <c r="D41" i="6"/>
  <c r="G71" i="63" l="1"/>
  <c r="F7" i="6" s="1"/>
  <c r="H7" i="6" s="1"/>
  <c r="H50" i="6" s="1"/>
  <c r="L32" i="63"/>
  <c r="L62" i="63" s="1"/>
  <c r="H62" i="63"/>
  <c r="H44" i="6"/>
  <c r="H47" i="6" s="1"/>
  <c r="G75" i="63" l="1"/>
  <c r="L42" i="2" s="1"/>
  <c r="H71" i="63"/>
  <c r="K73" i="63" s="1"/>
  <c r="K64" i="63"/>
  <c r="L71" i="63"/>
  <c r="M69" i="63"/>
  <c r="K36" i="42" l="1"/>
  <c r="M36" i="42" s="1"/>
  <c r="N36" i="42" s="1"/>
  <c r="O36" i="42" s="1"/>
  <c r="K35" i="42"/>
  <c r="M35" i="42" s="1"/>
  <c r="N35" i="42" s="1"/>
  <c r="O35" i="42" s="1"/>
  <c r="K34" i="42"/>
  <c r="M34" i="42" s="1"/>
  <c r="N34" i="42" s="1"/>
  <c r="O34" i="42" s="1"/>
  <c r="K33" i="42"/>
  <c r="M33" i="42" s="1"/>
  <c r="N33" i="42" s="1"/>
  <c r="O33" i="42" s="1"/>
  <c r="K32" i="42"/>
  <c r="M32" i="42" s="1"/>
  <c r="N32" i="42" s="1"/>
  <c r="O32" i="42" s="1"/>
  <c r="G78" i="63"/>
  <c r="K78" i="63" s="1"/>
  <c r="F12" i="6"/>
  <c r="F41" i="6" s="1"/>
  <c r="H51" i="6" l="1"/>
  <c r="G15" i="58" s="1"/>
  <c r="H12" i="6"/>
  <c r="H41" i="6" s="1"/>
  <c r="H53" i="6" l="1"/>
  <c r="H54" i="6" s="1"/>
  <c r="K6" i="58" l="1"/>
  <c r="E31" i="58" s="1"/>
  <c r="L38" i="2"/>
  <c r="E95" i="58" s="1"/>
  <c r="L22" i="2"/>
  <c r="E61" i="58" s="1"/>
  <c r="L37" i="2"/>
  <c r="E94" i="58" s="1"/>
  <c r="L19" i="2"/>
  <c r="L34" i="2"/>
  <c r="L18" i="2"/>
  <c r="E47" i="58" s="1"/>
  <c r="L33" i="2"/>
  <c r="L17" i="2"/>
  <c r="E45" i="58" s="1"/>
  <c r="L32" i="2"/>
  <c r="L14" i="2"/>
  <c r="E32" i="58" s="1"/>
  <c r="L29" i="2"/>
  <c r="E80" i="58" s="1"/>
  <c r="L13" i="2"/>
  <c r="E30" i="58" s="1"/>
  <c r="L28" i="2"/>
  <c r="E79" i="58" s="1"/>
  <c r="L12" i="2"/>
  <c r="E29" i="58" s="1"/>
  <c r="L27" i="2"/>
  <c r="E78" i="58" s="1"/>
  <c r="L11" i="2"/>
  <c r="E28" i="58" s="1"/>
  <c r="L24" i="2"/>
  <c r="L39" i="2"/>
  <c r="E96" i="58" s="1"/>
  <c r="L23" i="2"/>
  <c r="E62" i="58" s="1"/>
  <c r="E46" i="58"/>
  <c r="F46" i="58" s="1"/>
  <c r="N42" i="2"/>
  <c r="O42" i="2" s="1"/>
  <c r="E48" i="58" l="1"/>
  <c r="F48" i="58" s="1"/>
  <c r="E63" i="58"/>
  <c r="F63" i="58" s="1"/>
  <c r="N38" i="2"/>
  <c r="O38" i="2" s="1"/>
  <c r="N32" i="2"/>
  <c r="O32" i="2" s="1"/>
  <c r="F13" i="64"/>
  <c r="G13" i="64" s="1"/>
  <c r="H13" i="64" s="1"/>
  <c r="F28" i="58"/>
  <c r="N13" i="2"/>
  <c r="O13" i="2" s="1"/>
  <c r="F30" i="58"/>
  <c r="F62" i="58"/>
  <c r="N23" i="2"/>
  <c r="O23" i="2" s="1"/>
  <c r="F11" i="64"/>
  <c r="G11" i="64" s="1"/>
  <c r="H11" i="64" s="1"/>
  <c r="F61" i="58"/>
  <c r="F12" i="64"/>
  <c r="G12" i="64" s="1"/>
  <c r="H12" i="64" s="1"/>
  <c r="F78" i="58"/>
  <c r="F45" i="58"/>
  <c r="F10" i="64"/>
  <c r="G10" i="64" s="1"/>
  <c r="H10" i="64" s="1"/>
  <c r="F94" i="58"/>
  <c r="N34" i="2"/>
  <c r="O34" i="2" s="1"/>
  <c r="N19" i="2"/>
  <c r="O19" i="2" s="1"/>
  <c r="N24" i="2"/>
  <c r="O24" i="2" s="1"/>
  <c r="F80" i="58"/>
  <c r="N29" i="2"/>
  <c r="O29" i="2" s="1"/>
  <c r="N33" i="2"/>
  <c r="O33" i="2" s="1"/>
  <c r="F47" i="58"/>
  <c r="N18" i="2"/>
  <c r="O18" i="2" s="1"/>
  <c r="N12" i="2"/>
  <c r="O12" i="2" s="1"/>
  <c r="F29" i="58"/>
  <c r="F79" i="58"/>
  <c r="N28" i="2"/>
  <c r="O28" i="2" s="1"/>
  <c r="F96" i="58"/>
  <c r="N39" i="2"/>
  <c r="O39" i="2" s="1"/>
  <c r="N14" i="2"/>
  <c r="O14" i="2" s="1"/>
  <c r="F32" i="58"/>
  <c r="N37" i="2" l="1"/>
  <c r="O37" i="2" s="1"/>
  <c r="F14" i="64"/>
  <c r="G14" i="64" s="1"/>
  <c r="H14" i="64" s="1"/>
  <c r="F97" i="58"/>
  <c r="F17" i="42"/>
  <c r="G17" i="42" s="1"/>
  <c r="H17" i="42" s="1"/>
  <c r="F19" i="42"/>
  <c r="G19" i="42" s="1"/>
  <c r="H19" i="42" s="1"/>
  <c r="F18" i="42"/>
  <c r="G18" i="42" s="1"/>
  <c r="H18" i="42" s="1"/>
  <c r="F16" i="42"/>
  <c r="G16" i="42" s="1"/>
  <c r="H16" i="42" s="1"/>
  <c r="N17" i="2"/>
  <c r="O17" i="2" s="1"/>
  <c r="F81" i="58"/>
  <c r="F21" i="42"/>
  <c r="G21" i="42" s="1"/>
  <c r="H21" i="42" s="1"/>
  <c r="F22" i="42"/>
  <c r="G22" i="42" s="1"/>
  <c r="H22" i="42" s="1"/>
  <c r="F23" i="42"/>
  <c r="G23" i="42" s="1"/>
  <c r="H23" i="42" s="1"/>
  <c r="N27" i="2"/>
  <c r="O27" i="2" s="1"/>
  <c r="F33" i="58"/>
  <c r="F49" i="58"/>
  <c r="F64" i="58"/>
  <c r="F20" i="42"/>
  <c r="G20" i="42" s="1"/>
  <c r="H20" i="42" s="1"/>
  <c r="N22" i="2"/>
  <c r="O22" i="2" s="1"/>
  <c r="F9" i="42"/>
  <c r="F8" i="42"/>
  <c r="G8" i="42" s="1"/>
  <c r="H8" i="42" s="1"/>
  <c r="N11" i="2"/>
  <c r="O11" i="2" s="1"/>
  <c r="G9" i="58" l="1"/>
  <c r="K81" i="58"/>
  <c r="G8" i="58"/>
  <c r="K64" i="58"/>
  <c r="G11" i="58"/>
  <c r="K97" i="58"/>
  <c r="G7" i="58"/>
  <c r="K49" i="58"/>
  <c r="G6" i="58"/>
  <c r="K33" i="58"/>
  <c r="F10" i="42"/>
  <c r="F11" i="42"/>
  <c r="G9" i="42"/>
  <c r="H9" i="42" s="1"/>
  <c r="G12" i="58" l="1"/>
  <c r="G14" i="58" s="1"/>
  <c r="G16" i="58" s="1"/>
  <c r="H16" i="58" s="1"/>
  <c r="G10" i="42"/>
  <c r="H10" i="42" s="1"/>
  <c r="F9" i="64"/>
  <c r="G9" i="64" s="1"/>
  <c r="H9" i="64" s="1"/>
  <c r="F12" i="42"/>
  <c r="G12" i="42" s="1"/>
  <c r="H12" i="42" s="1"/>
  <c r="F14" i="42"/>
  <c r="G14" i="42" s="1"/>
  <c r="H14" i="42" s="1"/>
  <c r="F13" i="42"/>
  <c r="G13" i="42" s="1"/>
  <c r="H13" i="42" s="1"/>
  <c r="F15" i="42"/>
  <c r="G15" i="42" s="1"/>
  <c r="H15" i="42" s="1"/>
  <c r="G11" i="42"/>
  <c r="H11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tc={C807B731-902B-4A6C-A961-B5A8657BEE4C}</author>
  </authors>
  <commentList>
    <comment ref="H20" authorId="0" shapeId="0" xr:uid="{C807B731-902B-4A6C-A961-B5A8657BEE4C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appear to be correct.</t>
      </text>
    </comment>
  </commentList>
</comments>
</file>

<file path=xl/sharedStrings.xml><?xml version="1.0" encoding="utf-8"?>
<sst xmlns="http://schemas.openxmlformats.org/spreadsheetml/2006/main" count="901" uniqueCount="371">
  <si>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</si>
  <si>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</si>
  <si>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</si>
  <si>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</si>
  <si>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</si>
  <si>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</si>
  <si>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</si>
  <si>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</si>
  <si>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</si>
  <si>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</si>
  <si>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</si>
  <si>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</si>
  <si>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</si>
  <si>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</si>
  <si>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</si>
  <si>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</si>
  <si>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</si>
  <si>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</si>
  <si>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</si>
  <si>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</si>
  <si>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</si>
  <si>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</si>
  <si>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</si>
  <si>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Less: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</si>
  <si>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</si>
  <si>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</si>
  <si>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</si>
  <si>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</si>
  <si>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</si>
  <si>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</si>
  <si>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</si>
  <si>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</si>
  <si>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</si>
  <si>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</si>
  <si>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</si>
  <si>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</si>
  <si>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</si>
  <si>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</si>
  <si>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</si>
  <si>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</si>
  <si>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</si>
  <si>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</si>
  <si>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</si>
  <si>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</si>
  <si>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</si>
  <si>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</si>
  <si>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</si>
  <si>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</si>
  <si>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</si>
  <si>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</si>
  <si>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</si>
  <si>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</si>
  <si>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</si>
  <si>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</si>
  <si>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</si>
  <si>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</si>
  <si>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</si>
  <si>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</si>
  <si>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</si>
  <si>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</si>
  <si>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</si>
  <si>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</si>
  <si>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</si>
  <si>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</si>
  <si>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</si>
  <si>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</si>
  <si>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</si>
  <si>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</si>
  <si>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</si>
  <si>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</si>
  <si>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</si>
  <si>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</si>
  <si>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</si>
  <si>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</si>
  <si>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</si>
  <si>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</si>
  <si>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</si>
  <si>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</si>
  <si>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</si>
  <si>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</si>
  <si>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</si>
  <si>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</si>
  <si>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</si>
  <si>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</si>
  <si>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</si>
  <si>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</si>
  <si>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</si>
  <si>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</si>
  <si>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</si>
  <si>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</si>
  <si>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</si>
  <si>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</si>
  <si>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</si>
  <si>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</si>
  <si>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</si>
  <si>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</si>
  <si>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</si>
  <si>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</si>
  <si>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</si>
  <si>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</si>
  <si>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</si>
  <si>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</si>
  <si>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</si>
  <si>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</si>
  <si>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</si>
  <si>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</si>
  <si>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</si>
  <si>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</si>
  <si>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</si>
  <si>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</si>
  <si>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</si>
  <si>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</si>
  <si>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</si>
  <si>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</si>
  <si>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</si>
  <si>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</si>
  <si>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</si>
  <si>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</si>
  <si>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</si>
  <si>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</si>
  <si>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</si>
  <si>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</si>
  <si>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</si>
  <si>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</si>
  <si>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</si>
  <si>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NEXT</t>
  </si>
  <si>
    <t>Total Gross Wages</t>
  </si>
  <si>
    <t>H</t>
  </si>
  <si>
    <t>Labor and Materials Adjustment for New Service Installations</t>
  </si>
  <si>
    <t xml:space="preserve">Labor </t>
  </si>
  <si>
    <t xml:space="preserve">Materials </t>
  </si>
  <si>
    <t>New Meter Fees Collected</t>
  </si>
  <si>
    <t>Medical Insurance Adjustment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</si>
  <si>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</si>
  <si>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</si>
  <si>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</si>
  <si>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</si>
  <si>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</si>
  <si>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</si>
  <si>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</si>
  <si>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</si>
  <si>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</si>
  <si>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</si>
  <si>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</si>
  <si>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</si>
  <si>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Allowable Employer Premium</t>
  </si>
  <si>
    <t>Medical Adjustment</t>
  </si>
  <si>
    <t>Medical</t>
  </si>
  <si>
    <t>Dental</t>
  </si>
  <si>
    <t>Vision</t>
  </si>
  <si>
    <t>Administrative</t>
  </si>
  <si>
    <t>Less Annual Premium</t>
  </si>
  <si>
    <t>Structures and Improvements</t>
  </si>
  <si>
    <t>Water Treatment Equipment</t>
  </si>
  <si>
    <t>Source of Supply Plant</t>
  </si>
  <si>
    <t>Supply Mains</t>
  </si>
  <si>
    <t>Allowed Depreciation</t>
  </si>
  <si>
    <t>Less: Reported Depreciation</t>
  </si>
  <si>
    <t>Adjustment to Allowed Depreciation</t>
  </si>
  <si>
    <t>CURRENT AND PROPOSED BILLS</t>
  </si>
  <si>
    <t>Employee 1</t>
  </si>
  <si>
    <t>Employee 2</t>
  </si>
  <si>
    <t>Webster County Water District</t>
  </si>
  <si>
    <t>CURRENT BILLING ANALYSIS - CURRENT USAGE &amp; EXISTING RATES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</si>
  <si>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</si>
  <si>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</si>
  <si>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</si>
  <si>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</si>
  <si>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</si>
  <si>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</si>
  <si>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1 1/2" Meters</t>
  </si>
  <si>
    <t xml:space="preserve">     4" Meters</t>
  </si>
  <si>
    <t>Totals</t>
  </si>
  <si>
    <t>Less Billing Adjustments</t>
  </si>
  <si>
    <t>Net Total</t>
  </si>
  <si>
    <t>Less PSC Annual Report</t>
  </si>
  <si>
    <t>SAO Adjustment</t>
  </si>
  <si>
    <t>5/8" x 3/4" METERS</t>
  </si>
  <si>
    <t xml:space="preserve">     REVENUE BY RATE INCREMENT</t>
  </si>
  <si>
    <t>1" METERS</t>
  </si>
  <si>
    <t>1 1/2" METERS</t>
  </si>
  <si>
    <t>2" METERS</t>
  </si>
  <si>
    <t>4" METERS</t>
  </si>
  <si>
    <t xml:space="preserve">     2" Meters</t>
  </si>
  <si>
    <t>(A)</t>
  </si>
  <si>
    <t xml:space="preserve">     3" Meters</t>
  </si>
  <si>
    <t>CURRENT BILLING ANALYSIS - CURRENT USAGE &amp; PROPOSED RATES</t>
  </si>
  <si>
    <t>Revenue Required from Existing Rates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</si>
  <si>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</si>
  <si>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</si>
  <si>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</si>
  <si>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</si>
  <si>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</si>
  <si>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</si>
  <si>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</si>
  <si>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</si>
  <si>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</si>
  <si>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Salaried</t>
  </si>
  <si>
    <t>Less: Test Year Salaries</t>
  </si>
  <si>
    <t>Less: Test Year Payroll Taxes</t>
  </si>
  <si>
    <t>(B)</t>
  </si>
  <si>
    <t>(C)</t>
  </si>
  <si>
    <t>(D)</t>
  </si>
  <si>
    <t>(E)</t>
  </si>
  <si>
    <t>Family Medical</t>
  </si>
  <si>
    <t>`</t>
  </si>
  <si>
    <t>(F)</t>
  </si>
  <si>
    <t>TABLE C</t>
  </si>
  <si>
    <t>Webster County Water Distrct</t>
  </si>
  <si>
    <t>CURRENT AND PROPOSED MONTHLY RATES</t>
  </si>
  <si>
    <t>CURRENT RATE SCHEDULE</t>
  </si>
  <si>
    <t>PROPOSED RATE SCHEDULE</t>
  </si>
  <si>
    <t>DIFFERENCE</t>
  </si>
  <si>
    <t>PERCENT</t>
  </si>
  <si>
    <t>5/8" x 3/4" Meters</t>
  </si>
  <si>
    <t>First</t>
  </si>
  <si>
    <t>gallons</t>
  </si>
  <si>
    <t>Minimum Bill</t>
  </si>
  <si>
    <t>Next</t>
  </si>
  <si>
    <t>per 1,000 gallons</t>
  </si>
  <si>
    <t>Over</t>
  </si>
  <si>
    <t>1" Meters</t>
  </si>
  <si>
    <t>1 1/2" Meters</t>
  </si>
  <si>
    <t>2" Meters</t>
  </si>
  <si>
    <t>3" Meters</t>
  </si>
  <si>
    <t>4" Meters</t>
  </si>
  <si>
    <t>Wholesale</t>
  </si>
  <si>
    <t>Plus:</t>
  </si>
  <si>
    <t>Average Annual Principal and Interest Payments</t>
  </si>
  <si>
    <t>Additional Working Capital</t>
  </si>
  <si>
    <t>TABLE B</t>
  </si>
  <si>
    <t>Table E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</si>
  <si>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</si>
  <si>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</si>
  <si>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</si>
  <si>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</si>
  <si>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</si>
  <si>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</si>
  <si>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</si>
  <si>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</si>
  <si>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(feet)</t>
  </si>
  <si>
    <t>Mains</t>
  </si>
  <si>
    <t>Miles</t>
  </si>
  <si>
    <t>Water Purchased, Sold and Used</t>
  </si>
  <si>
    <t>x 1,000</t>
  </si>
  <si>
    <t>Percent</t>
  </si>
  <si>
    <t>Water Produced</t>
  </si>
  <si>
    <t xml:space="preserve">   Retail Sales</t>
  </si>
  <si>
    <t xml:space="preserve">   Bulk Loading Sta.</t>
  </si>
  <si>
    <t>Total Water Sold</t>
  </si>
  <si>
    <t>Water Used at WTP</t>
  </si>
  <si>
    <t>System Flushing</t>
  </si>
  <si>
    <t>Line Losses</t>
  </si>
  <si>
    <t>Fire Dept. &amp; Other</t>
  </si>
  <si>
    <t xml:space="preserve">   Wholesale Sales</t>
  </si>
  <si>
    <t>Table F</t>
  </si>
  <si>
    <t>WHOLESALE ALLOCATION FACTORS</t>
  </si>
  <si>
    <t>FACTOR</t>
  </si>
  <si>
    <t>Water Loss Percentage</t>
  </si>
  <si>
    <t>Plant Use Percentage</t>
  </si>
  <si>
    <t>Line Loss + Plant Use</t>
  </si>
  <si>
    <t>Joint Use Inch-miles</t>
  </si>
  <si>
    <t>Total Inch-Miles</t>
  </si>
  <si>
    <t>Water Sold to Wholesale Customers</t>
  </si>
  <si>
    <t>Production Multiplier</t>
  </si>
  <si>
    <t xml:space="preserve">                 --------------------------</t>
  </si>
  <si>
    <t>=</t>
  </si>
  <si>
    <t>-</t>
  </si>
  <si>
    <t>Joint Use Pipeline Ratio</t>
  </si>
  <si>
    <t>------------------</t>
  </si>
  <si>
    <t>Joint Share of Line Loss</t>
  </si>
  <si>
    <t>x</t>
  </si>
  <si>
    <t>Joint Share Line Loss + Plant Use</t>
  </si>
  <si>
    <t>+</t>
  </si>
  <si>
    <t>Wholesale Production Multiplier</t>
  </si>
  <si>
    <t xml:space="preserve">                 ---------------------</t>
  </si>
  <si>
    <t>Production Allocation Factor</t>
  </si>
  <si>
    <t>-----------------</t>
  </si>
  <si>
    <t>Pipeline Transmission Factor</t>
  </si>
  <si>
    <t>Use Factor</t>
  </si>
  <si>
    <t>AS REPORTED:</t>
  </si>
  <si>
    <t>Supply</t>
  </si>
  <si>
    <t>Treatment</t>
  </si>
  <si>
    <t>Trans &amp; Dist</t>
  </si>
  <si>
    <t>Customer</t>
  </si>
  <si>
    <t>Admin</t>
  </si>
  <si>
    <t>Sal &amp; Wages - Empl</t>
  </si>
  <si>
    <t xml:space="preserve">     Allocation %'s</t>
  </si>
  <si>
    <t>Sal &amp; Wages - Comm</t>
  </si>
  <si>
    <t>Empl. Pen &amp; Bene + Tax</t>
  </si>
  <si>
    <t>Purch Water</t>
  </si>
  <si>
    <t>Purch Power</t>
  </si>
  <si>
    <t>Mat'ls &amp; Supplies</t>
  </si>
  <si>
    <t>Contr Serv - Acct.</t>
  </si>
  <si>
    <t>Contr Serv - Legal</t>
  </si>
  <si>
    <t>Contr Serv - Other</t>
  </si>
  <si>
    <t>Rentals - Equip</t>
  </si>
  <si>
    <t>Transportation</t>
  </si>
  <si>
    <t>Ins - Vehicle</t>
  </si>
  <si>
    <t>Ins - Gen Liab</t>
  </si>
  <si>
    <t>Ins - Workers Comp</t>
  </si>
  <si>
    <t>Ins -  Other</t>
  </si>
  <si>
    <t>Regulatory Comm. Exp.</t>
  </si>
  <si>
    <t>Miscellaneous</t>
  </si>
  <si>
    <t>PRO FORMA</t>
  </si>
  <si>
    <t>Empl. Pen &amp; Bene + Taxes</t>
  </si>
  <si>
    <t>CHECKS w/ Total Op. Exp.</t>
  </si>
  <si>
    <t>Advertising</t>
  </si>
  <si>
    <t>WHOLESALE RATE COMPUTATION</t>
  </si>
  <si>
    <t>Allocation</t>
  </si>
  <si>
    <t>Retail</t>
  </si>
  <si>
    <t>Expenses</t>
  </si>
  <si>
    <t>Factor</t>
  </si>
  <si>
    <t>Salaries &amp; Wages</t>
  </si>
  <si>
    <t>Water Production</t>
  </si>
  <si>
    <t>Trans./Distribution</t>
  </si>
  <si>
    <t>Customer Accts.</t>
  </si>
  <si>
    <t>Admin &amp; General</t>
  </si>
  <si>
    <t>Employee Benefits + Taxes</t>
  </si>
  <si>
    <t>Salaries - Officers</t>
  </si>
  <si>
    <t>Materials &amp; Supplies</t>
  </si>
  <si>
    <t>Contr. Serv. - Acct &amp; Legal</t>
  </si>
  <si>
    <t>Contractual Serv. - Other</t>
  </si>
  <si>
    <t>Rentals - Equipment (T &amp; D)</t>
  </si>
  <si>
    <t>Transportation Expense</t>
  </si>
  <si>
    <t>Insurance</t>
  </si>
  <si>
    <t>Miscellaneous Expense</t>
  </si>
  <si>
    <t>Trans. / Distribution</t>
  </si>
  <si>
    <t>Tanks &amp; Reservoirs</t>
  </si>
  <si>
    <t>Total Revenue Required</t>
  </si>
  <si>
    <t>Wholesale Gallons Sold (x 1,000)</t>
  </si>
  <si>
    <t>Computed Wholesale Rate per 1,000 Gallons</t>
  </si>
  <si>
    <t>Current Wholesale Rate per 1,000 Gallons</t>
  </si>
  <si>
    <t>Wholesale Revenue</t>
  </si>
  <si>
    <t>Difference between Computed and Current Wholesale Rate</t>
  </si>
  <si>
    <t>(G)</t>
  </si>
  <si>
    <t>Difference</t>
  </si>
  <si>
    <t>Table D</t>
  </si>
  <si>
    <t>1 1/2"</t>
  </si>
  <si>
    <t>3"</t>
  </si>
  <si>
    <t>4"</t>
  </si>
  <si>
    <t>Advertising Expenses</t>
  </si>
  <si>
    <t>Lab Equipment</t>
  </si>
  <si>
    <t>(H)</t>
  </si>
  <si>
    <t>Cross Total</t>
  </si>
  <si>
    <t>Amortization</t>
  </si>
  <si>
    <t>Adjust to current wage rates</t>
  </si>
  <si>
    <t>Adjust to actual pension contributions</t>
  </si>
  <si>
    <t>Adjust pensions to current wage rates</t>
  </si>
  <si>
    <t>Adjust to limits on medical insurance contributions</t>
  </si>
  <si>
    <t>Exclude labor used on tap fees</t>
  </si>
  <si>
    <t>Adjust to billing analysis</t>
  </si>
  <si>
    <t>Adjust to cost of service computation</t>
  </si>
  <si>
    <t>Exclude materials used on tap fees</t>
  </si>
  <si>
    <t>Remove depreciation mistakenly included in miscellaneous expenses</t>
  </si>
  <si>
    <t>G</t>
  </si>
  <si>
    <t>Correct depreciation to fixed assets register amount</t>
  </si>
  <si>
    <t>Adjust depreciation to allowable useful lifes</t>
  </si>
  <si>
    <t>Adjust taxes to current wage rates</t>
  </si>
  <si>
    <t>Matrix of Operations and Maintenance Expenses</t>
  </si>
  <si>
    <t>City of Clay</t>
  </si>
  <si>
    <t>City of Dixon</t>
  </si>
  <si>
    <t>City of Slaughters</t>
  </si>
  <si>
    <t>Nebo Water District</t>
  </si>
  <si>
    <t>North Hopkins Water District</t>
  </si>
  <si>
    <t>Annual Gallons</t>
  </si>
  <si>
    <t>Existing     Rate</t>
  </si>
  <si>
    <t>Proposed     Rate</t>
  </si>
  <si>
    <t>Exisitng           Bill</t>
  </si>
  <si>
    <t>Proposed     Bill</t>
  </si>
  <si>
    <t>Monthly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</si>
</sst>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#,##0.0"/>
    <numFmt numFmtId="172" formatCode="_(* #,##0.0000_);_(* \(#,##0.0000\);_(* &quot;-&quot;??_);_(@_)"/>
    <numFmt numFmtId="173" formatCode="0.0000"/>
    <numFmt numFmtId="174" formatCode="#,##0.0000"/>
  </numFmts>
  <fonts count="3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25">
    <xf numFmtId="0" fontId="0" fillId="0" borderId="0" xfId="0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0" fillId="0" borderId="6" xfId="0" applyBorder="1"/>
    <xf numFmtId="165" fontId="6" fillId="0" borderId="1" xfId="1" applyNumberFormat="1" applyFont="1" applyBorder="1"/>
    <xf numFmtId="165" fontId="6" fillId="0" borderId="0" xfId="1" applyNumberFormat="1" applyFont="1" applyBorder="1"/>
    <xf numFmtId="165" fontId="6" fillId="0" borderId="0" xfId="1" applyNumberFormat="1" applyFont="1"/>
    <xf numFmtId="165" fontId="6" fillId="0" borderId="3" xfId="1" applyNumberFormat="1" applyFont="1" applyBorder="1"/>
    <xf numFmtId="165" fontId="6" fillId="0" borderId="2" xfId="1" applyNumberFormat="1" applyFont="1" applyBorder="1"/>
    <xf numFmtId="165" fontId="6" fillId="0" borderId="4" xfId="1" applyNumberFormat="1" applyFont="1" applyBorder="1"/>
    <xf numFmtId="165" fontId="6" fillId="0" borderId="7" xfId="1" applyNumberFormat="1" applyFont="1" applyBorder="1"/>
    <xf numFmtId="165" fontId="6" fillId="0" borderId="5" xfId="1" applyNumberFormat="1" applyFont="1" applyBorder="1"/>
    <xf numFmtId="165" fontId="6" fillId="0" borderId="6" xfId="1" applyNumberFormat="1" applyFont="1" applyBorder="1"/>
    <xf numFmtId="43" fontId="6" fillId="0" borderId="0" xfId="1" applyFont="1"/>
    <xf numFmtId="165" fontId="12" fillId="0" borderId="0" xfId="1" applyNumberFormat="1" applyFont="1" applyBorder="1" applyAlignment="1">
      <alignment horizontal="center"/>
    </xf>
    <xf numFmtId="43" fontId="6" fillId="0" borderId="0" xfId="1" applyFont="1" applyBorder="1"/>
    <xf numFmtId="165" fontId="6" fillId="0" borderId="0" xfId="5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1" xfId="5" applyNumberFormat="1" applyFont="1" applyBorder="1"/>
    <xf numFmtId="165" fontId="6" fillId="0" borderId="0" xfId="5" applyNumberFormat="1" applyFont="1" applyBorder="1"/>
    <xf numFmtId="0" fontId="6" fillId="0" borderId="0" xfId="0" applyFont="1" applyAlignment="1">
      <alignment horizontal="centerContinuous"/>
    </xf>
    <xf numFmtId="165" fontId="12" fillId="0" borderId="0" xfId="1" applyNumberFormat="1" applyFont="1"/>
    <xf numFmtId="167" fontId="11" fillId="0" borderId="0" xfId="5" applyNumberFormat="1" applyFont="1" applyBorder="1" applyAlignment="1">
      <alignment horizontal="center"/>
    </xf>
    <xf numFmtId="43" fontId="6" fillId="0" borderId="7" xfId="1" applyFont="1" applyBorder="1"/>
    <xf numFmtId="164" fontId="6" fillId="0" borderId="0" xfId="6" applyNumberFormat="1" applyFont="1"/>
    <xf numFmtId="165" fontId="9" fillId="0" borderId="0" xfId="1" applyNumberFormat="1" applyFont="1"/>
    <xf numFmtId="165" fontId="12" fillId="0" borderId="8" xfId="1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/>
    </xf>
    <xf numFmtId="43" fontId="6" fillId="0" borderId="8" xfId="1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0" borderId="1" xfId="1" applyFont="1" applyBorder="1"/>
    <xf numFmtId="43" fontId="6" fillId="0" borderId="5" xfId="1" applyFont="1" applyBorder="1"/>
    <xf numFmtId="166" fontId="6" fillId="0" borderId="8" xfId="3" applyNumberFormat="1" applyFont="1" applyBorder="1"/>
    <xf numFmtId="165" fontId="6" fillId="2" borderId="0" xfId="1" applyNumberFormat="1" applyFont="1" applyFill="1" applyBorder="1"/>
    <xf numFmtId="43" fontId="6" fillId="2" borderId="8" xfId="1" quotePrefix="1" applyFont="1" applyFill="1" applyBorder="1" applyAlignment="1">
      <alignment horizontal="center"/>
    </xf>
    <xf numFmtId="43" fontId="6" fillId="2" borderId="0" xfId="1" applyFont="1" applyFill="1" applyBorder="1"/>
    <xf numFmtId="166" fontId="6" fillId="2" borderId="8" xfId="3" applyNumberFormat="1" applyFont="1" applyFill="1" applyBorder="1"/>
    <xf numFmtId="165" fontId="16" fillId="0" borderId="0" xfId="1" applyNumberFormat="1" applyFont="1"/>
    <xf numFmtId="0" fontId="21" fillId="0" borderId="0" xfId="0" applyFont="1" applyAlignment="1">
      <alignment horizontal="center"/>
    </xf>
    <xf numFmtId="44" fontId="6" fillId="0" borderId="0" xfId="2" applyFont="1" applyBorder="1"/>
    <xf numFmtId="165" fontId="6" fillId="0" borderId="0" xfId="5" quotePrefix="1" applyNumberFormat="1" applyFont="1"/>
    <xf numFmtId="0" fontId="6" fillId="0" borderId="7" xfId="0" applyFont="1" applyBorder="1"/>
    <xf numFmtId="165" fontId="6" fillId="0" borderId="0" xfId="1" applyNumberFormat="1" applyFont="1" applyAlignment="1">
      <alignment horizontal="centerContinuous" vertical="center"/>
    </xf>
    <xf numFmtId="165" fontId="6" fillId="0" borderId="0" xfId="1" applyNumberFormat="1" applyFont="1" applyAlignment="1">
      <alignment vertical="center"/>
    </xf>
    <xf numFmtId="165" fontId="14" fillId="0" borderId="0" xfId="1" applyNumberFormat="1" applyFont="1" applyAlignment="1">
      <alignment horizontal="centerContinuous" vertical="center"/>
    </xf>
    <xf numFmtId="165" fontId="11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9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left"/>
    </xf>
    <xf numFmtId="165" fontId="15" fillId="0" borderId="0" xfId="1" applyNumberFormat="1" applyFont="1" applyAlignment="1">
      <alignment horizontal="center"/>
    </xf>
    <xf numFmtId="165" fontId="13" fillId="0" borderId="0" xfId="1" quotePrefix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165" fontId="6" fillId="0" borderId="0" xfId="1" applyNumberFormat="1" applyFont="1" applyAlignment="1"/>
    <xf numFmtId="165" fontId="13" fillId="0" borderId="0" xfId="1" applyNumberFormat="1" applyFont="1" applyAlignment="1">
      <alignment vertical="center"/>
    </xf>
    <xf numFmtId="10" fontId="6" fillId="0" borderId="0" xfId="3" applyNumberFormat="1" applyFont="1" applyAlignment="1">
      <alignment vertical="center"/>
    </xf>
    <xf numFmtId="165" fontId="6" fillId="0" borderId="0" xfId="5" applyNumberFormat="1" applyFont="1" applyBorder="1" applyAlignment="1">
      <alignment horizontal="center"/>
    </xf>
    <xf numFmtId="10" fontId="6" fillId="0" borderId="0" xfId="3" applyNumberFormat="1" applyFont="1" applyBorder="1"/>
    <xf numFmtId="10" fontId="6" fillId="2" borderId="0" xfId="3" applyNumberFormat="1" applyFont="1" applyFill="1" applyBorder="1"/>
    <xf numFmtId="165" fontId="6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6" fillId="0" borderId="0" xfId="5" applyNumberFormat="1" applyFont="1" applyAlignment="1">
      <alignment horizontal="centerContinuous"/>
    </xf>
    <xf numFmtId="165" fontId="6" fillId="0" borderId="1" xfId="5" applyNumberFormat="1" applyFont="1" applyBorder="1" applyAlignment="1">
      <alignment horizontal="center"/>
    </xf>
    <xf numFmtId="0" fontId="6" fillId="0" borderId="3" xfId="0" applyFont="1" applyBorder="1"/>
    <xf numFmtId="0" fontId="6" fillId="0" borderId="5" xfId="0" applyFont="1" applyBorder="1"/>
    <xf numFmtId="3" fontId="6" fillId="0" borderId="2" xfId="0" applyNumberFormat="1" applyFont="1" applyBorder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3" fontId="6" fillId="0" borderId="1" xfId="0" applyNumberFormat="1" applyFont="1" applyBorder="1"/>
    <xf numFmtId="44" fontId="1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7" fontId="6" fillId="0" borderId="0" xfId="5" applyNumberFormat="1" applyFont="1" applyAlignment="1"/>
    <xf numFmtId="167" fontId="6" fillId="0" borderId="2" xfId="5" applyNumberFormat="1" applyFont="1" applyBorder="1"/>
    <xf numFmtId="167" fontId="6" fillId="0" borderId="0" xfId="5" applyNumberFormat="1" applyFont="1" applyBorder="1" applyAlignment="1"/>
    <xf numFmtId="167" fontId="6" fillId="0" borderId="0" xfId="5" applyNumberFormat="1" applyFont="1" applyBorder="1" applyAlignment="1">
      <alignment horizontal="center"/>
    </xf>
    <xf numFmtId="169" fontId="10" fillId="0" borderId="0" xfId="0" applyNumberFormat="1" applyFont="1"/>
    <xf numFmtId="167" fontId="6" fillId="0" borderId="0" xfId="5" quotePrefix="1" applyNumberFormat="1" applyFont="1" applyBorder="1" applyAlignment="1">
      <alignment horizontal="center"/>
    </xf>
    <xf numFmtId="3" fontId="6" fillId="0" borderId="4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4" fontId="6" fillId="0" borderId="7" xfId="0" applyNumberFormat="1" applyFont="1" applyBorder="1"/>
    <xf numFmtId="43" fontId="6" fillId="0" borderId="0" xfId="1" applyFont="1" applyAlignment="1">
      <alignment horizontal="right"/>
    </xf>
    <xf numFmtId="10" fontId="6" fillId="0" borderId="1" xfId="3" applyNumberFormat="1" applyFont="1" applyBorder="1"/>
    <xf numFmtId="37" fontId="6" fillId="0" borderId="0" xfId="0" applyNumberFormat="1" applyFont="1" applyAlignment="1">
      <alignment horizontal="center"/>
    </xf>
    <xf numFmtId="164" fontId="6" fillId="0" borderId="0" xfId="6" applyNumberFormat="1" applyFont="1" applyBorder="1"/>
    <xf numFmtId="164" fontId="6" fillId="0" borderId="0" xfId="0" applyNumberFormat="1" applyFont="1"/>
    <xf numFmtId="37" fontId="6" fillId="0" borderId="0" xfId="0" applyNumberFormat="1" applyFont="1"/>
    <xf numFmtId="0" fontId="10" fillId="0" borderId="0" xfId="0" applyFont="1" applyAlignment="1">
      <alignment horizontal="left"/>
    </xf>
    <xf numFmtId="165" fontId="6" fillId="0" borderId="0" xfId="5" applyNumberFormat="1" applyFont="1" applyBorder="1" applyAlignment="1">
      <alignment horizontal="right"/>
    </xf>
    <xf numFmtId="165" fontId="6" fillId="0" borderId="0" xfId="1" applyNumberFormat="1" applyFont="1" applyFill="1" applyAlignment="1">
      <alignment vertical="center"/>
    </xf>
    <xf numFmtId="6" fontId="6" fillId="0" borderId="0" xfId="0" applyNumberFormat="1" applyFont="1"/>
    <xf numFmtId="9" fontId="6" fillId="0" borderId="0" xfId="0" applyNumberFormat="1" applyFont="1"/>
    <xf numFmtId="165" fontId="6" fillId="0" borderId="0" xfId="9" applyNumberFormat="1" applyFont="1" applyFill="1" applyBorder="1"/>
    <xf numFmtId="165" fontId="12" fillId="0" borderId="0" xfId="9" applyNumberFormat="1" applyFont="1" applyFill="1" applyBorder="1"/>
    <xf numFmtId="43" fontId="6" fillId="0" borderId="0" xfId="1" applyFont="1" applyFill="1" applyBorder="1"/>
    <xf numFmtId="43" fontId="6" fillId="0" borderId="0" xfId="9" applyFont="1" applyFill="1" applyBorder="1"/>
    <xf numFmtId="166" fontId="6" fillId="0" borderId="0" xfId="3" applyNumberFormat="1" applyFont="1" applyFill="1" applyBorder="1"/>
    <xf numFmtId="44" fontId="6" fillId="0" borderId="0" xfId="0" applyNumberFormat="1" applyFont="1"/>
    <xf numFmtId="0" fontId="6" fillId="0" borderId="0" xfId="0" quotePrefix="1" applyFont="1"/>
    <xf numFmtId="43" fontId="22" fillId="0" borderId="0" xfId="9" applyFont="1" applyFill="1" applyBorder="1"/>
    <xf numFmtId="44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9" fontId="6" fillId="0" borderId="0" xfId="3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6" fillId="0" borderId="0" xfId="10" applyFont="1" applyFill="1" applyBorder="1" applyAlignment="1">
      <alignment horizontal="right"/>
    </xf>
    <xf numFmtId="44" fontId="6" fillId="0" borderId="1" xfId="0" applyNumberFormat="1" applyFont="1" applyBorder="1" applyAlignment="1">
      <alignment horizontal="right"/>
    </xf>
    <xf numFmtId="44" fontId="6" fillId="0" borderId="1" xfId="10" applyFont="1" applyFill="1" applyBorder="1" applyAlignment="1">
      <alignment horizontal="right"/>
    </xf>
    <xf numFmtId="166" fontId="6" fillId="0" borderId="0" xfId="3" applyNumberFormat="1" applyFont="1" applyFill="1" applyBorder="1" applyAlignment="1">
      <alignment horizontal="right"/>
    </xf>
    <xf numFmtId="166" fontId="10" fillId="0" borderId="0" xfId="3" applyNumberFormat="1" applyFont="1" applyFill="1" applyBorder="1" applyAlignment="1">
      <alignment horizontal="right"/>
    </xf>
    <xf numFmtId="9" fontId="21" fillId="0" borderId="0" xfId="4" applyNumberFormat="1" applyFont="1" applyAlignment="1">
      <alignment horizontal="right"/>
    </xf>
    <xf numFmtId="9" fontId="6" fillId="0" borderId="0" xfId="9" applyNumberFormat="1" applyFont="1" applyFill="1" applyBorder="1" applyAlignment="1">
      <alignment horizontal="right"/>
    </xf>
    <xf numFmtId="9" fontId="12" fillId="0" borderId="0" xfId="9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9" fontId="21" fillId="0" borderId="0" xfId="3" applyFont="1" applyFill="1" applyBorder="1" applyAlignment="1">
      <alignment horizontal="right"/>
    </xf>
    <xf numFmtId="9" fontId="22" fillId="0" borderId="0" xfId="3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4" fontId="21" fillId="0" borderId="0" xfId="0" applyNumberFormat="1" applyFont="1" applyAlignment="1">
      <alignment horizontal="right"/>
    </xf>
    <xf numFmtId="44" fontId="6" fillId="0" borderId="0" xfId="9" applyNumberFormat="1" applyFont="1" applyFill="1" applyBorder="1" applyAlignment="1">
      <alignment horizontal="right"/>
    </xf>
    <xf numFmtId="44" fontId="12" fillId="0" borderId="0" xfId="9" applyNumberFormat="1" applyFont="1" applyFill="1" applyBorder="1" applyAlignment="1">
      <alignment horizontal="right"/>
    </xf>
    <xf numFmtId="166" fontId="6" fillId="0" borderId="0" xfId="3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10" fillId="0" borderId="0" xfId="0" applyNumberFormat="1" applyFont="1" applyAlignment="1">
      <alignment horizontal="right"/>
    </xf>
    <xf numFmtId="167" fontId="6" fillId="0" borderId="1" xfId="5" applyNumberFormat="1" applyFont="1" applyBorder="1" applyAlignment="1">
      <alignment horizontal="right"/>
    </xf>
    <xf numFmtId="167" fontId="6" fillId="0" borderId="0" xfId="5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2" fillId="0" borderId="0" xfId="0" applyNumberFormat="1" applyFont="1"/>
    <xf numFmtId="164" fontId="6" fillId="0" borderId="0" xfId="5" applyNumberFormat="1" applyFont="1" applyFill="1" applyBorder="1" applyAlignment="1">
      <alignment horizontal="right"/>
    </xf>
    <xf numFmtId="43" fontId="6" fillId="0" borderId="0" xfId="1" applyFont="1" applyAlignment="1">
      <alignment horizontal="center"/>
    </xf>
    <xf numFmtId="43" fontId="6" fillId="2" borderId="7" xfId="1" applyFont="1" applyFill="1" applyBorder="1"/>
    <xf numFmtId="165" fontId="6" fillId="0" borderId="0" xfId="5" applyNumberFormat="1" applyFont="1" applyFill="1" applyBorder="1"/>
    <xf numFmtId="0" fontId="7" fillId="0" borderId="0" xfId="0" applyFont="1" applyAlignment="1">
      <alignment horizontal="centerContinuous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3" fontId="6" fillId="0" borderId="0" xfId="5" applyFont="1"/>
    <xf numFmtId="165" fontId="6" fillId="0" borderId="0" xfId="5" applyNumberFormat="1" applyFont="1" applyAlignment="1">
      <alignment horizontal="right"/>
    </xf>
    <xf numFmtId="43" fontId="6" fillId="0" borderId="0" xfId="0" applyNumberFormat="1" applyFont="1"/>
    <xf numFmtId="165" fontId="6" fillId="0" borderId="0" xfId="5" applyNumberFormat="1" applyFont="1" applyFill="1"/>
    <xf numFmtId="166" fontId="6" fillId="0" borderId="0" xfId="7" applyNumberFormat="1" applyFont="1" applyFill="1"/>
    <xf numFmtId="0" fontId="23" fillId="0" borderId="0" xfId="0" applyFont="1"/>
    <xf numFmtId="37" fontId="6" fillId="0" borderId="1" xfId="0" applyNumberFormat="1" applyFont="1" applyBorder="1" applyAlignment="1">
      <alignment horizontal="center"/>
    </xf>
    <xf numFmtId="3" fontId="6" fillId="0" borderId="0" xfId="5" applyNumberFormat="1" applyFont="1" applyFill="1"/>
    <xf numFmtId="37" fontId="6" fillId="0" borderId="1" xfId="0" applyNumberFormat="1" applyFont="1" applyBorder="1"/>
    <xf numFmtId="3" fontId="6" fillId="0" borderId="1" xfId="5" applyNumberFormat="1" applyFont="1" applyFill="1" applyBorder="1"/>
    <xf numFmtId="165" fontId="6" fillId="0" borderId="1" xfId="5" applyNumberFormat="1" applyFont="1" applyFill="1" applyBorder="1"/>
    <xf numFmtId="44" fontId="6" fillId="0" borderId="0" xfId="6" applyFont="1"/>
    <xf numFmtId="0" fontId="6" fillId="0" borderId="1" xfId="0" applyFont="1" applyBorder="1"/>
    <xf numFmtId="44" fontId="6" fillId="0" borderId="1" xfId="6" applyFont="1" applyBorder="1"/>
    <xf numFmtId="166" fontId="6" fillId="0" borderId="0" xfId="7" applyNumberFormat="1" applyFont="1"/>
    <xf numFmtId="165" fontId="6" fillId="0" borderId="1" xfId="1" applyNumberFormat="1" applyFont="1" applyBorder="1" applyAlignment="1">
      <alignment vertical="center"/>
    </xf>
    <xf numFmtId="10" fontId="6" fillId="0" borderId="0" xfId="5" applyNumberFormat="1" applyFont="1"/>
    <xf numFmtId="169" fontId="6" fillId="0" borderId="0" xfId="0" applyNumberFormat="1" applyFont="1" applyAlignment="1">
      <alignment horizontal="center"/>
    </xf>
    <xf numFmtId="0" fontId="25" fillId="0" borderId="0" xfId="0" applyFont="1"/>
    <xf numFmtId="0" fontId="6" fillId="0" borderId="6" xfId="0" applyFont="1" applyBorder="1"/>
    <xf numFmtId="0" fontId="6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165" fontId="6" fillId="0" borderId="0" xfId="5" applyNumberFormat="1" applyFont="1" applyBorder="1" applyAlignment="1"/>
    <xf numFmtId="44" fontId="6" fillId="0" borderId="0" xfId="6" applyFont="1" applyBorder="1" applyAlignment="1"/>
    <xf numFmtId="44" fontId="6" fillId="0" borderId="7" xfId="0" applyNumberFormat="1" applyFont="1" applyBorder="1"/>
    <xf numFmtId="10" fontId="6" fillId="0" borderId="8" xfId="7" applyNumberFormat="1" applyFont="1" applyBorder="1" applyAlignment="1">
      <alignment horizontal="center"/>
    </xf>
    <xf numFmtId="44" fontId="25" fillId="0" borderId="0" xfId="0" applyNumberFormat="1" applyFont="1"/>
    <xf numFmtId="43" fontId="6" fillId="0" borderId="0" xfId="5" applyFont="1" applyBorder="1" applyAlignment="1"/>
    <xf numFmtId="43" fontId="25" fillId="0" borderId="0" xfId="5" applyFont="1" applyAlignment="1"/>
    <xf numFmtId="165" fontId="6" fillId="0" borderId="1" xfId="5" applyNumberFormat="1" applyFont="1" applyBorder="1" applyAlignment="1"/>
    <xf numFmtId="165" fontId="25" fillId="0" borderId="0" xfId="5" applyNumberFormat="1" applyFont="1" applyAlignment="1"/>
    <xf numFmtId="165" fontId="6" fillId="0" borderId="0" xfId="5" applyNumberFormat="1" applyFont="1" applyAlignment="1"/>
    <xf numFmtId="166" fontId="6" fillId="0" borderId="0" xfId="7" applyNumberFormat="1" applyFont="1" applyAlignment="1"/>
    <xf numFmtId="43" fontId="6" fillId="0" borderId="0" xfId="5" applyFont="1" applyAlignment="1"/>
    <xf numFmtId="0" fontId="6" fillId="0" borderId="1" xfId="0" applyFont="1" applyBorder="1" applyAlignment="1">
      <alignment horizontal="right"/>
    </xf>
    <xf numFmtId="44" fontId="6" fillId="0" borderId="1" xfId="6" applyFont="1" applyBorder="1" applyAlignment="1"/>
    <xf numFmtId="44" fontId="6" fillId="0" borderId="5" xfId="0" applyNumberFormat="1" applyFont="1" applyBorder="1"/>
    <xf numFmtId="10" fontId="6" fillId="0" borderId="6" xfId="7" applyNumberFormat="1" applyFont="1" applyBorder="1" applyAlignment="1">
      <alignment horizontal="center"/>
    </xf>
    <xf numFmtId="165" fontId="6" fillId="0" borderId="0" xfId="5" applyNumberFormat="1" applyFont="1" applyAlignment="1">
      <alignment vertical="center"/>
    </xf>
    <xf numFmtId="165" fontId="12" fillId="0" borderId="2" xfId="1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43" fontId="0" fillId="0" borderId="0" xfId="5" applyFont="1"/>
    <xf numFmtId="0" fontId="0" fillId="0" borderId="7" xfId="0" applyBorder="1"/>
    <xf numFmtId="0" fontId="0" fillId="0" borderId="8" xfId="0" applyBorder="1"/>
    <xf numFmtId="0" fontId="8" fillId="0" borderId="0" xfId="0" applyFont="1" applyAlignment="1">
      <alignment horizontal="centerContinuous"/>
    </xf>
    <xf numFmtId="165" fontId="10" fillId="0" borderId="8" xfId="5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7" fillId="0" borderId="9" xfId="0" applyFont="1" applyBorder="1"/>
    <xf numFmtId="3" fontId="27" fillId="0" borderId="0" xfId="0" applyNumberFormat="1" applyFont="1"/>
    <xf numFmtId="0" fontId="27" fillId="0" borderId="0" xfId="0" applyFont="1" applyAlignment="1">
      <alignment horizontal="centerContinuous"/>
    </xf>
    <xf numFmtId="0" fontId="27" fillId="0" borderId="10" xfId="0" applyFont="1" applyBorder="1" applyAlignment="1">
      <alignment horizontal="centerContinuous"/>
    </xf>
    <xf numFmtId="165" fontId="27" fillId="0" borderId="0" xfId="5" applyNumberFormat="1" applyFont="1"/>
    <xf numFmtId="0" fontId="30" fillId="0" borderId="0" xfId="0" applyFont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165" fontId="27" fillId="0" borderId="0" xfId="5" applyNumberFormat="1" applyFont="1" applyBorder="1"/>
    <xf numFmtId="0" fontId="30" fillId="0" borderId="10" xfId="0" applyFont="1" applyBorder="1" applyAlignment="1">
      <alignment horizontal="center"/>
    </xf>
    <xf numFmtId="3" fontId="27" fillId="0" borderId="0" xfId="0" applyNumberFormat="1" applyFont="1" applyAlignment="1">
      <alignment horizontal="center"/>
    </xf>
    <xf numFmtId="165" fontId="27" fillId="0" borderId="0" xfId="5" applyNumberFormat="1" applyFont="1" applyBorder="1" applyAlignment="1"/>
    <xf numFmtId="43" fontId="27" fillId="0" borderId="0" xfId="0" applyNumberFormat="1" applyFont="1" applyAlignment="1">
      <alignment horizontal="center"/>
    </xf>
    <xf numFmtId="43" fontId="27" fillId="0" borderId="0" xfId="5" applyFont="1" applyBorder="1"/>
    <xf numFmtId="167" fontId="27" fillId="0" borderId="10" xfId="5" applyNumberFormat="1" applyFont="1" applyBorder="1"/>
    <xf numFmtId="167" fontId="27" fillId="0" borderId="0" xfId="5" applyNumberFormat="1" applyFont="1" applyBorder="1" applyAlignment="1"/>
    <xf numFmtId="43" fontId="27" fillId="0" borderId="0" xfId="5" applyFont="1" applyBorder="1" applyAlignment="1"/>
    <xf numFmtId="167" fontId="27" fillId="0" borderId="7" xfId="5" applyNumberFormat="1" applyFont="1" applyBorder="1"/>
    <xf numFmtId="0" fontId="27" fillId="0" borderId="8" xfId="0" applyFont="1" applyBorder="1"/>
    <xf numFmtId="43" fontId="27" fillId="0" borderId="0" xfId="5" applyFont="1"/>
    <xf numFmtId="0" fontId="27" fillId="0" borderId="0" xfId="0" applyFont="1" applyAlignment="1">
      <alignment vertical="center"/>
    </xf>
    <xf numFmtId="10" fontId="27" fillId="0" borderId="0" xfId="0" applyNumberFormat="1" applyFont="1" applyAlignment="1">
      <alignment vertical="center"/>
    </xf>
    <xf numFmtId="171" fontId="0" fillId="0" borderId="0" xfId="0" applyNumberFormat="1"/>
    <xf numFmtId="0" fontId="0" fillId="0" borderId="5" xfId="0" applyBorder="1"/>
    <xf numFmtId="0" fontId="27" fillId="0" borderId="1" xfId="0" applyFont="1" applyBorder="1"/>
    <xf numFmtId="171" fontId="27" fillId="0" borderId="1" xfId="0" applyNumberFormat="1" applyFont="1" applyBorder="1"/>
    <xf numFmtId="0" fontId="31" fillId="0" borderId="0" xfId="0" applyFont="1"/>
    <xf numFmtId="171" fontId="31" fillId="0" borderId="0" xfId="0" applyNumberFormat="1" applyFont="1"/>
    <xf numFmtId="3" fontId="32" fillId="0" borderId="4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165" fontId="14" fillId="0" borderId="1" xfId="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2" fontId="6" fillId="0" borderId="0" xfId="5" applyNumberFormat="1" applyFont="1" applyBorder="1" applyAlignment="1">
      <alignment vertical="center"/>
    </xf>
    <xf numFmtId="43" fontId="6" fillId="0" borderId="0" xfId="5" applyFont="1" applyBorder="1" applyAlignment="1">
      <alignment vertical="center"/>
    </xf>
    <xf numFmtId="165" fontId="6" fillId="0" borderId="0" xfId="5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173" fontId="6" fillId="0" borderId="0" xfId="0" applyNumberFormat="1" applyFont="1" applyAlignment="1">
      <alignment horizontal="left" vertical="center"/>
    </xf>
    <xf numFmtId="17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174" fontId="6" fillId="0" borderId="0" xfId="0" applyNumberFormat="1" applyFont="1" applyAlignment="1">
      <alignment vertical="center"/>
    </xf>
    <xf numFmtId="174" fontId="6" fillId="0" borderId="0" xfId="0" applyNumberFormat="1" applyFont="1" applyAlignment="1">
      <alignment horizontal="left" vertical="center"/>
    </xf>
    <xf numFmtId="172" fontId="33" fillId="0" borderId="0" xfId="5" applyNumberFormat="1" applyFont="1" applyBorder="1" applyAlignment="1">
      <alignment vertical="center"/>
    </xf>
    <xf numFmtId="173" fontId="6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2" fontId="10" fillId="0" borderId="0" xfId="5" applyNumberFormat="1" applyFont="1" applyBorder="1" applyAlignment="1">
      <alignment vertical="center"/>
    </xf>
    <xf numFmtId="172" fontId="6" fillId="0" borderId="0" xfId="5" applyNumberFormat="1" applyFont="1" applyBorder="1" applyAlignment="1"/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43" fontId="27" fillId="0" borderId="0" xfId="1" applyFont="1" applyAlignment="1">
      <alignment horizontal="center"/>
    </xf>
    <xf numFmtId="10" fontId="6" fillId="0" borderId="0" xfId="7" applyNumberFormat="1" applyFont="1"/>
    <xf numFmtId="43" fontId="6" fillId="0" borderId="0" xfId="5" applyFont="1" applyAlignment="1">
      <alignment vertical="center"/>
    </xf>
    <xf numFmtId="43" fontId="6" fillId="0" borderId="2" xfId="5" applyFont="1" applyBorder="1"/>
    <xf numFmtId="165" fontId="6" fillId="0" borderId="2" xfId="5" applyNumberFormat="1" applyFont="1" applyBorder="1"/>
    <xf numFmtId="0" fontId="6" fillId="0" borderId="2" xfId="0" applyFont="1" applyBorder="1"/>
    <xf numFmtId="0" fontId="6" fillId="0" borderId="4" xfId="0" applyFont="1" applyBorder="1"/>
    <xf numFmtId="0" fontId="34" fillId="0" borderId="0" xfId="0" applyFont="1" applyAlignment="1">
      <alignment horizontal="right"/>
    </xf>
    <xf numFmtId="43" fontId="6" fillId="0" borderId="0" xfId="5" applyFont="1" applyAlignment="1">
      <alignment horizontal="centerContinuous"/>
    </xf>
    <xf numFmtId="0" fontId="6" fillId="0" borderId="8" xfId="0" applyFont="1" applyBorder="1" applyAlignment="1">
      <alignment horizontal="centerContinuous"/>
    </xf>
    <xf numFmtId="3" fontId="34" fillId="0" borderId="0" xfId="0" applyNumberFormat="1" applyFont="1" applyAlignment="1">
      <alignment horizontal="right"/>
    </xf>
    <xf numFmtId="43" fontId="14" fillId="0" borderId="1" xfId="5" applyFont="1" applyBorder="1" applyAlignment="1">
      <alignment horizontal="center" vertical="center"/>
    </xf>
    <xf numFmtId="165" fontId="14" fillId="0" borderId="6" xfId="5" applyNumberFormat="1" applyFont="1" applyBorder="1" applyAlignment="1">
      <alignment horizontal="center" vertical="center"/>
    </xf>
    <xf numFmtId="43" fontId="14" fillId="0" borderId="0" xfId="5" applyFont="1" applyAlignment="1">
      <alignment horizontal="centerContinuous" vertical="center"/>
    </xf>
    <xf numFmtId="165" fontId="9" fillId="0" borderId="0" xfId="5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174" fontId="6" fillId="0" borderId="0" xfId="0" applyNumberFormat="1" applyFont="1"/>
    <xf numFmtId="0" fontId="26" fillId="0" borderId="0" xfId="0" applyFont="1" applyAlignment="1">
      <alignment horizontal="center"/>
    </xf>
    <xf numFmtId="165" fontId="34" fillId="0" borderId="0" xfId="0" applyNumberFormat="1" applyFont="1" applyAlignment="1">
      <alignment horizontal="right"/>
    </xf>
    <xf numFmtId="43" fontId="10" fillId="0" borderId="0" xfId="5" applyFont="1"/>
    <xf numFmtId="3" fontId="34" fillId="0" borderId="0" xfId="0" applyNumberFormat="1" applyFont="1"/>
    <xf numFmtId="0" fontId="14" fillId="0" borderId="0" xfId="0" applyFont="1"/>
    <xf numFmtId="3" fontId="14" fillId="0" borderId="0" xfId="0" applyNumberFormat="1" applyFont="1"/>
    <xf numFmtId="44" fontId="6" fillId="0" borderId="8" xfId="6" applyFont="1" applyBorder="1"/>
    <xf numFmtId="43" fontId="14" fillId="0" borderId="0" xfId="5" applyFont="1"/>
    <xf numFmtId="43" fontId="25" fillId="0" borderId="0" xfId="5" applyFont="1"/>
    <xf numFmtId="165" fontId="25" fillId="0" borderId="0" xfId="5" applyNumberFormat="1" applyFont="1"/>
    <xf numFmtId="3" fontId="25" fillId="0" borderId="0" xfId="0" applyNumberFormat="1" applyFont="1"/>
    <xf numFmtId="44" fontId="14" fillId="0" borderId="0" xfId="6" applyFont="1"/>
    <xf numFmtId="4" fontId="6" fillId="0" borderId="8" xfId="0" applyNumberFormat="1" applyFont="1" applyBorder="1"/>
    <xf numFmtId="4" fontId="34" fillId="0" borderId="0" xfId="0" applyNumberFormat="1" applyFont="1" applyAlignment="1">
      <alignment horizontal="right"/>
    </xf>
    <xf numFmtId="43" fontId="6" fillId="0" borderId="1" xfId="5" applyFont="1" applyBorder="1"/>
    <xf numFmtId="165" fontId="0" fillId="0" borderId="0" xfId="5" applyNumberFormat="1" applyFont="1"/>
    <xf numFmtId="43" fontId="14" fillId="0" borderId="0" xfId="1" applyFont="1"/>
    <xf numFmtId="43" fontId="14" fillId="0" borderId="1" xfId="1" applyFont="1" applyBorder="1"/>
    <xf numFmtId="44" fontId="14" fillId="0" borderId="12" xfId="6" applyFont="1" applyBorder="1"/>
    <xf numFmtId="165" fontId="0" fillId="0" borderId="0" xfId="1" applyNumberFormat="1" applyFont="1"/>
    <xf numFmtId="165" fontId="6" fillId="0" borderId="3" xfId="5" applyNumberFormat="1" applyFont="1" applyBorder="1"/>
    <xf numFmtId="165" fontId="6" fillId="0" borderId="7" xfId="5" applyNumberFormat="1" applyFont="1" applyBorder="1"/>
    <xf numFmtId="165" fontId="6" fillId="0" borderId="5" xfId="5" applyNumberFormat="1" applyFont="1" applyBorder="1"/>
    <xf numFmtId="165" fontId="6" fillId="0" borderId="6" xfId="5" applyNumberFormat="1" applyFont="1" applyBorder="1"/>
    <xf numFmtId="165" fontId="6" fillId="0" borderId="8" xfId="5" applyNumberFormat="1" applyFont="1" applyBorder="1"/>
    <xf numFmtId="165" fontId="12" fillId="0" borderId="0" xfId="5" applyNumberFormat="1" applyFont="1" applyBorder="1" applyAlignment="1">
      <alignment horizontal="center"/>
    </xf>
    <xf numFmtId="165" fontId="12" fillId="0" borderId="8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/>
    </xf>
    <xf numFmtId="43" fontId="6" fillId="0" borderId="8" xfId="5" quotePrefix="1" applyFont="1" applyBorder="1" applyAlignment="1">
      <alignment horizontal="center"/>
    </xf>
    <xf numFmtId="43" fontId="6" fillId="0" borderId="7" xfId="5" applyFont="1" applyBorder="1"/>
    <xf numFmtId="44" fontId="6" fillId="0" borderId="0" xfId="6" applyFont="1" applyBorder="1"/>
    <xf numFmtId="10" fontId="6" fillId="0" borderId="0" xfId="7" applyNumberFormat="1" applyFont="1" applyBorder="1"/>
    <xf numFmtId="166" fontId="6" fillId="0" borderId="8" xfId="7" applyNumberFormat="1" applyFont="1" applyBorder="1"/>
    <xf numFmtId="43" fontId="6" fillId="0" borderId="0" xfId="5" applyFont="1" applyBorder="1"/>
    <xf numFmtId="43" fontId="6" fillId="0" borderId="8" xfId="5" quotePrefix="1" applyFont="1" applyFill="1" applyBorder="1" applyAlignment="1">
      <alignment horizontal="center"/>
    </xf>
    <xf numFmtId="43" fontId="6" fillId="0" borderId="7" xfId="5" applyFont="1" applyFill="1" applyBorder="1"/>
    <xf numFmtId="43" fontId="6" fillId="0" borderId="0" xfId="5" applyFont="1" applyFill="1" applyBorder="1"/>
    <xf numFmtId="10" fontId="6" fillId="0" borderId="0" xfId="7" applyNumberFormat="1" applyFont="1" applyFill="1" applyBorder="1"/>
    <xf numFmtId="166" fontId="6" fillId="0" borderId="8" xfId="7" applyNumberFormat="1" applyFont="1" applyFill="1" applyBorder="1"/>
    <xf numFmtId="43" fontId="6" fillId="0" borderId="5" xfId="5" applyFont="1" applyBorder="1"/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6" fillId="0" borderId="1" xfId="1" applyNumberFormat="1" applyFont="1" applyFill="1" applyBorder="1"/>
    <xf numFmtId="43" fontId="6" fillId="3" borderId="7" xfId="1" applyFont="1" applyFill="1" applyBorder="1"/>
    <xf numFmtId="43" fontId="6" fillId="3" borderId="0" xfId="1" applyFont="1" applyFill="1" applyBorder="1"/>
    <xf numFmtId="10" fontId="6" fillId="3" borderId="0" xfId="3" applyNumberFormat="1" applyFont="1" applyFill="1" applyBorder="1"/>
    <xf numFmtId="165" fontId="6" fillId="0" borderId="1" xfId="1" applyNumberFormat="1" applyFont="1" applyFill="1" applyBorder="1" applyAlignment="1">
      <alignment vertical="center"/>
    </xf>
    <xf numFmtId="44" fontId="6" fillId="0" borderId="0" xfId="6" applyFont="1" applyFill="1" applyBorder="1" applyAlignment="1"/>
    <xf numFmtId="164" fontId="6" fillId="0" borderId="1" xfId="6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 applyFill="1"/>
    <xf numFmtId="171" fontId="27" fillId="0" borderId="0" xfId="0" applyNumberFormat="1" applyFont="1" applyAlignment="1">
      <alignment vertical="center"/>
    </xf>
    <xf numFmtId="167" fontId="6" fillId="0" borderId="0" xfId="5" applyNumberFormat="1" applyFont="1" applyFill="1" applyBorder="1" applyAlignment="1"/>
    <xf numFmtId="165" fontId="6" fillId="0" borderId="0" xfId="5" applyNumberFormat="1" applyFont="1" applyFill="1" applyBorder="1" applyAlignment="1">
      <alignment horizontal="right"/>
    </xf>
    <xf numFmtId="165" fontId="6" fillId="0" borderId="0" xfId="5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167" fontId="11" fillId="0" borderId="0" xfId="5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167" fontId="16" fillId="0" borderId="0" xfId="5" applyNumberFormat="1" applyFont="1" applyFill="1" applyBorder="1" applyAlignment="1"/>
    <xf numFmtId="170" fontId="6" fillId="0" borderId="0" xfId="0" applyNumberFormat="1" applyFont="1"/>
    <xf numFmtId="164" fontId="6" fillId="0" borderId="1" xfId="0" applyNumberFormat="1" applyFont="1" applyBorder="1" applyAlignment="1">
      <alignment horizontal="right"/>
    </xf>
    <xf numFmtId="167" fontId="6" fillId="0" borderId="1" xfId="5" applyNumberFormat="1" applyFont="1" applyFill="1" applyBorder="1" applyAlignment="1">
      <alignment horizontal="right"/>
    </xf>
    <xf numFmtId="167" fontId="6" fillId="0" borderId="0" xfId="5" applyNumberFormat="1" applyFont="1" applyFill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5" fontId="12" fillId="0" borderId="0" xfId="1" applyNumberFormat="1" applyFont="1" applyFill="1" applyBorder="1" applyAlignment="1">
      <alignment vertical="center"/>
    </xf>
    <xf numFmtId="166" fontId="6" fillId="0" borderId="0" xfId="3" applyNumberFormat="1" applyFont="1"/>
    <xf numFmtId="166" fontId="6" fillId="0" borderId="0" xfId="7" applyNumberFormat="1" applyFont="1" applyBorder="1"/>
    <xf numFmtId="165" fontId="14" fillId="0" borderId="0" xfId="5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7" xfId="0" applyFont="1" applyBorder="1" applyAlignment="1">
      <alignment horizontal="centerContinuous"/>
    </xf>
    <xf numFmtId="165" fontId="1" fillId="0" borderId="0" xfId="5" applyNumberFormat="1" applyFont="1"/>
    <xf numFmtId="165" fontId="1" fillId="0" borderId="0" xfId="5" applyNumberFormat="1" applyFont="1" applyFill="1"/>
    <xf numFmtId="10" fontId="1" fillId="0" borderId="0" xfId="7" applyNumberFormat="1" applyFont="1"/>
    <xf numFmtId="9" fontId="1" fillId="0" borderId="0" xfId="3" applyFont="1"/>
    <xf numFmtId="165" fontId="22" fillId="0" borderId="0" xfId="5" applyNumberFormat="1" applyFont="1"/>
    <xf numFmtId="165" fontId="1" fillId="0" borderId="0" xfId="5" applyNumberFormat="1" applyFont="1" applyAlignment="1">
      <alignment horizontal="right"/>
    </xf>
    <xf numFmtId="165" fontId="1" fillId="0" borderId="0" xfId="5" applyNumberFormat="1" applyFont="1" applyAlignment="1">
      <alignment horizontal="left"/>
    </xf>
    <xf numFmtId="165" fontId="1" fillId="0" borderId="3" xfId="5" applyNumberFormat="1" applyFont="1" applyBorder="1"/>
    <xf numFmtId="165" fontId="1" fillId="0" borderId="4" xfId="5" applyNumberFormat="1" applyFont="1" applyBorder="1"/>
    <xf numFmtId="165" fontId="1" fillId="0" borderId="7" xfId="5" applyNumberFormat="1" applyFont="1" applyBorder="1"/>
    <xf numFmtId="165" fontId="1" fillId="0" borderId="8" xfId="5" applyNumberFormat="1" applyFont="1" applyBorder="1"/>
    <xf numFmtId="165" fontId="1" fillId="0" borderId="0" xfId="5" applyNumberFormat="1" applyFont="1" applyBorder="1"/>
    <xf numFmtId="165" fontId="36" fillId="0" borderId="0" xfId="5" applyNumberFormat="1" applyFont="1" applyBorder="1"/>
    <xf numFmtId="165" fontId="22" fillId="0" borderId="0" xfId="5" applyNumberFormat="1" applyFont="1" applyBorder="1" applyAlignment="1">
      <alignment horizontal="center"/>
    </xf>
    <xf numFmtId="165" fontId="22" fillId="0" borderId="8" xfId="5" applyNumberFormat="1" applyFont="1" applyBorder="1" applyAlignment="1">
      <alignment horizontal="center"/>
    </xf>
    <xf numFmtId="165" fontId="1" fillId="0" borderId="0" xfId="5" applyNumberFormat="1" applyFont="1" applyFill="1" applyBorder="1"/>
    <xf numFmtId="165" fontId="1" fillId="0" borderId="8" xfId="5" applyNumberFormat="1" applyFont="1" applyFill="1" applyBorder="1"/>
    <xf numFmtId="165" fontId="35" fillId="0" borderId="0" xfId="5" applyNumberFormat="1" applyFont="1" applyBorder="1"/>
    <xf numFmtId="10" fontId="1" fillId="0" borderId="0" xfId="7" applyNumberFormat="1" applyFont="1" applyFill="1" applyBorder="1"/>
    <xf numFmtId="9" fontId="1" fillId="0" borderId="0" xfId="3" applyFont="1" applyFill="1" applyBorder="1"/>
    <xf numFmtId="43" fontId="1" fillId="0" borderId="0" xfId="5" applyFont="1" applyBorder="1" applyAlignment="1">
      <alignment vertical="center"/>
    </xf>
    <xf numFmtId="165" fontId="22" fillId="0" borderId="0" xfId="5" applyNumberFormat="1" applyFont="1" applyFill="1" applyBorder="1"/>
    <xf numFmtId="165" fontId="22" fillId="0" borderId="8" xfId="5" applyNumberFormat="1" applyFont="1" applyFill="1" applyBorder="1"/>
    <xf numFmtId="165" fontId="22" fillId="0" borderId="0" xfId="5" applyNumberFormat="1" applyFont="1" applyBorder="1"/>
    <xf numFmtId="165" fontId="1" fillId="0" borderId="5" xfId="5" applyNumberFormat="1" applyFont="1" applyBorder="1"/>
    <xf numFmtId="165" fontId="1" fillId="0" borderId="1" xfId="5" applyNumberFormat="1" applyFont="1" applyBorder="1"/>
    <xf numFmtId="165" fontId="1" fillId="0" borderId="6" xfId="5" applyNumberFormat="1" applyFont="1" applyBorder="1"/>
    <xf numFmtId="165" fontId="6" fillId="0" borderId="0" xfId="1" applyNumberFormat="1" applyFont="1" applyAlignment="1">
      <alignment horizontal="right" wrapText="1"/>
    </xf>
    <xf numFmtId="165" fontId="6" fillId="0" borderId="0" xfId="1" applyNumberFormat="1" applyFont="1" applyAlignment="1">
      <alignment horizontal="right"/>
    </xf>
    <xf numFmtId="44" fontId="6" fillId="0" borderId="0" xfId="2" applyFont="1"/>
    <xf numFmtId="10" fontId="6" fillId="0" borderId="0" xfId="3" applyNumberFormat="1" applyFont="1"/>
    <xf numFmtId="165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167" fontId="11" fillId="0" borderId="0" xfId="5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2" xfId="5" applyNumberFormat="1" applyFont="1" applyBorder="1" applyAlignment="1">
      <alignment horizontal="center"/>
    </xf>
    <xf numFmtId="165" fontId="7" fillId="0" borderId="4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165" fontId="37" fillId="0" borderId="2" xfId="5" applyNumberFormat="1" applyFont="1" applyBorder="1" applyAlignment="1">
      <alignment horizontal="center"/>
    </xf>
    <xf numFmtId="165" fontId="37" fillId="0" borderId="0" xfId="5" applyNumberFormat="1" applyFont="1" applyBorder="1" applyAlignment="1">
      <alignment horizontal="center"/>
    </xf>
    <xf numFmtId="3" fontId="32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43" fontId="8" fillId="0" borderId="7" xfId="5" applyFont="1" applyBorder="1" applyAlignment="1">
      <alignment horizontal="center"/>
    </xf>
    <xf numFmtId="43" fontId="8" fillId="0" borderId="0" xfId="5" applyFont="1" applyBorder="1" applyAlignment="1">
      <alignment horizontal="center"/>
    </xf>
    <xf numFmtId="43" fontId="8" fillId="0" borderId="8" xfId="5" applyFont="1" applyBorder="1" applyAlignment="1">
      <alignment horizontal="center"/>
    </xf>
    <xf numFmtId="165" fontId="14" fillId="0" borderId="7" xfId="5" applyNumberFormat="1" applyFont="1" applyBorder="1" applyAlignment="1">
      <alignment horizontal="center" vertical="center"/>
    </xf>
    <xf numFmtId="165" fontId="14" fillId="0" borderId="0" xfId="5" applyNumberFormat="1" applyFont="1" applyBorder="1" applyAlignment="1">
      <alignment horizontal="center" vertical="center"/>
    </xf>
    <xf numFmtId="165" fontId="14" fillId="0" borderId="8" xfId="5" applyNumberFormat="1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bert Miller" id="{3A56EE54-A3FD-4051-B229-F37AB3B9592B}" userId="4620783bd5d64abe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0" dT="2024-10-31T00:37:28.22" personId="{3A56EE54-A3FD-4051-B229-F37AB3B9592B}" id="{C807B731-902B-4A6C-A961-B5A8657BEE4C}">
    <text>Does not appear to be correct.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workbookViewId="0">
      <selection activeCell="J54" sqref="A1:J54"/>
    </sheetView>
  </sheetViews>
  <sheetFormatPr defaultColWidth="8.886718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.77734375" style="7" customWidth="1"/>
    <col min="6" max="6" width="11.5546875" style="7" customWidth="1"/>
    <col min="7" max="7" width="5.33203125" style="7" customWidth="1"/>
    <col min="8" max="8" width="11.5546875" style="7" customWidth="1"/>
    <col min="9" max="9" width="3.5546875" style="7" customWidth="1"/>
    <col min="10" max="10" width="46.88671875" style="7" bestFit="1" customWidth="1"/>
    <col min="11" max="12" width="11.33203125" style="7" customWidth="1"/>
    <col min="13" max="13" width="10.88671875" style="7" customWidth="1"/>
    <col min="14" max="16384" width="8.88671875" style="7"/>
  </cols>
  <sheetData>
    <row r="1" spans="1:13" ht="18" x14ac:dyDescent="0.45">
      <c r="A1" s="389" t="s">
        <v>29</v>
      </c>
      <c r="B1" s="389"/>
      <c r="C1" s="389"/>
      <c r="D1" s="389"/>
      <c r="E1" s="389"/>
      <c r="F1" s="389"/>
      <c r="G1" s="389"/>
      <c r="H1" s="389"/>
      <c r="I1" s="50"/>
      <c r="J1" s="50"/>
      <c r="K1" s="50"/>
      <c r="L1" s="50"/>
    </row>
    <row r="2" spans="1:13" ht="15.75" x14ac:dyDescent="0.45">
      <c r="A2" s="51" t="s">
        <v>162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x14ac:dyDescent="0.45">
      <c r="A3" s="44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</row>
    <row r="4" spans="1:13" ht="16.5" x14ac:dyDescent="0.45">
      <c r="A4" s="50"/>
      <c r="B4" s="50"/>
      <c r="C4" s="50"/>
      <c r="D4" s="52" t="s">
        <v>30</v>
      </c>
      <c r="E4" s="52"/>
      <c r="F4" s="52" t="s">
        <v>31</v>
      </c>
      <c r="G4" s="52" t="s">
        <v>32</v>
      </c>
      <c r="H4" s="52" t="s">
        <v>33</v>
      </c>
      <c r="I4" s="50"/>
      <c r="J4" s="65" t="s">
        <v>39</v>
      </c>
      <c r="K4" s="50"/>
      <c r="L4" s="50"/>
    </row>
    <row r="5" spans="1:13" x14ac:dyDescent="0.45">
      <c r="A5" s="53" t="s">
        <v>15</v>
      </c>
      <c r="B5" s="50"/>
      <c r="C5" s="50"/>
      <c r="D5" s="50"/>
      <c r="E5" s="50"/>
      <c r="G5" s="50"/>
      <c r="H5" s="50"/>
      <c r="I5" s="50"/>
      <c r="K5" s="50"/>
      <c r="L5" s="50"/>
    </row>
    <row r="6" spans="1:13" x14ac:dyDescent="0.45">
      <c r="A6" s="50"/>
      <c r="B6" s="50" t="s">
        <v>41</v>
      </c>
      <c r="C6" s="50"/>
      <c r="D6" s="105">
        <f>821169+358244+14452</f>
        <v>1193865</v>
      </c>
      <c r="E6" s="50"/>
      <c r="F6" s="50">
        <f>SUM(ExBA!G6:G11)+ExBA!G13-SAO!D6</f>
        <v>-25562.64609999978</v>
      </c>
      <c r="G6" s="54" t="s">
        <v>184</v>
      </c>
      <c r="H6" s="50">
        <f>D6+F6</f>
        <v>1168302.3539000002</v>
      </c>
      <c r="I6" s="55"/>
      <c r="J6" s="50" t="s">
        <v>351</v>
      </c>
      <c r="K6" s="50"/>
      <c r="L6" s="50"/>
    </row>
    <row r="7" spans="1:13" x14ac:dyDescent="0.45">
      <c r="A7" s="50"/>
      <c r="B7" s="50" t="s">
        <v>16</v>
      </c>
      <c r="C7" s="50"/>
      <c r="D7" s="50">
        <v>560393</v>
      </c>
      <c r="E7" s="50"/>
      <c r="F7" s="50">
        <f>Whol!G71-560393</f>
        <v>128386.69716106495</v>
      </c>
      <c r="G7" s="54" t="s">
        <v>200</v>
      </c>
      <c r="H7" s="7">
        <f>D7+F7</f>
        <v>688779.69716106495</v>
      </c>
      <c r="I7" s="55"/>
      <c r="J7" s="50" t="s">
        <v>352</v>
      </c>
      <c r="K7" s="50"/>
    </row>
    <row r="8" spans="1:13" x14ac:dyDescent="0.45">
      <c r="A8" s="50"/>
      <c r="B8" s="50" t="s">
        <v>17</v>
      </c>
      <c r="C8" s="50"/>
      <c r="D8" s="50"/>
      <c r="E8" s="50"/>
      <c r="F8" s="50"/>
      <c r="G8" s="54"/>
      <c r="H8" s="50"/>
      <c r="I8" s="57"/>
      <c r="J8" s="50"/>
      <c r="K8" s="50"/>
      <c r="L8" s="50"/>
    </row>
    <row r="9" spans="1:13" x14ac:dyDescent="0.45">
      <c r="A9" s="50"/>
      <c r="B9" s="50"/>
      <c r="C9" s="50" t="s">
        <v>40</v>
      </c>
      <c r="D9" s="105">
        <v>16044</v>
      </c>
      <c r="E9" s="50"/>
      <c r="F9" s="50"/>
      <c r="G9" s="54"/>
      <c r="H9" s="50">
        <f>SUM(D9:F9)</f>
        <v>16044</v>
      </c>
      <c r="I9" s="55"/>
      <c r="J9" s="50"/>
      <c r="K9" s="50"/>
      <c r="L9" s="50"/>
    </row>
    <row r="10" spans="1:13" x14ac:dyDescent="0.45">
      <c r="A10" s="50"/>
      <c r="C10" s="50" t="s">
        <v>18</v>
      </c>
      <c r="D10" s="105">
        <v>8066</v>
      </c>
      <c r="E10" s="50"/>
      <c r="F10" s="50"/>
      <c r="G10" s="54"/>
      <c r="H10" s="50">
        <f t="shared" ref="H10:H11" si="0">SUM(D10:F10)</f>
        <v>8066</v>
      </c>
      <c r="I10" s="55"/>
      <c r="K10" s="50"/>
      <c r="L10" s="50"/>
    </row>
    <row r="11" spans="1:13" x14ac:dyDescent="0.45">
      <c r="A11" s="50"/>
      <c r="C11" s="50" t="s">
        <v>58</v>
      </c>
      <c r="D11" s="333">
        <v>4988</v>
      </c>
      <c r="E11" s="70"/>
      <c r="F11" s="173"/>
      <c r="G11" s="54"/>
      <c r="H11" s="173">
        <f t="shared" si="0"/>
        <v>4988</v>
      </c>
      <c r="I11" s="56"/>
      <c r="J11" s="50"/>
      <c r="K11" s="50"/>
      <c r="L11" s="50"/>
    </row>
    <row r="12" spans="1:13" x14ac:dyDescent="0.45">
      <c r="A12" s="58" t="s">
        <v>19</v>
      </c>
      <c r="B12" s="50"/>
      <c r="C12" s="50"/>
      <c r="D12" s="105">
        <f>SUM(D6:D11)</f>
        <v>1783356</v>
      </c>
      <c r="E12" s="50"/>
      <c r="F12" s="50">
        <f>SUM(F6:F11)</f>
        <v>102824.05106106517</v>
      </c>
      <c r="G12" s="54"/>
      <c r="H12" s="50">
        <f>SUM(H6:H11)</f>
        <v>1886180.0510610652</v>
      </c>
      <c r="I12" s="57"/>
      <c r="K12" s="50"/>
      <c r="L12" s="50"/>
    </row>
    <row r="13" spans="1:13" x14ac:dyDescent="0.45">
      <c r="A13" s="50"/>
      <c r="B13" s="50"/>
      <c r="C13" s="50"/>
      <c r="D13" s="50"/>
      <c r="E13" s="50"/>
      <c r="F13" s="50"/>
      <c r="G13" s="54"/>
      <c r="H13" s="50"/>
      <c r="I13" s="57"/>
      <c r="J13" s="50"/>
      <c r="K13" s="50"/>
      <c r="L13" s="50"/>
    </row>
    <row r="14" spans="1:13" x14ac:dyDescent="0.45">
      <c r="A14" s="53" t="s">
        <v>20</v>
      </c>
      <c r="B14" s="50"/>
      <c r="C14" s="50"/>
      <c r="D14" s="50"/>
      <c r="E14" s="50"/>
      <c r="F14" s="50"/>
      <c r="G14" s="54"/>
      <c r="H14" s="50"/>
      <c r="I14" s="57"/>
      <c r="J14" s="50"/>
      <c r="K14" s="50"/>
      <c r="L14" s="50"/>
    </row>
    <row r="15" spans="1:13" x14ac:dyDescent="0.45">
      <c r="A15" s="50"/>
      <c r="B15" s="50" t="s">
        <v>34</v>
      </c>
      <c r="C15" s="50"/>
      <c r="D15" s="50"/>
      <c r="E15" s="50"/>
      <c r="F15" s="50"/>
      <c r="G15" s="54"/>
      <c r="H15" s="50"/>
      <c r="I15" s="57"/>
      <c r="J15" s="50"/>
      <c r="K15" s="50"/>
      <c r="L15" s="50"/>
    </row>
    <row r="16" spans="1:13" x14ac:dyDescent="0.45">
      <c r="A16" s="50"/>
      <c r="B16" s="50"/>
      <c r="C16" s="50" t="s">
        <v>2</v>
      </c>
      <c r="D16" s="50">
        <v>455364</v>
      </c>
      <c r="E16" s="50"/>
      <c r="F16" s="105">
        <f>-Capital!C5</f>
        <v>-3600</v>
      </c>
      <c r="G16" s="59" t="s">
        <v>201</v>
      </c>
      <c r="I16" s="55"/>
      <c r="J16" s="50" t="s">
        <v>350</v>
      </c>
      <c r="K16" s="50"/>
      <c r="L16" s="50"/>
    </row>
    <row r="17" spans="1:12" x14ac:dyDescent="0.45">
      <c r="A17" s="50"/>
      <c r="B17" s="50"/>
      <c r="C17" s="50"/>
      <c r="D17" s="50"/>
      <c r="E17" s="50"/>
      <c r="F17" s="105">
        <f>Wages!G24</f>
        <v>66460.779250000021</v>
      </c>
      <c r="G17" s="59" t="s">
        <v>202</v>
      </c>
      <c r="H17" s="50">
        <f>SUM(D16:F17)</f>
        <v>518224.77925000002</v>
      </c>
      <c r="I17" s="55"/>
      <c r="J17" s="50" t="s">
        <v>346</v>
      </c>
      <c r="K17" s="50"/>
      <c r="L17" s="50"/>
    </row>
    <row r="18" spans="1:12" x14ac:dyDescent="0.45">
      <c r="A18" s="50"/>
      <c r="B18" s="50"/>
      <c r="C18" s="50" t="s">
        <v>3</v>
      </c>
      <c r="D18" s="50">
        <v>17400</v>
      </c>
      <c r="E18" s="50"/>
      <c r="F18" s="105"/>
      <c r="G18" s="54"/>
      <c r="H18" s="50">
        <f t="shared" ref="H18:H33" si="1">D18+F18</f>
        <v>17400</v>
      </c>
      <c r="I18" s="55"/>
    </row>
    <row r="19" spans="1:12" x14ac:dyDescent="0.45">
      <c r="A19" s="50"/>
      <c r="B19" s="50"/>
      <c r="C19" s="50" t="s">
        <v>4</v>
      </c>
      <c r="D19" s="50">
        <v>203125</v>
      </c>
      <c r="E19" s="50"/>
      <c r="F19" s="105">
        <f>8860+53208</f>
        <v>62068</v>
      </c>
      <c r="G19" s="59" t="s">
        <v>203</v>
      </c>
      <c r="I19" s="55"/>
      <c r="J19" s="50" t="s">
        <v>347</v>
      </c>
      <c r="K19" s="50"/>
      <c r="L19" s="50"/>
    </row>
    <row r="20" spans="1:12" x14ac:dyDescent="0.45">
      <c r="A20" s="50"/>
      <c r="B20" s="50"/>
      <c r="C20" s="50"/>
      <c r="D20" s="50"/>
      <c r="E20" s="50"/>
      <c r="F20" s="105">
        <f>Wages!G36</f>
        <v>17122.324092675</v>
      </c>
      <c r="G20" s="59" t="str">
        <f>G17</f>
        <v>(D)</v>
      </c>
      <c r="I20" s="55"/>
      <c r="J20" s="50" t="s">
        <v>348</v>
      </c>
      <c r="K20" s="50"/>
      <c r="L20" s="50"/>
    </row>
    <row r="21" spans="1:12" x14ac:dyDescent="0.45">
      <c r="A21" s="50"/>
      <c r="B21" s="50"/>
      <c r="C21" s="50"/>
      <c r="D21" s="50"/>
      <c r="E21" s="50"/>
      <c r="F21" s="105">
        <f>Medical!C15</f>
        <v>4262.8016000000353</v>
      </c>
      <c r="G21" s="59" t="s">
        <v>206</v>
      </c>
      <c r="H21" s="50">
        <f>SUM(D19:F21)</f>
        <v>286578.12569267501</v>
      </c>
      <c r="I21" s="55"/>
      <c r="J21" s="50" t="s">
        <v>349</v>
      </c>
      <c r="K21" s="50"/>
      <c r="L21" s="50"/>
    </row>
    <row r="22" spans="1:12" x14ac:dyDescent="0.45">
      <c r="A22" s="50"/>
      <c r="B22" s="50"/>
      <c r="C22" s="50" t="s">
        <v>5</v>
      </c>
      <c r="D22" s="50"/>
      <c r="E22" s="50"/>
      <c r="F22" s="105"/>
      <c r="G22" s="59"/>
      <c r="H22" s="50">
        <f>SUM(D22:F22)</f>
        <v>0</v>
      </c>
      <c r="I22" s="60"/>
    </row>
    <row r="23" spans="1:12" x14ac:dyDescent="0.45">
      <c r="A23" s="50"/>
      <c r="B23" s="50"/>
      <c r="C23" s="50" t="s">
        <v>6</v>
      </c>
      <c r="D23" s="7">
        <v>206032</v>
      </c>
      <c r="E23" s="50"/>
      <c r="F23" s="50"/>
      <c r="G23" s="59"/>
      <c r="H23" s="50">
        <f>SUM(D23:F23)</f>
        <v>206032</v>
      </c>
      <c r="I23" s="61"/>
      <c r="K23" s="50"/>
      <c r="L23" s="50"/>
    </row>
    <row r="24" spans="1:12" x14ac:dyDescent="0.45">
      <c r="A24" s="50"/>
      <c r="B24" s="50"/>
      <c r="C24" s="50" t="s">
        <v>75</v>
      </c>
      <c r="D24" s="50">
        <v>417020</v>
      </c>
      <c r="E24" s="50"/>
      <c r="F24" s="50"/>
      <c r="G24" s="59"/>
      <c r="H24" s="50">
        <f t="shared" si="1"/>
        <v>417020</v>
      </c>
      <c r="I24" s="61"/>
      <c r="K24" s="50"/>
      <c r="L24" s="50"/>
    </row>
    <row r="25" spans="1:12" x14ac:dyDescent="0.45">
      <c r="A25" s="50"/>
      <c r="B25" s="50"/>
      <c r="C25" s="50" t="s">
        <v>7</v>
      </c>
      <c r="D25" s="105">
        <v>201513</v>
      </c>
      <c r="E25" s="50"/>
      <c r="F25" s="50">
        <f>-Capital!C6</f>
        <v>-8400</v>
      </c>
      <c r="G25" s="59" t="str">
        <f>G16</f>
        <v>(C)</v>
      </c>
      <c r="H25" s="50">
        <f t="shared" si="1"/>
        <v>193113</v>
      </c>
      <c r="I25" s="55"/>
      <c r="J25" s="50" t="s">
        <v>353</v>
      </c>
      <c r="K25" s="50"/>
      <c r="L25" s="50"/>
    </row>
    <row r="26" spans="1:12" x14ac:dyDescent="0.45">
      <c r="A26" s="50"/>
      <c r="B26" s="50"/>
      <c r="C26" s="50" t="s">
        <v>8</v>
      </c>
      <c r="D26" s="105">
        <f>10500+7125</f>
        <v>17625</v>
      </c>
      <c r="E26" s="50"/>
      <c r="F26" s="50"/>
      <c r="G26" s="59"/>
      <c r="H26" s="50">
        <f t="shared" si="1"/>
        <v>17625</v>
      </c>
      <c r="I26" s="55"/>
      <c r="J26" s="50"/>
      <c r="K26" s="50"/>
      <c r="L26" s="50"/>
    </row>
    <row r="27" spans="1:12" x14ac:dyDescent="0.45">
      <c r="A27" s="50"/>
      <c r="B27" s="50"/>
      <c r="C27" s="50" t="s">
        <v>59</v>
      </c>
      <c r="D27" s="50">
        <v>342</v>
      </c>
      <c r="E27" s="50"/>
      <c r="F27" s="50"/>
      <c r="G27" s="59"/>
      <c r="H27" s="50">
        <f t="shared" si="1"/>
        <v>342</v>
      </c>
      <c r="I27" s="55"/>
      <c r="J27" s="50"/>
      <c r="K27" s="50"/>
      <c r="L27" s="50"/>
    </row>
    <row r="28" spans="1:12" x14ac:dyDescent="0.45">
      <c r="A28" s="50"/>
      <c r="B28" s="50"/>
      <c r="C28" s="50" t="s">
        <v>10</v>
      </c>
      <c r="D28" s="50">
        <v>31286</v>
      </c>
      <c r="E28" s="50"/>
      <c r="F28" s="50"/>
      <c r="G28" s="59"/>
      <c r="H28" s="50">
        <f t="shared" si="1"/>
        <v>31286</v>
      </c>
      <c r="I28" s="57"/>
      <c r="J28" s="50"/>
      <c r="K28" s="50"/>
      <c r="L28" s="50"/>
    </row>
    <row r="29" spans="1:12" x14ac:dyDescent="0.45">
      <c r="A29" s="50"/>
      <c r="B29" s="50"/>
      <c r="C29" s="50" t="s">
        <v>35</v>
      </c>
      <c r="D29" s="50">
        <f>15613+2904</f>
        <v>18517</v>
      </c>
      <c r="E29" s="50"/>
      <c r="F29" s="50"/>
      <c r="G29" s="59"/>
      <c r="H29" s="50">
        <f t="shared" si="1"/>
        <v>18517</v>
      </c>
      <c r="I29" s="57"/>
      <c r="J29" s="50"/>
      <c r="K29" s="50"/>
      <c r="L29" s="50"/>
    </row>
    <row r="30" spans="1:12" x14ac:dyDescent="0.45">
      <c r="A30" s="50"/>
      <c r="B30" s="50"/>
      <c r="C30" s="50" t="s">
        <v>60</v>
      </c>
      <c r="D30" s="50">
        <v>346</v>
      </c>
      <c r="E30" s="50"/>
      <c r="F30" s="50"/>
      <c r="G30" s="59"/>
      <c r="H30" s="50">
        <f t="shared" si="1"/>
        <v>346</v>
      </c>
      <c r="I30" s="57"/>
      <c r="J30" s="50"/>
      <c r="K30" s="50"/>
      <c r="L30" s="50"/>
    </row>
    <row r="31" spans="1:12" x14ac:dyDescent="0.45">
      <c r="A31" s="50"/>
      <c r="B31" s="50"/>
      <c r="C31" s="50" t="s">
        <v>341</v>
      </c>
      <c r="D31" s="50">
        <v>737</v>
      </c>
      <c r="E31" s="50"/>
      <c r="F31" s="50"/>
      <c r="G31" s="59"/>
      <c r="H31" s="50">
        <f t="shared" si="1"/>
        <v>737</v>
      </c>
      <c r="I31" s="57"/>
      <c r="J31" s="50"/>
      <c r="K31" s="50"/>
      <c r="L31" s="50"/>
    </row>
    <row r="32" spans="1:12" x14ac:dyDescent="0.45">
      <c r="A32" s="50"/>
      <c r="B32" s="50"/>
      <c r="C32" s="50" t="s">
        <v>61</v>
      </c>
      <c r="D32" s="50">
        <v>1237</v>
      </c>
      <c r="E32" s="50"/>
      <c r="F32" s="50"/>
      <c r="G32" s="54"/>
      <c r="H32" s="50">
        <f t="shared" si="1"/>
        <v>1237</v>
      </c>
      <c r="I32" s="57"/>
      <c r="J32" s="50"/>
      <c r="K32" s="50"/>
      <c r="L32" s="50"/>
    </row>
    <row r="33" spans="1:12" ht="16.5" x14ac:dyDescent="0.45">
      <c r="A33" s="50"/>
      <c r="B33" s="50"/>
      <c r="C33" s="50" t="s">
        <v>9</v>
      </c>
      <c r="D33" s="351">
        <v>594198</v>
      </c>
      <c r="E33" s="71"/>
      <c r="F33" s="71">
        <v>-567492</v>
      </c>
      <c r="G33" s="59" t="s">
        <v>343</v>
      </c>
      <c r="H33" s="71">
        <f t="shared" si="1"/>
        <v>26706</v>
      </c>
      <c r="I33" s="57"/>
      <c r="J33" s="50" t="s">
        <v>354</v>
      </c>
      <c r="K33" s="50"/>
      <c r="L33" s="50"/>
    </row>
    <row r="34" spans="1:12" x14ac:dyDescent="0.45">
      <c r="A34" s="50"/>
      <c r="B34" s="50" t="s">
        <v>36</v>
      </c>
      <c r="C34" s="50"/>
      <c r="D34" s="105">
        <f>SUM(D16:D33)</f>
        <v>2164742</v>
      </c>
      <c r="E34" s="50"/>
      <c r="F34" s="105">
        <f>SUM(F16:F33)</f>
        <v>-429578.09505732497</v>
      </c>
      <c r="G34" s="54"/>
      <c r="H34" s="50">
        <f>SUM(H17:H33)</f>
        <v>1735163.904942675</v>
      </c>
      <c r="I34" s="57"/>
      <c r="J34" s="50"/>
      <c r="K34" s="50"/>
      <c r="L34" s="50"/>
    </row>
    <row r="35" spans="1:12" ht="4.3499999999999996" customHeight="1" x14ac:dyDescent="0.45">
      <c r="A35" s="50"/>
      <c r="B35" s="50"/>
      <c r="C35" s="50"/>
      <c r="D35" s="50"/>
      <c r="E35" s="50"/>
      <c r="F35" s="50"/>
      <c r="G35" s="54"/>
      <c r="H35" s="50"/>
      <c r="I35" s="57"/>
      <c r="J35" s="50"/>
      <c r="K35" s="50"/>
      <c r="L35" s="50"/>
    </row>
    <row r="36" spans="1:12" x14ac:dyDescent="0.45">
      <c r="A36" s="50"/>
      <c r="B36" s="50" t="s">
        <v>21</v>
      </c>
      <c r="C36" s="50"/>
      <c r="D36" s="50">
        <v>453328</v>
      </c>
      <c r="E36" s="50"/>
      <c r="F36" s="337">
        <f>563848-453328</f>
        <v>110520</v>
      </c>
      <c r="G36" s="59" t="s">
        <v>335</v>
      </c>
      <c r="I36" s="57"/>
      <c r="J36" s="50" t="s">
        <v>356</v>
      </c>
      <c r="K36" s="50"/>
    </row>
    <row r="37" spans="1:12" x14ac:dyDescent="0.45">
      <c r="A37" s="50"/>
      <c r="B37" s="50"/>
      <c r="C37" s="50"/>
      <c r="D37" s="50"/>
      <c r="E37" s="50"/>
      <c r="F37" s="50">
        <f>Depreciation!F52</f>
        <v>-43430.969264069339</v>
      </c>
      <c r="G37" s="54" t="s">
        <v>335</v>
      </c>
      <c r="H37" s="50">
        <f>SUM(D36:F37)</f>
        <v>520417.03073593066</v>
      </c>
      <c r="I37" s="57"/>
      <c r="J37" s="50" t="s">
        <v>357</v>
      </c>
      <c r="K37" s="50"/>
    </row>
    <row r="38" spans="1:12" ht="16.5" x14ac:dyDescent="0.45">
      <c r="A38" s="50"/>
      <c r="B38" s="50" t="s">
        <v>1</v>
      </c>
      <c r="C38" s="50"/>
      <c r="D38" s="71">
        <v>38858</v>
      </c>
      <c r="E38" s="71"/>
      <c r="F38" s="71">
        <f>Wages!G30</f>
        <v>1061.5956126250021</v>
      </c>
      <c r="G38" s="72" t="str">
        <f>G17</f>
        <v>(D)</v>
      </c>
      <c r="H38" s="71">
        <f>D38+F38</f>
        <v>39919.595612625002</v>
      </c>
      <c r="I38" s="57"/>
      <c r="J38" s="50" t="s">
        <v>358</v>
      </c>
      <c r="K38" s="50"/>
    </row>
    <row r="39" spans="1:12" ht="16.5" x14ac:dyDescent="0.45">
      <c r="A39" s="58" t="s">
        <v>0</v>
      </c>
      <c r="B39" s="50"/>
      <c r="C39" s="50"/>
      <c r="D39" s="351">
        <f>SUM(D34:D38)</f>
        <v>2656928</v>
      </c>
      <c r="E39" s="71"/>
      <c r="F39" s="351">
        <f>SUM(F34:F38)</f>
        <v>-361427.4687087693</v>
      </c>
      <c r="G39" s="72"/>
      <c r="H39" s="71">
        <f>SUM(H34:H38)</f>
        <v>2295500.531291231</v>
      </c>
      <c r="I39" s="57"/>
      <c r="J39" s="50"/>
      <c r="K39" s="50"/>
      <c r="L39" s="50"/>
    </row>
    <row r="40" spans="1:12" ht="4.3499999999999996" customHeight="1" x14ac:dyDescent="0.45">
      <c r="A40" s="58"/>
      <c r="B40" s="50"/>
      <c r="C40" s="50"/>
      <c r="D40" s="73"/>
      <c r="E40" s="73"/>
      <c r="F40" s="50"/>
      <c r="G40" s="54"/>
      <c r="H40" s="50"/>
      <c r="I40" s="50"/>
      <c r="J40" s="50"/>
      <c r="K40" s="50"/>
      <c r="L40" s="50"/>
    </row>
    <row r="41" spans="1:12" x14ac:dyDescent="0.45">
      <c r="A41" s="58" t="s">
        <v>37</v>
      </c>
      <c r="B41" s="50"/>
      <c r="C41" s="50"/>
      <c r="D41" s="50">
        <f>D12-D39</f>
        <v>-873572</v>
      </c>
      <c r="E41" s="50"/>
      <c r="F41" s="50">
        <f>F12-F39</f>
        <v>464251.51976983447</v>
      </c>
      <c r="G41" s="54"/>
      <c r="H41" s="50">
        <f>H12-H39</f>
        <v>-409320.48023016588</v>
      </c>
      <c r="I41" s="50"/>
      <c r="J41" s="50"/>
      <c r="L41" s="50"/>
    </row>
    <row r="42" spans="1:12" x14ac:dyDescent="0.45">
      <c r="A42" s="50"/>
      <c r="B42" s="50"/>
      <c r="C42" s="50"/>
      <c r="D42" s="50"/>
      <c r="E42" s="50"/>
      <c r="F42" s="50"/>
      <c r="G42" s="54"/>
      <c r="H42" s="50"/>
      <c r="I42" s="50"/>
      <c r="J42" s="50"/>
      <c r="K42" s="50"/>
      <c r="L42" s="50"/>
    </row>
    <row r="43" spans="1:12" ht="18" x14ac:dyDescent="0.45">
      <c r="A43" s="389" t="s">
        <v>22</v>
      </c>
      <c r="B43" s="389"/>
      <c r="C43" s="389"/>
      <c r="D43" s="389"/>
      <c r="E43" s="389"/>
      <c r="F43" s="389"/>
      <c r="G43" s="389"/>
      <c r="H43" s="389"/>
      <c r="I43" s="50"/>
      <c r="J43" s="62"/>
      <c r="K43" s="63"/>
      <c r="L43" s="50"/>
    </row>
    <row r="44" spans="1:12" x14ac:dyDescent="0.45">
      <c r="A44" s="58" t="s">
        <v>38</v>
      </c>
      <c r="B44" s="50"/>
      <c r="C44" s="50"/>
      <c r="D44" s="64"/>
      <c r="E44" s="64"/>
      <c r="F44" s="50"/>
      <c r="G44" s="59"/>
      <c r="H44" s="7">
        <f>H39</f>
        <v>2295500.531291231</v>
      </c>
      <c r="I44" s="50"/>
      <c r="K44" s="50"/>
      <c r="L44" s="50"/>
    </row>
    <row r="45" spans="1:12" x14ac:dyDescent="0.45">
      <c r="A45" s="199" t="s">
        <v>227</v>
      </c>
      <c r="B45" s="199"/>
      <c r="C45" s="199" t="s">
        <v>228</v>
      </c>
      <c r="D45" s="64"/>
      <c r="E45" s="64"/>
      <c r="F45" s="50"/>
      <c r="G45" s="59"/>
      <c r="H45" s="7">
        <v>0</v>
      </c>
      <c r="I45" s="50"/>
      <c r="K45" s="50"/>
      <c r="L45" s="50"/>
    </row>
    <row r="46" spans="1:12" x14ac:dyDescent="0.45">
      <c r="A46" s="199"/>
      <c r="B46" s="199"/>
      <c r="C46" s="199" t="s">
        <v>229</v>
      </c>
      <c r="D46" s="64"/>
      <c r="E46" s="64"/>
      <c r="F46" s="50"/>
      <c r="G46" s="59"/>
      <c r="H46" s="37">
        <v>0</v>
      </c>
      <c r="I46" s="50"/>
      <c r="K46" s="50"/>
      <c r="L46" s="50"/>
    </row>
    <row r="47" spans="1:12" x14ac:dyDescent="0.45">
      <c r="A47" s="58" t="s">
        <v>64</v>
      </c>
      <c r="B47" s="50"/>
      <c r="C47" s="50"/>
      <c r="D47" s="64"/>
      <c r="E47" s="64"/>
      <c r="F47" s="50"/>
      <c r="G47" s="59"/>
      <c r="H47" s="7">
        <f>H44+H45+H46</f>
        <v>2295500.531291231</v>
      </c>
      <c r="I47" s="50"/>
      <c r="K47" s="50"/>
      <c r="L47" s="50"/>
    </row>
    <row r="48" spans="1:12" x14ac:dyDescent="0.45">
      <c r="A48" s="50" t="s">
        <v>23</v>
      </c>
      <c r="B48" s="50"/>
      <c r="C48" s="50" t="s">
        <v>58</v>
      </c>
      <c r="D48" s="64"/>
      <c r="E48" s="64"/>
      <c r="F48" s="50"/>
      <c r="G48" s="59"/>
      <c r="H48" s="337">
        <f>SUM(H9:H11)</f>
        <v>29098</v>
      </c>
      <c r="I48" s="50"/>
      <c r="K48" s="50"/>
      <c r="L48" s="50"/>
    </row>
    <row r="49" spans="1:12" x14ac:dyDescent="0.45">
      <c r="A49" s="50"/>
      <c r="B49" s="50"/>
      <c r="C49" s="50" t="s">
        <v>12</v>
      </c>
      <c r="D49" s="64"/>
      <c r="E49" s="64"/>
      <c r="F49" s="50"/>
      <c r="G49" s="59"/>
      <c r="H49" s="336">
        <v>81144</v>
      </c>
      <c r="I49" s="50"/>
      <c r="K49" s="50"/>
      <c r="L49" s="50"/>
    </row>
    <row r="50" spans="1:12" x14ac:dyDescent="0.45">
      <c r="A50" s="50"/>
      <c r="B50" s="50"/>
      <c r="C50" s="7" t="s">
        <v>333</v>
      </c>
      <c r="D50" s="64"/>
      <c r="E50" s="64"/>
      <c r="F50" s="50"/>
      <c r="G50" s="59"/>
      <c r="H50" s="329">
        <f>H7</f>
        <v>688779.69716106495</v>
      </c>
      <c r="I50" s="50"/>
      <c r="J50" s="28"/>
      <c r="K50" s="50"/>
      <c r="L50" s="50"/>
    </row>
    <row r="51" spans="1:12" x14ac:dyDescent="0.45">
      <c r="A51" s="58" t="s">
        <v>62</v>
      </c>
      <c r="B51" s="50"/>
      <c r="C51" s="50"/>
      <c r="D51" s="64"/>
      <c r="E51" s="64"/>
      <c r="F51" s="50"/>
      <c r="G51" s="59"/>
      <c r="H51" s="7">
        <f>H47-H48-H49-H50</f>
        <v>1496478.8341301661</v>
      </c>
      <c r="I51" s="50"/>
      <c r="K51" s="50"/>
      <c r="L51" s="50"/>
    </row>
    <row r="52" spans="1:12" ht="16.5" x14ac:dyDescent="0.75">
      <c r="A52" s="50" t="s">
        <v>23</v>
      </c>
      <c r="B52" s="50"/>
      <c r="C52" s="50" t="s">
        <v>63</v>
      </c>
      <c r="D52" s="64"/>
      <c r="E52" s="64"/>
      <c r="F52" s="50"/>
      <c r="G52" s="59"/>
      <c r="H52" s="24">
        <f>H6</f>
        <v>1168302.3539000002</v>
      </c>
      <c r="I52" s="50"/>
      <c r="J52" s="28"/>
      <c r="K52" s="50"/>
      <c r="L52" s="50"/>
    </row>
    <row r="53" spans="1:12" x14ac:dyDescent="0.45">
      <c r="A53" s="58" t="s">
        <v>65</v>
      </c>
      <c r="B53" s="50"/>
      <c r="C53" s="50"/>
      <c r="D53" s="64"/>
      <c r="E53" s="64"/>
      <c r="F53" s="50"/>
      <c r="G53" s="59"/>
      <c r="H53" s="50">
        <f>H51-H52</f>
        <v>328176.48023016588</v>
      </c>
      <c r="I53" s="50"/>
      <c r="J53" s="50"/>
      <c r="K53" s="50"/>
      <c r="L53" s="50"/>
    </row>
    <row r="54" spans="1:12" x14ac:dyDescent="0.45">
      <c r="A54" s="58" t="s">
        <v>66</v>
      </c>
      <c r="B54" s="50"/>
      <c r="C54" s="50"/>
      <c r="D54" s="64"/>
      <c r="E54" s="64"/>
      <c r="F54" s="50"/>
      <c r="G54" s="59"/>
      <c r="H54" s="66">
        <f>IF(H53&lt;0,0,H53/H52)</f>
        <v>0.28090029874086503</v>
      </c>
      <c r="I54" s="50"/>
      <c r="J54" s="50"/>
      <c r="K54" s="50"/>
      <c r="L54" s="50"/>
    </row>
    <row r="57" spans="1:12" x14ac:dyDescent="0.45">
      <c r="A57" s="58"/>
      <c r="B57" s="50"/>
      <c r="C57" s="50"/>
      <c r="D57" s="64"/>
      <c r="E57" s="64"/>
      <c r="F57" s="50"/>
      <c r="G57" s="59"/>
      <c r="H57" s="50"/>
    </row>
    <row r="58" spans="1:12" x14ac:dyDescent="0.45">
      <c r="A58" s="50"/>
      <c r="B58" s="50"/>
      <c r="C58" s="50"/>
      <c r="D58" s="64"/>
      <c r="E58" s="64"/>
      <c r="F58" s="50"/>
      <c r="G58" s="59"/>
      <c r="H58" s="50"/>
    </row>
    <row r="59" spans="1:12" x14ac:dyDescent="0.45">
      <c r="A59" s="58"/>
      <c r="B59" s="50"/>
      <c r="C59" s="50"/>
      <c r="D59" s="64"/>
      <c r="E59" s="64"/>
      <c r="F59" s="50"/>
      <c r="G59" s="59"/>
      <c r="H59" s="50"/>
    </row>
  </sheetData>
  <mergeCells count="2">
    <mergeCell ref="A43:H43"/>
    <mergeCell ref="A1:H1"/>
  </mergeCells>
  <printOptions horizontalCentered="1"/>
  <pageMargins left="0.45" right="0.25" top="0.5" bottom="0.5" header="0.3" footer="0.3"/>
  <pageSetup scale="71" orientation="landscape" horizontalDpi="4294967293" r:id="rId1"/>
  <rowBreaks count="2" manualBreakCount="2">
    <brk id="41" max="16383" man="1"/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T99"/>
  <sheetViews>
    <sheetView showGridLines="0" workbookViewId="0">
      <selection activeCell="J1" sqref="J1:J1048576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0.33203125" style="1" customWidth="1"/>
    <col min="7" max="7" width="10.77734375" style="1" bestFit="1" customWidth="1"/>
    <col min="8" max="9" width="9.77734375" style="1" customWidth="1"/>
    <col min="10" max="10" width="2.609375" style="1" customWidth="1"/>
    <col min="11" max="11" width="10.109375" style="1" bestFit="1" customWidth="1"/>
    <col min="12" max="12" width="9.88671875" style="1" bestFit="1" customWidth="1"/>
    <col min="13" max="13" width="10.5546875" style="17" bestFit="1" customWidth="1"/>
    <col min="14" max="14" width="9" style="1" bestFit="1" customWidth="1"/>
    <col min="15" max="15" width="9.21875" style="1" bestFit="1" customWidth="1"/>
    <col min="16" max="16" width="9.6640625" style="1" customWidth="1"/>
    <col min="17" max="17" width="11.44140625" style="1" customWidth="1"/>
    <col min="18" max="18" width="9" style="1" bestFit="1" customWidth="1"/>
    <col min="19" max="16384" width="8.88671875" style="1"/>
  </cols>
  <sheetData>
    <row r="1" spans="1:18" ht="18" x14ac:dyDescent="0.55000000000000004">
      <c r="A1" s="154" t="s">
        <v>186</v>
      </c>
      <c r="B1" s="23"/>
      <c r="C1" s="23"/>
      <c r="D1" s="74"/>
      <c r="E1" s="23"/>
      <c r="F1" s="23"/>
      <c r="G1" s="23"/>
      <c r="H1" s="23"/>
      <c r="I1" s="23"/>
      <c r="J1" s="23"/>
    </row>
    <row r="2" spans="1:18" ht="18" x14ac:dyDescent="0.45">
      <c r="A2" s="411" t="s">
        <v>162</v>
      </c>
      <c r="B2" s="411"/>
      <c r="C2" s="411"/>
      <c r="D2" s="411"/>
      <c r="E2" s="411"/>
      <c r="F2" s="411"/>
      <c r="G2" s="411"/>
      <c r="H2" s="411"/>
      <c r="I2" s="411"/>
      <c r="J2" s="30"/>
    </row>
    <row r="3" spans="1:18" x14ac:dyDescent="0.45">
      <c r="N3" s="17"/>
      <c r="R3" s="17"/>
    </row>
    <row r="4" spans="1:18" ht="16.5" x14ac:dyDescent="0.75">
      <c r="C4" s="155" t="s">
        <v>164</v>
      </c>
      <c r="N4" s="101"/>
      <c r="R4" s="149"/>
    </row>
    <row r="5" spans="1:18" x14ac:dyDescent="0.45">
      <c r="C5" s="156"/>
      <c r="D5" s="21"/>
      <c r="E5" s="157" t="s">
        <v>165</v>
      </c>
      <c r="F5" s="157" t="s">
        <v>166</v>
      </c>
      <c r="G5" s="157" t="s">
        <v>167</v>
      </c>
      <c r="H5" s="19"/>
      <c r="K5" s="158"/>
      <c r="L5" s="17"/>
      <c r="M5" s="158"/>
      <c r="N5" s="17"/>
      <c r="R5" s="2"/>
    </row>
    <row r="6" spans="1:18" x14ac:dyDescent="0.45">
      <c r="C6" s="1" t="s">
        <v>168</v>
      </c>
      <c r="E6" s="17">
        <f>C24</f>
        <v>24905</v>
      </c>
      <c r="F6" s="159">
        <f>D24</f>
        <v>99586091</v>
      </c>
      <c r="G6" s="27">
        <f>F33</f>
        <v>1120706.2453400001</v>
      </c>
      <c r="H6" s="27"/>
      <c r="K6" s="174">
        <f>SAO!H54</f>
        <v>0.28090029874086503</v>
      </c>
      <c r="L6" s="2"/>
    </row>
    <row r="7" spans="1:18" x14ac:dyDescent="0.45">
      <c r="C7" s="1" t="s">
        <v>169</v>
      </c>
      <c r="E7" s="17">
        <f>C41</f>
        <v>185</v>
      </c>
      <c r="F7" s="159">
        <f>D41</f>
        <v>9883740</v>
      </c>
      <c r="G7" s="7">
        <f>F49</f>
        <v>84532.887600000002</v>
      </c>
      <c r="H7" s="27"/>
      <c r="K7" s="158"/>
      <c r="L7" s="2"/>
    </row>
    <row r="8" spans="1:18" x14ac:dyDescent="0.45">
      <c r="C8" s="1" t="s">
        <v>170</v>
      </c>
      <c r="E8" s="17">
        <f>C57</f>
        <v>60</v>
      </c>
      <c r="F8" s="159">
        <f>D57</f>
        <v>10427400</v>
      </c>
      <c r="G8" s="17">
        <f>F64</f>
        <v>71236.841</v>
      </c>
      <c r="H8" s="17"/>
      <c r="K8" s="158"/>
      <c r="L8" s="17"/>
    </row>
    <row r="9" spans="1:18" x14ac:dyDescent="0.45">
      <c r="B9" s="1" t="s">
        <v>88</v>
      </c>
      <c r="C9" s="1" t="s">
        <v>183</v>
      </c>
      <c r="E9" s="17">
        <v>296</v>
      </c>
      <c r="F9" s="159">
        <v>29027128</v>
      </c>
      <c r="G9" s="17">
        <f>F81</f>
        <v>237370.1127</v>
      </c>
      <c r="H9" s="17"/>
      <c r="K9" s="158"/>
      <c r="L9" s="17"/>
    </row>
    <row r="10" spans="1:18" x14ac:dyDescent="0.45">
      <c r="C10" s="1" t="s">
        <v>185</v>
      </c>
      <c r="E10" s="17">
        <v>0</v>
      </c>
      <c r="F10" s="159">
        <v>0</v>
      </c>
      <c r="G10" s="17">
        <v>0</v>
      </c>
      <c r="H10" s="17"/>
      <c r="K10" s="158"/>
      <c r="L10" s="17"/>
    </row>
    <row r="11" spans="1:18" x14ac:dyDescent="0.45">
      <c r="B11" s="1" t="s">
        <v>88</v>
      </c>
      <c r="C11" s="1" t="s">
        <v>171</v>
      </c>
      <c r="E11" s="21">
        <v>17</v>
      </c>
      <c r="F11" s="21">
        <v>940810</v>
      </c>
      <c r="G11" s="21">
        <f>F97</f>
        <v>15034.27</v>
      </c>
      <c r="H11" s="17"/>
      <c r="K11" s="158"/>
      <c r="L11" s="17"/>
    </row>
    <row r="12" spans="1:18" x14ac:dyDescent="0.45">
      <c r="C12" s="1" t="s">
        <v>172</v>
      </c>
      <c r="E12" s="2">
        <f>24846+177+69+296+17+6+145</f>
        <v>25556</v>
      </c>
      <c r="F12" s="22">
        <f>56839740+95733310+11625200+29027128+940810+13675791+138264070</f>
        <v>346106049</v>
      </c>
      <c r="G12" s="100">
        <f>SUM(G6:G11)</f>
        <v>1528880.3566400001</v>
      </c>
      <c r="H12" s="100"/>
      <c r="K12" s="158"/>
      <c r="L12" s="2"/>
      <c r="N12" s="160"/>
    </row>
    <row r="13" spans="1:18" x14ac:dyDescent="0.45">
      <c r="C13" s="1" t="s">
        <v>173</v>
      </c>
      <c r="E13" s="2"/>
      <c r="F13" s="22"/>
      <c r="G13" s="5">
        <f>ExBA!G13</f>
        <v>-25751.68</v>
      </c>
      <c r="H13" s="100"/>
      <c r="K13" s="158"/>
      <c r="L13" s="2"/>
      <c r="N13" s="160"/>
    </row>
    <row r="14" spans="1:18" x14ac:dyDescent="0.45">
      <c r="C14" s="1" t="s">
        <v>174</v>
      </c>
      <c r="E14" s="2"/>
      <c r="F14" s="22"/>
      <c r="G14" s="6">
        <f>G12+G13</f>
        <v>1503128.6766400002</v>
      </c>
      <c r="H14" s="100"/>
      <c r="K14" s="158"/>
      <c r="L14" s="2"/>
      <c r="N14" s="160"/>
    </row>
    <row r="15" spans="1:18" x14ac:dyDescent="0.45">
      <c r="C15" s="1" t="s">
        <v>187</v>
      </c>
      <c r="E15" s="2"/>
      <c r="F15" s="22"/>
      <c r="G15" s="5">
        <f>-SAO!H51</f>
        <v>-1496478.8341301661</v>
      </c>
      <c r="H15" s="100"/>
      <c r="K15" s="158"/>
      <c r="L15" s="160"/>
    </row>
    <row r="16" spans="1:18" x14ac:dyDescent="0.45">
      <c r="C16" s="1" t="s">
        <v>336</v>
      </c>
      <c r="D16" s="161"/>
      <c r="F16" s="18"/>
      <c r="G16" s="101">
        <f>G14+G15</f>
        <v>6649.8425098340958</v>
      </c>
      <c r="H16" s="162">
        <f>G16/G15</f>
        <v>-4.4436595815264849E-3</v>
      </c>
      <c r="I16" s="101"/>
      <c r="J16" s="101"/>
      <c r="K16" s="158"/>
      <c r="P16" s="2"/>
    </row>
    <row r="17" spans="1:20" ht="15.75" x14ac:dyDescent="0.5">
      <c r="A17" s="163" t="s">
        <v>177</v>
      </c>
      <c r="O17"/>
      <c r="P17"/>
      <c r="Q17"/>
      <c r="R17"/>
      <c r="S17"/>
      <c r="T17"/>
    </row>
    <row r="18" spans="1:20" ht="15.4" x14ac:dyDescent="0.45">
      <c r="E18" s="19" t="s">
        <v>50</v>
      </c>
      <c r="F18" s="19" t="s">
        <v>125</v>
      </c>
      <c r="G18" s="19" t="s">
        <v>125</v>
      </c>
      <c r="H18" s="19" t="s">
        <v>51</v>
      </c>
      <c r="L18"/>
      <c r="M18"/>
      <c r="N18"/>
      <c r="O18"/>
      <c r="P18"/>
      <c r="Q18"/>
    </row>
    <row r="19" spans="1:20" ht="15.4" x14ac:dyDescent="0.45">
      <c r="B19" s="157" t="s">
        <v>52</v>
      </c>
      <c r="C19" s="164" t="s">
        <v>53</v>
      </c>
      <c r="D19" s="75" t="s">
        <v>54</v>
      </c>
      <c r="E19" s="164">
        <f>B20</f>
        <v>2000</v>
      </c>
      <c r="F19" s="164">
        <f>B21</f>
        <v>4000</v>
      </c>
      <c r="G19" s="164">
        <f>B22</f>
        <v>94000</v>
      </c>
      <c r="H19" s="164">
        <f>B23</f>
        <v>100000</v>
      </c>
      <c r="I19" s="157" t="s">
        <v>55</v>
      </c>
      <c r="J19" s="19"/>
      <c r="L19"/>
      <c r="M19"/>
      <c r="N19"/>
      <c r="O19"/>
      <c r="P19"/>
      <c r="Q19"/>
    </row>
    <row r="20" spans="1:20" ht="15.4" x14ac:dyDescent="0.45">
      <c r="A20" s="20" t="s">
        <v>50</v>
      </c>
      <c r="B20" s="102">
        <v>2000</v>
      </c>
      <c r="C20" s="165">
        <f>ExBA!C20</f>
        <v>8758</v>
      </c>
      <c r="D20" s="165">
        <f>ExBA!D20</f>
        <v>8079564</v>
      </c>
      <c r="E20" s="161">
        <f>D20</f>
        <v>8079564</v>
      </c>
      <c r="F20" s="161">
        <v>0</v>
      </c>
      <c r="G20" s="161">
        <v>0</v>
      </c>
      <c r="H20" s="161">
        <v>0</v>
      </c>
      <c r="I20" s="161">
        <f>SUM(E20:H20)</f>
        <v>8079564</v>
      </c>
      <c r="J20" s="161"/>
      <c r="L20"/>
      <c r="M20"/>
      <c r="N20"/>
      <c r="O20"/>
      <c r="P20"/>
      <c r="Q20"/>
    </row>
    <row r="21" spans="1:20" ht="15.4" x14ac:dyDescent="0.45">
      <c r="A21" s="20" t="s">
        <v>125</v>
      </c>
      <c r="B21" s="102">
        <v>4000</v>
      </c>
      <c r="C21" s="165">
        <f>ExBA!C21</f>
        <v>12485</v>
      </c>
      <c r="D21" s="165">
        <f>ExBA!D21</f>
        <v>44488898</v>
      </c>
      <c r="E21" s="161">
        <f>C21*E$19</f>
        <v>24970000</v>
      </c>
      <c r="F21" s="161">
        <f>D21-E21</f>
        <v>19518898</v>
      </c>
      <c r="G21" s="161">
        <v>0</v>
      </c>
      <c r="H21" s="161">
        <v>0</v>
      </c>
      <c r="I21" s="161">
        <f>SUM(E21:H21)</f>
        <v>44488898</v>
      </c>
      <c r="J21" s="161"/>
      <c r="L21"/>
      <c r="M21"/>
      <c r="N21"/>
      <c r="O21"/>
      <c r="P21"/>
      <c r="Q21"/>
    </row>
    <row r="22" spans="1:20" ht="15.4" x14ac:dyDescent="0.45">
      <c r="A22" s="20" t="s">
        <v>125</v>
      </c>
      <c r="B22" s="102">
        <v>94000</v>
      </c>
      <c r="C22" s="165">
        <f>ExBA!C22</f>
        <v>3630</v>
      </c>
      <c r="D22" s="165">
        <f>ExBA!D22</f>
        <v>41441149</v>
      </c>
      <c r="E22" s="161">
        <f>C22*E$19</f>
        <v>7260000</v>
      </c>
      <c r="F22" s="161">
        <f>$C22*F$19</f>
        <v>14520000</v>
      </c>
      <c r="G22" s="161">
        <f>D22-(F22+E22)</f>
        <v>19661149</v>
      </c>
      <c r="H22" s="161">
        <v>0</v>
      </c>
      <c r="I22" s="161">
        <f>SUM(E22:H22)</f>
        <v>41441149</v>
      </c>
      <c r="J22" s="161"/>
      <c r="L22"/>
      <c r="M22"/>
      <c r="N22"/>
      <c r="O22"/>
      <c r="P22"/>
      <c r="Q22"/>
    </row>
    <row r="23" spans="1:20" ht="15.4" x14ac:dyDescent="0.45">
      <c r="A23" s="20" t="s">
        <v>51</v>
      </c>
      <c r="B23" s="166">
        <v>100000</v>
      </c>
      <c r="C23" s="165">
        <f>ExBA!C23</f>
        <v>32</v>
      </c>
      <c r="D23" s="165">
        <f>ExBA!D23</f>
        <v>5576480</v>
      </c>
      <c r="E23" s="168">
        <f>C23*E$19</f>
        <v>64000</v>
      </c>
      <c r="F23" s="168">
        <f>$C23*F$19</f>
        <v>128000</v>
      </c>
      <c r="G23" s="168">
        <f>$C23*G$19</f>
        <v>3008000</v>
      </c>
      <c r="H23" s="168">
        <f>D23-E23-F23-G23</f>
        <v>2376480</v>
      </c>
      <c r="I23" s="168">
        <f>SUM(E23:H23)</f>
        <v>5576480</v>
      </c>
      <c r="J23" s="153"/>
      <c r="L23"/>
      <c r="M23"/>
      <c r="N23"/>
      <c r="O23"/>
      <c r="P23"/>
      <c r="Q23"/>
    </row>
    <row r="24" spans="1:20" ht="15.4" x14ac:dyDescent="0.45">
      <c r="A24" s="20"/>
      <c r="B24" s="102" t="s">
        <v>55</v>
      </c>
      <c r="C24" s="22">
        <f t="shared" ref="C24:I24" si="0">SUM(C20:C23)</f>
        <v>24905</v>
      </c>
      <c r="D24" s="22">
        <f t="shared" si="0"/>
        <v>99586091</v>
      </c>
      <c r="E24" s="22">
        <f t="shared" si="0"/>
        <v>40373564</v>
      </c>
      <c r="F24" s="22">
        <f t="shared" si="0"/>
        <v>34166898</v>
      </c>
      <c r="G24" s="22">
        <f t="shared" si="0"/>
        <v>22669149</v>
      </c>
      <c r="H24" s="22">
        <f t="shared" si="0"/>
        <v>2376480</v>
      </c>
      <c r="I24" s="22">
        <f t="shared" si="0"/>
        <v>99586091</v>
      </c>
      <c r="J24" s="22"/>
      <c r="K24" s="17"/>
      <c r="L24"/>
      <c r="M24"/>
      <c r="N24"/>
      <c r="O24"/>
      <c r="P24"/>
      <c r="Q24"/>
    </row>
    <row r="25" spans="1:20" ht="15.4" x14ac:dyDescent="0.45">
      <c r="A25" s="20"/>
      <c r="B25" s="102"/>
      <c r="E25" s="102"/>
      <c r="F25" s="102"/>
      <c r="G25" s="102"/>
      <c r="H25" s="102"/>
      <c r="I25" s="102"/>
      <c r="J25" s="102"/>
      <c r="O25"/>
      <c r="P25"/>
      <c r="Q25"/>
      <c r="R25"/>
      <c r="S25"/>
      <c r="T25"/>
    </row>
    <row r="26" spans="1:20" ht="15.4" x14ac:dyDescent="0.45">
      <c r="A26" s="103" t="s">
        <v>178</v>
      </c>
      <c r="B26" s="103"/>
      <c r="E26" s="102"/>
      <c r="F26" s="102"/>
      <c r="G26" s="102"/>
      <c r="H26" s="102"/>
      <c r="I26" s="102"/>
      <c r="J26" s="102"/>
      <c r="O26"/>
      <c r="P26"/>
      <c r="Q26"/>
      <c r="R26"/>
      <c r="S26"/>
      <c r="T26"/>
    </row>
    <row r="27" spans="1:20" ht="15.4" x14ac:dyDescent="0.45">
      <c r="A27" s="20"/>
      <c r="B27" s="157"/>
      <c r="C27" s="164" t="s">
        <v>53</v>
      </c>
      <c r="D27" s="75" t="s">
        <v>54</v>
      </c>
      <c r="E27" s="164" t="s">
        <v>56</v>
      </c>
      <c r="F27" s="164" t="s">
        <v>57</v>
      </c>
      <c r="G27" s="102"/>
      <c r="H27" s="102"/>
      <c r="I27" s="102"/>
      <c r="J27" s="102"/>
      <c r="O27"/>
      <c r="P27"/>
      <c r="Q27"/>
      <c r="R27"/>
      <c r="S27"/>
      <c r="T27"/>
    </row>
    <row r="28" spans="1:20" ht="15.4" x14ac:dyDescent="0.45">
      <c r="A28" s="20" t="s">
        <v>50</v>
      </c>
      <c r="B28" s="102">
        <f>B20</f>
        <v>2000</v>
      </c>
      <c r="C28" s="17">
        <f>C24</f>
        <v>24905</v>
      </c>
      <c r="D28" s="161">
        <f>E24</f>
        <v>40373564</v>
      </c>
      <c r="E28" s="169">
        <f>Rates!L11</f>
        <v>22.42</v>
      </c>
      <c r="F28" s="27">
        <f>E28*C28</f>
        <v>558370.10000000009</v>
      </c>
      <c r="G28" s="102"/>
      <c r="O28"/>
      <c r="P28"/>
      <c r="Q28"/>
      <c r="R28"/>
      <c r="S28"/>
      <c r="T28"/>
    </row>
    <row r="29" spans="1:20" ht="15.4" x14ac:dyDescent="0.45">
      <c r="A29" s="20" t="s">
        <v>125</v>
      </c>
      <c r="B29" s="102">
        <f>B21</f>
        <v>4000</v>
      </c>
      <c r="D29" s="161">
        <f>F24</f>
        <v>34166898</v>
      </c>
      <c r="E29" s="169">
        <f>Rates!L12</f>
        <v>10.18</v>
      </c>
      <c r="F29" s="17">
        <f>E29*(D29/1000)</f>
        <v>347819.02163999999</v>
      </c>
      <c r="G29" s="102"/>
      <c r="O29"/>
      <c r="P29"/>
      <c r="Q29"/>
      <c r="R29"/>
      <c r="S29"/>
      <c r="T29"/>
    </row>
    <row r="30" spans="1:20" ht="15.4" x14ac:dyDescent="0.45">
      <c r="A30" s="20" t="s">
        <v>125</v>
      </c>
      <c r="B30" s="102">
        <f>B22</f>
        <v>94000</v>
      </c>
      <c r="D30" s="161">
        <f>G24</f>
        <v>22669149</v>
      </c>
      <c r="E30" s="169">
        <f>Rates!L13</f>
        <v>8.9</v>
      </c>
      <c r="F30" s="17">
        <f>E30*(D30/1000)</f>
        <v>201755.42610000001</v>
      </c>
      <c r="G30" s="102"/>
      <c r="O30"/>
      <c r="P30"/>
      <c r="Q30"/>
      <c r="R30"/>
      <c r="S30"/>
      <c r="T30"/>
    </row>
    <row r="31" spans="1:20" ht="15.4" hidden="1" x14ac:dyDescent="0.45">
      <c r="A31" s="20" t="s">
        <v>125</v>
      </c>
      <c r="B31" s="102">
        <v>0</v>
      </c>
      <c r="D31" s="161">
        <v>0</v>
      </c>
      <c r="E31" s="169">
        <f>ExBA!E31*(1+PrBA!$K$6)</f>
        <v>0</v>
      </c>
      <c r="F31" s="17">
        <v>0</v>
      </c>
      <c r="G31" s="102"/>
      <c r="O31"/>
      <c r="P31"/>
      <c r="Q31"/>
      <c r="R31"/>
      <c r="S31"/>
      <c r="T31"/>
    </row>
    <row r="32" spans="1:20" x14ac:dyDescent="0.45">
      <c r="A32" s="20" t="s">
        <v>51</v>
      </c>
      <c r="B32" s="166">
        <f>B23</f>
        <v>100000</v>
      </c>
      <c r="C32" s="170"/>
      <c r="D32" s="168">
        <f>H24</f>
        <v>2376480</v>
      </c>
      <c r="E32" s="169">
        <f>Rates!L14</f>
        <v>5.37</v>
      </c>
      <c r="F32" s="21">
        <f>E32*(D32/1000)</f>
        <v>12761.6976</v>
      </c>
      <c r="G32" s="102"/>
      <c r="R32" s="17">
        <f>R25/12</f>
        <v>0</v>
      </c>
    </row>
    <row r="33" spans="1:13" x14ac:dyDescent="0.45">
      <c r="A33" s="20"/>
      <c r="B33" s="102" t="s">
        <v>55</v>
      </c>
      <c r="C33" s="17">
        <f>SUM(C28:C32)</f>
        <v>24905</v>
      </c>
      <c r="D33" s="22">
        <f>SUM(D28:D32)</f>
        <v>99586091</v>
      </c>
      <c r="F33" s="27">
        <f>SUM(F28:F32)</f>
        <v>1120706.2453400001</v>
      </c>
      <c r="G33" s="27"/>
      <c r="H33" s="102"/>
      <c r="I33" s="172"/>
      <c r="J33" s="172"/>
      <c r="K33" s="352">
        <f>(F33-ExBA!F33)/ExBA!F33</f>
        <v>0.28084757447488529</v>
      </c>
    </row>
    <row r="34" spans="1:13" x14ac:dyDescent="0.45">
      <c r="A34" s="20"/>
      <c r="B34" s="102"/>
      <c r="C34" s="17"/>
      <c r="D34" s="22"/>
      <c r="F34" s="27"/>
      <c r="G34" s="102"/>
      <c r="H34" s="102"/>
      <c r="I34" s="102"/>
      <c r="J34" s="102"/>
    </row>
    <row r="35" spans="1:13" ht="15.75" x14ac:dyDescent="0.5">
      <c r="A35" s="163" t="s">
        <v>179</v>
      </c>
    </row>
    <row r="36" spans="1:13" x14ac:dyDescent="0.45">
      <c r="E36" s="19" t="s">
        <v>50</v>
      </c>
      <c r="F36" s="19" t="s">
        <v>125</v>
      </c>
      <c r="G36" s="19" t="s">
        <v>51</v>
      </c>
      <c r="K36" s="17"/>
      <c r="M36" s="1"/>
    </row>
    <row r="37" spans="1:13" x14ac:dyDescent="0.45">
      <c r="B37" s="157" t="s">
        <v>52</v>
      </c>
      <c r="C37" s="164" t="s">
        <v>53</v>
      </c>
      <c r="D37" s="75" t="s">
        <v>54</v>
      </c>
      <c r="E37" s="164">
        <v>10000</v>
      </c>
      <c r="F37" s="164">
        <f>B39</f>
        <v>90000</v>
      </c>
      <c r="G37" s="164">
        <f>B40</f>
        <v>100000</v>
      </c>
      <c r="H37" s="157" t="s">
        <v>55</v>
      </c>
      <c r="K37" s="17"/>
      <c r="M37" s="1"/>
    </row>
    <row r="38" spans="1:13" x14ac:dyDescent="0.45">
      <c r="A38" s="20" t="s">
        <v>50</v>
      </c>
      <c r="B38" s="102">
        <v>10000</v>
      </c>
      <c r="C38" s="165">
        <f>ExBA!C38</f>
        <v>71</v>
      </c>
      <c r="D38" s="165">
        <f>ExBA!D38</f>
        <v>120360</v>
      </c>
      <c r="E38" s="161">
        <f>D38</f>
        <v>120360</v>
      </c>
      <c r="F38" s="161">
        <v>0</v>
      </c>
      <c r="G38" s="161">
        <v>0</v>
      </c>
      <c r="H38" s="153">
        <f>SUM(E38:G38)</f>
        <v>120360</v>
      </c>
      <c r="K38" s="17"/>
      <c r="M38" s="1"/>
    </row>
    <row r="39" spans="1:13" x14ac:dyDescent="0.45">
      <c r="A39" s="20" t="s">
        <v>125</v>
      </c>
      <c r="B39" s="102">
        <v>90000</v>
      </c>
      <c r="C39" s="165">
        <f>ExBA!C39</f>
        <v>81</v>
      </c>
      <c r="D39" s="165">
        <f>ExBA!D39</f>
        <v>3492900</v>
      </c>
      <c r="E39" s="161">
        <f>C39*B38</f>
        <v>810000</v>
      </c>
      <c r="F39" s="161">
        <f>D39-E39</f>
        <v>2682900</v>
      </c>
      <c r="G39" s="161">
        <v>0</v>
      </c>
      <c r="H39" s="153">
        <f>SUM(E39:G39)</f>
        <v>3492900</v>
      </c>
      <c r="K39" s="17"/>
      <c r="M39" s="1"/>
    </row>
    <row r="40" spans="1:13" x14ac:dyDescent="0.45">
      <c r="A40" s="20" t="s">
        <v>51</v>
      </c>
      <c r="B40" s="166">
        <v>100000</v>
      </c>
      <c r="C40" s="165">
        <f>ExBA!C40</f>
        <v>33</v>
      </c>
      <c r="D40" s="167">
        <f>ExBA!D40</f>
        <v>6270480</v>
      </c>
      <c r="E40" s="168">
        <f>C40*B38</f>
        <v>330000</v>
      </c>
      <c r="F40" s="168">
        <f>C40*B39</f>
        <v>2970000</v>
      </c>
      <c r="G40" s="168">
        <f>D40-E40-F40</f>
        <v>2970480</v>
      </c>
      <c r="H40" s="168">
        <f>SUM(E40:G40)</f>
        <v>6270480</v>
      </c>
      <c r="K40" s="17"/>
      <c r="M40" s="1"/>
    </row>
    <row r="41" spans="1:13" x14ac:dyDescent="0.45">
      <c r="A41" s="20"/>
      <c r="B41" s="102" t="s">
        <v>55</v>
      </c>
      <c r="C41" s="22">
        <f t="shared" ref="C41:H41" si="1">SUM(C38:C40)</f>
        <v>185</v>
      </c>
      <c r="D41" s="22">
        <f t="shared" si="1"/>
        <v>9883740</v>
      </c>
      <c r="E41" s="22">
        <f t="shared" si="1"/>
        <v>1260360</v>
      </c>
      <c r="F41" s="22">
        <f t="shared" si="1"/>
        <v>5652900</v>
      </c>
      <c r="G41" s="22">
        <f t="shared" si="1"/>
        <v>2970480</v>
      </c>
      <c r="H41" s="22">
        <f t="shared" si="1"/>
        <v>9883740</v>
      </c>
      <c r="K41" s="17"/>
      <c r="M41" s="1"/>
    </row>
    <row r="42" spans="1:13" x14ac:dyDescent="0.45">
      <c r="A42" s="20"/>
      <c r="B42" s="102"/>
      <c r="E42" s="102"/>
      <c r="F42" s="102"/>
      <c r="G42" s="102"/>
      <c r="H42" s="102"/>
      <c r="I42" s="102"/>
      <c r="J42" s="102"/>
    </row>
    <row r="43" spans="1:13" x14ac:dyDescent="0.45">
      <c r="A43" s="103" t="s">
        <v>178</v>
      </c>
      <c r="B43" s="103"/>
      <c r="E43" s="102"/>
      <c r="F43" s="102"/>
      <c r="G43" s="102"/>
      <c r="H43" s="102"/>
      <c r="I43" s="102"/>
      <c r="J43" s="102"/>
    </row>
    <row r="44" spans="1:13" x14ac:dyDescent="0.45">
      <c r="A44" s="20"/>
      <c r="B44" s="157"/>
      <c r="C44" s="164" t="s">
        <v>53</v>
      </c>
      <c r="D44" s="75" t="s">
        <v>54</v>
      </c>
      <c r="E44" s="164" t="s">
        <v>56</v>
      </c>
      <c r="F44" s="164" t="s">
        <v>57</v>
      </c>
      <c r="G44" s="102"/>
      <c r="H44" s="102"/>
      <c r="I44" s="102"/>
      <c r="J44" s="102"/>
    </row>
    <row r="45" spans="1:13" x14ac:dyDescent="0.45">
      <c r="A45" s="20" t="s">
        <v>50</v>
      </c>
      <c r="B45" s="102">
        <f>B38</f>
        <v>10000</v>
      </c>
      <c r="C45" s="17">
        <f>C41</f>
        <v>185</v>
      </c>
      <c r="D45" s="161">
        <f>E41</f>
        <v>1260360</v>
      </c>
      <c r="E45" s="169">
        <f>Rates!L17</f>
        <v>98.76</v>
      </c>
      <c r="F45" s="27">
        <f>E45*C45</f>
        <v>18270.600000000002</v>
      </c>
      <c r="G45" s="102"/>
    </row>
    <row r="46" spans="1:13" hidden="1" x14ac:dyDescent="0.45">
      <c r="A46" s="20" t="s">
        <v>125</v>
      </c>
      <c r="B46" s="102">
        <v>0</v>
      </c>
      <c r="D46" s="161">
        <v>0</v>
      </c>
      <c r="E46" s="169">
        <f>ExBA!E46*(1+PrBA!$K$6)</f>
        <v>0</v>
      </c>
      <c r="F46" s="17">
        <f>E46*(D46/1000)</f>
        <v>0</v>
      </c>
      <c r="G46" s="102"/>
    </row>
    <row r="47" spans="1:13" x14ac:dyDescent="0.45">
      <c r="A47" s="20" t="s">
        <v>125</v>
      </c>
      <c r="B47" s="102">
        <v>90000</v>
      </c>
      <c r="D47" s="161">
        <f>F41</f>
        <v>5652900</v>
      </c>
      <c r="E47" s="169">
        <f>Rates!L18</f>
        <v>8.9</v>
      </c>
      <c r="F47" s="17">
        <f>E47*(D47/1000)</f>
        <v>50310.81</v>
      </c>
      <c r="G47" s="102"/>
    </row>
    <row r="48" spans="1:13" x14ac:dyDescent="0.45">
      <c r="A48" s="20" t="s">
        <v>51</v>
      </c>
      <c r="B48" s="166">
        <v>100000</v>
      </c>
      <c r="C48" s="170"/>
      <c r="D48" s="168">
        <f>G41</f>
        <v>2970480</v>
      </c>
      <c r="E48" s="169">
        <f>Rates!L24</f>
        <v>5.37</v>
      </c>
      <c r="F48" s="21">
        <f>E48*(D48/1000)</f>
        <v>15951.4776</v>
      </c>
      <c r="G48" s="102"/>
    </row>
    <row r="49" spans="1:13" x14ac:dyDescent="0.45">
      <c r="A49" s="20"/>
      <c r="B49" s="102" t="s">
        <v>55</v>
      </c>
      <c r="C49" s="17">
        <f>SUM(C45:C48)</f>
        <v>185</v>
      </c>
      <c r="D49" s="22">
        <f>SUM(D45:D48)</f>
        <v>9883740</v>
      </c>
      <c r="F49" s="27">
        <f>SUM(F45:F48)</f>
        <v>84532.887600000002</v>
      </c>
      <c r="G49" s="27"/>
      <c r="H49" s="102"/>
      <c r="I49" s="172"/>
      <c r="J49" s="172"/>
      <c r="K49" s="352">
        <f>(F49-ExBA!F49)/ExBA!F49</f>
        <v>0.28085050028784297</v>
      </c>
    </row>
    <row r="50" spans="1:13" x14ac:dyDescent="0.45">
      <c r="A50" s="20"/>
      <c r="B50" s="102"/>
      <c r="C50" s="17"/>
      <c r="D50" s="22"/>
      <c r="F50" s="27"/>
      <c r="G50" s="102"/>
      <c r="H50" s="102"/>
      <c r="I50" s="102"/>
      <c r="J50" s="102"/>
    </row>
    <row r="51" spans="1:13" ht="15.75" x14ac:dyDescent="0.5">
      <c r="A51" s="163" t="s">
        <v>180</v>
      </c>
    </row>
    <row r="52" spans="1:13" x14ac:dyDescent="0.45">
      <c r="E52" s="19" t="s">
        <v>50</v>
      </c>
      <c r="F52" s="19" t="s">
        <v>125</v>
      </c>
      <c r="G52" s="19" t="s">
        <v>51</v>
      </c>
      <c r="M52" s="1"/>
    </row>
    <row r="53" spans="1:13" x14ac:dyDescent="0.45">
      <c r="B53" s="157" t="s">
        <v>52</v>
      </c>
      <c r="C53" s="164" t="s">
        <v>53</v>
      </c>
      <c r="D53" s="75" t="s">
        <v>54</v>
      </c>
      <c r="E53" s="164">
        <f>B54</f>
        <v>15000</v>
      </c>
      <c r="F53" s="164">
        <f>B55</f>
        <v>85000</v>
      </c>
      <c r="G53" s="164">
        <f>B56</f>
        <v>100000</v>
      </c>
      <c r="H53" s="157" t="s">
        <v>55</v>
      </c>
      <c r="M53" s="1"/>
    </row>
    <row r="54" spans="1:13" x14ac:dyDescent="0.45">
      <c r="A54" s="20" t="s">
        <v>50</v>
      </c>
      <c r="B54" s="102">
        <v>15000</v>
      </c>
      <c r="C54" s="165">
        <f>ExBA!C54</f>
        <v>17</v>
      </c>
      <c r="D54" s="165">
        <f>ExBA!D54</f>
        <v>62000</v>
      </c>
      <c r="E54" s="161">
        <f>D54</f>
        <v>62000</v>
      </c>
      <c r="F54" s="161">
        <v>0</v>
      </c>
      <c r="G54" s="161">
        <v>0</v>
      </c>
      <c r="H54" s="161">
        <f>SUM(E54:G54)</f>
        <v>62000</v>
      </c>
      <c r="M54" s="1"/>
    </row>
    <row r="55" spans="1:13" x14ac:dyDescent="0.45">
      <c r="A55" s="20" t="s">
        <v>125</v>
      </c>
      <c r="B55" s="102">
        <v>85000</v>
      </c>
      <c r="C55" s="165">
        <f>ExBA!C55</f>
        <v>12</v>
      </c>
      <c r="D55" s="165">
        <f>ExBA!D55</f>
        <v>503100</v>
      </c>
      <c r="E55" s="161">
        <f>C55*B54</f>
        <v>180000</v>
      </c>
      <c r="F55" s="161">
        <f>D55-E55</f>
        <v>323100</v>
      </c>
      <c r="G55" s="161">
        <v>0</v>
      </c>
      <c r="H55" s="161">
        <f>SUM(E55:G55)</f>
        <v>503100</v>
      </c>
      <c r="M55" s="1"/>
    </row>
    <row r="56" spans="1:13" x14ac:dyDescent="0.45">
      <c r="A56" s="20" t="s">
        <v>51</v>
      </c>
      <c r="B56" s="166">
        <v>100000</v>
      </c>
      <c r="C56" s="167">
        <f>ExBA!C56</f>
        <v>31</v>
      </c>
      <c r="D56" s="167">
        <f>ExBA!D56</f>
        <v>9862300</v>
      </c>
      <c r="E56" s="168">
        <f>C56*B54</f>
        <v>465000</v>
      </c>
      <c r="F56" s="168">
        <f>C56*F53</f>
        <v>2635000</v>
      </c>
      <c r="G56" s="168">
        <f>D56-E56-F56</f>
        <v>6762300</v>
      </c>
      <c r="H56" s="168">
        <f>SUM(E56:G56)</f>
        <v>9862300</v>
      </c>
      <c r="M56" s="1"/>
    </row>
    <row r="57" spans="1:13" x14ac:dyDescent="0.45">
      <c r="A57" s="20"/>
      <c r="B57" s="102"/>
      <c r="C57" s="22">
        <f t="shared" ref="C57:H57" si="2">SUM(C54:C56)</f>
        <v>60</v>
      </c>
      <c r="D57" s="22">
        <f t="shared" si="2"/>
        <v>10427400</v>
      </c>
      <c r="E57" s="22">
        <f t="shared" si="2"/>
        <v>707000</v>
      </c>
      <c r="F57" s="22">
        <f t="shared" si="2"/>
        <v>2958100</v>
      </c>
      <c r="G57" s="22">
        <f t="shared" si="2"/>
        <v>6762300</v>
      </c>
      <c r="H57" s="22">
        <f t="shared" si="2"/>
        <v>10427400</v>
      </c>
      <c r="I57" s="113"/>
      <c r="J57" s="113"/>
      <c r="L57" s="17"/>
      <c r="M57" s="1"/>
    </row>
    <row r="58" spans="1:13" x14ac:dyDescent="0.45">
      <c r="A58" s="20"/>
      <c r="B58" s="102"/>
      <c r="E58" s="102"/>
      <c r="F58" s="102"/>
      <c r="G58" s="102"/>
      <c r="H58" s="102"/>
      <c r="I58" s="102"/>
      <c r="J58" s="102"/>
    </row>
    <row r="59" spans="1:13" x14ac:dyDescent="0.45">
      <c r="A59" s="103" t="s">
        <v>178</v>
      </c>
      <c r="B59" s="103"/>
      <c r="E59" s="102"/>
      <c r="F59" s="102"/>
      <c r="G59" s="102"/>
      <c r="H59" s="102"/>
      <c r="I59" s="102"/>
      <c r="J59" s="102"/>
    </row>
    <row r="60" spans="1:13" x14ac:dyDescent="0.45">
      <c r="A60" s="20"/>
      <c r="B60" s="157"/>
      <c r="C60" s="164" t="s">
        <v>53</v>
      </c>
      <c r="D60" s="75" t="s">
        <v>54</v>
      </c>
      <c r="E60" s="164" t="s">
        <v>56</v>
      </c>
      <c r="F60" s="164" t="s">
        <v>57</v>
      </c>
      <c r="G60" s="102"/>
      <c r="H60" s="102"/>
      <c r="I60" s="102"/>
      <c r="J60" s="102"/>
    </row>
    <row r="61" spans="1:13" x14ac:dyDescent="0.45">
      <c r="A61" s="20" t="s">
        <v>50</v>
      </c>
      <c r="B61" s="102">
        <f>B54</f>
        <v>15000</v>
      </c>
      <c r="C61" s="17">
        <f>C57</f>
        <v>60</v>
      </c>
      <c r="D61" s="161">
        <f>E57</f>
        <v>707000</v>
      </c>
      <c r="E61" s="169">
        <f>Rates!L22</f>
        <v>143.27000000000001</v>
      </c>
      <c r="F61" s="27">
        <f>E61*C61</f>
        <v>8596.2000000000007</v>
      </c>
      <c r="G61" s="102"/>
    </row>
    <row r="62" spans="1:13" x14ac:dyDescent="0.45">
      <c r="A62" s="20" t="s">
        <v>125</v>
      </c>
      <c r="B62" s="102">
        <v>85000</v>
      </c>
      <c r="C62" s="17"/>
      <c r="D62" s="161">
        <f>F57</f>
        <v>2958100</v>
      </c>
      <c r="E62" s="169">
        <f>Rates!L23</f>
        <v>8.9</v>
      </c>
      <c r="F62" s="22">
        <f t="shared" ref="F62" si="3">E62*(D62/1000)</f>
        <v>26327.09</v>
      </c>
      <c r="G62" s="102"/>
    </row>
    <row r="63" spans="1:13" x14ac:dyDescent="0.45">
      <c r="A63" s="20" t="s">
        <v>51</v>
      </c>
      <c r="B63" s="166">
        <f>B56</f>
        <v>100000</v>
      </c>
      <c r="C63" s="170"/>
      <c r="D63" s="168">
        <f>G57</f>
        <v>6762300</v>
      </c>
      <c r="E63" s="169">
        <f>Rates!L24</f>
        <v>5.37</v>
      </c>
      <c r="F63" s="21">
        <f>E63*(D63/1000)</f>
        <v>36313.550999999999</v>
      </c>
      <c r="G63" s="102"/>
    </row>
    <row r="64" spans="1:13" x14ac:dyDescent="0.45">
      <c r="A64" s="20"/>
      <c r="B64" s="102" t="s">
        <v>55</v>
      </c>
      <c r="C64" s="17">
        <f>SUM(C61:C63)</f>
        <v>60</v>
      </c>
      <c r="D64" s="22">
        <f>SUM(D61:D63)</f>
        <v>10427400</v>
      </c>
      <c r="F64" s="27">
        <f>SUM(F61:F63)</f>
        <v>71236.841</v>
      </c>
      <c r="G64" s="27"/>
      <c r="H64" s="102"/>
      <c r="I64" s="172"/>
      <c r="J64" s="172"/>
      <c r="K64" s="352">
        <f>(F64-ExBA!F64)/ExBA!F64</f>
        <v>0.2811498495283562</v>
      </c>
    </row>
    <row r="65" spans="1:13" x14ac:dyDescent="0.45">
      <c r="A65" s="20"/>
      <c r="B65" s="102"/>
      <c r="C65" s="17"/>
      <c r="D65" s="22"/>
      <c r="F65" s="27"/>
      <c r="G65" s="27"/>
      <c r="H65" s="102"/>
      <c r="I65" s="172"/>
      <c r="J65" s="172"/>
    </row>
    <row r="66" spans="1:13" x14ac:dyDescent="0.45">
      <c r="A66" s="20"/>
      <c r="B66" s="102"/>
      <c r="C66" s="17"/>
      <c r="D66" s="22"/>
      <c r="F66" s="27"/>
      <c r="G66" s="27"/>
      <c r="H66" s="102"/>
      <c r="I66" s="172"/>
      <c r="J66" s="172"/>
    </row>
    <row r="67" spans="1:13" x14ac:dyDescent="0.45">
      <c r="A67" s="20"/>
      <c r="B67" s="102"/>
      <c r="C67" s="3"/>
      <c r="D67" s="22"/>
      <c r="F67" s="169"/>
      <c r="G67" s="102"/>
      <c r="H67" s="102"/>
      <c r="I67" s="102"/>
      <c r="J67" s="102"/>
    </row>
    <row r="68" spans="1:13" ht="15.75" x14ac:dyDescent="0.5">
      <c r="A68" s="163" t="s">
        <v>181</v>
      </c>
    </row>
    <row r="69" spans="1:13" x14ac:dyDescent="0.45">
      <c r="E69" s="19" t="s">
        <v>50</v>
      </c>
      <c r="F69" s="19" t="s">
        <v>125</v>
      </c>
      <c r="G69" s="19" t="s">
        <v>51</v>
      </c>
      <c r="M69" s="1"/>
    </row>
    <row r="70" spans="1:13" x14ac:dyDescent="0.45">
      <c r="B70" s="157" t="s">
        <v>52</v>
      </c>
      <c r="C70" s="164" t="s">
        <v>53</v>
      </c>
      <c r="D70" s="75" t="s">
        <v>54</v>
      </c>
      <c r="E70" s="164">
        <f>B71</f>
        <v>20000</v>
      </c>
      <c r="F70" s="164">
        <f>B72</f>
        <v>80000</v>
      </c>
      <c r="G70" s="164">
        <f>B73</f>
        <v>100000</v>
      </c>
      <c r="H70" s="157" t="s">
        <v>55</v>
      </c>
      <c r="M70" s="1"/>
    </row>
    <row r="71" spans="1:13" x14ac:dyDescent="0.45">
      <c r="A71" s="20" t="s">
        <v>50</v>
      </c>
      <c r="B71" s="102">
        <v>20000</v>
      </c>
      <c r="C71" s="165">
        <f>ExBA!C71</f>
        <v>69</v>
      </c>
      <c r="D71" s="165">
        <f>ExBA!D71</f>
        <v>494850</v>
      </c>
      <c r="E71" s="161">
        <f>D71</f>
        <v>494850</v>
      </c>
      <c r="F71" s="161">
        <v>0</v>
      </c>
      <c r="G71" s="161">
        <v>0</v>
      </c>
      <c r="H71" s="161">
        <f>SUM(E71:G71)</f>
        <v>494850</v>
      </c>
      <c r="M71" s="1"/>
    </row>
    <row r="72" spans="1:13" x14ac:dyDescent="0.45">
      <c r="A72" s="20" t="s">
        <v>125</v>
      </c>
      <c r="B72" s="102">
        <v>80000</v>
      </c>
      <c r="C72" s="165">
        <f>ExBA!C72</f>
        <v>115</v>
      </c>
      <c r="D72" s="165">
        <f>ExBA!D72</f>
        <v>6346583</v>
      </c>
      <c r="E72" s="161">
        <f>C72*B71</f>
        <v>2300000</v>
      </c>
      <c r="F72" s="161">
        <f>D72-E72</f>
        <v>4046583</v>
      </c>
      <c r="G72" s="161">
        <v>0</v>
      </c>
      <c r="H72" s="161">
        <f>SUM(E72:G72)</f>
        <v>6346583</v>
      </c>
      <c r="M72" s="1"/>
    </row>
    <row r="73" spans="1:13" x14ac:dyDescent="0.45">
      <c r="A73" s="20" t="s">
        <v>51</v>
      </c>
      <c r="B73" s="166">
        <v>100000</v>
      </c>
      <c r="C73" s="167">
        <f>ExBA!C73</f>
        <v>88</v>
      </c>
      <c r="D73" s="167">
        <f>ExBA!D73</f>
        <v>25117200</v>
      </c>
      <c r="E73" s="168">
        <f>C73*B71</f>
        <v>1760000</v>
      </c>
      <c r="F73" s="168">
        <f>C73*B72</f>
        <v>7040000</v>
      </c>
      <c r="G73" s="168">
        <f>D73-E73-F73</f>
        <v>16317200</v>
      </c>
      <c r="H73" s="168">
        <f>SUM(E73:G73)</f>
        <v>25117200</v>
      </c>
      <c r="M73" s="1"/>
    </row>
    <row r="74" spans="1:13" x14ac:dyDescent="0.45">
      <c r="A74" s="20"/>
      <c r="B74" s="102"/>
      <c r="C74" s="22">
        <f t="shared" ref="C74:H74" si="4">SUM(C71:C73)</f>
        <v>272</v>
      </c>
      <c r="D74" s="22">
        <f t="shared" si="4"/>
        <v>31958633</v>
      </c>
      <c r="E74" s="22">
        <f t="shared" si="4"/>
        <v>4554850</v>
      </c>
      <c r="F74" s="22">
        <f t="shared" si="4"/>
        <v>11086583</v>
      </c>
      <c r="G74" s="22">
        <f t="shared" si="4"/>
        <v>16317200</v>
      </c>
      <c r="H74" s="22">
        <f t="shared" si="4"/>
        <v>31958633</v>
      </c>
      <c r="I74" s="113"/>
      <c r="J74" s="113"/>
      <c r="L74" s="17"/>
      <c r="M74" s="1"/>
    </row>
    <row r="75" spans="1:13" x14ac:dyDescent="0.45">
      <c r="A75" s="20"/>
      <c r="B75" s="102"/>
      <c r="E75" s="102"/>
      <c r="F75" s="102"/>
      <c r="G75" s="102"/>
      <c r="H75" s="102"/>
      <c r="I75" s="102"/>
      <c r="J75" s="102"/>
    </row>
    <row r="76" spans="1:13" x14ac:dyDescent="0.45">
      <c r="A76" s="103" t="s">
        <v>178</v>
      </c>
      <c r="B76" s="103"/>
      <c r="E76" s="102"/>
      <c r="F76" s="102"/>
      <c r="G76" s="102"/>
      <c r="H76" s="102"/>
      <c r="I76" s="102"/>
      <c r="J76" s="102"/>
    </row>
    <row r="77" spans="1:13" x14ac:dyDescent="0.45">
      <c r="A77" s="20"/>
      <c r="B77" s="157"/>
      <c r="C77" s="164" t="s">
        <v>53</v>
      </c>
      <c r="D77" s="75" t="s">
        <v>54</v>
      </c>
      <c r="E77" s="164" t="s">
        <v>56</v>
      </c>
      <c r="F77" s="164" t="s">
        <v>57</v>
      </c>
      <c r="G77" s="102"/>
      <c r="H77" s="102"/>
      <c r="I77" s="102"/>
      <c r="J77" s="102"/>
    </row>
    <row r="78" spans="1:13" x14ac:dyDescent="0.45">
      <c r="A78" s="20" t="s">
        <v>50</v>
      </c>
      <c r="B78" s="102">
        <f>B71</f>
        <v>20000</v>
      </c>
      <c r="C78" s="17">
        <f>C74</f>
        <v>272</v>
      </c>
      <c r="D78" s="161">
        <f>E74</f>
        <v>4554850</v>
      </c>
      <c r="E78" s="169">
        <f>Rates!L27</f>
        <v>187.78</v>
      </c>
      <c r="F78" s="27">
        <f>E78*C78</f>
        <v>51076.160000000003</v>
      </c>
      <c r="G78" s="102"/>
    </row>
    <row r="79" spans="1:13" x14ac:dyDescent="0.45">
      <c r="A79" s="20" t="s">
        <v>125</v>
      </c>
      <c r="B79" s="102">
        <v>80000</v>
      </c>
      <c r="C79" s="17"/>
      <c r="D79" s="161">
        <f>F74</f>
        <v>11086583</v>
      </c>
      <c r="E79" s="169">
        <f>Rates!L28</f>
        <v>8.9</v>
      </c>
      <c r="F79" s="22">
        <f t="shared" ref="F79" si="5">E79*(D79/1000)</f>
        <v>98670.588700000008</v>
      </c>
      <c r="G79" s="102"/>
    </row>
    <row r="80" spans="1:13" x14ac:dyDescent="0.45">
      <c r="A80" s="20" t="s">
        <v>51</v>
      </c>
      <c r="B80" s="166">
        <f>B73</f>
        <v>100000</v>
      </c>
      <c r="C80" s="170"/>
      <c r="D80" s="168">
        <f>G74</f>
        <v>16317200</v>
      </c>
      <c r="E80" s="169">
        <f>Rates!L29</f>
        <v>5.37</v>
      </c>
      <c r="F80" s="21">
        <f>E80*(D80/1000)</f>
        <v>87623.364000000001</v>
      </c>
      <c r="G80" s="102"/>
    </row>
    <row r="81" spans="1:13" x14ac:dyDescent="0.45">
      <c r="A81" s="20"/>
      <c r="B81" s="102" t="s">
        <v>55</v>
      </c>
      <c r="C81" s="17">
        <f>SUM(C78:C80)</f>
        <v>272</v>
      </c>
      <c r="D81" s="22">
        <f>SUM(D78:D80)</f>
        <v>31958633</v>
      </c>
      <c r="F81" s="27">
        <f>SUM(F78:F80)</f>
        <v>237370.1127</v>
      </c>
      <c r="G81" s="27"/>
      <c r="H81" s="102"/>
      <c r="I81" s="172"/>
      <c r="J81" s="172"/>
      <c r="K81" s="352">
        <f>(F81-ExBA!F81)/ExBA!F81</f>
        <v>0.28103190177616749</v>
      </c>
    </row>
    <row r="82" spans="1:13" x14ac:dyDescent="0.45">
      <c r="A82" s="20"/>
      <c r="B82" s="102"/>
      <c r="C82" s="17"/>
      <c r="D82" s="22"/>
      <c r="F82" s="27"/>
      <c r="G82" s="27"/>
      <c r="H82" s="102"/>
      <c r="I82" s="172"/>
      <c r="J82" s="172"/>
    </row>
    <row r="83" spans="1:13" x14ac:dyDescent="0.45">
      <c r="A83" s="20"/>
      <c r="B83" s="19"/>
      <c r="C83" s="99"/>
      <c r="D83" s="67"/>
      <c r="E83" s="99"/>
      <c r="F83" s="99"/>
      <c r="G83" s="102"/>
      <c r="H83" s="102"/>
      <c r="I83" s="102"/>
      <c r="J83" s="102"/>
      <c r="M83" s="22"/>
    </row>
    <row r="84" spans="1:13" ht="15.75" x14ac:dyDescent="0.5">
      <c r="A84" s="163" t="s">
        <v>182</v>
      </c>
    </row>
    <row r="85" spans="1:13" x14ac:dyDescent="0.45">
      <c r="E85" s="19" t="s">
        <v>50</v>
      </c>
      <c r="F85" s="19" t="s">
        <v>125</v>
      </c>
      <c r="G85" s="19" t="s">
        <v>51</v>
      </c>
      <c r="M85" s="1"/>
    </row>
    <row r="86" spans="1:13" x14ac:dyDescent="0.45">
      <c r="B86" s="157" t="s">
        <v>52</v>
      </c>
      <c r="C86" s="164" t="s">
        <v>53</v>
      </c>
      <c r="D86" s="75" t="s">
        <v>54</v>
      </c>
      <c r="E86" s="164">
        <f>B87</f>
        <v>50000</v>
      </c>
      <c r="F86" s="164">
        <f>B88</f>
        <v>50000</v>
      </c>
      <c r="G86" s="164">
        <f>B89</f>
        <v>100000</v>
      </c>
      <c r="H86" s="157" t="s">
        <v>55</v>
      </c>
      <c r="M86" s="1"/>
    </row>
    <row r="87" spans="1:13" x14ac:dyDescent="0.45">
      <c r="A87" s="20" t="s">
        <v>50</v>
      </c>
      <c r="B87" s="102">
        <v>50000</v>
      </c>
      <c r="C87" s="165">
        <f>ExBA!C87</f>
        <v>18</v>
      </c>
      <c r="D87" s="165">
        <f>ExBA!D87</f>
        <v>68550</v>
      </c>
      <c r="E87" s="161">
        <f>D87</f>
        <v>68550</v>
      </c>
      <c r="F87" s="161">
        <v>0</v>
      </c>
      <c r="G87" s="161">
        <v>0</v>
      </c>
      <c r="H87" s="161">
        <f>SUM(E87:G87)</f>
        <v>68550</v>
      </c>
      <c r="M87" s="1"/>
    </row>
    <row r="88" spans="1:13" x14ac:dyDescent="0.45">
      <c r="A88" s="20" t="s">
        <v>125</v>
      </c>
      <c r="B88" s="102">
        <v>50000</v>
      </c>
      <c r="C88" s="165">
        <f>ExBA!C88</f>
        <v>2</v>
      </c>
      <c r="D88" s="165">
        <f>ExBA!D88</f>
        <v>155000</v>
      </c>
      <c r="E88" s="161">
        <f>C88*B87</f>
        <v>100000</v>
      </c>
      <c r="F88" s="161">
        <f>D88-E88</f>
        <v>55000</v>
      </c>
      <c r="G88" s="161">
        <v>0</v>
      </c>
      <c r="H88" s="161">
        <f>SUM(E88:G88)</f>
        <v>155000</v>
      </c>
      <c r="M88" s="1"/>
    </row>
    <row r="89" spans="1:13" x14ac:dyDescent="0.45">
      <c r="A89" s="20" t="s">
        <v>51</v>
      </c>
      <c r="B89" s="166">
        <v>100000</v>
      </c>
      <c r="C89" s="165">
        <f>ExBA!C89</f>
        <v>4</v>
      </c>
      <c r="D89" s="165">
        <f>ExBA!D89</f>
        <v>851000</v>
      </c>
      <c r="E89" s="168">
        <f>C89*B87</f>
        <v>200000</v>
      </c>
      <c r="F89" s="168">
        <f>C89*B88</f>
        <v>200000</v>
      </c>
      <c r="G89" s="168">
        <f>D89-E89-F89</f>
        <v>451000</v>
      </c>
      <c r="H89" s="168">
        <f>SUM(E89:G89)</f>
        <v>851000</v>
      </c>
      <c r="M89" s="1"/>
    </row>
    <row r="90" spans="1:13" x14ac:dyDescent="0.45">
      <c r="A90" s="20"/>
      <c r="B90" s="102"/>
      <c r="C90" s="22">
        <f t="shared" ref="C90:H90" si="6">SUM(C87:C89)</f>
        <v>24</v>
      </c>
      <c r="D90" s="22">
        <f t="shared" si="6"/>
        <v>1074550</v>
      </c>
      <c r="E90" s="22">
        <f t="shared" si="6"/>
        <v>368550</v>
      </c>
      <c r="F90" s="22">
        <f t="shared" si="6"/>
        <v>255000</v>
      </c>
      <c r="G90" s="22">
        <f t="shared" si="6"/>
        <v>451000</v>
      </c>
      <c r="H90" s="22">
        <f t="shared" si="6"/>
        <v>1074550</v>
      </c>
      <c r="I90" s="113"/>
      <c r="J90" s="113"/>
      <c r="L90" s="17"/>
      <c r="M90" s="1"/>
    </row>
    <row r="91" spans="1:13" x14ac:dyDescent="0.45">
      <c r="A91" s="20"/>
      <c r="B91" s="102"/>
      <c r="E91" s="102"/>
      <c r="F91" s="102"/>
      <c r="G91" s="102"/>
      <c r="H91" s="102"/>
      <c r="I91" s="102"/>
      <c r="J91" s="102"/>
    </row>
    <row r="92" spans="1:13" x14ac:dyDescent="0.45">
      <c r="A92" s="103" t="s">
        <v>178</v>
      </c>
      <c r="B92" s="103"/>
      <c r="E92" s="102"/>
      <c r="F92" s="102"/>
      <c r="G92" s="102"/>
      <c r="H92" s="102"/>
      <c r="I92" s="102"/>
      <c r="J92" s="102"/>
    </row>
    <row r="93" spans="1:13" x14ac:dyDescent="0.45">
      <c r="A93" s="20"/>
      <c r="B93" s="157"/>
      <c r="C93" s="164" t="s">
        <v>53</v>
      </c>
      <c r="D93" s="75" t="s">
        <v>54</v>
      </c>
      <c r="E93" s="164" t="s">
        <v>56</v>
      </c>
      <c r="F93" s="164" t="s">
        <v>57</v>
      </c>
      <c r="G93" s="102"/>
      <c r="H93" s="102"/>
      <c r="I93" s="102"/>
      <c r="J93" s="102"/>
    </row>
    <row r="94" spans="1:13" x14ac:dyDescent="0.45">
      <c r="A94" s="20" t="s">
        <v>50</v>
      </c>
      <c r="B94" s="102">
        <f>B87</f>
        <v>50000</v>
      </c>
      <c r="C94" s="17">
        <f>C90</f>
        <v>24</v>
      </c>
      <c r="D94" s="161">
        <f>E90</f>
        <v>368550</v>
      </c>
      <c r="E94" s="169">
        <f>Rates!L37</f>
        <v>454.85</v>
      </c>
      <c r="F94" s="27">
        <f>E94*C94</f>
        <v>10916.400000000001</v>
      </c>
      <c r="G94" s="102"/>
    </row>
    <row r="95" spans="1:13" x14ac:dyDescent="0.45">
      <c r="A95" s="20" t="s">
        <v>125</v>
      </c>
      <c r="B95" s="102">
        <v>50000</v>
      </c>
      <c r="C95" s="17"/>
      <c r="D95" s="161">
        <f>F90</f>
        <v>255000</v>
      </c>
      <c r="E95" s="169">
        <f>Rates!L38</f>
        <v>8.9</v>
      </c>
      <c r="F95" s="22">
        <v>1696</v>
      </c>
      <c r="G95" s="102"/>
    </row>
    <row r="96" spans="1:13" x14ac:dyDescent="0.45">
      <c r="A96" s="20" t="s">
        <v>51</v>
      </c>
      <c r="B96" s="166">
        <f>B89</f>
        <v>100000</v>
      </c>
      <c r="C96" s="170"/>
      <c r="D96" s="168">
        <f>G90</f>
        <v>451000</v>
      </c>
      <c r="E96" s="169">
        <f>Rates!L39</f>
        <v>5.37</v>
      </c>
      <c r="F96" s="21">
        <f>E96*(D96/1000)</f>
        <v>2421.87</v>
      </c>
      <c r="G96" s="102"/>
    </row>
    <row r="97" spans="1:13" x14ac:dyDescent="0.45">
      <c r="A97" s="20"/>
      <c r="B97" s="102" t="s">
        <v>55</v>
      </c>
      <c r="C97" s="17">
        <f>SUM(C94:C96)</f>
        <v>24</v>
      </c>
      <c r="D97" s="22">
        <f>SUM(D94:D96)</f>
        <v>1074550</v>
      </c>
      <c r="F97" s="27">
        <f>SUM(F94:F96)</f>
        <v>15034.27</v>
      </c>
      <c r="G97" s="27"/>
      <c r="H97" s="102"/>
      <c r="I97" s="318"/>
      <c r="J97" s="353"/>
      <c r="K97" s="352">
        <f>(F97-ExBA!F97)/ExBA!F97</f>
        <v>0.23390105660216295</v>
      </c>
    </row>
    <row r="98" spans="1:13" x14ac:dyDescent="0.45">
      <c r="A98" s="20"/>
      <c r="B98" s="102"/>
      <c r="C98" s="153"/>
      <c r="D98" s="153"/>
      <c r="E98" s="153"/>
      <c r="F98" s="153"/>
      <c r="G98" s="153"/>
      <c r="H98" s="153"/>
      <c r="I98" s="153"/>
      <c r="J98" s="153"/>
      <c r="M98" s="22"/>
    </row>
    <row r="99" spans="1:13" x14ac:dyDescent="0.45">
      <c r="A99" s="20"/>
      <c r="B99" s="102"/>
      <c r="C99" s="153"/>
      <c r="D99" s="153"/>
      <c r="E99" s="153"/>
      <c r="F99" s="153"/>
      <c r="G99" s="153"/>
      <c r="H99" s="153"/>
      <c r="I99" s="153"/>
      <c r="J99" s="153"/>
      <c r="M99" s="22"/>
    </row>
  </sheetData>
  <mergeCells count="1">
    <mergeCell ref="A2:I2"/>
  </mergeCells>
  <pageMargins left="0.7" right="0.7" top="0.75" bottom="0.75" header="0.3" footer="0.3"/>
  <pageSetup fitToHeight="0" orientation="landscape" horizontalDpi="4294967293" r:id="rId1"/>
  <ignoredErrors>
    <ignoredError sqref="G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CBC3-7684-41B6-AF48-67D9A36485CB}">
  <dimension ref="B2:T46"/>
  <sheetViews>
    <sheetView showGridLines="0" workbookViewId="0">
      <selection activeCell="I5" sqref="I5"/>
    </sheetView>
  </sheetViews>
  <sheetFormatPr defaultRowHeight="15.4" x14ac:dyDescent="0.45"/>
  <cols>
    <col min="2" max="2" width="2.6640625" customWidth="1"/>
    <col min="3" max="3" width="9.6640625" customWidth="1"/>
    <col min="4" max="4" width="11" customWidth="1"/>
    <col min="5" max="5" width="9.6640625" customWidth="1"/>
    <col min="6" max="6" width="10.77734375" customWidth="1"/>
    <col min="7" max="8" width="9.6640625" customWidth="1"/>
    <col min="9" max="9" width="2.77734375" customWidth="1"/>
    <col min="11" max="11" width="10.21875" bestFit="1" customWidth="1"/>
    <col min="12" max="12" width="9" bestFit="1" customWidth="1"/>
    <col min="15" max="15" width="11.33203125" customWidth="1"/>
    <col min="19" max="19" width="8.88671875" style="206"/>
    <col min="20" max="20" width="8.88671875" style="158"/>
  </cols>
  <sheetData>
    <row r="2" spans="2:20" x14ac:dyDescent="0.45">
      <c r="B2" s="203"/>
      <c r="C2" s="204"/>
      <c r="D2" s="204"/>
      <c r="E2" s="204"/>
      <c r="F2" s="204"/>
      <c r="G2" s="204"/>
      <c r="H2" s="204"/>
      <c r="I2" s="205"/>
    </row>
    <row r="3" spans="2:20" ht="18" x14ac:dyDescent="0.55000000000000004">
      <c r="B3" s="207"/>
      <c r="C3" s="390" t="s">
        <v>337</v>
      </c>
      <c r="D3" s="390"/>
      <c r="E3" s="390"/>
      <c r="F3" s="390"/>
      <c r="G3" s="390"/>
      <c r="H3" s="390"/>
      <c r="I3" s="208"/>
    </row>
    <row r="4" spans="2:20" ht="18" x14ac:dyDescent="0.55000000000000004">
      <c r="B4" s="207"/>
      <c r="C4" s="209" t="s">
        <v>232</v>
      </c>
      <c r="D4" s="23"/>
      <c r="E4" s="23"/>
      <c r="F4" s="23"/>
      <c r="G4" s="23"/>
      <c r="H4" s="23"/>
      <c r="I4" s="208"/>
      <c r="S4"/>
      <c r="T4"/>
    </row>
    <row r="5" spans="2:20" ht="15.75" x14ac:dyDescent="0.4">
      <c r="B5" s="207"/>
      <c r="C5" s="412" t="s">
        <v>162</v>
      </c>
      <c r="D5" s="412"/>
      <c r="E5" s="412"/>
      <c r="F5" s="412"/>
      <c r="G5" s="412"/>
      <c r="H5" s="412"/>
      <c r="I5" s="210"/>
      <c r="S5"/>
      <c r="T5"/>
    </row>
    <row r="6" spans="2:20" x14ac:dyDescent="0.45">
      <c r="B6" s="207"/>
      <c r="C6" s="211"/>
      <c r="D6" s="211"/>
      <c r="E6" s="211"/>
      <c r="F6" s="211"/>
      <c r="G6" s="211"/>
      <c r="H6" s="211"/>
      <c r="I6" s="208"/>
      <c r="J6" s="1"/>
      <c r="S6"/>
      <c r="T6"/>
    </row>
    <row r="7" spans="2:20" x14ac:dyDescent="0.45">
      <c r="B7" s="207"/>
      <c r="C7" s="211"/>
      <c r="D7" s="211"/>
      <c r="E7" s="211"/>
      <c r="F7" s="211"/>
      <c r="G7" s="211"/>
      <c r="H7" s="211"/>
      <c r="I7" s="208"/>
      <c r="J7" s="1"/>
      <c r="S7"/>
      <c r="T7"/>
    </row>
    <row r="8" spans="2:20" x14ac:dyDescent="0.45">
      <c r="B8" s="207"/>
      <c r="C8" s="212" t="s">
        <v>233</v>
      </c>
      <c r="D8" s="212"/>
      <c r="E8" s="213"/>
      <c r="F8" s="213"/>
      <c r="G8" s="213"/>
      <c r="H8" s="213"/>
      <c r="I8" s="208"/>
      <c r="J8" s="1"/>
      <c r="S8"/>
      <c r="T8"/>
    </row>
    <row r="9" spans="2:20" x14ac:dyDescent="0.45">
      <c r="B9" s="207"/>
      <c r="C9" s="214"/>
      <c r="D9" s="214"/>
      <c r="E9" s="214"/>
      <c r="F9" s="214"/>
      <c r="G9" s="214"/>
      <c r="H9" s="214"/>
      <c r="I9" s="208"/>
      <c r="J9" s="1"/>
      <c r="S9"/>
      <c r="T9"/>
    </row>
    <row r="10" spans="2:20" x14ac:dyDescent="0.45">
      <c r="B10" s="207"/>
      <c r="C10" s="215"/>
      <c r="D10" s="216" t="s">
        <v>234</v>
      </c>
      <c r="E10" s="216"/>
      <c r="F10" s="216"/>
      <c r="G10" s="217" t="s">
        <v>235</v>
      </c>
      <c r="H10" s="216"/>
      <c r="I10" s="208"/>
      <c r="J10" s="1"/>
      <c r="S10"/>
      <c r="T10"/>
    </row>
    <row r="11" spans="2:20" x14ac:dyDescent="0.45">
      <c r="B11" s="207"/>
      <c r="C11" s="219" t="s">
        <v>236</v>
      </c>
      <c r="D11" s="220" t="s">
        <v>237</v>
      </c>
      <c r="E11" s="220" t="s">
        <v>238</v>
      </c>
      <c r="F11" s="220" t="s">
        <v>239</v>
      </c>
      <c r="G11" s="221" t="s">
        <v>238</v>
      </c>
      <c r="H11" s="220" t="s">
        <v>239</v>
      </c>
      <c r="I11" s="208"/>
      <c r="J11" s="1"/>
      <c r="S11"/>
      <c r="T11"/>
    </row>
    <row r="12" spans="2:20" x14ac:dyDescent="0.45">
      <c r="B12" s="207"/>
      <c r="C12" s="219" t="s">
        <v>70</v>
      </c>
      <c r="D12" s="219" t="s">
        <v>240</v>
      </c>
      <c r="E12" s="219" t="s">
        <v>241</v>
      </c>
      <c r="F12" s="219" t="s">
        <v>242</v>
      </c>
      <c r="G12" s="223" t="s">
        <v>241</v>
      </c>
      <c r="H12" s="219" t="s">
        <v>242</v>
      </c>
      <c r="I12" s="208"/>
      <c r="J12" s="1"/>
      <c r="S12"/>
      <c r="T12"/>
    </row>
    <row r="13" spans="2:20" x14ac:dyDescent="0.45">
      <c r="B13" s="207"/>
      <c r="C13" s="219"/>
      <c r="D13" s="219"/>
      <c r="E13" s="219"/>
      <c r="F13" s="219"/>
      <c r="G13" s="223"/>
      <c r="H13" s="219"/>
      <c r="I13" s="208"/>
      <c r="J13" s="1"/>
      <c r="S13"/>
      <c r="T13"/>
    </row>
    <row r="14" spans="2:20" x14ac:dyDescent="0.45">
      <c r="B14" s="207"/>
      <c r="C14" s="267">
        <v>18</v>
      </c>
      <c r="D14" s="226">
        <f>E14*5280</f>
        <v>8980</v>
      </c>
      <c r="E14" s="269">
        <f>8980/5280</f>
        <v>1.7007575757575757</v>
      </c>
      <c r="F14" s="226">
        <f>E14*C14</f>
        <v>30.613636363636363</v>
      </c>
      <c r="G14" s="268"/>
      <c r="H14" s="267"/>
      <c r="I14" s="208"/>
      <c r="J14" s="1"/>
      <c r="S14"/>
      <c r="T14"/>
    </row>
    <row r="15" spans="2:20" x14ac:dyDescent="0.45">
      <c r="B15" s="207"/>
      <c r="C15" s="267">
        <v>16</v>
      </c>
      <c r="D15" s="226">
        <f>E15*5280</f>
        <v>1860</v>
      </c>
      <c r="E15" s="269">
        <f>1860/5280</f>
        <v>0.35227272727272729</v>
      </c>
      <c r="F15" s="226">
        <f t="shared" ref="F15:F22" si="0">E15*C15</f>
        <v>5.6363636363636367</v>
      </c>
      <c r="G15" s="268"/>
      <c r="H15" s="267"/>
      <c r="I15" s="208"/>
      <c r="J15" s="1"/>
      <c r="S15"/>
      <c r="T15"/>
    </row>
    <row r="16" spans="2:20" x14ac:dyDescent="0.45">
      <c r="B16" s="207"/>
      <c r="C16" s="224">
        <v>12</v>
      </c>
      <c r="D16" s="225">
        <f>E16*5280</f>
        <v>62832</v>
      </c>
      <c r="E16" s="226">
        <v>11.9</v>
      </c>
      <c r="F16" s="226">
        <f t="shared" si="0"/>
        <v>142.80000000000001</v>
      </c>
      <c r="G16" s="228">
        <v>11.9</v>
      </c>
      <c r="H16" s="227">
        <f t="shared" ref="H16:H22" si="1">G16*C16</f>
        <v>142.80000000000001</v>
      </c>
      <c r="I16" s="208"/>
      <c r="J16" s="1"/>
      <c r="S16"/>
      <c r="T16"/>
    </row>
    <row r="17" spans="2:20" x14ac:dyDescent="0.45">
      <c r="B17" s="207"/>
      <c r="C17" s="224">
        <v>10</v>
      </c>
      <c r="D17" s="225">
        <f t="shared" ref="D17:D19" si="2">E17*5280</f>
        <v>72789</v>
      </c>
      <c r="E17" s="226">
        <f>(10904+61885)/5280</f>
        <v>13.785795454545454</v>
      </c>
      <c r="F17" s="226">
        <f t="shared" si="0"/>
        <v>137.85795454545453</v>
      </c>
      <c r="G17" s="228">
        <v>12.1</v>
      </c>
      <c r="H17" s="227">
        <f t="shared" si="1"/>
        <v>121</v>
      </c>
      <c r="I17" s="208"/>
      <c r="J17" s="1"/>
      <c r="S17"/>
      <c r="T17"/>
    </row>
    <row r="18" spans="2:20" x14ac:dyDescent="0.45">
      <c r="B18" s="207"/>
      <c r="C18" s="224">
        <v>8</v>
      </c>
      <c r="D18" s="225">
        <f t="shared" si="2"/>
        <v>535446</v>
      </c>
      <c r="E18" s="226">
        <f>535446/5280</f>
        <v>101.41022727272727</v>
      </c>
      <c r="F18" s="226">
        <f t="shared" si="0"/>
        <v>811.28181818181815</v>
      </c>
      <c r="G18" s="228">
        <v>44.5</v>
      </c>
      <c r="H18" s="227">
        <f t="shared" si="1"/>
        <v>356</v>
      </c>
      <c r="I18" s="208"/>
      <c r="J18" s="1"/>
      <c r="S18"/>
      <c r="T18"/>
    </row>
    <row r="19" spans="2:20" x14ac:dyDescent="0.45">
      <c r="B19" s="207"/>
      <c r="C19" s="224">
        <v>6</v>
      </c>
      <c r="D19" s="225">
        <f t="shared" si="2"/>
        <v>502249</v>
      </c>
      <c r="E19" s="226">
        <f>(2300+499949)/5280</f>
        <v>95.122916666666669</v>
      </c>
      <c r="F19" s="226">
        <f t="shared" si="0"/>
        <v>570.73749999999995</v>
      </c>
      <c r="G19" s="228">
        <v>15.4</v>
      </c>
      <c r="H19" s="227">
        <f t="shared" si="1"/>
        <v>92.4</v>
      </c>
      <c r="I19" s="208"/>
      <c r="J19" s="1"/>
      <c r="S19"/>
      <c r="T19"/>
    </row>
    <row r="20" spans="2:20" x14ac:dyDescent="0.45">
      <c r="B20" s="207"/>
      <c r="C20" s="224">
        <v>4</v>
      </c>
      <c r="D20" s="225">
        <f>E20*5280</f>
        <v>540695</v>
      </c>
      <c r="E20" s="226">
        <f>(540295+400)/5280</f>
        <v>102.40435606060606</v>
      </c>
      <c r="F20" s="226">
        <f t="shared" si="0"/>
        <v>409.61742424242425</v>
      </c>
      <c r="G20" s="228">
        <v>0</v>
      </c>
      <c r="H20" s="227">
        <f t="shared" si="1"/>
        <v>0</v>
      </c>
      <c r="I20" s="208"/>
      <c r="J20" s="1"/>
      <c r="S20"/>
      <c r="T20"/>
    </row>
    <row r="21" spans="2:20" x14ac:dyDescent="0.45">
      <c r="B21" s="207"/>
      <c r="C21" s="224">
        <v>3</v>
      </c>
      <c r="D21" s="225">
        <f t="shared" ref="D21:D22" si="3">E21*5280</f>
        <v>305688</v>
      </c>
      <c r="E21" s="226">
        <f>305688/5280</f>
        <v>57.895454545454548</v>
      </c>
      <c r="F21" s="226">
        <f t="shared" si="0"/>
        <v>173.68636363636364</v>
      </c>
      <c r="G21" s="228">
        <v>0</v>
      </c>
      <c r="H21" s="227">
        <f t="shared" si="1"/>
        <v>0</v>
      </c>
      <c r="I21" s="208"/>
      <c r="J21" s="1"/>
      <c r="S21"/>
      <c r="T21"/>
    </row>
    <row r="22" spans="2:20" x14ac:dyDescent="0.45">
      <c r="B22" s="207"/>
      <c r="C22" s="224">
        <v>2</v>
      </c>
      <c r="D22" s="225">
        <f t="shared" si="3"/>
        <v>6110</v>
      </c>
      <c r="E22" s="226">
        <f>6110/5280</f>
        <v>1.1571969696969697</v>
      </c>
      <c r="F22" s="226">
        <f t="shared" si="0"/>
        <v>2.3143939393939394</v>
      </c>
      <c r="G22" s="228">
        <v>0</v>
      </c>
      <c r="H22" s="227">
        <f t="shared" si="1"/>
        <v>0</v>
      </c>
      <c r="I22" s="208"/>
      <c r="J22" s="1"/>
      <c r="S22"/>
      <c r="T22"/>
    </row>
    <row r="23" spans="2:20" x14ac:dyDescent="0.45">
      <c r="B23" s="207"/>
      <c r="C23" s="224"/>
      <c r="D23" s="225"/>
      <c r="E23" s="229"/>
      <c r="F23" s="230"/>
      <c r="G23" s="228"/>
      <c r="H23" s="227"/>
      <c r="I23" s="208"/>
      <c r="J23" s="1"/>
      <c r="S23"/>
      <c r="T23"/>
    </row>
    <row r="24" spans="2:20" x14ac:dyDescent="0.45">
      <c r="B24" s="207"/>
      <c r="C24" s="224" t="s">
        <v>172</v>
      </c>
      <c r="D24" s="222">
        <f>SUM(D14:D23)</f>
        <v>2036649</v>
      </c>
      <c r="E24" s="227">
        <f>SUM(E14:E23)</f>
        <v>385.72897727272732</v>
      </c>
      <c r="F24" s="227">
        <f>SUM(F14:F23)</f>
        <v>2284.5454545454545</v>
      </c>
      <c r="G24" s="231">
        <f>SUM(G14:G23)</f>
        <v>83.9</v>
      </c>
      <c r="H24" s="227">
        <f>SUM(H14:H23)</f>
        <v>712.19999999999993</v>
      </c>
      <c r="I24" s="208"/>
      <c r="J24" s="1"/>
      <c r="S24"/>
      <c r="T24"/>
    </row>
    <row r="25" spans="2:20" x14ac:dyDescent="0.45">
      <c r="B25" s="207"/>
      <c r="C25" s="211"/>
      <c r="D25" s="211"/>
      <c r="E25" s="211"/>
      <c r="F25" s="232"/>
      <c r="G25" s="211"/>
      <c r="H25" s="211"/>
      <c r="I25" s="208"/>
      <c r="J25" s="1"/>
      <c r="S25"/>
      <c r="T25"/>
    </row>
    <row r="26" spans="2:20" x14ac:dyDescent="0.45">
      <c r="B26" s="207"/>
      <c r="C26" s="211"/>
      <c r="D26" s="211"/>
      <c r="E26" s="211"/>
      <c r="F26" s="211"/>
      <c r="G26" s="211"/>
      <c r="H26" s="211"/>
      <c r="I26" s="208"/>
      <c r="J26" s="218"/>
      <c r="K26" s="218"/>
      <c r="L26" s="218"/>
      <c r="M26" s="218"/>
      <c r="N26" s="218"/>
      <c r="O26" s="218"/>
      <c r="P26" s="218"/>
      <c r="Q26" s="218"/>
      <c r="R26" s="218"/>
      <c r="S26" s="233"/>
    </row>
    <row r="27" spans="2:20" x14ac:dyDescent="0.45">
      <c r="B27" s="207"/>
      <c r="C27" s="211"/>
      <c r="D27" s="211"/>
      <c r="E27" s="211"/>
      <c r="F27" s="211"/>
      <c r="G27" s="211"/>
      <c r="H27" s="211"/>
      <c r="I27" s="208"/>
      <c r="J27" s="218"/>
      <c r="K27" s="218"/>
      <c r="L27" s="218"/>
      <c r="M27" s="218"/>
      <c r="N27" s="218"/>
      <c r="O27" s="218"/>
      <c r="P27" s="218"/>
      <c r="Q27" s="218"/>
      <c r="R27" s="218"/>
      <c r="S27" s="233"/>
    </row>
    <row r="28" spans="2:20" x14ac:dyDescent="0.45">
      <c r="B28" s="207"/>
      <c r="C28" s="211"/>
      <c r="D28" s="212" t="s">
        <v>243</v>
      </c>
      <c r="E28" s="212"/>
      <c r="F28" s="212"/>
      <c r="G28" s="212"/>
      <c r="H28" s="211"/>
      <c r="I28" s="208"/>
      <c r="J28" s="218"/>
      <c r="K28" s="218"/>
      <c r="L28" s="218"/>
      <c r="M28" s="218"/>
      <c r="N28" s="218"/>
      <c r="O28" s="218"/>
      <c r="P28" s="218"/>
      <c r="Q28" s="218"/>
      <c r="R28" s="218"/>
      <c r="S28" s="233"/>
    </row>
    <row r="29" spans="2:20" x14ac:dyDescent="0.45">
      <c r="B29" s="207"/>
      <c r="C29" s="211"/>
      <c r="D29" s="214"/>
      <c r="E29" s="214"/>
      <c r="F29" s="214"/>
      <c r="G29" s="214"/>
      <c r="H29" s="211"/>
      <c r="I29" s="208"/>
      <c r="J29" s="218"/>
      <c r="K29" s="218"/>
      <c r="L29" s="218"/>
      <c r="M29" s="218"/>
      <c r="N29" s="218"/>
      <c r="O29" s="218"/>
      <c r="P29" s="218"/>
      <c r="Q29" s="218"/>
      <c r="R29" s="218"/>
      <c r="S29" s="233"/>
    </row>
    <row r="30" spans="2:20" x14ac:dyDescent="0.45">
      <c r="B30" s="207"/>
      <c r="C30" s="211"/>
      <c r="D30" s="211"/>
      <c r="E30" s="211"/>
      <c r="F30" s="219" t="s">
        <v>14</v>
      </c>
      <c r="G30" s="219"/>
      <c r="H30" s="211"/>
      <c r="I30" s="208"/>
      <c r="J30" s="218"/>
      <c r="K30" s="218"/>
      <c r="L30" s="218"/>
      <c r="M30" s="218"/>
      <c r="N30" s="218"/>
      <c r="O30" s="218"/>
      <c r="P30" s="218"/>
      <c r="Q30" s="218"/>
      <c r="R30" s="218"/>
      <c r="S30" s="233"/>
    </row>
    <row r="31" spans="2:20" x14ac:dyDescent="0.45">
      <c r="B31" s="207"/>
      <c r="C31" s="211"/>
      <c r="D31" s="211"/>
      <c r="E31" s="211"/>
      <c r="F31" s="219" t="s">
        <v>244</v>
      </c>
      <c r="G31" s="219" t="s">
        <v>245</v>
      </c>
      <c r="H31" s="211"/>
      <c r="I31" s="208"/>
      <c r="J31" s="218"/>
      <c r="K31" s="218"/>
      <c r="L31" s="218"/>
      <c r="M31" s="218"/>
      <c r="N31" s="218"/>
      <c r="O31" s="218"/>
      <c r="P31" s="218"/>
      <c r="Q31" s="218"/>
      <c r="R31" s="218"/>
      <c r="S31" s="233"/>
    </row>
    <row r="32" spans="2:20" x14ac:dyDescent="0.45">
      <c r="B32" s="207"/>
      <c r="C32" s="211"/>
      <c r="D32" s="211"/>
      <c r="E32" s="211"/>
      <c r="F32" s="211"/>
      <c r="G32" s="211"/>
      <c r="H32" s="211"/>
      <c r="I32" s="208"/>
      <c r="J32" s="218"/>
      <c r="K32" s="218"/>
      <c r="L32" s="218"/>
      <c r="M32" s="218"/>
      <c r="N32" s="218"/>
      <c r="O32" s="218"/>
      <c r="P32" s="218"/>
      <c r="Q32" s="218"/>
      <c r="R32" s="218"/>
      <c r="S32" s="233"/>
    </row>
    <row r="33" spans="2:19" x14ac:dyDescent="0.45">
      <c r="B33" s="207"/>
      <c r="C33" s="211"/>
      <c r="D33" s="234" t="s">
        <v>246</v>
      </c>
      <c r="E33" s="234"/>
      <c r="F33" s="338">
        <v>405018</v>
      </c>
      <c r="G33" s="234"/>
      <c r="H33" s="211"/>
      <c r="I33" s="208"/>
      <c r="J33" s="218"/>
      <c r="K33" s="218"/>
      <c r="L33" s="218"/>
      <c r="M33" s="218"/>
      <c r="N33" s="218"/>
      <c r="O33" s="218"/>
      <c r="P33" s="218"/>
      <c r="Q33" s="218"/>
      <c r="R33" s="218"/>
      <c r="S33" s="233"/>
    </row>
    <row r="34" spans="2:19" x14ac:dyDescent="0.45">
      <c r="B34" s="207"/>
      <c r="C34" s="211"/>
      <c r="D34" s="234" t="s">
        <v>247</v>
      </c>
      <c r="E34" s="234"/>
      <c r="F34" s="338">
        <f>90613+60985+1391</f>
        <v>152989</v>
      </c>
      <c r="G34" s="234"/>
      <c r="H34" s="211"/>
      <c r="I34" s="208"/>
      <c r="J34" s="218"/>
      <c r="K34" s="218"/>
      <c r="L34" s="218"/>
      <c r="M34" s="218"/>
      <c r="N34" s="218"/>
      <c r="O34" s="218"/>
      <c r="P34" s="218"/>
      <c r="Q34" s="218"/>
      <c r="R34" s="218"/>
      <c r="S34" s="233"/>
    </row>
    <row r="35" spans="2:19" x14ac:dyDescent="0.45">
      <c r="B35" s="207"/>
      <c r="C35" s="211"/>
      <c r="D35" s="234" t="s">
        <v>248</v>
      </c>
      <c r="E35" s="234"/>
      <c r="F35" s="338">
        <v>0</v>
      </c>
      <c r="G35" s="234"/>
      <c r="H35" s="211"/>
      <c r="I35" s="208"/>
      <c r="J35" s="218"/>
      <c r="K35" s="218"/>
      <c r="L35" s="218"/>
      <c r="M35" s="218"/>
      <c r="N35" s="218"/>
      <c r="O35" s="218"/>
      <c r="P35" s="218"/>
      <c r="Q35" s="218"/>
      <c r="R35" s="218"/>
      <c r="S35" s="233"/>
    </row>
    <row r="36" spans="2:19" x14ac:dyDescent="0.45">
      <c r="B36" s="207"/>
      <c r="C36" s="211"/>
      <c r="D36" s="234" t="s">
        <v>254</v>
      </c>
      <c r="E36" s="234"/>
      <c r="F36" s="338">
        <v>156462</v>
      </c>
      <c r="G36" s="234"/>
      <c r="H36" s="211"/>
      <c r="I36" s="208"/>
    </row>
    <row r="37" spans="2:19" x14ac:dyDescent="0.45">
      <c r="B37" s="207"/>
      <c r="C37" s="211"/>
      <c r="D37" s="234" t="s">
        <v>249</v>
      </c>
      <c r="E37" s="234"/>
      <c r="F37" s="338">
        <f>SUM(F34:F36)</f>
        <v>309451</v>
      </c>
      <c r="G37" s="234"/>
      <c r="H37" s="211"/>
      <c r="I37" s="208"/>
    </row>
    <row r="38" spans="2:19" x14ac:dyDescent="0.45">
      <c r="B38" s="207"/>
      <c r="C38" s="211"/>
      <c r="D38" s="234"/>
      <c r="E38" s="234"/>
      <c r="F38" s="338"/>
      <c r="G38" s="235"/>
      <c r="H38" s="211"/>
      <c r="I38" s="208"/>
    </row>
    <row r="39" spans="2:19" x14ac:dyDescent="0.45">
      <c r="B39" s="207"/>
      <c r="C39" s="211"/>
      <c r="D39" s="234" t="s">
        <v>250</v>
      </c>
      <c r="E39" s="234"/>
      <c r="F39" s="338">
        <v>34205</v>
      </c>
      <c r="G39" s="235">
        <f>F39/$F$33</f>
        <v>8.4453036655161004E-2</v>
      </c>
      <c r="H39" s="211"/>
      <c r="I39" s="208"/>
    </row>
    <row r="40" spans="2:19" x14ac:dyDescent="0.45">
      <c r="B40" s="207"/>
      <c r="C40" s="211"/>
      <c r="D40" s="234" t="s">
        <v>251</v>
      </c>
      <c r="E40" s="234"/>
      <c r="F40" s="338">
        <v>5033</v>
      </c>
      <c r="G40" s="235">
        <f>F40/$F$33</f>
        <v>1.2426608200129377E-2</v>
      </c>
      <c r="H40" s="211"/>
      <c r="I40" s="208"/>
    </row>
    <row r="41" spans="2:19" x14ac:dyDescent="0.45">
      <c r="B41" s="207"/>
      <c r="C41" s="211"/>
      <c r="D41" s="234" t="s">
        <v>252</v>
      </c>
      <c r="E41" s="234"/>
      <c r="F41" s="338">
        <f>7200+49025</f>
        <v>56225</v>
      </c>
      <c r="G41" s="235">
        <f>F41/$F$33</f>
        <v>0.13882099067201953</v>
      </c>
      <c r="H41" s="211"/>
      <c r="I41" s="208"/>
    </row>
    <row r="42" spans="2:19" x14ac:dyDescent="0.45">
      <c r="B42" s="207"/>
      <c r="C42" s="211"/>
      <c r="D42" s="234" t="s">
        <v>253</v>
      </c>
      <c r="E42" s="234"/>
      <c r="F42" s="338">
        <v>104</v>
      </c>
      <c r="G42" s="234"/>
      <c r="H42" s="211"/>
      <c r="I42" s="208"/>
      <c r="K42" s="236"/>
    </row>
    <row r="43" spans="2:19" x14ac:dyDescent="0.45">
      <c r="B43" s="237"/>
      <c r="C43" s="238"/>
      <c r="D43" s="238"/>
      <c r="E43" s="239"/>
      <c r="F43" s="238"/>
      <c r="G43" s="238"/>
      <c r="H43" s="238"/>
      <c r="I43" s="4"/>
    </row>
    <row r="44" spans="2:19" x14ac:dyDescent="0.45">
      <c r="D44" s="240"/>
    </row>
    <row r="45" spans="2:19" x14ac:dyDescent="0.45">
      <c r="F45" s="241"/>
    </row>
    <row r="46" spans="2:19" x14ac:dyDescent="0.45">
      <c r="F46" s="241"/>
    </row>
  </sheetData>
  <mergeCells count="2">
    <mergeCell ref="C3:H3"/>
    <mergeCell ref="C5:H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6C9-1EDF-4B49-B9E8-10C5A169D94F}">
  <sheetPr>
    <pageSetUpPr fitToPage="1"/>
  </sheetPr>
  <dimension ref="B2:M56"/>
  <sheetViews>
    <sheetView workbookViewId="0">
      <selection sqref="A1:K53"/>
    </sheetView>
  </sheetViews>
  <sheetFormatPr defaultColWidth="8.88671875" defaultRowHeight="14.25" x14ac:dyDescent="0.45"/>
  <cols>
    <col min="1" max="2" width="2.609375" style="358" customWidth="1"/>
    <col min="3" max="3" width="18.5546875" style="358" customWidth="1"/>
    <col min="4" max="8" width="9.77734375" style="358" customWidth="1"/>
    <col min="9" max="9" width="10.88671875" style="358" customWidth="1"/>
    <col min="10" max="11" width="2.609375" style="358" customWidth="1"/>
    <col min="12" max="12" width="9.6640625" style="358" customWidth="1"/>
    <col min="13" max="13" width="9.109375" style="358" bestFit="1" customWidth="1"/>
    <col min="14" max="16384" width="8.88671875" style="358"/>
  </cols>
  <sheetData>
    <row r="2" spans="2:12" ht="18" x14ac:dyDescent="0.55000000000000004">
      <c r="B2" s="365"/>
      <c r="C2" s="413" t="s">
        <v>359</v>
      </c>
      <c r="D2" s="413"/>
      <c r="E2" s="413"/>
      <c r="F2" s="413"/>
      <c r="G2" s="413"/>
      <c r="H2" s="413"/>
      <c r="I2" s="413"/>
      <c r="J2" s="366"/>
      <c r="K2" s="369"/>
    </row>
    <row r="3" spans="2:12" ht="18" x14ac:dyDescent="0.55000000000000004">
      <c r="B3" s="367"/>
      <c r="C3" s="414" t="s">
        <v>162</v>
      </c>
      <c r="D3" s="414"/>
      <c r="E3" s="414"/>
      <c r="F3" s="414"/>
      <c r="G3" s="414"/>
      <c r="H3" s="414"/>
      <c r="I3" s="414"/>
      <c r="J3" s="368"/>
      <c r="K3" s="369"/>
    </row>
    <row r="4" spans="2:12" x14ac:dyDescent="0.45">
      <c r="B4" s="367"/>
      <c r="C4" s="369"/>
      <c r="D4" s="369"/>
      <c r="E4" s="369"/>
      <c r="F4" s="369"/>
      <c r="G4" s="369"/>
      <c r="H4" s="369"/>
      <c r="I4" s="369"/>
      <c r="J4" s="368"/>
      <c r="K4" s="369"/>
    </row>
    <row r="5" spans="2:12" ht="16.5" hidden="1" x14ac:dyDescent="0.75">
      <c r="B5" s="367"/>
      <c r="C5" s="370" t="s">
        <v>280</v>
      </c>
      <c r="D5" s="369"/>
      <c r="E5" s="369"/>
      <c r="F5" s="369"/>
      <c r="G5" s="369"/>
      <c r="H5" s="369"/>
      <c r="I5" s="369"/>
      <c r="J5" s="368"/>
      <c r="K5" s="369"/>
    </row>
    <row r="6" spans="2:12" ht="16.5" hidden="1" x14ac:dyDescent="0.75">
      <c r="B6" s="367"/>
      <c r="C6" s="369"/>
      <c r="D6" s="371" t="s">
        <v>13</v>
      </c>
      <c r="E6" s="371" t="s">
        <v>281</v>
      </c>
      <c r="F6" s="371" t="s">
        <v>282</v>
      </c>
      <c r="G6" s="371" t="s">
        <v>283</v>
      </c>
      <c r="H6" s="371" t="s">
        <v>284</v>
      </c>
      <c r="I6" s="371" t="s">
        <v>285</v>
      </c>
      <c r="J6" s="372"/>
      <c r="K6" s="371"/>
    </row>
    <row r="7" spans="2:12" hidden="1" x14ac:dyDescent="0.45">
      <c r="B7" s="367"/>
      <c r="C7" s="369" t="s">
        <v>286</v>
      </c>
      <c r="D7" s="373">
        <f>SAO!D16</f>
        <v>455364</v>
      </c>
      <c r="E7" s="373"/>
      <c r="F7" s="373">
        <f>68305+68305</f>
        <v>136610</v>
      </c>
      <c r="G7" s="373">
        <f>68305+68305</f>
        <v>136610</v>
      </c>
      <c r="H7" s="373">
        <v>103144</v>
      </c>
      <c r="I7" s="373">
        <v>79000</v>
      </c>
      <c r="J7" s="374"/>
      <c r="K7" s="373"/>
      <c r="L7" s="358">
        <f>SUM(E7:I7)</f>
        <v>455364</v>
      </c>
    </row>
    <row r="8" spans="2:12" hidden="1" x14ac:dyDescent="0.45">
      <c r="B8" s="367"/>
      <c r="C8" s="375" t="s">
        <v>287</v>
      </c>
      <c r="D8" s="373"/>
      <c r="E8" s="376">
        <f>E7/$D7</f>
        <v>0</v>
      </c>
      <c r="F8" s="376">
        <f>F7/$D7</f>
        <v>0.30000175683628921</v>
      </c>
      <c r="G8" s="376">
        <f>G7/$D7</f>
        <v>0.30000175683628921</v>
      </c>
      <c r="H8" s="376">
        <f>H7/$D7</f>
        <v>0.22650890276789556</v>
      </c>
      <c r="I8" s="376">
        <f>I7/$D7</f>
        <v>0.17348758355952601</v>
      </c>
      <c r="J8" s="374"/>
      <c r="K8" s="373"/>
      <c r="L8" s="360">
        <f>SUM(E8:I8)</f>
        <v>1</v>
      </c>
    </row>
    <row r="9" spans="2:12" hidden="1" x14ac:dyDescent="0.45">
      <c r="B9" s="367"/>
      <c r="C9" s="369" t="s">
        <v>288</v>
      </c>
      <c r="D9" s="373">
        <f>SAO!D18</f>
        <v>17400</v>
      </c>
      <c r="E9" s="373"/>
      <c r="F9" s="373"/>
      <c r="G9" s="373"/>
      <c r="H9" s="373"/>
      <c r="I9" s="373">
        <v>17400</v>
      </c>
      <c r="J9" s="374"/>
      <c r="K9" s="373"/>
      <c r="L9" s="358">
        <f>SUM(E9:I9)</f>
        <v>17400</v>
      </c>
    </row>
    <row r="10" spans="2:12" hidden="1" x14ac:dyDescent="0.45">
      <c r="B10" s="367"/>
      <c r="C10" s="369" t="s">
        <v>289</v>
      </c>
      <c r="D10" s="373">
        <f>SAO!D19</f>
        <v>203125</v>
      </c>
      <c r="E10" s="373">
        <f>$D$10*E8</f>
        <v>0</v>
      </c>
      <c r="F10" s="373">
        <f t="shared" ref="F10:I10" si="0">$D$10*F8</f>
        <v>60937.856857371247</v>
      </c>
      <c r="G10" s="373">
        <f t="shared" si="0"/>
        <v>60937.856857371247</v>
      </c>
      <c r="H10" s="373">
        <f t="shared" si="0"/>
        <v>46009.620874728789</v>
      </c>
      <c r="I10" s="373">
        <f t="shared" si="0"/>
        <v>35239.665410528723</v>
      </c>
      <c r="J10" s="368"/>
      <c r="K10" s="369"/>
      <c r="L10" s="359">
        <f>SUM(E10:I10)</f>
        <v>203125</v>
      </c>
    </row>
    <row r="11" spans="2:12" hidden="1" x14ac:dyDescent="0.45">
      <c r="B11" s="367"/>
      <c r="C11" s="369" t="s">
        <v>290</v>
      </c>
      <c r="D11" s="373">
        <v>0</v>
      </c>
      <c r="E11" s="373"/>
      <c r="F11" s="373"/>
      <c r="G11" s="373"/>
      <c r="H11" s="373"/>
      <c r="I11" s="373"/>
      <c r="J11" s="374"/>
      <c r="K11" s="373"/>
      <c r="L11" s="358">
        <f t="shared" ref="L11:L28" si="1">SUM(E11:I11)</f>
        <v>0</v>
      </c>
    </row>
    <row r="12" spans="2:12" hidden="1" x14ac:dyDescent="0.45">
      <c r="B12" s="367"/>
      <c r="C12" s="369" t="s">
        <v>291</v>
      </c>
      <c r="D12" s="373">
        <f>SAO!D23</f>
        <v>206032</v>
      </c>
      <c r="E12" s="373">
        <v>37086</v>
      </c>
      <c r="F12" s="373">
        <v>127328</v>
      </c>
      <c r="G12" s="373">
        <v>35025</v>
      </c>
      <c r="H12" s="373"/>
      <c r="I12" s="373">
        <v>6593</v>
      </c>
      <c r="J12" s="374"/>
      <c r="K12" s="373"/>
      <c r="L12" s="358">
        <f t="shared" si="1"/>
        <v>206032</v>
      </c>
    </row>
    <row r="13" spans="2:12" hidden="1" x14ac:dyDescent="0.45">
      <c r="B13" s="367"/>
      <c r="C13" s="369" t="s">
        <v>75</v>
      </c>
      <c r="D13" s="373">
        <f>SAO!D24</f>
        <v>417020</v>
      </c>
      <c r="E13" s="373"/>
      <c r="F13" s="373">
        <f>D13</f>
        <v>417020</v>
      </c>
      <c r="G13" s="373"/>
      <c r="H13" s="373"/>
      <c r="I13" s="373"/>
      <c r="J13" s="374"/>
      <c r="K13" s="373"/>
      <c r="L13" s="358">
        <f t="shared" si="1"/>
        <v>417020</v>
      </c>
    </row>
    <row r="14" spans="2:12" hidden="1" x14ac:dyDescent="0.45">
      <c r="B14" s="367"/>
      <c r="C14" s="369" t="s">
        <v>292</v>
      </c>
      <c r="D14" s="373">
        <f>SAO!D25</f>
        <v>201513</v>
      </c>
      <c r="E14" s="373"/>
      <c r="F14" s="373">
        <v>115879</v>
      </c>
      <c r="G14" s="373">
        <v>62714</v>
      </c>
      <c r="H14" s="373">
        <v>20024</v>
      </c>
      <c r="I14" s="373">
        <v>2896</v>
      </c>
      <c r="J14" s="374"/>
      <c r="K14" s="373"/>
      <c r="L14" s="358">
        <f t="shared" si="1"/>
        <v>201513</v>
      </c>
    </row>
    <row r="15" spans="2:12" hidden="1" x14ac:dyDescent="0.45">
      <c r="B15" s="367"/>
      <c r="C15" s="369"/>
      <c r="D15" s="373"/>
      <c r="E15" s="377">
        <f>E14/$D$14</f>
        <v>0</v>
      </c>
      <c r="F15" s="377">
        <f t="shared" ref="F15:I15" si="2">F14/$D$14</f>
        <v>0.57504478619245414</v>
      </c>
      <c r="G15" s="377">
        <f t="shared" si="2"/>
        <v>0.31121565358066228</v>
      </c>
      <c r="H15" s="377">
        <f t="shared" si="2"/>
        <v>9.936827896959502E-2</v>
      </c>
      <c r="I15" s="377">
        <f t="shared" si="2"/>
        <v>1.4371281257288612E-2</v>
      </c>
      <c r="J15" s="374"/>
      <c r="K15" s="373"/>
      <c r="L15" s="361">
        <f>SUM(E15:I15)</f>
        <v>1</v>
      </c>
    </row>
    <row r="16" spans="2:12" hidden="1" x14ac:dyDescent="0.45">
      <c r="B16" s="367"/>
      <c r="C16" s="369" t="s">
        <v>293</v>
      </c>
      <c r="D16" s="373">
        <v>10500</v>
      </c>
      <c r="E16" s="373"/>
      <c r="F16" s="373"/>
      <c r="G16" s="373"/>
      <c r="H16" s="373"/>
      <c r="I16" s="373">
        <v>10500</v>
      </c>
      <c r="J16" s="374"/>
      <c r="K16" s="373"/>
      <c r="L16" s="358">
        <f t="shared" si="1"/>
        <v>10500</v>
      </c>
    </row>
    <row r="17" spans="2:13" hidden="1" x14ac:dyDescent="0.45">
      <c r="B17" s="367"/>
      <c r="C17" s="369" t="s">
        <v>294</v>
      </c>
      <c r="D17" s="373">
        <v>0</v>
      </c>
      <c r="E17" s="373"/>
      <c r="F17" s="373"/>
      <c r="G17" s="373"/>
      <c r="H17" s="373"/>
      <c r="I17" s="373"/>
      <c r="J17" s="374"/>
      <c r="K17" s="373"/>
      <c r="L17" s="358">
        <f t="shared" si="1"/>
        <v>0</v>
      </c>
    </row>
    <row r="18" spans="2:13" hidden="1" x14ac:dyDescent="0.45">
      <c r="B18" s="367"/>
      <c r="C18" s="369" t="s">
        <v>295</v>
      </c>
      <c r="D18" s="373">
        <v>7125</v>
      </c>
      <c r="E18" s="373"/>
      <c r="F18" s="373"/>
      <c r="G18" s="373">
        <f>D18</f>
        <v>7125</v>
      </c>
      <c r="H18" s="373"/>
      <c r="I18" s="373"/>
      <c r="J18" s="374"/>
      <c r="K18" s="373"/>
      <c r="L18" s="358">
        <f t="shared" si="1"/>
        <v>7125</v>
      </c>
    </row>
    <row r="19" spans="2:13" hidden="1" x14ac:dyDescent="0.45">
      <c r="B19" s="367"/>
      <c r="C19" s="369" t="s">
        <v>296</v>
      </c>
      <c r="D19" s="373">
        <f>SAO!D27</f>
        <v>342</v>
      </c>
      <c r="E19" s="373"/>
      <c r="F19" s="373"/>
      <c r="G19" s="373">
        <f>D19</f>
        <v>342</v>
      </c>
      <c r="H19" s="373"/>
      <c r="I19" s="373"/>
      <c r="J19" s="374"/>
      <c r="K19" s="373"/>
      <c r="L19" s="358">
        <f t="shared" si="1"/>
        <v>342</v>
      </c>
    </row>
    <row r="20" spans="2:13" hidden="1" x14ac:dyDescent="0.45">
      <c r="B20" s="367"/>
      <c r="C20" s="369" t="s">
        <v>297</v>
      </c>
      <c r="D20" s="373">
        <f>SAO!D28</f>
        <v>31286</v>
      </c>
      <c r="E20" s="373"/>
      <c r="F20" s="373"/>
      <c r="G20" s="373">
        <f>D20</f>
        <v>31286</v>
      </c>
      <c r="H20" s="373"/>
      <c r="I20" s="373"/>
      <c r="J20" s="374"/>
      <c r="K20" s="373"/>
      <c r="L20" s="358">
        <f t="shared" si="1"/>
        <v>31286</v>
      </c>
    </row>
    <row r="21" spans="2:13" hidden="1" x14ac:dyDescent="0.45">
      <c r="B21" s="367"/>
      <c r="C21" s="369" t="s">
        <v>298</v>
      </c>
      <c r="D21" s="373">
        <v>0</v>
      </c>
      <c r="E21" s="373"/>
      <c r="F21" s="373"/>
      <c r="G21" s="373"/>
      <c r="H21" s="373"/>
      <c r="I21" s="373"/>
      <c r="J21" s="374"/>
      <c r="K21" s="373"/>
      <c r="L21" s="358">
        <f t="shared" si="1"/>
        <v>0</v>
      </c>
    </row>
    <row r="22" spans="2:13" hidden="1" x14ac:dyDescent="0.45">
      <c r="B22" s="367"/>
      <c r="C22" s="369" t="s">
        <v>299</v>
      </c>
      <c r="D22" s="373">
        <v>15613</v>
      </c>
      <c r="E22" s="373"/>
      <c r="F22" s="373"/>
      <c r="G22" s="373"/>
      <c r="H22" s="373"/>
      <c r="I22" s="373">
        <f>D22</f>
        <v>15613</v>
      </c>
      <c r="J22" s="374"/>
      <c r="K22" s="373"/>
      <c r="L22" s="358">
        <f t="shared" si="1"/>
        <v>15613</v>
      </c>
    </row>
    <row r="23" spans="2:13" hidden="1" x14ac:dyDescent="0.45">
      <c r="B23" s="367"/>
      <c r="C23" s="369" t="s">
        <v>300</v>
      </c>
      <c r="D23" s="373">
        <v>2904</v>
      </c>
      <c r="E23" s="373"/>
      <c r="F23" s="373"/>
      <c r="G23" s="373"/>
      <c r="H23" s="373"/>
      <c r="I23" s="373">
        <f>D23</f>
        <v>2904</v>
      </c>
      <c r="J23" s="374"/>
      <c r="K23" s="373"/>
      <c r="L23" s="358">
        <f t="shared" si="1"/>
        <v>2904</v>
      </c>
    </row>
    <row r="24" spans="2:13" hidden="1" x14ac:dyDescent="0.45">
      <c r="B24" s="367"/>
      <c r="C24" s="369" t="s">
        <v>301</v>
      </c>
      <c r="D24" s="373">
        <f>SAO!D30</f>
        <v>346</v>
      </c>
      <c r="E24" s="373"/>
      <c r="F24" s="373"/>
      <c r="G24" s="373"/>
      <c r="H24" s="373"/>
      <c r="I24" s="373">
        <f>D24</f>
        <v>346</v>
      </c>
      <c r="J24" s="374"/>
      <c r="K24" s="373"/>
      <c r="L24" s="358">
        <f t="shared" si="1"/>
        <v>346</v>
      </c>
    </row>
    <row r="25" spans="2:13" hidden="1" x14ac:dyDescent="0.45">
      <c r="B25" s="367"/>
      <c r="C25" s="378" t="s">
        <v>307</v>
      </c>
      <c r="D25" s="373">
        <f>SAO!D31</f>
        <v>737</v>
      </c>
      <c r="E25" s="373"/>
      <c r="F25" s="373"/>
      <c r="G25" s="373"/>
      <c r="H25" s="373"/>
      <c r="I25" s="373">
        <f>D25</f>
        <v>737</v>
      </c>
      <c r="J25" s="374"/>
      <c r="K25" s="373"/>
      <c r="L25" s="358">
        <f t="shared" si="1"/>
        <v>737</v>
      </c>
    </row>
    <row r="26" spans="2:13" hidden="1" x14ac:dyDescent="0.45">
      <c r="B26" s="367"/>
      <c r="C26" s="369" t="s">
        <v>61</v>
      </c>
      <c r="D26" s="373">
        <f>SAO!D32</f>
        <v>1237</v>
      </c>
      <c r="E26" s="373"/>
      <c r="F26" s="373"/>
      <c r="G26" s="373"/>
      <c r="H26" s="373">
        <f>D26</f>
        <v>1237</v>
      </c>
      <c r="I26" s="373"/>
      <c r="J26" s="374"/>
      <c r="K26" s="373"/>
      <c r="L26" s="358">
        <f t="shared" si="1"/>
        <v>1237</v>
      </c>
    </row>
    <row r="27" spans="2:13" ht="16.5" hidden="1" x14ac:dyDescent="0.75">
      <c r="B27" s="367"/>
      <c r="C27" s="369" t="s">
        <v>303</v>
      </c>
      <c r="D27" s="379">
        <v>26706</v>
      </c>
      <c r="E27" s="379">
        <v>0</v>
      </c>
      <c r="F27" s="379">
        <v>0</v>
      </c>
      <c r="G27" s="379">
        <v>11421</v>
      </c>
      <c r="H27" s="379">
        <v>0</v>
      </c>
      <c r="I27" s="379">
        <f>2646+12638+1</f>
        <v>15285</v>
      </c>
      <c r="J27" s="380">
        <v>0</v>
      </c>
      <c r="K27" s="379"/>
      <c r="L27" s="362">
        <f t="shared" si="1"/>
        <v>26706</v>
      </c>
    </row>
    <row r="28" spans="2:13" hidden="1" x14ac:dyDescent="0.45">
      <c r="B28" s="367"/>
      <c r="C28" s="369" t="s">
        <v>55</v>
      </c>
      <c r="D28" s="373">
        <f t="shared" ref="D28:I28" si="3">SUM(D7:D27)</f>
        <v>1597250</v>
      </c>
      <c r="E28" s="373">
        <f t="shared" si="3"/>
        <v>37086</v>
      </c>
      <c r="F28" s="373">
        <f t="shared" si="3"/>
        <v>857775.73190391425</v>
      </c>
      <c r="G28" s="373">
        <f t="shared" si="3"/>
        <v>345461.4680747817</v>
      </c>
      <c r="H28" s="373">
        <f t="shared" si="3"/>
        <v>170414.94675191052</v>
      </c>
      <c r="I28" s="373">
        <f t="shared" si="3"/>
        <v>186513.85326939353</v>
      </c>
      <c r="J28" s="374">
        <f>SUM(E28:I28)</f>
        <v>1597252</v>
      </c>
      <c r="K28" s="373"/>
      <c r="L28" s="358">
        <f t="shared" si="1"/>
        <v>1597252</v>
      </c>
    </row>
    <row r="29" spans="2:13" hidden="1" x14ac:dyDescent="0.45">
      <c r="B29" s="367"/>
      <c r="C29" s="369"/>
      <c r="D29" s="369"/>
      <c r="E29" s="369"/>
      <c r="F29" s="369"/>
      <c r="G29" s="369"/>
      <c r="H29" s="369"/>
      <c r="I29" s="369"/>
      <c r="J29" s="368"/>
      <c r="K29" s="369"/>
    </row>
    <row r="30" spans="2:13" ht="16.5" hidden="1" x14ac:dyDescent="0.75">
      <c r="B30" s="367"/>
      <c r="C30" s="370" t="s">
        <v>304</v>
      </c>
      <c r="D30" s="369"/>
      <c r="E30" s="369"/>
      <c r="F30" s="369"/>
      <c r="G30" s="369"/>
      <c r="H30" s="369"/>
      <c r="I30" s="369"/>
      <c r="J30" s="368"/>
      <c r="K30" s="369"/>
    </row>
    <row r="31" spans="2:13" ht="16.5" x14ac:dyDescent="0.75">
      <c r="B31" s="367"/>
      <c r="C31" s="369"/>
      <c r="D31" s="371" t="s">
        <v>13</v>
      </c>
      <c r="E31" s="371" t="s">
        <v>281</v>
      </c>
      <c r="F31" s="371" t="s">
        <v>282</v>
      </c>
      <c r="G31" s="371" t="s">
        <v>283</v>
      </c>
      <c r="H31" s="371" t="s">
        <v>284</v>
      </c>
      <c r="I31" s="371" t="s">
        <v>285</v>
      </c>
      <c r="J31" s="372"/>
      <c r="K31" s="371"/>
      <c r="L31" s="363" t="s">
        <v>344</v>
      </c>
      <c r="M31" s="363" t="s">
        <v>336</v>
      </c>
    </row>
    <row r="32" spans="2:13" x14ac:dyDescent="0.45">
      <c r="B32" s="367"/>
      <c r="C32" s="369" t="s">
        <v>286</v>
      </c>
      <c r="D32" s="369">
        <f>SAO!H17</f>
        <v>518224.77925000002</v>
      </c>
      <c r="E32" s="373">
        <f>$D32*E$8</f>
        <v>0</v>
      </c>
      <c r="F32" s="373">
        <f t="shared" ref="F32:I34" si="4">$D32*F$8</f>
        <v>155468.34421109816</v>
      </c>
      <c r="G32" s="373">
        <f t="shared" si="4"/>
        <v>155468.34421109816</v>
      </c>
      <c r="H32" s="373">
        <f t="shared" si="4"/>
        <v>117382.52613505239</v>
      </c>
      <c r="I32" s="373">
        <f t="shared" si="4"/>
        <v>89905.564692751301</v>
      </c>
      <c r="J32" s="374"/>
      <c r="K32" s="373"/>
      <c r="L32" s="358">
        <f t="shared" ref="L32:L42" si="5">SUM(E32:I32)</f>
        <v>518224.77925000002</v>
      </c>
      <c r="M32" s="358">
        <f>D32-L32</f>
        <v>0</v>
      </c>
    </row>
    <row r="33" spans="2:13" x14ac:dyDescent="0.45">
      <c r="B33" s="367"/>
      <c r="C33" s="369" t="s">
        <v>288</v>
      </c>
      <c r="D33" s="369">
        <f>SAO!H18</f>
        <v>17400</v>
      </c>
      <c r="E33" s="373"/>
      <c r="F33" s="373"/>
      <c r="G33" s="373"/>
      <c r="H33" s="373"/>
      <c r="I33" s="373">
        <f>D33</f>
        <v>17400</v>
      </c>
      <c r="J33" s="374"/>
      <c r="K33" s="373"/>
      <c r="L33" s="358">
        <f>SUM(E33:I33)</f>
        <v>17400</v>
      </c>
      <c r="M33" s="358">
        <f t="shared" ref="M33:M50" si="6">D33-L33</f>
        <v>0</v>
      </c>
    </row>
    <row r="34" spans="2:13" x14ac:dyDescent="0.45">
      <c r="B34" s="367"/>
      <c r="C34" s="369" t="s">
        <v>305</v>
      </c>
      <c r="D34" s="369">
        <f>SAO!H21</f>
        <v>286578.12569267501</v>
      </c>
      <c r="E34" s="373">
        <f>$D34*E$8</f>
        <v>0</v>
      </c>
      <c r="F34" s="373">
        <f t="shared" si="4"/>
        <v>85973.941178653418</v>
      </c>
      <c r="G34" s="373">
        <f t="shared" si="4"/>
        <v>85973.941178653418</v>
      </c>
      <c r="H34" s="373">
        <f t="shared" si="4"/>
        <v>64912.496807927877</v>
      </c>
      <c r="I34" s="373">
        <f t="shared" si="4"/>
        <v>49717.7465274403</v>
      </c>
      <c r="J34" s="374"/>
      <c r="K34" s="373"/>
      <c r="L34" s="358">
        <f t="shared" ref="L34" si="7">SUM(E34:I34)</f>
        <v>286578.12569267501</v>
      </c>
      <c r="M34" s="358">
        <f t="shared" si="6"/>
        <v>0</v>
      </c>
    </row>
    <row r="35" spans="2:13" x14ac:dyDescent="0.45">
      <c r="B35" s="367"/>
      <c r="C35" s="369" t="s">
        <v>290</v>
      </c>
      <c r="D35" s="369">
        <f t="shared" ref="D35:I35" si="8">D11</f>
        <v>0</v>
      </c>
      <c r="E35" s="373">
        <f t="shared" si="8"/>
        <v>0</v>
      </c>
      <c r="F35" s="373">
        <f t="shared" si="8"/>
        <v>0</v>
      </c>
      <c r="G35" s="373">
        <f t="shared" si="8"/>
        <v>0</v>
      </c>
      <c r="H35" s="373">
        <f t="shared" si="8"/>
        <v>0</v>
      </c>
      <c r="I35" s="373">
        <f t="shared" si="8"/>
        <v>0</v>
      </c>
      <c r="J35" s="374"/>
      <c r="K35" s="373"/>
      <c r="L35" s="358">
        <f>SUM(E35:I35)</f>
        <v>0</v>
      </c>
      <c r="M35" s="358">
        <f t="shared" si="6"/>
        <v>0</v>
      </c>
    </row>
    <row r="36" spans="2:13" x14ac:dyDescent="0.45">
      <c r="B36" s="367"/>
      <c r="C36" s="369" t="s">
        <v>291</v>
      </c>
      <c r="D36" s="369">
        <f>SAO!H23</f>
        <v>206032</v>
      </c>
      <c r="E36" s="373">
        <f t="shared" ref="E36:I37" si="9">E12</f>
        <v>37086</v>
      </c>
      <c r="F36" s="373">
        <f t="shared" si="9"/>
        <v>127328</v>
      </c>
      <c r="G36" s="373">
        <f t="shared" si="9"/>
        <v>35025</v>
      </c>
      <c r="H36" s="373">
        <f t="shared" si="9"/>
        <v>0</v>
      </c>
      <c r="I36" s="373">
        <f t="shared" si="9"/>
        <v>6593</v>
      </c>
      <c r="J36" s="374"/>
      <c r="K36" s="373"/>
      <c r="L36" s="358">
        <f t="shared" ref="L36:L41" si="10">SUM(E36:I36)</f>
        <v>206032</v>
      </c>
      <c r="M36" s="358">
        <f t="shared" si="6"/>
        <v>0</v>
      </c>
    </row>
    <row r="37" spans="2:13" x14ac:dyDescent="0.45">
      <c r="B37" s="367"/>
      <c r="C37" s="369" t="s">
        <v>75</v>
      </c>
      <c r="D37" s="369">
        <f>SAO!H24</f>
        <v>417020</v>
      </c>
      <c r="E37" s="373">
        <f t="shared" si="9"/>
        <v>0</v>
      </c>
      <c r="F37" s="373">
        <f>D37</f>
        <v>417020</v>
      </c>
      <c r="G37" s="373">
        <f t="shared" si="9"/>
        <v>0</v>
      </c>
      <c r="H37" s="373">
        <f t="shared" si="9"/>
        <v>0</v>
      </c>
      <c r="I37" s="373">
        <f t="shared" si="9"/>
        <v>0</v>
      </c>
      <c r="J37" s="374"/>
      <c r="K37" s="373"/>
      <c r="L37" s="358">
        <f t="shared" si="10"/>
        <v>417020</v>
      </c>
      <c r="M37" s="358">
        <f t="shared" si="6"/>
        <v>0</v>
      </c>
    </row>
    <row r="38" spans="2:13" x14ac:dyDescent="0.45">
      <c r="B38" s="367"/>
      <c r="C38" s="369" t="s">
        <v>292</v>
      </c>
      <c r="D38" s="369">
        <f>SAO!H25</f>
        <v>193113</v>
      </c>
      <c r="E38" s="373">
        <f>$D$38*E15</f>
        <v>0</v>
      </c>
      <c r="F38" s="373">
        <f>$D$38*F15</f>
        <v>111048.6237959834</v>
      </c>
      <c r="G38" s="373">
        <f>$D$38*G15</f>
        <v>60099.788509922437</v>
      </c>
      <c r="H38" s="373">
        <f>$D$38*H15</f>
        <v>19189.306456655402</v>
      </c>
      <c r="I38" s="373">
        <f>$D$38*I15</f>
        <v>2775.2812374387759</v>
      </c>
      <c r="J38" s="374"/>
      <c r="K38" s="373"/>
      <c r="L38" s="358">
        <f t="shared" si="10"/>
        <v>193113.00000000003</v>
      </c>
      <c r="M38" s="358">
        <f t="shared" si="6"/>
        <v>0</v>
      </c>
    </row>
    <row r="39" spans="2:13" x14ac:dyDescent="0.45">
      <c r="B39" s="367"/>
      <c r="C39" s="369" t="s">
        <v>293</v>
      </c>
      <c r="D39" s="369">
        <v>10500</v>
      </c>
      <c r="E39" s="373">
        <f t="shared" ref="E39:I50" si="11">E16</f>
        <v>0</v>
      </c>
      <c r="F39" s="373">
        <f t="shared" si="11"/>
        <v>0</v>
      </c>
      <c r="G39" s="373">
        <f t="shared" si="11"/>
        <v>0</v>
      </c>
      <c r="H39" s="373">
        <f t="shared" si="11"/>
        <v>0</v>
      </c>
      <c r="I39" s="373">
        <f t="shared" si="11"/>
        <v>10500</v>
      </c>
      <c r="J39" s="374"/>
      <c r="K39" s="373"/>
      <c r="L39" s="358">
        <f t="shared" si="10"/>
        <v>10500</v>
      </c>
      <c r="M39" s="358">
        <f t="shared" si="6"/>
        <v>0</v>
      </c>
    </row>
    <row r="40" spans="2:13" x14ac:dyDescent="0.45">
      <c r="B40" s="367"/>
      <c r="C40" s="369" t="s">
        <v>294</v>
      </c>
      <c r="D40" s="369">
        <f>D17</f>
        <v>0</v>
      </c>
      <c r="E40" s="373">
        <f t="shared" si="11"/>
        <v>0</v>
      </c>
      <c r="F40" s="373">
        <f t="shared" si="11"/>
        <v>0</v>
      </c>
      <c r="G40" s="373">
        <f t="shared" si="11"/>
        <v>0</v>
      </c>
      <c r="H40" s="373">
        <f t="shared" si="11"/>
        <v>0</v>
      </c>
      <c r="I40" s="373">
        <f t="shared" si="11"/>
        <v>0</v>
      </c>
      <c r="J40" s="374"/>
      <c r="K40" s="373"/>
      <c r="L40" s="358">
        <f t="shared" si="10"/>
        <v>0</v>
      </c>
      <c r="M40" s="358">
        <f t="shared" si="6"/>
        <v>0</v>
      </c>
    </row>
    <row r="41" spans="2:13" x14ac:dyDescent="0.45">
      <c r="B41" s="367"/>
      <c r="C41" s="369" t="s">
        <v>295</v>
      </c>
      <c r="D41" s="369">
        <f>D18</f>
        <v>7125</v>
      </c>
      <c r="E41" s="373">
        <f t="shared" si="11"/>
        <v>0</v>
      </c>
      <c r="F41" s="373">
        <f t="shared" si="11"/>
        <v>0</v>
      </c>
      <c r="G41" s="373">
        <f t="shared" si="11"/>
        <v>7125</v>
      </c>
      <c r="H41" s="373">
        <f t="shared" si="11"/>
        <v>0</v>
      </c>
      <c r="I41" s="373">
        <f t="shared" si="11"/>
        <v>0</v>
      </c>
      <c r="J41" s="374"/>
      <c r="K41" s="373"/>
      <c r="L41" s="358">
        <f t="shared" si="10"/>
        <v>7125</v>
      </c>
      <c r="M41" s="358">
        <f t="shared" si="6"/>
        <v>0</v>
      </c>
    </row>
    <row r="42" spans="2:13" x14ac:dyDescent="0.45">
      <c r="B42" s="367"/>
      <c r="C42" s="369" t="s">
        <v>296</v>
      </c>
      <c r="D42" s="369">
        <f>SAO!H27</f>
        <v>342</v>
      </c>
      <c r="E42" s="373">
        <f t="shared" si="11"/>
        <v>0</v>
      </c>
      <c r="F42" s="373">
        <f t="shared" si="11"/>
        <v>0</v>
      </c>
      <c r="G42" s="373">
        <f t="shared" si="11"/>
        <v>342</v>
      </c>
      <c r="H42" s="373">
        <f t="shared" si="11"/>
        <v>0</v>
      </c>
      <c r="I42" s="373">
        <f t="shared" si="11"/>
        <v>0</v>
      </c>
      <c r="J42" s="374"/>
      <c r="K42" s="373"/>
      <c r="L42" s="358">
        <f t="shared" si="5"/>
        <v>342</v>
      </c>
      <c r="M42" s="358">
        <f t="shared" si="6"/>
        <v>0</v>
      </c>
    </row>
    <row r="43" spans="2:13" x14ac:dyDescent="0.45">
      <c r="B43" s="367"/>
      <c r="C43" s="369" t="s">
        <v>297</v>
      </c>
      <c r="D43" s="369">
        <f>SAO!H28</f>
        <v>31286</v>
      </c>
      <c r="E43" s="373">
        <f t="shared" si="11"/>
        <v>0</v>
      </c>
      <c r="F43" s="373">
        <f t="shared" si="11"/>
        <v>0</v>
      </c>
      <c r="G43" s="373">
        <f t="shared" si="11"/>
        <v>31286</v>
      </c>
      <c r="H43" s="373">
        <f t="shared" si="11"/>
        <v>0</v>
      </c>
      <c r="I43" s="373">
        <f t="shared" si="11"/>
        <v>0</v>
      </c>
      <c r="J43" s="374"/>
      <c r="K43" s="373"/>
      <c r="L43" s="358">
        <f t="shared" ref="L43:L50" si="12">SUM(E43:I43)</f>
        <v>31286</v>
      </c>
      <c r="M43" s="358">
        <f t="shared" si="6"/>
        <v>0</v>
      </c>
    </row>
    <row r="44" spans="2:13" x14ac:dyDescent="0.45">
      <c r="B44" s="367"/>
      <c r="C44" s="369" t="s">
        <v>298</v>
      </c>
      <c r="D44" s="369">
        <f t="shared" ref="D44:D48" si="13">D21</f>
        <v>0</v>
      </c>
      <c r="E44" s="373">
        <f t="shared" si="11"/>
        <v>0</v>
      </c>
      <c r="F44" s="373">
        <f t="shared" si="11"/>
        <v>0</v>
      </c>
      <c r="G44" s="373">
        <f t="shared" si="11"/>
        <v>0</v>
      </c>
      <c r="H44" s="373">
        <f t="shared" si="11"/>
        <v>0</v>
      </c>
      <c r="I44" s="373">
        <f t="shared" si="11"/>
        <v>0</v>
      </c>
      <c r="J44" s="374"/>
      <c r="K44" s="373"/>
      <c r="L44" s="358">
        <f t="shared" si="12"/>
        <v>0</v>
      </c>
      <c r="M44" s="358">
        <f t="shared" si="6"/>
        <v>0</v>
      </c>
    </row>
    <row r="45" spans="2:13" x14ac:dyDescent="0.45">
      <c r="B45" s="367"/>
      <c r="C45" s="369" t="s">
        <v>299</v>
      </c>
      <c r="D45" s="369">
        <f t="shared" si="13"/>
        <v>15613</v>
      </c>
      <c r="E45" s="373">
        <f t="shared" si="11"/>
        <v>0</v>
      </c>
      <c r="F45" s="373">
        <f t="shared" si="11"/>
        <v>0</v>
      </c>
      <c r="G45" s="373">
        <f t="shared" si="11"/>
        <v>0</v>
      </c>
      <c r="H45" s="373">
        <f t="shared" si="11"/>
        <v>0</v>
      </c>
      <c r="I45" s="373">
        <f t="shared" si="11"/>
        <v>15613</v>
      </c>
      <c r="J45" s="374"/>
      <c r="K45" s="373"/>
      <c r="L45" s="358">
        <f t="shared" si="12"/>
        <v>15613</v>
      </c>
      <c r="M45" s="358">
        <f t="shared" si="6"/>
        <v>0</v>
      </c>
    </row>
    <row r="46" spans="2:13" x14ac:dyDescent="0.45">
      <c r="B46" s="367"/>
      <c r="C46" s="369" t="s">
        <v>300</v>
      </c>
      <c r="D46" s="369">
        <f t="shared" si="13"/>
        <v>2904</v>
      </c>
      <c r="E46" s="373">
        <f t="shared" si="11"/>
        <v>0</v>
      </c>
      <c r="F46" s="373">
        <f t="shared" si="11"/>
        <v>0</v>
      </c>
      <c r="G46" s="373">
        <f t="shared" si="11"/>
        <v>0</v>
      </c>
      <c r="H46" s="373">
        <f t="shared" si="11"/>
        <v>0</v>
      </c>
      <c r="I46" s="373">
        <f>D46</f>
        <v>2904</v>
      </c>
      <c r="J46" s="374"/>
      <c r="K46" s="373"/>
      <c r="L46" s="358">
        <f t="shared" si="12"/>
        <v>2904</v>
      </c>
      <c r="M46" s="358">
        <f t="shared" si="6"/>
        <v>0</v>
      </c>
    </row>
    <row r="47" spans="2:13" x14ac:dyDescent="0.45">
      <c r="B47" s="367"/>
      <c r="C47" s="369" t="s">
        <v>301</v>
      </c>
      <c r="D47" s="369">
        <f>SAO!H30</f>
        <v>346</v>
      </c>
      <c r="E47" s="373">
        <f t="shared" si="11"/>
        <v>0</v>
      </c>
      <c r="F47" s="373">
        <f t="shared" si="11"/>
        <v>0</v>
      </c>
      <c r="G47" s="373">
        <f t="shared" si="11"/>
        <v>0</v>
      </c>
      <c r="H47" s="373">
        <f t="shared" si="11"/>
        <v>0</v>
      </c>
      <c r="I47" s="373">
        <f t="shared" si="11"/>
        <v>346</v>
      </c>
      <c r="J47" s="374"/>
      <c r="K47" s="373"/>
      <c r="L47" s="358">
        <f t="shared" si="12"/>
        <v>346</v>
      </c>
      <c r="M47" s="358">
        <f t="shared" si="6"/>
        <v>0</v>
      </c>
    </row>
    <row r="48" spans="2:13" x14ac:dyDescent="0.45">
      <c r="B48" s="367"/>
      <c r="C48" s="378" t="s">
        <v>302</v>
      </c>
      <c r="D48" s="369">
        <f t="shared" si="13"/>
        <v>737</v>
      </c>
      <c r="E48" s="373">
        <f t="shared" si="11"/>
        <v>0</v>
      </c>
      <c r="F48" s="373">
        <f t="shared" si="11"/>
        <v>0</v>
      </c>
      <c r="G48" s="373">
        <f t="shared" si="11"/>
        <v>0</v>
      </c>
      <c r="H48" s="373">
        <f t="shared" si="11"/>
        <v>0</v>
      </c>
      <c r="I48" s="373">
        <f t="shared" si="11"/>
        <v>737</v>
      </c>
      <c r="J48" s="374"/>
      <c r="K48" s="373"/>
      <c r="L48" s="358">
        <f t="shared" si="12"/>
        <v>737</v>
      </c>
      <c r="M48" s="358">
        <f t="shared" si="6"/>
        <v>0</v>
      </c>
    </row>
    <row r="49" spans="2:13" x14ac:dyDescent="0.45">
      <c r="B49" s="367"/>
      <c r="C49" s="369" t="s">
        <v>61</v>
      </c>
      <c r="D49" s="369">
        <v>1237</v>
      </c>
      <c r="E49" s="373">
        <f t="shared" si="11"/>
        <v>0</v>
      </c>
      <c r="F49" s="373">
        <f t="shared" si="11"/>
        <v>0</v>
      </c>
      <c r="G49" s="373">
        <f t="shared" si="11"/>
        <v>0</v>
      </c>
      <c r="H49" s="373">
        <f t="shared" si="11"/>
        <v>1237</v>
      </c>
      <c r="I49" s="373">
        <f t="shared" si="11"/>
        <v>0</v>
      </c>
      <c r="J49" s="374"/>
      <c r="K49" s="373"/>
      <c r="L49" s="358">
        <f t="shared" si="12"/>
        <v>1237</v>
      </c>
      <c r="M49" s="358">
        <f t="shared" si="6"/>
        <v>0</v>
      </c>
    </row>
    <row r="50" spans="2:13" ht="16.5" x14ac:dyDescent="0.75">
      <c r="B50" s="367"/>
      <c r="C50" s="369" t="s">
        <v>303</v>
      </c>
      <c r="D50" s="381">
        <v>26706</v>
      </c>
      <c r="E50" s="379">
        <f t="shared" si="11"/>
        <v>0</v>
      </c>
      <c r="F50" s="379">
        <v>0</v>
      </c>
      <c r="G50" s="379">
        <v>11421</v>
      </c>
      <c r="H50" s="379">
        <f t="shared" si="11"/>
        <v>0</v>
      </c>
      <c r="I50" s="379">
        <f t="shared" si="11"/>
        <v>15285</v>
      </c>
      <c r="J50" s="374"/>
      <c r="K50" s="373"/>
      <c r="L50" s="358">
        <f t="shared" si="12"/>
        <v>26706</v>
      </c>
      <c r="M50" s="362">
        <f t="shared" si="6"/>
        <v>0</v>
      </c>
    </row>
    <row r="51" spans="2:13" x14ac:dyDescent="0.45">
      <c r="B51" s="367"/>
      <c r="C51" s="369" t="s">
        <v>55</v>
      </c>
      <c r="D51" s="369">
        <f t="shared" ref="D51:I51" si="14">SUM(D32:D50)</f>
        <v>1735163.904942675</v>
      </c>
      <c r="E51" s="369">
        <f t="shared" si="14"/>
        <v>37086</v>
      </c>
      <c r="F51" s="369">
        <f t="shared" si="14"/>
        <v>896838.90918573493</v>
      </c>
      <c r="G51" s="369">
        <f t="shared" si="14"/>
        <v>386741.073899674</v>
      </c>
      <c r="H51" s="369">
        <f t="shared" si="14"/>
        <v>202721.3293996357</v>
      </c>
      <c r="I51" s="369">
        <f t="shared" si="14"/>
        <v>211776.59245763038</v>
      </c>
      <c r="J51" s="368"/>
      <c r="K51" s="369"/>
      <c r="L51" s="358">
        <f>SUM(L32:L50)</f>
        <v>1735163.904942675</v>
      </c>
      <c r="M51" s="358">
        <f>SUM(M32:M50)</f>
        <v>0</v>
      </c>
    </row>
    <row r="52" spans="2:13" x14ac:dyDescent="0.45">
      <c r="B52" s="382"/>
      <c r="C52" s="383"/>
      <c r="D52" s="383"/>
      <c r="E52" s="383"/>
      <c r="F52" s="383"/>
      <c r="G52" s="383"/>
      <c r="H52" s="383"/>
      <c r="I52" s="383"/>
      <c r="J52" s="384"/>
      <c r="K52" s="369"/>
    </row>
    <row r="54" spans="2:13" x14ac:dyDescent="0.45">
      <c r="C54" s="364" t="s">
        <v>43</v>
      </c>
      <c r="D54" s="358">
        <f>SAO!H37</f>
        <v>520417.03073593066</v>
      </c>
    </row>
    <row r="55" spans="2:13" ht="16.5" x14ac:dyDescent="0.75">
      <c r="C55" s="364" t="s">
        <v>345</v>
      </c>
      <c r="D55" s="362">
        <f>SAO!H38</f>
        <v>39919.595612625002</v>
      </c>
    </row>
    <row r="56" spans="2:13" x14ac:dyDescent="0.45">
      <c r="C56" s="358" t="s">
        <v>306</v>
      </c>
      <c r="D56" s="358">
        <f>SUM(D51:D55)</f>
        <v>2295500.531291231</v>
      </c>
    </row>
  </sheetData>
  <mergeCells count="2">
    <mergeCell ref="C2:I2"/>
    <mergeCell ref="C3:I3"/>
  </mergeCells>
  <printOptions horizontalCentered="1" verticalCentered="1"/>
  <pageMargins left="0.7" right="0.7" top="0.75" bottom="0.75" header="0.3" footer="0.3"/>
  <pageSetup scale="85" fitToHeight="0" orientation="portrait" r:id="rId1"/>
  <ignoredErrors>
    <ignoredError sqref="D47 I46 L42 I33 F37" formula="1"/>
    <ignoredError sqref="L16:L18 L21 L1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845C-6B98-402D-84A3-F0F04830AA57}">
  <sheetPr>
    <pageSetUpPr fitToPage="1"/>
  </sheetPr>
  <dimension ref="A2:K47"/>
  <sheetViews>
    <sheetView showGridLines="0" workbookViewId="0">
      <selection activeCell="B2" sqref="B2:I51"/>
    </sheetView>
  </sheetViews>
  <sheetFormatPr defaultRowHeight="15" x14ac:dyDescent="0.4"/>
  <cols>
    <col min="2" max="2" width="2.77734375" customWidth="1"/>
    <col min="3" max="3" width="26.6640625" customWidth="1"/>
    <col min="4" max="4" width="9.6640625" customWidth="1"/>
    <col min="5" max="5" width="2.44140625" customWidth="1"/>
    <col min="6" max="6" width="9.6640625" customWidth="1"/>
    <col min="7" max="7" width="3.6640625" customWidth="1"/>
    <col min="8" max="8" width="12.6640625" customWidth="1"/>
    <col min="9" max="9" width="2.77734375" customWidth="1"/>
    <col min="10" max="10" width="9.6640625" customWidth="1"/>
  </cols>
  <sheetData>
    <row r="2" spans="1:11" ht="21" x14ac:dyDescent="0.65">
      <c r="A2" s="1"/>
      <c r="B2" s="76"/>
      <c r="C2" s="415"/>
      <c r="D2" s="415"/>
      <c r="E2" s="415"/>
      <c r="F2" s="415"/>
      <c r="G2" s="415"/>
      <c r="H2" s="415"/>
      <c r="I2" s="242"/>
      <c r="J2" s="243"/>
      <c r="K2" s="176"/>
    </row>
    <row r="3" spans="1:11" ht="18" x14ac:dyDescent="0.55000000000000004">
      <c r="A3" s="1"/>
      <c r="B3" s="48"/>
      <c r="C3" s="390" t="s">
        <v>231</v>
      </c>
      <c r="D3" s="390"/>
      <c r="E3" s="390"/>
      <c r="F3" s="390"/>
      <c r="G3" s="390"/>
      <c r="H3" s="390"/>
      <c r="I3" s="178"/>
      <c r="J3" s="1"/>
      <c r="K3" s="176"/>
    </row>
    <row r="4" spans="1:11" ht="18" x14ac:dyDescent="0.55000000000000004">
      <c r="A4" s="1"/>
      <c r="B4" s="416" t="s">
        <v>256</v>
      </c>
      <c r="C4" s="406"/>
      <c r="D4" s="406"/>
      <c r="E4" s="406"/>
      <c r="F4" s="406"/>
      <c r="G4" s="406"/>
      <c r="H4" s="406"/>
      <c r="I4" s="407"/>
      <c r="J4" s="1"/>
      <c r="K4" s="176"/>
    </row>
    <row r="5" spans="1:11" ht="15.75" x14ac:dyDescent="0.5">
      <c r="A5" s="1"/>
      <c r="B5" s="48"/>
      <c r="C5" s="412" t="s">
        <v>162</v>
      </c>
      <c r="D5" s="412"/>
      <c r="E5" s="412"/>
      <c r="F5" s="412"/>
      <c r="G5" s="412"/>
      <c r="H5" s="412"/>
      <c r="I5" s="178"/>
      <c r="J5" s="1"/>
      <c r="K5" s="176"/>
    </row>
    <row r="6" spans="1:11" ht="15.75" x14ac:dyDescent="0.5">
      <c r="A6" s="1"/>
      <c r="B6" s="77"/>
      <c r="C6" s="244"/>
      <c r="D6" s="244"/>
      <c r="E6" s="244"/>
      <c r="F6" s="244"/>
      <c r="G6" s="244"/>
      <c r="H6" s="245"/>
      <c r="I6" s="177"/>
      <c r="J6" s="1"/>
      <c r="K6" s="176"/>
    </row>
    <row r="7" spans="1:11" ht="15.75" x14ac:dyDescent="0.5">
      <c r="A7" s="1"/>
      <c r="B7" s="48"/>
      <c r="C7" s="246"/>
      <c r="D7" s="246"/>
      <c r="E7" s="247"/>
      <c r="F7" s="246"/>
      <c r="G7" s="246"/>
      <c r="H7" s="176"/>
      <c r="I7" s="178"/>
      <c r="J7" s="1"/>
      <c r="K7" s="176"/>
    </row>
    <row r="8" spans="1:11" ht="15.75" x14ac:dyDescent="0.5">
      <c r="A8" s="1"/>
      <c r="B8" s="48"/>
      <c r="C8" s="246"/>
      <c r="D8" s="246"/>
      <c r="E8" s="247"/>
      <c r="F8" s="246"/>
      <c r="G8" s="246"/>
      <c r="H8" s="248" t="s">
        <v>257</v>
      </c>
      <c r="I8" s="178"/>
      <c r="J8" s="1"/>
      <c r="K8" s="176"/>
    </row>
    <row r="9" spans="1:11" ht="15.75" x14ac:dyDescent="0.5">
      <c r="A9" s="1"/>
      <c r="B9" s="48"/>
      <c r="C9" s="246" t="s">
        <v>258</v>
      </c>
      <c r="D9" s="246"/>
      <c r="E9" s="247"/>
      <c r="F9" s="246"/>
      <c r="G9" s="246"/>
      <c r="H9" s="249">
        <f>Sys!G41</f>
        <v>0.13882099067201953</v>
      </c>
      <c r="I9" s="178"/>
      <c r="J9" s="1"/>
      <c r="K9" s="176"/>
    </row>
    <row r="10" spans="1:11" ht="15.75" x14ac:dyDescent="0.5">
      <c r="A10" s="1"/>
      <c r="B10" s="48"/>
      <c r="C10" s="246" t="s">
        <v>259</v>
      </c>
      <c r="D10" s="246"/>
      <c r="E10" s="247"/>
      <c r="F10" s="246"/>
      <c r="G10" s="246"/>
      <c r="H10" s="249">
        <f>Sys!G39</f>
        <v>8.4453036655161004E-2</v>
      </c>
      <c r="I10" s="178"/>
      <c r="J10" s="1"/>
      <c r="K10" s="176"/>
    </row>
    <row r="11" spans="1:11" ht="15.75" x14ac:dyDescent="0.5">
      <c r="A11" s="1"/>
      <c r="B11" s="48"/>
      <c r="C11" s="246" t="s">
        <v>260</v>
      </c>
      <c r="D11" s="246"/>
      <c r="E11" s="247"/>
      <c r="F11" s="246"/>
      <c r="G11" s="246"/>
      <c r="H11" s="249">
        <f>H10+H9</f>
        <v>0.22327402732718055</v>
      </c>
      <c r="I11" s="178"/>
      <c r="J11" s="1"/>
      <c r="K11" s="176"/>
    </row>
    <row r="12" spans="1:11" ht="15.75" x14ac:dyDescent="0.5">
      <c r="A12" s="1"/>
      <c r="B12" s="48"/>
      <c r="C12" s="246" t="s">
        <v>261</v>
      </c>
      <c r="D12" s="246"/>
      <c r="E12" s="247"/>
      <c r="F12" s="246"/>
      <c r="G12" s="246"/>
      <c r="H12" s="250">
        <f>Sys!H24</f>
        <v>712.19999999999993</v>
      </c>
      <c r="I12" s="178"/>
      <c r="J12" s="1"/>
      <c r="K12" s="176"/>
    </row>
    <row r="13" spans="1:11" ht="15.75" x14ac:dyDescent="0.5">
      <c r="A13" s="1"/>
      <c r="B13" s="48"/>
      <c r="C13" s="246" t="s">
        <v>262</v>
      </c>
      <c r="D13" s="246"/>
      <c r="E13" s="247"/>
      <c r="F13" s="246"/>
      <c r="G13" s="246"/>
      <c r="H13" s="250">
        <f>Sys!F24</f>
        <v>2284.5454545454545</v>
      </c>
      <c r="I13" s="178"/>
      <c r="J13" s="1"/>
      <c r="K13" s="176"/>
    </row>
    <row r="14" spans="1:11" ht="15.75" x14ac:dyDescent="0.5">
      <c r="A14" s="1"/>
      <c r="B14" s="48"/>
      <c r="C14" s="246" t="s">
        <v>263</v>
      </c>
      <c r="D14" s="246"/>
      <c r="E14" s="247"/>
      <c r="F14" s="246"/>
      <c r="G14" s="246"/>
      <c r="H14" s="251">
        <f>Sys!F36</f>
        <v>156462</v>
      </c>
      <c r="I14" s="178"/>
      <c r="J14" s="1"/>
      <c r="K14" s="176"/>
    </row>
    <row r="15" spans="1:11" ht="15.75" x14ac:dyDescent="0.5">
      <c r="A15" s="1"/>
      <c r="B15" s="48"/>
      <c r="C15" s="246" t="s">
        <v>249</v>
      </c>
      <c r="D15" s="246"/>
      <c r="E15" s="247"/>
      <c r="F15" s="246"/>
      <c r="G15" s="246"/>
      <c r="H15" s="251">
        <f>Sys!F37</f>
        <v>309451</v>
      </c>
      <c r="I15" s="178"/>
      <c r="J15" s="1"/>
      <c r="K15" s="176"/>
    </row>
    <row r="16" spans="1:11" ht="15.75" x14ac:dyDescent="0.5">
      <c r="A16" s="1"/>
      <c r="B16" s="48"/>
      <c r="C16" s="246"/>
      <c r="D16" s="246"/>
      <c r="E16" s="247"/>
      <c r="F16" s="246"/>
      <c r="G16" s="246"/>
      <c r="H16" s="249"/>
      <c r="I16" s="178"/>
      <c r="J16" s="1"/>
      <c r="K16" s="176"/>
    </row>
    <row r="17" spans="1:11" ht="15.75" x14ac:dyDescent="0.5">
      <c r="A17" s="1"/>
      <c r="B17" s="48"/>
      <c r="C17" s="246"/>
      <c r="D17" s="246"/>
      <c r="E17" s="247"/>
      <c r="F17" s="252">
        <v>1</v>
      </c>
      <c r="G17" s="246"/>
      <c r="H17" s="249"/>
      <c r="I17" s="178"/>
      <c r="J17" s="1"/>
      <c r="K17" s="176"/>
    </row>
    <row r="18" spans="1:11" ht="15.75" x14ac:dyDescent="0.5">
      <c r="A18" s="1"/>
      <c r="B18" s="48"/>
      <c r="C18" s="246" t="s">
        <v>264</v>
      </c>
      <c r="D18" s="1" t="s">
        <v>265</v>
      </c>
      <c r="E18" s="1"/>
      <c r="F18" s="1"/>
      <c r="G18" s="247" t="s">
        <v>266</v>
      </c>
      <c r="H18" s="249">
        <f>1/(1-H11)</f>
        <v>1.2874553384108738</v>
      </c>
      <c r="I18" s="178"/>
      <c r="J18" s="1"/>
      <c r="K18" s="176"/>
    </row>
    <row r="19" spans="1:11" ht="15.75" x14ac:dyDescent="0.5">
      <c r="A19" s="1"/>
      <c r="B19" s="48"/>
      <c r="C19" s="246"/>
      <c r="D19" s="246">
        <v>1</v>
      </c>
      <c r="E19" s="247" t="s">
        <v>267</v>
      </c>
      <c r="F19" s="253">
        <f>H11</f>
        <v>0.22327402732718055</v>
      </c>
      <c r="G19" s="247"/>
      <c r="H19" s="249"/>
      <c r="I19" s="178"/>
      <c r="J19" s="1"/>
      <c r="K19" s="176"/>
    </row>
    <row r="20" spans="1:11" ht="15.75" x14ac:dyDescent="0.5">
      <c r="A20" s="1"/>
      <c r="B20" s="48"/>
      <c r="C20" s="246"/>
      <c r="D20" s="246"/>
      <c r="E20" s="247"/>
      <c r="F20" s="254"/>
      <c r="G20" s="247"/>
      <c r="H20" s="249"/>
      <c r="I20" s="178"/>
      <c r="J20" s="1"/>
      <c r="K20" s="176"/>
    </row>
    <row r="21" spans="1:11" ht="15.75" x14ac:dyDescent="0.5">
      <c r="A21" s="1"/>
      <c r="B21" s="48"/>
      <c r="C21" s="246"/>
      <c r="D21" s="246"/>
      <c r="E21" s="1"/>
      <c r="F21" s="255">
        <f>H12</f>
        <v>712.19999999999993</v>
      </c>
      <c r="G21" s="247"/>
      <c r="H21" s="249"/>
      <c r="I21" s="178"/>
      <c r="J21" s="1"/>
      <c r="K21" s="176"/>
    </row>
    <row r="22" spans="1:11" ht="15.75" x14ac:dyDescent="0.5">
      <c r="A22" s="1"/>
      <c r="B22" s="48"/>
      <c r="C22" s="246" t="s">
        <v>268</v>
      </c>
      <c r="D22" s="1"/>
      <c r="E22" s="256" t="s">
        <v>269</v>
      </c>
      <c r="F22" s="257"/>
      <c r="G22" s="247" t="s">
        <v>266</v>
      </c>
      <c r="H22" s="249">
        <f>F21/F23</f>
        <v>0.31174691603660959</v>
      </c>
      <c r="I22" s="178"/>
      <c r="J22" s="1"/>
      <c r="K22" s="176"/>
    </row>
    <row r="23" spans="1:11" ht="15.75" x14ac:dyDescent="0.5">
      <c r="A23" s="1"/>
      <c r="B23" s="48"/>
      <c r="C23" s="246"/>
      <c r="D23" s="258"/>
      <c r="E23" s="247"/>
      <c r="F23" s="255">
        <f>H13</f>
        <v>2284.5454545454545</v>
      </c>
      <c r="G23" s="247"/>
      <c r="H23" s="249"/>
      <c r="I23" s="178"/>
      <c r="J23" s="1"/>
      <c r="K23" s="176"/>
    </row>
    <row r="24" spans="1:11" ht="15.75" x14ac:dyDescent="0.5">
      <c r="A24" s="1"/>
      <c r="B24" s="48"/>
      <c r="C24" s="246"/>
      <c r="D24" s="258"/>
      <c r="E24" s="247"/>
      <c r="F24" s="246"/>
      <c r="G24" s="247"/>
      <c r="H24" s="249"/>
      <c r="I24" s="178"/>
      <c r="J24" s="1"/>
      <c r="K24" s="176"/>
    </row>
    <row r="25" spans="1:11" ht="15.75" x14ac:dyDescent="0.5">
      <c r="A25" s="1"/>
      <c r="B25" s="48"/>
      <c r="C25" s="246" t="s">
        <v>270</v>
      </c>
      <c r="D25" s="259">
        <f>H9</f>
        <v>0.13882099067201953</v>
      </c>
      <c r="E25" s="247" t="s">
        <v>271</v>
      </c>
      <c r="F25" s="260">
        <f>H22</f>
        <v>0.31174691603660959</v>
      </c>
      <c r="G25" s="247" t="s">
        <v>266</v>
      </c>
      <c r="H25" s="249">
        <f>D25*F25</f>
        <v>4.3277015723149036E-2</v>
      </c>
      <c r="I25" s="178"/>
      <c r="J25" s="1"/>
      <c r="K25" s="176"/>
    </row>
    <row r="26" spans="1:11" ht="15.75" x14ac:dyDescent="0.5">
      <c r="A26" s="1"/>
      <c r="B26" s="48"/>
      <c r="C26" s="246"/>
      <c r="D26" s="259"/>
      <c r="E26" s="247"/>
      <c r="F26" s="260"/>
      <c r="G26" s="247"/>
      <c r="H26" s="249"/>
      <c r="I26" s="178"/>
      <c r="J26" s="1"/>
      <c r="K26" s="176"/>
    </row>
    <row r="27" spans="1:11" ht="15.75" x14ac:dyDescent="0.5">
      <c r="A27" s="1"/>
      <c r="B27" s="48"/>
      <c r="C27" s="246"/>
      <c r="D27" s="259"/>
      <c r="E27" s="247"/>
      <c r="F27" s="260"/>
      <c r="G27" s="247"/>
      <c r="H27" s="249"/>
      <c r="I27" s="178"/>
      <c r="J27" s="1"/>
      <c r="K27" s="176"/>
    </row>
    <row r="28" spans="1:11" ht="15.75" x14ac:dyDescent="0.5">
      <c r="A28" s="1"/>
      <c r="B28" s="48"/>
      <c r="C28" s="246" t="s">
        <v>272</v>
      </c>
      <c r="D28" s="259">
        <f>H25</f>
        <v>4.3277015723149036E-2</v>
      </c>
      <c r="E28" s="247" t="s">
        <v>273</v>
      </c>
      <c r="F28" s="260">
        <f>H10</f>
        <v>8.4453036655161004E-2</v>
      </c>
      <c r="G28" s="247" t="s">
        <v>266</v>
      </c>
      <c r="H28" s="249">
        <f>D28+F28</f>
        <v>0.12773005237831003</v>
      </c>
      <c r="I28" s="178"/>
      <c r="J28" s="1"/>
      <c r="K28" s="176"/>
    </row>
    <row r="29" spans="1:11" ht="15.75" x14ac:dyDescent="0.5">
      <c r="A29" s="1"/>
      <c r="B29" s="48"/>
      <c r="C29" s="246"/>
      <c r="D29" s="259"/>
      <c r="E29" s="247"/>
      <c r="F29" s="246"/>
      <c r="G29" s="247"/>
      <c r="H29" s="249"/>
      <c r="I29" s="178"/>
      <c r="J29" s="1"/>
      <c r="K29" s="176"/>
    </row>
    <row r="30" spans="1:11" ht="15.75" x14ac:dyDescent="0.5">
      <c r="A30" s="1"/>
      <c r="B30" s="48"/>
      <c r="C30" s="246"/>
      <c r="D30" s="246"/>
      <c r="E30" s="247"/>
      <c r="F30" s="252">
        <v>1</v>
      </c>
      <c r="G30" s="247"/>
      <c r="H30" s="261"/>
      <c r="I30" s="178"/>
      <c r="J30" s="1"/>
      <c r="K30" s="176"/>
    </row>
    <row r="31" spans="1:11" ht="15.75" x14ac:dyDescent="0.5">
      <c r="A31" s="1"/>
      <c r="B31" s="48"/>
      <c r="C31" s="246" t="s">
        <v>274</v>
      </c>
      <c r="D31" s="1" t="s">
        <v>275</v>
      </c>
      <c r="E31" s="1"/>
      <c r="F31" s="1"/>
      <c r="G31" s="247" t="s">
        <v>266</v>
      </c>
      <c r="H31" s="249">
        <f>1/(1-F32)</f>
        <v>1.1464340858315429</v>
      </c>
      <c r="I31" s="178"/>
      <c r="J31" s="1"/>
      <c r="K31" s="176"/>
    </row>
    <row r="32" spans="1:11" ht="15.75" x14ac:dyDescent="0.5">
      <c r="A32" s="1"/>
      <c r="B32" s="48"/>
      <c r="C32" s="246"/>
      <c r="D32" s="246">
        <v>1</v>
      </c>
      <c r="E32" s="247" t="s">
        <v>267</v>
      </c>
      <c r="F32" s="253">
        <f>H28</f>
        <v>0.12773005237831003</v>
      </c>
      <c r="G32" s="247"/>
      <c r="H32" s="249"/>
      <c r="I32" s="178"/>
      <c r="J32" s="1"/>
      <c r="K32" s="176"/>
    </row>
    <row r="33" spans="1:11" ht="15.75" x14ac:dyDescent="0.5">
      <c r="A33" s="1"/>
      <c r="B33" s="48"/>
      <c r="C33" s="246"/>
      <c r="D33" s="246"/>
      <c r="E33" s="247"/>
      <c r="F33" s="253"/>
      <c r="G33" s="247"/>
      <c r="H33" s="249"/>
      <c r="I33" s="178"/>
      <c r="J33" s="1"/>
      <c r="K33" s="176"/>
    </row>
    <row r="34" spans="1:11" ht="15.75" x14ac:dyDescent="0.5">
      <c r="A34" s="1"/>
      <c r="B34" s="48"/>
      <c r="C34" s="246"/>
      <c r="D34" s="262">
        <f>H31</f>
        <v>1.1464340858315429</v>
      </c>
      <c r="E34" s="247"/>
      <c r="F34" s="263">
        <f>$H$14</f>
        <v>156462</v>
      </c>
      <c r="G34" s="247"/>
      <c r="H34" s="249"/>
      <c r="I34" s="178"/>
      <c r="J34" s="1"/>
      <c r="K34" s="176"/>
    </row>
    <row r="35" spans="1:11" ht="15.75" x14ac:dyDescent="0.5">
      <c r="A35" s="1"/>
      <c r="B35" s="48"/>
      <c r="C35" s="264" t="s">
        <v>276</v>
      </c>
      <c r="D35" s="247" t="s">
        <v>277</v>
      </c>
      <c r="E35" s="247" t="s">
        <v>271</v>
      </c>
      <c r="F35" s="247" t="s">
        <v>277</v>
      </c>
      <c r="G35" s="247" t="s">
        <v>266</v>
      </c>
      <c r="H35" s="265">
        <f>(H31/H18)*(+F34/F36)</f>
        <v>0.45022945550736293</v>
      </c>
      <c r="I35" s="178"/>
      <c r="J35" s="1"/>
      <c r="K35" s="176"/>
    </row>
    <row r="36" spans="1:11" ht="15.75" x14ac:dyDescent="0.5">
      <c r="A36" s="1"/>
      <c r="B36" s="48"/>
      <c r="C36" s="246"/>
      <c r="D36" s="262">
        <f>H18</f>
        <v>1.2874553384108738</v>
      </c>
      <c r="E36" s="247"/>
      <c r="F36" s="263">
        <f>$H$15</f>
        <v>309451</v>
      </c>
      <c r="G36" s="247"/>
      <c r="H36" s="265"/>
      <c r="I36" s="178"/>
      <c r="J36" s="1"/>
      <c r="K36" s="176"/>
    </row>
    <row r="37" spans="1:11" ht="15.75" x14ac:dyDescent="0.5">
      <c r="A37" s="1"/>
      <c r="B37" s="48"/>
      <c r="C37" s="246"/>
      <c r="D37" s="262"/>
      <c r="E37" s="247"/>
      <c r="F37" s="263"/>
      <c r="G37" s="247"/>
      <c r="H37" s="265"/>
      <c r="I37" s="178"/>
      <c r="J37" s="1"/>
      <c r="K37" s="176"/>
    </row>
    <row r="38" spans="1:11" ht="15.75" x14ac:dyDescent="0.5">
      <c r="A38" s="1"/>
      <c r="B38" s="48"/>
      <c r="C38" s="246"/>
      <c r="D38" s="263">
        <f>$H$14</f>
        <v>156462</v>
      </c>
      <c r="E38" s="247"/>
      <c r="F38" s="246"/>
      <c r="G38" s="247"/>
      <c r="H38" s="265"/>
      <c r="I38" s="178"/>
      <c r="J38" s="1"/>
      <c r="K38" s="176"/>
    </row>
    <row r="39" spans="1:11" ht="15.75" x14ac:dyDescent="0.5">
      <c r="A39" s="1"/>
      <c r="B39" s="48"/>
      <c r="C39" s="264" t="s">
        <v>278</v>
      </c>
      <c r="D39" s="247" t="s">
        <v>277</v>
      </c>
      <c r="E39" s="247" t="s">
        <v>271</v>
      </c>
      <c r="F39" s="262">
        <f>H22</f>
        <v>0.31174691603660959</v>
      </c>
      <c r="G39" s="247" t="s">
        <v>266</v>
      </c>
      <c r="H39" s="265">
        <f>(+D38/D40)*H22</f>
        <v>0.15762284166772769</v>
      </c>
      <c r="I39" s="178"/>
      <c r="J39" s="1"/>
      <c r="K39" s="176"/>
    </row>
    <row r="40" spans="1:11" ht="15.75" x14ac:dyDescent="0.5">
      <c r="A40" s="1"/>
      <c r="B40" s="48"/>
      <c r="C40" s="246"/>
      <c r="D40" s="263">
        <f>$H$15</f>
        <v>309451</v>
      </c>
      <c r="E40" s="247"/>
      <c r="F40" s="246"/>
      <c r="G40" s="247"/>
      <c r="H40" s="265"/>
      <c r="I40" s="178"/>
      <c r="J40" s="1"/>
      <c r="K40" s="176"/>
    </row>
    <row r="41" spans="1:11" ht="15.75" x14ac:dyDescent="0.5">
      <c r="A41" s="1"/>
      <c r="B41" s="48"/>
      <c r="C41" s="246"/>
      <c r="D41" s="246"/>
      <c r="E41" s="247"/>
      <c r="F41" s="246"/>
      <c r="G41" s="247"/>
      <c r="H41" s="265"/>
      <c r="I41" s="178"/>
      <c r="J41" s="1"/>
      <c r="K41" s="176"/>
    </row>
    <row r="42" spans="1:11" ht="15.75" x14ac:dyDescent="0.5">
      <c r="A42" s="1"/>
      <c r="B42" s="48"/>
      <c r="C42" s="246"/>
      <c r="D42" s="246"/>
      <c r="E42" s="247"/>
      <c r="F42" s="263">
        <f>$H$14</f>
        <v>156462</v>
      </c>
      <c r="G42" s="247"/>
      <c r="H42" s="265"/>
      <c r="I42" s="178"/>
      <c r="J42" s="1"/>
      <c r="K42" s="176"/>
    </row>
    <row r="43" spans="1:11" ht="15.75" x14ac:dyDescent="0.5">
      <c r="A43" s="1"/>
      <c r="B43" s="48"/>
      <c r="C43" s="264" t="s">
        <v>279</v>
      </c>
      <c r="D43" s="246"/>
      <c r="E43" s="247"/>
      <c r="F43" s="247" t="s">
        <v>277</v>
      </c>
      <c r="G43" s="247" t="s">
        <v>266</v>
      </c>
      <c r="H43" s="265">
        <f>F42/F44</f>
        <v>0.50561155077863695</v>
      </c>
      <c r="I43" s="178"/>
      <c r="J43" s="1"/>
      <c r="K43" s="176"/>
    </row>
    <row r="44" spans="1:11" ht="15.75" x14ac:dyDescent="0.5">
      <c r="A44" s="1"/>
      <c r="B44" s="48"/>
      <c r="C44" s="1"/>
      <c r="D44" s="1"/>
      <c r="E44" s="19"/>
      <c r="F44" s="263">
        <f>$H$15</f>
        <v>309451</v>
      </c>
      <c r="G44" s="1"/>
      <c r="H44" s="266"/>
      <c r="I44" s="178"/>
      <c r="J44" s="1"/>
      <c r="K44" s="176"/>
    </row>
    <row r="45" spans="1:11" ht="15.75" x14ac:dyDescent="0.5">
      <c r="A45" s="1"/>
      <c r="B45" s="77"/>
      <c r="C45" s="170"/>
      <c r="D45" s="170"/>
      <c r="E45" s="157"/>
      <c r="F45" s="170"/>
      <c r="G45" s="170"/>
      <c r="H45" s="170"/>
      <c r="I45" s="177"/>
      <c r="J45" s="1"/>
      <c r="K45" s="176"/>
    </row>
    <row r="46" spans="1:11" ht="15.75" x14ac:dyDescent="0.5">
      <c r="A46" s="1"/>
      <c r="B46" s="1"/>
      <c r="C46" s="1"/>
      <c r="D46" s="1"/>
      <c r="E46" s="19"/>
      <c r="F46" s="1"/>
      <c r="G46" s="1"/>
      <c r="H46" s="1"/>
      <c r="I46" s="1"/>
      <c r="J46" s="1"/>
      <c r="K46" s="176"/>
    </row>
    <row r="47" spans="1:11" ht="15.75" x14ac:dyDescent="0.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</row>
  </sheetData>
  <mergeCells count="4">
    <mergeCell ref="C2:H2"/>
    <mergeCell ref="C3:H3"/>
    <mergeCell ref="B4:I4"/>
    <mergeCell ref="C5:H5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960F-0437-4780-A1BA-DC269EA1883E}">
  <sheetPr>
    <pageSetUpPr fitToPage="1"/>
  </sheetPr>
  <dimension ref="A2:P86"/>
  <sheetViews>
    <sheetView showGridLines="0" topLeftCell="A55" workbookViewId="0">
      <selection sqref="A1:J80"/>
    </sheetView>
  </sheetViews>
  <sheetFormatPr defaultRowHeight="15.4" x14ac:dyDescent="0.45"/>
  <cols>
    <col min="1" max="1" width="2.609375" customWidth="1"/>
    <col min="2" max="2" width="1.77734375" customWidth="1"/>
    <col min="3" max="3" width="3.21875" style="206" customWidth="1"/>
    <col min="4" max="4" width="22.33203125" style="206" customWidth="1"/>
    <col min="5" max="5" width="10.77734375" style="301" customWidth="1"/>
    <col min="6" max="6" width="10.77734375" customWidth="1"/>
    <col min="7" max="8" width="10.77734375" style="301" customWidth="1"/>
    <col min="9" max="10" width="1.77734375" customWidth="1"/>
    <col min="11" max="11" width="10.6640625" style="1" customWidth="1"/>
    <col min="12" max="12" width="10.6640625" style="276" customWidth="1"/>
    <col min="15" max="15" width="17" customWidth="1"/>
    <col min="16" max="16" width="12.5546875" customWidth="1"/>
  </cols>
  <sheetData>
    <row r="2" spans="2:13" ht="8.1" customHeight="1" x14ac:dyDescent="0.45">
      <c r="B2" s="76"/>
      <c r="C2" s="272"/>
      <c r="D2" s="272"/>
      <c r="E2" s="273"/>
      <c r="F2" s="274"/>
      <c r="G2" s="273"/>
      <c r="H2" s="273"/>
      <c r="I2" s="275"/>
      <c r="J2" s="1"/>
      <c r="M2" s="1"/>
    </row>
    <row r="3" spans="2:13" ht="18" x14ac:dyDescent="0.55000000000000004">
      <c r="B3" s="417" t="s">
        <v>255</v>
      </c>
      <c r="C3" s="390"/>
      <c r="D3" s="390"/>
      <c r="E3" s="390"/>
      <c r="F3" s="390"/>
      <c r="G3" s="390"/>
      <c r="H3" s="390"/>
      <c r="I3" s="418"/>
      <c r="J3" s="355"/>
      <c r="M3" s="1"/>
    </row>
    <row r="4" spans="2:13" ht="15.4" customHeight="1" x14ac:dyDescent="0.55000000000000004">
      <c r="B4" s="419" t="s">
        <v>308</v>
      </c>
      <c r="C4" s="420"/>
      <c r="D4" s="420"/>
      <c r="E4" s="420"/>
      <c r="F4" s="420"/>
      <c r="G4" s="420"/>
      <c r="H4" s="420"/>
      <c r="I4" s="421"/>
      <c r="J4" s="357"/>
      <c r="L4" s="279"/>
      <c r="M4" s="1"/>
    </row>
    <row r="5" spans="2:13" ht="15.75" x14ac:dyDescent="0.45">
      <c r="B5" s="422" t="s">
        <v>162</v>
      </c>
      <c r="C5" s="423"/>
      <c r="D5" s="423"/>
      <c r="E5" s="423"/>
      <c r="F5" s="423"/>
      <c r="G5" s="423"/>
      <c r="H5" s="423"/>
      <c r="I5" s="424"/>
      <c r="J5" s="354"/>
      <c r="L5" s="279"/>
      <c r="M5" s="1"/>
    </row>
    <row r="6" spans="2:13" ht="8.1" customHeight="1" x14ac:dyDescent="0.45">
      <c r="B6" s="77"/>
      <c r="C6" s="280"/>
      <c r="D6" s="280"/>
      <c r="E6" s="245"/>
      <c r="F6" s="244"/>
      <c r="G6" s="245"/>
      <c r="H6" s="245"/>
      <c r="I6" s="281"/>
      <c r="J6" s="354"/>
      <c r="L6" s="279"/>
      <c r="M6" s="1"/>
    </row>
    <row r="7" spans="2:13" ht="15.75" x14ac:dyDescent="0.45">
      <c r="B7" s="48"/>
      <c r="C7" s="282"/>
      <c r="D7" s="277"/>
      <c r="E7" s="74"/>
      <c r="F7" s="23"/>
      <c r="G7" s="74"/>
      <c r="H7" s="74"/>
      <c r="I7" s="278"/>
      <c r="J7" s="23"/>
      <c r="L7" s="279"/>
      <c r="M7" s="1"/>
    </row>
    <row r="8" spans="2:13" x14ac:dyDescent="0.45">
      <c r="B8" s="48"/>
      <c r="C8" s="158"/>
      <c r="D8" s="158"/>
      <c r="E8" s="283" t="s">
        <v>33</v>
      </c>
      <c r="F8" s="182" t="s">
        <v>309</v>
      </c>
      <c r="G8" s="283" t="s">
        <v>226</v>
      </c>
      <c r="H8" s="283" t="s">
        <v>310</v>
      </c>
      <c r="I8" s="284"/>
      <c r="J8" s="182"/>
      <c r="K8" s="182"/>
      <c r="L8" s="283" t="s">
        <v>310</v>
      </c>
      <c r="M8" s="1"/>
    </row>
    <row r="9" spans="2:13" x14ac:dyDescent="0.45">
      <c r="B9" s="48"/>
      <c r="C9" s="158"/>
      <c r="D9" s="158"/>
      <c r="E9" s="283" t="s">
        <v>311</v>
      </c>
      <c r="F9" s="182" t="s">
        <v>312</v>
      </c>
      <c r="G9" s="283" t="s">
        <v>309</v>
      </c>
      <c r="H9" s="283" t="s">
        <v>309</v>
      </c>
      <c r="I9" s="284"/>
      <c r="J9" s="182"/>
      <c r="K9" s="182"/>
      <c r="L9" s="283" t="s">
        <v>309</v>
      </c>
      <c r="M9" s="1"/>
    </row>
    <row r="10" spans="2:13" x14ac:dyDescent="0.45">
      <c r="B10" s="48"/>
      <c r="C10" s="158" t="s">
        <v>313</v>
      </c>
      <c r="D10" s="158"/>
      <c r="E10" s="17"/>
      <c r="F10" s="3"/>
      <c r="G10" s="17"/>
      <c r="H10" s="17"/>
      <c r="I10" s="93"/>
      <c r="J10" s="3"/>
      <c r="L10" s="279"/>
      <c r="M10" s="1"/>
    </row>
    <row r="11" spans="2:13" x14ac:dyDescent="0.45">
      <c r="B11" s="48"/>
      <c r="C11" s="158"/>
      <c r="D11" s="158" t="s">
        <v>314</v>
      </c>
      <c r="E11" s="17">
        <f>Mtrx!E32+Mtrx!F32</f>
        <v>155468.34421109816</v>
      </c>
      <c r="F11" s="285">
        <f>Fac!H35</f>
        <v>0.45022945550736293</v>
      </c>
      <c r="G11" s="17">
        <f>E11*F11</f>
        <v>69996.427962793998</v>
      </c>
      <c r="H11" s="17">
        <f>E11-G11</f>
        <v>85471.916248304158</v>
      </c>
      <c r="I11" s="93"/>
      <c r="J11" s="3"/>
      <c r="K11" s="286"/>
      <c r="L11" s="279"/>
      <c r="M11" s="1"/>
    </row>
    <row r="12" spans="2:13" x14ac:dyDescent="0.45">
      <c r="B12" s="48"/>
      <c r="C12" s="158"/>
      <c r="D12" s="158" t="s">
        <v>315</v>
      </c>
      <c r="E12" s="17">
        <f>Mtrx!G32</f>
        <v>155468.34421109816</v>
      </c>
      <c r="F12" s="285">
        <f>Fac!H39</f>
        <v>0.15762284166772769</v>
      </c>
      <c r="G12" s="17">
        <f>E12*F12</f>
        <v>24505.362203929715</v>
      </c>
      <c r="H12" s="17">
        <f>E12-G12</f>
        <v>130962.98200716844</v>
      </c>
      <c r="I12" s="93"/>
      <c r="J12" s="3"/>
      <c r="K12" s="286"/>
      <c r="L12" s="279"/>
      <c r="M12" s="1"/>
    </row>
    <row r="13" spans="2:13" x14ac:dyDescent="0.45">
      <c r="B13" s="48"/>
      <c r="C13" s="158"/>
      <c r="D13" s="158" t="s">
        <v>316</v>
      </c>
      <c r="E13" s="17">
        <f>Mtrx!H32</f>
        <v>117382.52613505239</v>
      </c>
      <c r="F13" s="3"/>
      <c r="G13" s="17">
        <f>E13*F13</f>
        <v>0</v>
      </c>
      <c r="H13" s="17">
        <f>E13-G13</f>
        <v>117382.52613505239</v>
      </c>
      <c r="I13" s="93"/>
      <c r="J13" s="3"/>
      <c r="K13" s="286"/>
      <c r="L13" s="279"/>
      <c r="M13" s="1"/>
    </row>
    <row r="14" spans="2:13" x14ac:dyDescent="0.45">
      <c r="B14" s="48"/>
      <c r="C14" s="158"/>
      <c r="D14" s="158" t="s">
        <v>317</v>
      </c>
      <c r="E14" s="17">
        <f>Mtrx!I32</f>
        <v>89905.564692751301</v>
      </c>
      <c r="F14" s="285">
        <f>Fac!H39</f>
        <v>0.15762284166772769</v>
      </c>
      <c r="G14" s="17">
        <f>E14*F14</f>
        <v>14171.170588613188</v>
      </c>
      <c r="H14" s="17">
        <f>E14-G14</f>
        <v>75734.394104138119</v>
      </c>
      <c r="I14" s="93"/>
      <c r="J14" s="3"/>
      <c r="K14" s="3">
        <f>SUM(E11:E14)</f>
        <v>518224.77925000002</v>
      </c>
      <c r="L14" s="279">
        <f>SUM(H11:H14)</f>
        <v>409551.81849466311</v>
      </c>
      <c r="M14" s="1"/>
    </row>
    <row r="15" spans="2:13" x14ac:dyDescent="0.45">
      <c r="B15" s="48"/>
      <c r="C15" s="158" t="s">
        <v>318</v>
      </c>
      <c r="D15" s="158"/>
      <c r="E15" s="17"/>
      <c r="F15" s="3"/>
      <c r="G15" s="17"/>
      <c r="H15" s="17"/>
      <c r="I15" s="93"/>
      <c r="J15" s="3"/>
      <c r="K15" s="286"/>
      <c r="L15" s="279"/>
      <c r="M15" s="1"/>
    </row>
    <row r="16" spans="2:13" x14ac:dyDescent="0.45">
      <c r="B16" s="48"/>
      <c r="C16" s="158"/>
      <c r="D16" s="158" t="s">
        <v>314</v>
      </c>
      <c r="E16" s="17">
        <f>Mtrx!E34+Mtrx!F34</f>
        <v>85973.941178653418</v>
      </c>
      <c r="F16" s="285">
        <f>Fac!H35</f>
        <v>0.45022945550736293</v>
      </c>
      <c r="G16" s="17">
        <f t="shared" ref="G16:G21" si="0">E16*F16</f>
        <v>38708.000724687176</v>
      </c>
      <c r="H16" s="17">
        <f t="shared" ref="H16:H21" si="1">E16-G16</f>
        <v>47265.940453966243</v>
      </c>
      <c r="I16" s="93"/>
      <c r="J16" s="3"/>
      <c r="K16" s="286"/>
      <c r="L16" s="279"/>
      <c r="M16" s="1"/>
    </row>
    <row r="17" spans="2:13" x14ac:dyDescent="0.45">
      <c r="B17" s="48"/>
      <c r="C17" s="158"/>
      <c r="D17" s="158" t="s">
        <v>315</v>
      </c>
      <c r="E17" s="17">
        <f>Mtrx!G34</f>
        <v>85973.941178653418</v>
      </c>
      <c r="F17" s="285">
        <f>Fac!H39</f>
        <v>0.15762284166772769</v>
      </c>
      <c r="G17" s="17">
        <f t="shared" si="0"/>
        <v>13551.456917953421</v>
      </c>
      <c r="H17" s="17">
        <f t="shared" si="1"/>
        <v>72422.484260700003</v>
      </c>
      <c r="I17" s="93"/>
      <c r="J17" s="3"/>
      <c r="K17" s="286"/>
      <c r="L17" s="279"/>
      <c r="M17" s="1"/>
    </row>
    <row r="18" spans="2:13" x14ac:dyDescent="0.45">
      <c r="B18" s="48"/>
      <c r="C18" s="158"/>
      <c r="D18" s="158" t="s">
        <v>316</v>
      </c>
      <c r="E18" s="17">
        <f>Mtrx!H34</f>
        <v>64912.496807927877</v>
      </c>
      <c r="F18" s="3"/>
      <c r="G18" s="17">
        <f t="shared" si="0"/>
        <v>0</v>
      </c>
      <c r="H18" s="17">
        <f t="shared" si="1"/>
        <v>64912.496807927877</v>
      </c>
      <c r="I18" s="93"/>
      <c r="J18" s="3"/>
      <c r="K18" s="286"/>
      <c r="L18" s="279"/>
      <c r="M18" s="1"/>
    </row>
    <row r="19" spans="2:13" x14ac:dyDescent="0.45">
      <c r="B19" s="48"/>
      <c r="C19" s="158"/>
      <c r="D19" s="158" t="s">
        <v>317</v>
      </c>
      <c r="E19" s="17">
        <f>Mtrx!I34</f>
        <v>49717.7465274403</v>
      </c>
      <c r="F19" s="285">
        <f>Fac!H39</f>
        <v>0.15762284166772769</v>
      </c>
      <c r="G19" s="17">
        <f t="shared" si="0"/>
        <v>7836.6524889709408</v>
      </c>
      <c r="H19" s="17">
        <f t="shared" si="1"/>
        <v>41881.09403846936</v>
      </c>
      <c r="I19" s="93"/>
      <c r="J19" s="3"/>
      <c r="K19" s="3">
        <f>SUM(E16:E19)</f>
        <v>286578.12569267501</v>
      </c>
      <c r="L19" s="279">
        <f>SUM(H16:H19)</f>
        <v>226482.01556106348</v>
      </c>
      <c r="M19" s="1"/>
    </row>
    <row r="20" spans="2:13" x14ac:dyDescent="0.45">
      <c r="B20" s="48"/>
      <c r="C20" s="158" t="s">
        <v>319</v>
      </c>
      <c r="D20" s="158"/>
      <c r="E20" s="17">
        <f>Mtrx!I33</f>
        <v>17400</v>
      </c>
      <c r="F20" s="285">
        <f>Fac!H35</f>
        <v>0.45022945550736293</v>
      </c>
      <c r="G20" s="17">
        <f t="shared" si="0"/>
        <v>7833.9925258281146</v>
      </c>
      <c r="H20" s="17">
        <f t="shared" si="1"/>
        <v>9566.0074741718854</v>
      </c>
      <c r="I20" s="93"/>
      <c r="J20" s="3"/>
      <c r="K20" s="3">
        <f>E20</f>
        <v>17400</v>
      </c>
      <c r="L20" s="279">
        <f>H20</f>
        <v>9566.0074741718854</v>
      </c>
      <c r="M20" s="1"/>
    </row>
    <row r="21" spans="2:13" x14ac:dyDescent="0.45">
      <c r="B21" s="48"/>
      <c r="C21" s="158" t="s">
        <v>5</v>
      </c>
      <c r="D21" s="158"/>
      <c r="E21" s="17">
        <v>0</v>
      </c>
      <c r="F21" s="285">
        <f>Fac!H35</f>
        <v>0.45022945550736293</v>
      </c>
      <c r="G21" s="17">
        <f t="shared" si="0"/>
        <v>0</v>
      </c>
      <c r="H21" s="17">
        <f t="shared" si="1"/>
        <v>0</v>
      </c>
      <c r="I21" s="93"/>
      <c r="J21" s="3"/>
      <c r="K21" s="3">
        <f>E21</f>
        <v>0</v>
      </c>
      <c r="L21" s="279">
        <f>H21</f>
        <v>0</v>
      </c>
      <c r="M21" s="1"/>
    </row>
    <row r="22" spans="2:13" x14ac:dyDescent="0.45">
      <c r="B22" s="48"/>
      <c r="C22" s="158" t="s">
        <v>6</v>
      </c>
      <c r="D22" s="158"/>
      <c r="E22" s="17"/>
      <c r="F22" s="3"/>
      <c r="G22" s="17"/>
      <c r="H22" s="17"/>
      <c r="I22" s="93"/>
      <c r="J22" s="3"/>
      <c r="M22" s="1"/>
    </row>
    <row r="23" spans="2:13" x14ac:dyDescent="0.45">
      <c r="B23" s="48"/>
      <c r="C23" s="158"/>
      <c r="D23" s="158" t="s">
        <v>314</v>
      </c>
      <c r="E23" s="17">
        <f>Mtrx!E36+Mtrx!F36</f>
        <v>164414</v>
      </c>
      <c r="F23" s="285">
        <f>Fac!H35</f>
        <v>0.45022945550736293</v>
      </c>
      <c r="G23" s="17">
        <f>E23*F23</f>
        <v>74024.025697787569</v>
      </c>
      <c r="H23" s="17">
        <f>E23-G23</f>
        <v>90389.974302212431</v>
      </c>
      <c r="I23" s="93"/>
      <c r="J23" s="3"/>
      <c r="M23" s="1"/>
    </row>
    <row r="24" spans="2:13" x14ac:dyDescent="0.45">
      <c r="B24" s="48"/>
      <c r="C24" s="158"/>
      <c r="D24" s="158" t="s">
        <v>315</v>
      </c>
      <c r="E24" s="17">
        <f>Mtrx!G36</f>
        <v>35025</v>
      </c>
      <c r="F24" s="285">
        <f>Fac!H39</f>
        <v>0.15762284166772769</v>
      </c>
      <c r="G24" s="17">
        <f>E24*F24</f>
        <v>5520.7400294121626</v>
      </c>
      <c r="H24" s="17">
        <f>E24-G24</f>
        <v>29504.259970587838</v>
      </c>
      <c r="I24" s="93"/>
      <c r="J24" s="3"/>
      <c r="M24" s="1"/>
    </row>
    <row r="25" spans="2:13" x14ac:dyDescent="0.45">
      <c r="B25" s="48"/>
      <c r="C25" s="158"/>
      <c r="D25" s="158" t="s">
        <v>317</v>
      </c>
      <c r="E25" s="17">
        <f>Mtrx!I36</f>
        <v>6593</v>
      </c>
      <c r="F25" s="285">
        <f>Fac!H39</f>
        <v>0.15762284166772769</v>
      </c>
      <c r="G25" s="17">
        <f>E25*F25</f>
        <v>1039.2073951153286</v>
      </c>
      <c r="H25" s="17">
        <f>E25-G25</f>
        <v>5553.7926048846712</v>
      </c>
      <c r="I25" s="93"/>
      <c r="J25" s="3"/>
      <c r="K25" s="3">
        <f>SUM(E23:E25)</f>
        <v>206032</v>
      </c>
      <c r="L25" s="279">
        <f>SUM(H23:H25)</f>
        <v>125448.02687768494</v>
      </c>
      <c r="M25" s="1"/>
    </row>
    <row r="26" spans="2:13" x14ac:dyDescent="0.45">
      <c r="B26" s="48"/>
      <c r="C26" s="158" t="s">
        <v>75</v>
      </c>
      <c r="D26" s="158"/>
      <c r="E26" s="17"/>
      <c r="F26" s="285"/>
      <c r="G26" s="17"/>
      <c r="H26" s="17"/>
      <c r="I26" s="93"/>
      <c r="J26" s="3"/>
      <c r="M26" s="1"/>
    </row>
    <row r="27" spans="2:13" x14ac:dyDescent="0.45">
      <c r="B27" s="48"/>
      <c r="C27" s="158"/>
      <c r="D27" s="158" t="s">
        <v>314</v>
      </c>
      <c r="E27" s="17">
        <f>Mtrx!F37</f>
        <v>417020</v>
      </c>
      <c r="F27" s="285">
        <f>Fac!H35</f>
        <v>0.45022945550736293</v>
      </c>
      <c r="G27" s="17">
        <f>E27*F27</f>
        <v>187754.68753568048</v>
      </c>
      <c r="H27" s="17">
        <f>E27-G27</f>
        <v>229265.31246431952</v>
      </c>
      <c r="I27" s="93"/>
      <c r="J27" s="3"/>
      <c r="K27" s="3">
        <f>E27</f>
        <v>417020</v>
      </c>
      <c r="L27" s="287">
        <f>H27</f>
        <v>229265.31246431952</v>
      </c>
      <c r="M27" s="1"/>
    </row>
    <row r="28" spans="2:13" x14ac:dyDescent="0.45">
      <c r="B28" s="48"/>
      <c r="C28" s="158" t="s">
        <v>320</v>
      </c>
      <c r="D28" s="158"/>
      <c r="E28" s="17"/>
      <c r="F28" s="3"/>
      <c r="G28" s="17"/>
      <c r="H28" s="17"/>
      <c r="I28" s="93"/>
      <c r="J28" s="3"/>
      <c r="M28" s="1"/>
    </row>
    <row r="29" spans="2:13" x14ac:dyDescent="0.45">
      <c r="B29" s="48"/>
      <c r="C29" s="158"/>
      <c r="D29" s="158" t="s">
        <v>314</v>
      </c>
      <c r="E29" s="17">
        <f>Mtrx!E38+Mtrx!F38</f>
        <v>111048.6237959834</v>
      </c>
      <c r="F29" s="285">
        <f>Fac!H35</f>
        <v>0.45022945550736293</v>
      </c>
      <c r="G29" s="17">
        <f>E29*F29</f>
        <v>49997.361426507588</v>
      </c>
      <c r="H29" s="17">
        <f>E29-G29</f>
        <v>61051.262369475808</v>
      </c>
      <c r="I29" s="93"/>
      <c r="J29" s="3"/>
      <c r="M29" s="1"/>
    </row>
    <row r="30" spans="2:13" x14ac:dyDescent="0.45">
      <c r="B30" s="48"/>
      <c r="C30" s="158"/>
      <c r="D30" s="158" t="s">
        <v>315</v>
      </c>
      <c r="E30" s="17">
        <f>Mtrx!G38</f>
        <v>60099.788509922437</v>
      </c>
      <c r="F30" s="285">
        <f>Fac!H39</f>
        <v>0.15762284166772769</v>
      </c>
      <c r="G30" s="17">
        <f>E30*F30</f>
        <v>9473.0994485634237</v>
      </c>
      <c r="H30" s="17">
        <f>E30-G30</f>
        <v>50626.689061359015</v>
      </c>
      <c r="I30" s="93"/>
      <c r="J30" s="3"/>
      <c r="M30" s="1"/>
    </row>
    <row r="31" spans="2:13" x14ac:dyDescent="0.45">
      <c r="B31" s="48"/>
      <c r="C31" s="158"/>
      <c r="D31" s="158" t="s">
        <v>316</v>
      </c>
      <c r="E31" s="17">
        <f>Mtrx!H38</f>
        <v>19189.306456655402</v>
      </c>
      <c r="F31" s="3"/>
      <c r="G31" s="17">
        <v>0</v>
      </c>
      <c r="H31" s="17">
        <f>E31-G31</f>
        <v>19189.306456655402</v>
      </c>
      <c r="I31" s="93"/>
      <c r="J31" s="3"/>
      <c r="M31" s="1"/>
    </row>
    <row r="32" spans="2:13" x14ac:dyDescent="0.45">
      <c r="B32" s="48"/>
      <c r="C32" s="158"/>
      <c r="D32" s="158" t="s">
        <v>317</v>
      </c>
      <c r="E32" s="17">
        <f>Mtrx!I38</f>
        <v>2775.2812374387759</v>
      </c>
      <c r="F32" s="285">
        <f>Fac!H39</f>
        <v>0.15762284166772769</v>
      </c>
      <c r="G32" s="17">
        <f>E32*F32</f>
        <v>437.44771507222754</v>
      </c>
      <c r="H32" s="17">
        <f>E32-G32</f>
        <v>2337.8335223665481</v>
      </c>
      <c r="I32" s="93"/>
      <c r="J32" s="3"/>
      <c r="K32" s="3">
        <f>SUM(E29:E32)</f>
        <v>193113.00000000003</v>
      </c>
      <c r="L32" s="279">
        <f>SUM(H29:H32)</f>
        <v>133205.09140985677</v>
      </c>
      <c r="M32" s="1"/>
    </row>
    <row r="33" spans="2:13" x14ac:dyDescent="0.45">
      <c r="B33" s="48"/>
      <c r="C33" s="158" t="s">
        <v>321</v>
      </c>
      <c r="D33" s="158"/>
      <c r="E33" s="17"/>
      <c r="F33" s="285"/>
      <c r="G33" s="17"/>
      <c r="H33" s="17"/>
      <c r="I33" s="93"/>
      <c r="J33" s="3"/>
      <c r="M33" s="1"/>
    </row>
    <row r="34" spans="2:13" x14ac:dyDescent="0.45">
      <c r="B34" s="48"/>
      <c r="C34" s="158"/>
      <c r="D34" s="158" t="s">
        <v>317</v>
      </c>
      <c r="E34" s="17">
        <f>Mtrx!I39</f>
        <v>10500</v>
      </c>
      <c r="F34" s="285">
        <f>Fac!H35</f>
        <v>0.45022945550736293</v>
      </c>
      <c r="G34" s="17">
        <f>E34*F34</f>
        <v>4727.4092828273106</v>
      </c>
      <c r="H34" s="17">
        <f>E34-G34</f>
        <v>5772.5907171726894</v>
      </c>
      <c r="I34" s="93"/>
      <c r="J34" s="3"/>
      <c r="K34" s="3">
        <f>E34</f>
        <v>10500</v>
      </c>
      <c r="L34" s="279">
        <f>H34</f>
        <v>5772.5907171726894</v>
      </c>
      <c r="M34" s="1"/>
    </row>
    <row r="35" spans="2:13" x14ac:dyDescent="0.45">
      <c r="B35" s="48"/>
      <c r="C35" s="158" t="s">
        <v>322</v>
      </c>
      <c r="D35" s="158"/>
      <c r="E35" s="17"/>
      <c r="F35" s="285"/>
      <c r="G35" s="17"/>
      <c r="H35" s="17"/>
      <c r="I35" s="93"/>
      <c r="J35" s="3"/>
      <c r="K35" s="3"/>
      <c r="L35" s="279"/>
      <c r="M35" s="1"/>
    </row>
    <row r="36" spans="2:13" x14ac:dyDescent="0.45">
      <c r="B36" s="48"/>
      <c r="C36" s="158"/>
      <c r="D36" s="158" t="s">
        <v>314</v>
      </c>
      <c r="E36" s="17">
        <f>Mtrx!E41+Mtrx!F41</f>
        <v>0</v>
      </c>
      <c r="F36" s="285">
        <f>Fac!H35</f>
        <v>0.45022945550736293</v>
      </c>
      <c r="G36" s="17">
        <f>E36*F36</f>
        <v>0</v>
      </c>
      <c r="H36" s="17">
        <f>E36-G36</f>
        <v>0</v>
      </c>
      <c r="I36" s="93"/>
      <c r="J36" s="3"/>
      <c r="K36" s="3"/>
      <c r="L36" s="279"/>
      <c r="M36" s="1"/>
    </row>
    <row r="37" spans="2:13" x14ac:dyDescent="0.45">
      <c r="B37" s="48"/>
      <c r="C37" s="158"/>
      <c r="D37" s="158" t="s">
        <v>315</v>
      </c>
      <c r="E37" s="17">
        <f>Mtrx!G41</f>
        <v>7125</v>
      </c>
      <c r="F37" s="285">
        <f>Fac!H39</f>
        <v>0.15762284166772769</v>
      </c>
      <c r="G37" s="17">
        <f>E37*F37</f>
        <v>1123.0627468825598</v>
      </c>
      <c r="H37" s="17">
        <f>E37-G37</f>
        <v>6001.9372531174404</v>
      </c>
      <c r="I37" s="93"/>
      <c r="J37" s="3"/>
      <c r="K37" s="3"/>
      <c r="L37" s="279"/>
      <c r="M37" s="1"/>
    </row>
    <row r="38" spans="2:13" x14ac:dyDescent="0.45">
      <c r="B38" s="48"/>
      <c r="C38" s="158"/>
      <c r="D38" s="158" t="s">
        <v>316</v>
      </c>
      <c r="E38" s="17">
        <v>0</v>
      </c>
      <c r="F38" s="3"/>
      <c r="G38" s="17">
        <v>0</v>
      </c>
      <c r="H38" s="17">
        <f>E38-G38</f>
        <v>0</v>
      </c>
      <c r="I38" s="93"/>
      <c r="J38" s="3"/>
      <c r="K38" s="3"/>
      <c r="L38" s="279"/>
      <c r="M38" s="1"/>
    </row>
    <row r="39" spans="2:13" x14ac:dyDescent="0.45">
      <c r="B39" s="48"/>
      <c r="C39" s="158"/>
      <c r="D39" s="158" t="s">
        <v>317</v>
      </c>
      <c r="E39" s="17">
        <f>Mtrx!I41</f>
        <v>0</v>
      </c>
      <c r="F39" s="285">
        <f>Fac!H35</f>
        <v>0.45022945550736293</v>
      </c>
      <c r="G39" s="17">
        <f>E39*F39</f>
        <v>0</v>
      </c>
      <c r="H39" s="17">
        <f>E39-G39</f>
        <v>0</v>
      </c>
      <c r="I39" s="93"/>
      <c r="J39" s="3"/>
      <c r="K39" s="3">
        <f>SUM(E36:E39)</f>
        <v>7125</v>
      </c>
      <c r="L39" s="279">
        <f>SUM(H36:H39)</f>
        <v>6001.9372531174404</v>
      </c>
      <c r="M39" s="1"/>
    </row>
    <row r="40" spans="2:13" x14ac:dyDescent="0.45">
      <c r="B40" s="48"/>
      <c r="C40" s="158" t="s">
        <v>323</v>
      </c>
      <c r="D40" s="158"/>
      <c r="E40" s="17">
        <f>Mtrx!G42</f>
        <v>342</v>
      </c>
      <c r="F40" s="285">
        <f>Fac!H39</f>
        <v>0.15762284166772769</v>
      </c>
      <c r="G40" s="17">
        <f>E40*F40</f>
        <v>53.907011850362871</v>
      </c>
      <c r="H40" s="17">
        <f>E40-G40</f>
        <v>288.09298814963711</v>
      </c>
      <c r="I40" s="93"/>
      <c r="J40" s="3"/>
      <c r="K40" s="3">
        <f>E40</f>
        <v>342</v>
      </c>
      <c r="L40" s="279">
        <f>H40</f>
        <v>288.09298814963711</v>
      </c>
      <c r="M40" s="1"/>
    </row>
    <row r="41" spans="2:13" x14ac:dyDescent="0.45">
      <c r="B41" s="48"/>
      <c r="C41" s="158" t="s">
        <v>324</v>
      </c>
      <c r="D41" s="158"/>
      <c r="E41" s="17"/>
      <c r="F41" s="285"/>
      <c r="G41" s="17"/>
      <c r="H41" s="17"/>
      <c r="I41" s="93"/>
      <c r="J41" s="3"/>
      <c r="M41" s="1"/>
    </row>
    <row r="42" spans="2:13" x14ac:dyDescent="0.45">
      <c r="B42" s="48"/>
      <c r="C42" s="158"/>
      <c r="D42" s="158" t="s">
        <v>315</v>
      </c>
      <c r="E42" s="17">
        <f>Mtrx!G43</f>
        <v>31286</v>
      </c>
      <c r="F42" s="285">
        <f>Fac!H39</f>
        <v>0.15762284166772769</v>
      </c>
      <c r="G42" s="17">
        <f>E42*F42</f>
        <v>4931.3882244165288</v>
      </c>
      <c r="H42" s="17">
        <f t="shared" ref="H42:H55" si="2">E42-G42</f>
        <v>26354.611775583471</v>
      </c>
      <c r="I42" s="93"/>
      <c r="J42" s="3"/>
      <c r="M42" s="1"/>
    </row>
    <row r="43" spans="2:13" x14ac:dyDescent="0.45">
      <c r="B43" s="48"/>
      <c r="C43" s="158"/>
      <c r="D43" s="158" t="s">
        <v>316</v>
      </c>
      <c r="E43" s="17">
        <v>0</v>
      </c>
      <c r="F43" s="3"/>
      <c r="G43" s="17">
        <v>0</v>
      </c>
      <c r="H43" s="17">
        <f t="shared" si="2"/>
        <v>0</v>
      </c>
      <c r="I43" s="93"/>
      <c r="J43" s="3"/>
      <c r="L43" s="279"/>
      <c r="M43" s="1"/>
    </row>
    <row r="44" spans="2:13" x14ac:dyDescent="0.45">
      <c r="B44" s="48"/>
      <c r="C44" s="158"/>
      <c r="D44" s="158" t="s">
        <v>317</v>
      </c>
      <c r="E44" s="17">
        <f>Mtrx!I43</f>
        <v>0</v>
      </c>
      <c r="F44" s="285">
        <f>Fac!H35</f>
        <v>0.45022945550736293</v>
      </c>
      <c r="G44" s="17">
        <f>E44*F44</f>
        <v>0</v>
      </c>
      <c r="H44" s="17">
        <f t="shared" si="2"/>
        <v>0</v>
      </c>
      <c r="I44" s="93"/>
      <c r="J44" s="3"/>
      <c r="K44" s="3">
        <f>SUM(E42:E44)</f>
        <v>31286</v>
      </c>
      <c r="L44" s="279">
        <f>SUM(H42:H44)</f>
        <v>26354.611775583471</v>
      </c>
      <c r="M44" s="1"/>
    </row>
    <row r="45" spans="2:13" x14ac:dyDescent="0.45">
      <c r="B45" s="48"/>
      <c r="C45" s="158"/>
      <c r="D45" s="158"/>
      <c r="E45" s="17"/>
      <c r="F45" s="285"/>
      <c r="G45" s="17"/>
      <c r="H45" s="17"/>
      <c r="I45" s="93"/>
      <c r="J45" s="3"/>
      <c r="K45" s="3"/>
      <c r="L45" s="279"/>
      <c r="M45" s="1"/>
    </row>
    <row r="46" spans="2:13" x14ac:dyDescent="0.45">
      <c r="B46" s="48"/>
      <c r="C46" s="158"/>
      <c r="D46" s="158"/>
      <c r="E46" s="17"/>
      <c r="F46" s="285"/>
      <c r="G46" s="17"/>
      <c r="H46" s="17"/>
      <c r="I46" s="93"/>
      <c r="J46" s="3"/>
      <c r="K46" s="3"/>
      <c r="L46" s="279"/>
      <c r="M46" s="1"/>
    </row>
    <row r="47" spans="2:13" x14ac:dyDescent="0.45">
      <c r="B47" s="48"/>
      <c r="C47" s="158"/>
      <c r="D47" s="158"/>
      <c r="E47" s="283" t="s">
        <v>33</v>
      </c>
      <c r="F47" s="182" t="s">
        <v>309</v>
      </c>
      <c r="G47" s="283" t="s">
        <v>226</v>
      </c>
      <c r="H47" s="283" t="s">
        <v>310</v>
      </c>
      <c r="I47" s="93"/>
      <c r="J47" s="3"/>
      <c r="K47" s="3"/>
      <c r="L47" s="279"/>
      <c r="M47" s="1"/>
    </row>
    <row r="48" spans="2:13" x14ac:dyDescent="0.45">
      <c r="B48" s="48"/>
      <c r="C48" s="158"/>
      <c r="D48" s="158"/>
      <c r="E48" s="283" t="s">
        <v>311</v>
      </c>
      <c r="F48" s="182" t="s">
        <v>312</v>
      </c>
      <c r="G48" s="283" t="s">
        <v>309</v>
      </c>
      <c r="H48" s="283" t="s">
        <v>309</v>
      </c>
      <c r="I48" s="93"/>
      <c r="J48" s="3"/>
      <c r="K48" s="3"/>
      <c r="L48" s="279"/>
      <c r="M48" s="1"/>
    </row>
    <row r="49" spans="2:13" x14ac:dyDescent="0.45">
      <c r="B49" s="48"/>
      <c r="C49" s="158" t="s">
        <v>325</v>
      </c>
      <c r="D49" s="158"/>
      <c r="E49" s="17"/>
      <c r="F49" s="285"/>
      <c r="G49" s="17"/>
      <c r="H49" s="17"/>
      <c r="I49" s="93"/>
      <c r="J49" s="3"/>
      <c r="K49" s="3"/>
      <c r="L49" s="279"/>
      <c r="M49" s="1"/>
    </row>
    <row r="50" spans="2:13" x14ac:dyDescent="0.45">
      <c r="B50" s="48"/>
      <c r="C50" s="158"/>
      <c r="D50" s="158" t="s">
        <v>314</v>
      </c>
      <c r="E50" s="17">
        <f>Mtrx!E44+Mtrx!F44+Mtrx!E45+Mtrx!F45+Mtrx!E46+Mtrx!F46+Mtrx!E47+Mtrx!F47</f>
        <v>0</v>
      </c>
      <c r="F50" s="285">
        <f>Fac!H35</f>
        <v>0.45022945550736293</v>
      </c>
      <c r="G50" s="17">
        <f>E50*F50</f>
        <v>0</v>
      </c>
      <c r="H50" s="17">
        <f>E50-G50</f>
        <v>0</v>
      </c>
      <c r="I50" s="93"/>
      <c r="J50" s="3"/>
      <c r="K50" s="3"/>
      <c r="L50" s="279"/>
      <c r="M50" s="1"/>
    </row>
    <row r="51" spans="2:13" x14ac:dyDescent="0.45">
      <c r="B51" s="48"/>
      <c r="C51" s="158"/>
      <c r="D51" s="158" t="s">
        <v>315</v>
      </c>
      <c r="E51" s="17">
        <f>SUM(Mtrx!G44:G47)</f>
        <v>0</v>
      </c>
      <c r="F51" s="285">
        <f>Fac!H39</f>
        <v>0.15762284166772769</v>
      </c>
      <c r="G51" s="17">
        <f>E51*F51</f>
        <v>0</v>
      </c>
      <c r="H51" s="17">
        <f>E51-G51</f>
        <v>0</v>
      </c>
      <c r="I51" s="93"/>
      <c r="J51" s="3"/>
      <c r="K51" s="3"/>
      <c r="L51" s="279"/>
      <c r="M51" s="1"/>
    </row>
    <row r="52" spans="2:13" x14ac:dyDescent="0.45">
      <c r="B52" s="48"/>
      <c r="C52" s="158"/>
      <c r="D52" s="158" t="s">
        <v>316</v>
      </c>
      <c r="E52" s="17">
        <f>SUM(Mtrx!H44:H47)</f>
        <v>0</v>
      </c>
      <c r="F52" s="3"/>
      <c r="G52" s="17">
        <v>0</v>
      </c>
      <c r="H52" s="17">
        <f>E52-G52</f>
        <v>0</v>
      </c>
      <c r="I52" s="93"/>
      <c r="J52" s="3"/>
      <c r="K52" s="3"/>
      <c r="L52" s="279"/>
      <c r="M52" s="1"/>
    </row>
    <row r="53" spans="2:13" x14ac:dyDescent="0.45">
      <c r="B53" s="48"/>
      <c r="C53" s="158"/>
      <c r="D53" s="158" t="s">
        <v>317</v>
      </c>
      <c r="E53" s="17">
        <f>SUM(Mtrx!I44:I47)</f>
        <v>18863</v>
      </c>
      <c r="F53" s="285">
        <f>Fac!H35</f>
        <v>0.45022945550736293</v>
      </c>
      <c r="G53" s="17">
        <f>E53*F53</f>
        <v>8492.6782192353876</v>
      </c>
      <c r="H53" s="17">
        <f>E53-G53</f>
        <v>10370.321780764612</v>
      </c>
      <c r="I53" s="93"/>
      <c r="J53" s="3"/>
      <c r="K53" s="3">
        <f>SUM(E50:E53)</f>
        <v>18863</v>
      </c>
      <c r="L53" s="279">
        <f>SUM(H50:H53)</f>
        <v>10370.321780764612</v>
      </c>
      <c r="M53" s="1"/>
    </row>
    <row r="54" spans="2:13" x14ac:dyDescent="0.45">
      <c r="B54" s="48"/>
      <c r="C54" s="271" t="s">
        <v>302</v>
      </c>
      <c r="D54" s="158"/>
      <c r="E54" s="17">
        <f>Mtrx!I48</f>
        <v>737</v>
      </c>
      <c r="F54" s="285">
        <f>Fac!H39</f>
        <v>0.15762284166772769</v>
      </c>
      <c r="G54" s="17">
        <f>E54*F54</f>
        <v>116.16803430911531</v>
      </c>
      <c r="H54" s="17">
        <f>E54-G54</f>
        <v>620.83196569088466</v>
      </c>
      <c r="I54" s="93"/>
      <c r="J54" s="3"/>
      <c r="K54" s="3">
        <f>E54</f>
        <v>737</v>
      </c>
      <c r="L54" s="279">
        <f>H54</f>
        <v>620.83196569088466</v>
      </c>
      <c r="M54" s="1"/>
    </row>
    <row r="55" spans="2:13" x14ac:dyDescent="0.45">
      <c r="B55" s="48"/>
      <c r="C55" s="158" t="s">
        <v>61</v>
      </c>
      <c r="D55" s="158"/>
      <c r="E55" s="17">
        <v>0</v>
      </c>
      <c r="F55" s="285"/>
      <c r="G55" s="17">
        <f>E55*F55</f>
        <v>0</v>
      </c>
      <c r="H55" s="17">
        <f t="shared" si="2"/>
        <v>0</v>
      </c>
      <c r="I55" s="93"/>
      <c r="J55" s="3"/>
      <c r="K55" s="3">
        <f>E55</f>
        <v>0</v>
      </c>
      <c r="L55" s="279">
        <f>H55</f>
        <v>0</v>
      </c>
      <c r="M55" s="1"/>
    </row>
    <row r="56" spans="2:13" x14ac:dyDescent="0.45">
      <c r="B56" s="48"/>
      <c r="C56" s="158" t="s">
        <v>326</v>
      </c>
      <c r="D56" s="158"/>
      <c r="E56" s="17"/>
      <c r="F56" s="285"/>
      <c r="G56" s="17"/>
      <c r="H56" s="17"/>
      <c r="I56" s="93"/>
      <c r="J56" s="3"/>
      <c r="K56" s="3"/>
      <c r="L56" s="279"/>
      <c r="M56" s="1"/>
    </row>
    <row r="57" spans="2:13" x14ac:dyDescent="0.45">
      <c r="B57" s="48"/>
      <c r="C57" s="158"/>
      <c r="D57" s="158" t="s">
        <v>314</v>
      </c>
      <c r="E57" s="17">
        <f>Mtrx!F50</f>
        <v>0</v>
      </c>
      <c r="F57" s="285">
        <f>Fac!H35</f>
        <v>0.45022945550736293</v>
      </c>
      <c r="G57" s="17">
        <f>F57*E57</f>
        <v>0</v>
      </c>
      <c r="H57" s="17">
        <f>E57-G57</f>
        <v>0</v>
      </c>
      <c r="I57" s="93"/>
      <c r="J57" s="3"/>
      <c r="K57" s="3"/>
      <c r="L57" s="279"/>
      <c r="M57" s="1"/>
    </row>
    <row r="58" spans="2:13" x14ac:dyDescent="0.45">
      <c r="B58" s="48"/>
      <c r="C58" s="158"/>
      <c r="D58" s="158" t="s">
        <v>315</v>
      </c>
      <c r="E58" s="17">
        <f>Mtrx!G50</f>
        <v>11421</v>
      </c>
      <c r="F58" s="285">
        <f>Fac!H39</f>
        <v>0.15762284166772769</v>
      </c>
      <c r="G58" s="17">
        <f>F58*E58</f>
        <v>1800.210474687118</v>
      </c>
      <c r="H58" s="17">
        <f>E58-G58</f>
        <v>9620.7895253128827</v>
      </c>
      <c r="I58" s="93"/>
      <c r="J58" s="3"/>
      <c r="K58" s="3"/>
      <c r="L58" s="279"/>
      <c r="M58" s="1"/>
    </row>
    <row r="59" spans="2:13" x14ac:dyDescent="0.45">
      <c r="B59" s="48"/>
      <c r="C59" s="158"/>
      <c r="D59" s="158" t="s">
        <v>316</v>
      </c>
      <c r="E59" s="17">
        <f>Mtrx!H50</f>
        <v>0</v>
      </c>
      <c r="F59" s="3"/>
      <c r="G59" s="17">
        <v>0</v>
      </c>
      <c r="H59" s="17">
        <f>E59-G59</f>
        <v>0</v>
      </c>
      <c r="I59" s="93"/>
      <c r="J59" s="3"/>
      <c r="K59" s="3"/>
      <c r="L59" s="279"/>
      <c r="M59" s="1"/>
    </row>
    <row r="60" spans="2:13" x14ac:dyDescent="0.45">
      <c r="B60" s="48"/>
      <c r="C60" s="158"/>
      <c r="D60" s="158" t="s">
        <v>317</v>
      </c>
      <c r="E60" s="17">
        <f>Mtrx!I50</f>
        <v>15285</v>
      </c>
      <c r="F60" s="285">
        <f>Fac!H35</f>
        <v>0.45022945550736293</v>
      </c>
      <c r="G60" s="17">
        <f>E60*F60</f>
        <v>6881.7572274300428</v>
      </c>
      <c r="H60" s="17">
        <f>E60-G60</f>
        <v>8403.2427725699563</v>
      </c>
      <c r="I60" s="93"/>
      <c r="J60" s="3"/>
      <c r="K60" s="3">
        <f>SUM(E59:E60)</f>
        <v>15285</v>
      </c>
      <c r="L60" s="279">
        <f>SUM(H59:H60)</f>
        <v>8403.2427725699563</v>
      </c>
      <c r="M60" s="1"/>
    </row>
    <row r="61" spans="2:13" ht="6.95" customHeight="1" x14ac:dyDescent="0.45">
      <c r="B61" s="48"/>
      <c r="C61" s="158"/>
      <c r="D61" s="158"/>
      <c r="E61" s="17"/>
      <c r="F61" s="3"/>
      <c r="G61" s="17"/>
      <c r="H61" s="17"/>
      <c r="I61" s="93"/>
      <c r="J61" s="3"/>
      <c r="K61" s="286"/>
      <c r="L61" s="279"/>
      <c r="M61" s="1"/>
    </row>
    <row r="62" spans="2:13" x14ac:dyDescent="0.45">
      <c r="B62" s="48"/>
      <c r="C62" s="288" t="s">
        <v>0</v>
      </c>
      <c r="D62" s="158"/>
      <c r="E62" s="17">
        <f>SUM(E11:E61)</f>
        <v>1733926.904942675</v>
      </c>
      <c r="F62" s="3"/>
      <c r="G62" s="17">
        <f>SUM(G11:G61)</f>
        <v>532976.21388255386</v>
      </c>
      <c r="H62" s="17">
        <f>SUM(H11:H61)</f>
        <v>1200950.6910601216</v>
      </c>
      <c r="I62" s="93"/>
      <c r="J62" s="3"/>
      <c r="K62" s="3">
        <f>SUM(K14:K61)</f>
        <v>1722505.904942675</v>
      </c>
      <c r="L62" s="289">
        <f>SUM(L14:L61)</f>
        <v>1191329.9015348083</v>
      </c>
      <c r="M62" s="1"/>
    </row>
    <row r="63" spans="2:13" ht="6.95" customHeight="1" x14ac:dyDescent="0.45">
      <c r="B63" s="48"/>
      <c r="C63" s="158"/>
      <c r="D63" s="158"/>
      <c r="E63" s="17"/>
      <c r="F63" s="3"/>
      <c r="G63" s="17"/>
      <c r="H63" s="17"/>
      <c r="I63" s="93"/>
      <c r="J63" s="3"/>
      <c r="K63" s="18"/>
      <c r="L63" s="279"/>
      <c r="M63" s="1"/>
    </row>
    <row r="64" spans="2:13" x14ac:dyDescent="0.45">
      <c r="B64" s="48"/>
      <c r="C64" s="158" t="s">
        <v>21</v>
      </c>
      <c r="D64" s="158"/>
      <c r="E64" s="17"/>
      <c r="F64" s="3"/>
      <c r="G64" s="17"/>
      <c r="H64" s="17"/>
      <c r="I64" s="93"/>
      <c r="J64" s="3"/>
      <c r="K64" s="18">
        <f>H62+G62</f>
        <v>1733926.9049426755</v>
      </c>
      <c r="L64" s="279"/>
      <c r="M64" s="1"/>
    </row>
    <row r="65" spans="2:16" x14ac:dyDescent="0.45">
      <c r="B65" s="48"/>
      <c r="C65" s="158"/>
      <c r="D65" s="158" t="s">
        <v>314</v>
      </c>
      <c r="E65" s="17">
        <f>Depreciation!J18+Depreciation!J19+Depreciation!J42+A82</f>
        <v>188547.48433333336</v>
      </c>
      <c r="F65" s="285">
        <f>Fac!H35</f>
        <v>0.45022945550736293</v>
      </c>
      <c r="G65" s="17">
        <f>E65*F65</f>
        <v>84889.631208679726</v>
      </c>
      <c r="H65" s="17">
        <f>E65-G65</f>
        <v>103657.85312465363</v>
      </c>
      <c r="I65" s="93"/>
      <c r="J65" s="3"/>
      <c r="K65" s="286"/>
      <c r="L65" s="279"/>
      <c r="M65" s="1"/>
    </row>
    <row r="66" spans="2:16" ht="15.75" x14ac:dyDescent="0.5">
      <c r="B66" s="48"/>
      <c r="C66" s="158"/>
      <c r="D66" s="158" t="s">
        <v>327</v>
      </c>
      <c r="E66" s="17">
        <f>Depreciation!J27+Depreciation!J28+Depreciation!J29+Depreciation!J30+Depreciation!J32+Depreciation!J22+Depreciation!J24-A82</f>
        <v>250151.78855555557</v>
      </c>
      <c r="F66" s="285">
        <f>Fac!H39</f>
        <v>0.15762284166772769</v>
      </c>
      <c r="G66" s="17">
        <f>E66*F66</f>
        <v>39429.635760391233</v>
      </c>
      <c r="H66" s="17">
        <f>E66-G66</f>
        <v>210722.15279516432</v>
      </c>
      <c r="I66" s="93"/>
      <c r="J66" s="3"/>
      <c r="K66" s="286"/>
      <c r="L66" s="279"/>
      <c r="M66" s="1"/>
      <c r="N66" s="290"/>
    </row>
    <row r="67" spans="2:16" ht="15.75" x14ac:dyDescent="0.5">
      <c r="B67" s="48"/>
      <c r="C67" s="158"/>
      <c r="D67" s="158" t="s">
        <v>328</v>
      </c>
      <c r="E67" s="17">
        <f>Depreciation!J35</f>
        <v>57617.8</v>
      </c>
      <c r="F67" s="285">
        <f>Fac!H43</f>
        <v>0.50561155077863695</v>
      </c>
      <c r="G67" s="17">
        <f>E67*F67</f>
        <v>29132.225210453351</v>
      </c>
      <c r="H67" s="17">
        <f>E67-G67</f>
        <v>28485.574789546652</v>
      </c>
      <c r="I67" s="93"/>
      <c r="J67" s="3"/>
      <c r="K67" s="286"/>
      <c r="L67" s="279"/>
      <c r="M67" s="1"/>
      <c r="N67" s="290"/>
    </row>
    <row r="68" spans="2:16" ht="15.75" x14ac:dyDescent="0.5">
      <c r="B68" s="48"/>
      <c r="C68" s="158"/>
      <c r="D68" s="158" t="s">
        <v>317</v>
      </c>
      <c r="E68" s="17">
        <f>Depreciation!J10+Depreciation!J11+Depreciation!J12+Depreciation!J14</f>
        <v>14921.638730158729</v>
      </c>
      <c r="F68" s="285">
        <f>Fac!H39</f>
        <v>0.15762284166772769</v>
      </c>
      <c r="G68" s="17">
        <f>E68*F68</f>
        <v>2351.9910989868426</v>
      </c>
      <c r="H68" s="17">
        <f>E68-G68</f>
        <v>12569.647631171887</v>
      </c>
      <c r="I68" s="93"/>
      <c r="J68" s="3"/>
      <c r="K68" s="286"/>
      <c r="L68" s="279"/>
      <c r="M68" s="1"/>
      <c r="N68" s="290"/>
    </row>
    <row r="69" spans="2:16" ht="15.75" x14ac:dyDescent="0.5">
      <c r="B69" s="48"/>
      <c r="C69" s="158"/>
      <c r="D69" s="158" t="s">
        <v>284</v>
      </c>
      <c r="E69" s="17">
        <f>Depreciation!J39</f>
        <v>8615.4285714285706</v>
      </c>
      <c r="F69" s="3"/>
      <c r="G69" s="17">
        <f>E69*F69</f>
        <v>0</v>
      </c>
      <c r="H69" s="17">
        <f>E69-G69</f>
        <v>8615.4285714285706</v>
      </c>
      <c r="I69" s="93"/>
      <c r="J69" s="3"/>
      <c r="K69" s="18">
        <f>SUM(E65:E69)</f>
        <v>519854.14019047626</v>
      </c>
      <c r="L69" s="279">
        <f>SUM(H65:H69)</f>
        <v>364050.65691196505</v>
      </c>
      <c r="M69" s="279">
        <f>L62+L69</f>
        <v>1555380.5584467733</v>
      </c>
      <c r="N69" s="291"/>
      <c r="O69" s="326"/>
      <c r="P69" s="326"/>
    </row>
    <row r="70" spans="2:16" ht="6.95" customHeight="1" x14ac:dyDescent="0.5">
      <c r="B70" s="48"/>
      <c r="C70" s="158"/>
      <c r="D70" s="158"/>
      <c r="E70" s="17"/>
      <c r="F70" s="3"/>
      <c r="G70" s="17"/>
      <c r="H70" s="17"/>
      <c r="I70" s="93"/>
      <c r="J70" s="3"/>
      <c r="L70" s="279"/>
      <c r="M70" s="1"/>
      <c r="N70" s="290"/>
      <c r="O70" s="326"/>
      <c r="P70" s="326"/>
    </row>
    <row r="71" spans="2:16" ht="15.75" x14ac:dyDescent="0.5">
      <c r="B71" s="48"/>
      <c r="C71" s="288" t="s">
        <v>329</v>
      </c>
      <c r="D71" s="158"/>
      <c r="E71" s="17">
        <f>SUM(E65:E69)+E62</f>
        <v>2253781.0451331511</v>
      </c>
      <c r="F71" s="3"/>
      <c r="G71" s="17">
        <f>SUM(G65:G69)+G62</f>
        <v>688779.69716106495</v>
      </c>
      <c r="H71" s="17">
        <f>SUM(H65:H69)+H62</f>
        <v>1565001.3479720866</v>
      </c>
      <c r="I71" s="93"/>
      <c r="J71" s="3"/>
      <c r="K71" s="3">
        <f>K62+K69</f>
        <v>2242360.0451331511</v>
      </c>
      <c r="L71" s="289">
        <f>L62+L69</f>
        <v>1555380.5584467733</v>
      </c>
      <c r="M71" s="1"/>
      <c r="N71" s="290"/>
      <c r="O71" s="326"/>
      <c r="P71" s="326"/>
    </row>
    <row r="72" spans="2:16" ht="6.95" customHeight="1" x14ac:dyDescent="0.5">
      <c r="B72" s="48"/>
      <c r="C72" s="158"/>
      <c r="D72" s="158"/>
      <c r="E72" s="17"/>
      <c r="F72" s="3"/>
      <c r="G72" s="17"/>
      <c r="H72" s="17"/>
      <c r="I72" s="93"/>
      <c r="J72" s="3"/>
      <c r="L72" s="279"/>
      <c r="M72" s="1"/>
      <c r="N72" s="290"/>
    </row>
    <row r="73" spans="2:16" x14ac:dyDescent="0.45">
      <c r="B73" s="48"/>
      <c r="C73" s="158"/>
      <c r="D73" s="158" t="s">
        <v>330</v>
      </c>
      <c r="E73" s="17"/>
      <c r="F73" s="3"/>
      <c r="G73" s="17">
        <f>Sys!F36</f>
        <v>156462</v>
      </c>
      <c r="H73" s="22"/>
      <c r="I73" s="292"/>
      <c r="J73" s="316"/>
      <c r="K73" s="3">
        <f>G71+H71</f>
        <v>2253781.0451331516</v>
      </c>
      <c r="L73" s="279"/>
      <c r="M73" s="1"/>
    </row>
    <row r="74" spans="2:16" ht="6.95" customHeight="1" x14ac:dyDescent="0.45">
      <c r="B74" s="48"/>
      <c r="C74" s="158"/>
      <c r="D74" s="158"/>
      <c r="E74" s="17"/>
      <c r="F74" s="3"/>
      <c r="G74" s="17"/>
      <c r="H74" s="17"/>
      <c r="I74" s="93"/>
      <c r="J74" s="3"/>
      <c r="L74" s="279"/>
      <c r="M74" s="1"/>
    </row>
    <row r="75" spans="2:16" ht="15.75" x14ac:dyDescent="0.5">
      <c r="B75" s="48"/>
      <c r="C75" s="293" t="s">
        <v>331</v>
      </c>
      <c r="D75" s="294"/>
      <c r="E75" s="295"/>
      <c r="F75" s="296"/>
      <c r="G75" s="297">
        <f>ROUND(G71/G73,2)</f>
        <v>4.4000000000000004</v>
      </c>
      <c r="H75" s="17"/>
      <c r="I75" s="298"/>
      <c r="J75" s="356"/>
      <c r="K75" s="270"/>
      <c r="L75" s="299"/>
      <c r="M75" s="1"/>
      <c r="O75" s="328"/>
      <c r="P75" s="327"/>
    </row>
    <row r="76" spans="2:16" ht="15.75" x14ac:dyDescent="0.5">
      <c r="B76" s="48"/>
      <c r="C76" s="293" t="s">
        <v>332</v>
      </c>
      <c r="D76" s="294"/>
      <c r="E76" s="295"/>
      <c r="F76" s="296"/>
      <c r="G76" s="303">
        <v>3.7</v>
      </c>
      <c r="H76" s="17"/>
      <c r="I76" s="298"/>
      <c r="J76" s="356"/>
      <c r="K76" s="270"/>
      <c r="L76" s="299"/>
      <c r="M76" s="1"/>
    </row>
    <row r="77" spans="2:16" ht="15.75" x14ac:dyDescent="0.5">
      <c r="B77" s="48"/>
      <c r="C77" s="293"/>
      <c r="D77" s="294"/>
      <c r="E77" s="295"/>
      <c r="F77" s="296"/>
      <c r="G77" s="302"/>
      <c r="H77" s="17"/>
      <c r="I77" s="298"/>
      <c r="J77" s="356"/>
      <c r="K77" s="270"/>
      <c r="L77" s="299"/>
      <c r="M77" s="1"/>
    </row>
    <row r="78" spans="2:16" ht="16.149999999999999" thickBot="1" x14ac:dyDescent="0.55000000000000004">
      <c r="B78" s="48"/>
      <c r="C78" s="293" t="s">
        <v>334</v>
      </c>
      <c r="D78" s="294"/>
      <c r="E78" s="295"/>
      <c r="F78" s="296"/>
      <c r="G78" s="304">
        <f>G75-G76</f>
        <v>0.70000000000000018</v>
      </c>
      <c r="H78" s="17"/>
      <c r="I78" s="298"/>
      <c r="J78" s="356"/>
      <c r="K78" s="270">
        <f>G78/G76</f>
        <v>0.18918918918918923</v>
      </c>
      <c r="L78" s="299"/>
      <c r="M78" s="1"/>
    </row>
    <row r="79" spans="2:16" ht="15.75" thickTop="1" x14ac:dyDescent="0.45">
      <c r="B79" s="77"/>
      <c r="C79" s="300"/>
      <c r="D79" s="300"/>
      <c r="E79" s="21"/>
      <c r="F79" s="83"/>
      <c r="G79" s="21"/>
      <c r="H79" s="21"/>
      <c r="I79" s="94"/>
      <c r="J79" s="3"/>
      <c r="L79" s="279"/>
      <c r="M79" s="1"/>
    </row>
    <row r="80" spans="2:16" x14ac:dyDescent="0.45">
      <c r="B80" s="1"/>
      <c r="C80" s="158"/>
      <c r="D80" s="158"/>
      <c r="E80" s="17"/>
      <c r="F80" s="1"/>
      <c r="G80" s="17"/>
      <c r="H80" s="17"/>
      <c r="I80" s="1"/>
      <c r="J80" s="1"/>
      <c r="M80" s="1"/>
    </row>
    <row r="81" spans="1:13" x14ac:dyDescent="0.45">
      <c r="B81" s="1"/>
      <c r="C81" s="158"/>
      <c r="D81" s="158"/>
      <c r="E81" s="17"/>
      <c r="F81" s="1"/>
      <c r="G81" s="17"/>
      <c r="H81" s="17"/>
      <c r="I81" s="1"/>
      <c r="J81" s="1"/>
      <c r="M81" s="1"/>
    </row>
    <row r="82" spans="1:13" x14ac:dyDescent="0.45">
      <c r="A82" s="305">
        <f>0.9*(Depreciation!J22+Depreciation!J24)</f>
        <v>172130.72700000001</v>
      </c>
      <c r="B82" s="1"/>
      <c r="C82" s="158"/>
      <c r="D82" s="158"/>
      <c r="E82" s="17"/>
      <c r="F82" s="1"/>
      <c r="G82" s="158"/>
      <c r="H82" s="17"/>
      <c r="I82" s="3"/>
      <c r="J82" s="3"/>
      <c r="M82" s="1"/>
    </row>
    <row r="83" spans="1:13" x14ac:dyDescent="0.45">
      <c r="B83" s="1"/>
      <c r="C83" s="158"/>
      <c r="D83" s="158"/>
      <c r="E83" s="17"/>
      <c r="F83" s="1"/>
      <c r="G83" s="270"/>
      <c r="H83" s="17"/>
      <c r="I83" s="1"/>
      <c r="J83" s="1"/>
      <c r="K83" s="270"/>
      <c r="M83" s="1"/>
    </row>
    <row r="84" spans="1:13" x14ac:dyDescent="0.45">
      <c r="B84" s="1"/>
      <c r="C84" s="158"/>
      <c r="D84" s="158"/>
      <c r="E84" s="17"/>
      <c r="F84" s="1"/>
      <c r="G84" s="17"/>
      <c r="H84" s="17"/>
      <c r="I84" s="1"/>
      <c r="J84" s="1"/>
      <c r="M84" s="1"/>
    </row>
    <row r="85" spans="1:13" x14ac:dyDescent="0.45">
      <c r="B85" s="1"/>
      <c r="C85" s="158"/>
      <c r="D85" s="158"/>
      <c r="E85" s="17"/>
      <c r="F85" s="1"/>
      <c r="G85" s="17"/>
      <c r="H85" s="17"/>
      <c r="I85" s="1"/>
      <c r="J85" s="1"/>
      <c r="M85" s="1"/>
    </row>
    <row r="86" spans="1:13" x14ac:dyDescent="0.45">
      <c r="B86" s="1"/>
      <c r="C86" s="158"/>
      <c r="D86" s="158"/>
      <c r="E86" s="17"/>
      <c r="F86" s="1"/>
      <c r="G86" s="17"/>
      <c r="H86" s="17"/>
      <c r="I86" s="1"/>
      <c r="J86" s="1"/>
      <c r="M86" s="1"/>
    </row>
  </sheetData>
  <mergeCells count="3">
    <mergeCell ref="B3:I3"/>
    <mergeCell ref="B4:I4"/>
    <mergeCell ref="B5:I5"/>
  </mergeCells>
  <pageMargins left="0.7" right="0.7" top="0.75" bottom="0.75" header="0.3" footer="0.3"/>
  <pageSetup scale="99" fitToHeight="0" orientation="portrait" r:id="rId1"/>
  <ignoredErrors>
    <ignoredError sqref="F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H41"/>
  <sheetViews>
    <sheetView topLeftCell="A10" workbookViewId="0">
      <selection activeCell="G23" sqref="G23"/>
    </sheetView>
  </sheetViews>
  <sheetFormatPr defaultColWidth="8.88671875" defaultRowHeight="14.25" x14ac:dyDescent="0.45"/>
  <cols>
    <col min="1" max="1" width="20.5546875" style="1" customWidth="1"/>
    <col min="2" max="7" width="12.5546875" style="14" customWidth="1"/>
    <col min="8" max="8" width="8.88671875" style="20"/>
    <col min="9" max="16384" width="8.88671875" style="1"/>
  </cols>
  <sheetData>
    <row r="1" spans="1:7" x14ac:dyDescent="0.45">
      <c r="A1" s="1" t="s">
        <v>76</v>
      </c>
    </row>
    <row r="2" spans="1:7" x14ac:dyDescent="0.45">
      <c r="B2" s="97"/>
      <c r="C2" s="97"/>
      <c r="D2" s="97"/>
      <c r="E2" s="97"/>
      <c r="F2" s="97"/>
      <c r="G2" s="97" t="s">
        <v>13</v>
      </c>
    </row>
    <row r="3" spans="1:7" x14ac:dyDescent="0.45">
      <c r="B3" s="97" t="s">
        <v>77</v>
      </c>
      <c r="C3" s="97" t="s">
        <v>77</v>
      </c>
      <c r="D3" s="97" t="s">
        <v>78</v>
      </c>
      <c r="E3" s="97" t="s">
        <v>77</v>
      </c>
      <c r="F3" s="97" t="s">
        <v>77</v>
      </c>
      <c r="G3" s="97" t="s">
        <v>77</v>
      </c>
    </row>
    <row r="4" spans="1:7" x14ac:dyDescent="0.45">
      <c r="A4" s="1" t="s">
        <v>79</v>
      </c>
      <c r="B4" s="97" t="s">
        <v>80</v>
      </c>
      <c r="C4" s="97" t="s">
        <v>81</v>
      </c>
      <c r="D4" s="97" t="s">
        <v>82</v>
      </c>
      <c r="E4" s="97" t="s">
        <v>83</v>
      </c>
      <c r="F4" s="97" t="s">
        <v>84</v>
      </c>
      <c r="G4" s="97" t="s">
        <v>85</v>
      </c>
    </row>
    <row r="5" spans="1:7" x14ac:dyDescent="0.45">
      <c r="A5" s="1" t="s">
        <v>160</v>
      </c>
      <c r="B5" s="14">
        <v>2016.5</v>
      </c>
      <c r="C5" s="14">
        <v>55.3</v>
      </c>
      <c r="D5" s="14">
        <v>15.81</v>
      </c>
      <c r="E5" s="14">
        <f>B5*D5</f>
        <v>31880.865000000002</v>
      </c>
      <c r="F5" s="14">
        <f>C5*D5*1.5</f>
        <v>1311.4395</v>
      </c>
      <c r="G5" s="14">
        <f>E5+F5</f>
        <v>33192.304499999998</v>
      </c>
    </row>
    <row r="6" spans="1:7" x14ac:dyDescent="0.45">
      <c r="A6" s="1" t="s">
        <v>161</v>
      </c>
      <c r="B6" s="14">
        <v>2194.5</v>
      </c>
      <c r="C6" s="14">
        <v>277</v>
      </c>
      <c r="D6" s="14">
        <v>23.21</v>
      </c>
      <c r="E6" s="14">
        <f t="shared" ref="E6:E13" si="0">B6*D6</f>
        <v>50934.345000000001</v>
      </c>
      <c r="F6" s="14">
        <f t="shared" ref="F6:F13" si="1">C6*D6*1.5</f>
        <v>9643.755000000001</v>
      </c>
      <c r="G6" s="14">
        <f t="shared" ref="G6:G13" si="2">E6+F6</f>
        <v>60578.100000000006</v>
      </c>
    </row>
    <row r="7" spans="1:7" x14ac:dyDescent="0.45">
      <c r="A7" s="1" t="s">
        <v>188</v>
      </c>
      <c r="B7" s="14">
        <v>2163.5</v>
      </c>
      <c r="C7" s="14">
        <v>232.55</v>
      </c>
      <c r="D7" s="14">
        <v>21.33</v>
      </c>
      <c r="E7" s="14">
        <f t="shared" si="0"/>
        <v>46147.454999999994</v>
      </c>
      <c r="F7" s="14">
        <f t="shared" si="1"/>
        <v>7440.4372500000009</v>
      </c>
      <c r="G7" s="14">
        <f t="shared" si="2"/>
        <v>53587.892249999997</v>
      </c>
    </row>
    <row r="8" spans="1:7" x14ac:dyDescent="0.45">
      <c r="A8" s="1" t="s">
        <v>189</v>
      </c>
      <c r="B8" s="14">
        <v>2080</v>
      </c>
      <c r="D8" s="14">
        <v>15.5</v>
      </c>
      <c r="E8" s="14">
        <f t="shared" si="0"/>
        <v>32240</v>
      </c>
      <c r="F8" s="14">
        <f t="shared" si="1"/>
        <v>0</v>
      </c>
      <c r="G8" s="14">
        <f t="shared" si="2"/>
        <v>32240</v>
      </c>
    </row>
    <row r="9" spans="1:7" x14ac:dyDescent="0.45">
      <c r="A9" s="1" t="s">
        <v>190</v>
      </c>
      <c r="B9" s="14">
        <v>2099.4</v>
      </c>
      <c r="C9" s="14">
        <v>72.2</v>
      </c>
      <c r="D9" s="14">
        <v>17.34</v>
      </c>
      <c r="E9" s="14">
        <f t="shared" si="0"/>
        <v>36403.595999999998</v>
      </c>
      <c r="F9" s="14">
        <f t="shared" si="1"/>
        <v>1877.922</v>
      </c>
      <c r="G9" s="14">
        <f t="shared" si="2"/>
        <v>38281.517999999996</v>
      </c>
    </row>
    <row r="10" spans="1:7" x14ac:dyDescent="0.45">
      <c r="A10" s="1" t="s">
        <v>191</v>
      </c>
      <c r="B10" s="14">
        <v>2203.5</v>
      </c>
      <c r="C10" s="14">
        <v>247.9</v>
      </c>
      <c r="D10" s="14">
        <v>24.97</v>
      </c>
      <c r="E10" s="14">
        <f t="shared" si="0"/>
        <v>55021.394999999997</v>
      </c>
      <c r="F10" s="14">
        <f t="shared" si="1"/>
        <v>9285.0944999999992</v>
      </c>
      <c r="G10" s="14">
        <f t="shared" si="2"/>
        <v>64306.489499999996</v>
      </c>
    </row>
    <row r="11" spans="1:7" x14ac:dyDescent="0.45">
      <c r="A11" s="1" t="s">
        <v>192</v>
      </c>
      <c r="B11" s="14">
        <v>2168.1999999999998</v>
      </c>
      <c r="C11" s="14">
        <v>48.6</v>
      </c>
      <c r="D11" s="14">
        <v>25.5</v>
      </c>
      <c r="E11" s="14">
        <f t="shared" si="0"/>
        <v>55289.1</v>
      </c>
      <c r="F11" s="14">
        <f t="shared" si="1"/>
        <v>1858.9499999999998</v>
      </c>
      <c r="G11" s="14">
        <f t="shared" si="2"/>
        <v>57148.049999999996</v>
      </c>
    </row>
    <row r="12" spans="1:7" x14ac:dyDescent="0.45">
      <c r="A12" s="1" t="s">
        <v>193</v>
      </c>
      <c r="B12" s="14">
        <v>1346.1</v>
      </c>
      <c r="C12" s="14">
        <v>1.6</v>
      </c>
      <c r="D12" s="14">
        <v>17.850000000000001</v>
      </c>
      <c r="E12" s="14">
        <f t="shared" si="0"/>
        <v>24027.885000000002</v>
      </c>
      <c r="F12" s="14">
        <f t="shared" si="1"/>
        <v>42.84</v>
      </c>
      <c r="G12" s="14">
        <f t="shared" si="2"/>
        <v>24070.725000000002</v>
      </c>
    </row>
    <row r="13" spans="1:7" x14ac:dyDescent="0.45">
      <c r="A13" s="1" t="s">
        <v>194</v>
      </c>
      <c r="B13" s="14">
        <v>2145</v>
      </c>
      <c r="C13" s="14">
        <v>95</v>
      </c>
      <c r="D13" s="14">
        <v>15</v>
      </c>
      <c r="E13" s="14">
        <f t="shared" si="0"/>
        <v>32175</v>
      </c>
      <c r="F13" s="14">
        <f t="shared" si="1"/>
        <v>2137.5</v>
      </c>
      <c r="G13" s="14">
        <f t="shared" si="2"/>
        <v>34312.5</v>
      </c>
    </row>
    <row r="14" spans="1:7" x14ac:dyDescent="0.45">
      <c r="A14" s="1" t="s">
        <v>195</v>
      </c>
      <c r="D14" s="14" t="s">
        <v>197</v>
      </c>
      <c r="G14" s="14">
        <v>72107.199999999997</v>
      </c>
    </row>
    <row r="15" spans="1:7" x14ac:dyDescent="0.45">
      <c r="A15" s="1" t="s">
        <v>196</v>
      </c>
      <c r="D15" s="14" t="s">
        <v>197</v>
      </c>
      <c r="G15" s="14">
        <f>1000*52</f>
        <v>52000</v>
      </c>
    </row>
    <row r="16" spans="1:7" x14ac:dyDescent="0.45">
      <c r="E16" s="14">
        <f>SUM(E5:E15)</f>
        <v>364119.641</v>
      </c>
      <c r="F16" s="14">
        <f>SUM(F5:F15)</f>
        <v>33597.938249999999</v>
      </c>
      <c r="G16" s="14">
        <f>SUM(G5:G15)</f>
        <v>521824.77925000002</v>
      </c>
    </row>
    <row r="18" spans="1:8" x14ac:dyDescent="0.45">
      <c r="A18" s="1" t="s">
        <v>126</v>
      </c>
      <c r="G18" s="14">
        <f>G16</f>
        <v>521824.77925000002</v>
      </c>
    </row>
    <row r="21" spans="1:8" x14ac:dyDescent="0.45">
      <c r="G21" s="97" t="s">
        <v>31</v>
      </c>
    </row>
    <row r="22" spans="1:8" x14ac:dyDescent="0.45">
      <c r="D22" s="14" t="s">
        <v>86</v>
      </c>
      <c r="G22" s="7">
        <f>G18</f>
        <v>521824.77925000002</v>
      </c>
    </row>
    <row r="23" spans="1:8" x14ac:dyDescent="0.45">
      <c r="D23" s="14" t="s">
        <v>198</v>
      </c>
      <c r="G23" s="5">
        <f>-SAO!D16</f>
        <v>-455364</v>
      </c>
    </row>
    <row r="24" spans="1:8" x14ac:dyDescent="0.45">
      <c r="D24" s="14" t="s">
        <v>87</v>
      </c>
      <c r="G24" s="7">
        <f>G22+G23</f>
        <v>66460.779250000021</v>
      </c>
      <c r="H24" s="19"/>
    </row>
    <row r="25" spans="1:8" x14ac:dyDescent="0.45">
      <c r="G25" s="14" t="s">
        <v>88</v>
      </c>
    </row>
    <row r="26" spans="1:8" x14ac:dyDescent="0.45">
      <c r="D26" s="14" t="s">
        <v>89</v>
      </c>
      <c r="G26" s="7">
        <f>G18</f>
        <v>521824.77925000002</v>
      </c>
    </row>
    <row r="27" spans="1:8" x14ac:dyDescent="0.45">
      <c r="D27" s="14" t="s">
        <v>90</v>
      </c>
      <c r="G27" s="98">
        <v>7.6499999999999999E-2</v>
      </c>
    </row>
    <row r="28" spans="1:8" x14ac:dyDescent="0.45">
      <c r="D28" s="14" t="s">
        <v>91</v>
      </c>
      <c r="G28" s="7">
        <f>G26*G27</f>
        <v>39919.595612625002</v>
      </c>
    </row>
    <row r="29" spans="1:8" x14ac:dyDescent="0.45">
      <c r="D29" s="14" t="s">
        <v>199</v>
      </c>
      <c r="G29" s="5">
        <f>-SAO!D38</f>
        <v>-38858</v>
      </c>
    </row>
    <row r="30" spans="1:8" x14ac:dyDescent="0.45">
      <c r="D30" s="14" t="s">
        <v>92</v>
      </c>
      <c r="G30" s="7">
        <f>G28+G29</f>
        <v>1061.5956126250021</v>
      </c>
    </row>
    <row r="32" spans="1:8" x14ac:dyDescent="0.45">
      <c r="D32" s="14" t="s">
        <v>93</v>
      </c>
      <c r="G32" s="7">
        <f>G5+G6+G7+G8+G9+G10+G11+G13+G14+G15</f>
        <v>497754.05425000004</v>
      </c>
    </row>
    <row r="33" spans="2:7" x14ac:dyDescent="0.45">
      <c r="D33" s="14" t="s">
        <v>94</v>
      </c>
      <c r="G33" s="98">
        <v>0.1971</v>
      </c>
    </row>
    <row r="34" spans="2:7" x14ac:dyDescent="0.45">
      <c r="D34" s="14" t="s">
        <v>95</v>
      </c>
      <c r="G34" s="14">
        <f>G32*G33</f>
        <v>98107.324092675</v>
      </c>
    </row>
    <row r="35" spans="2:7" x14ac:dyDescent="0.45">
      <c r="D35" s="14" t="s">
        <v>96</v>
      </c>
      <c r="G35" s="37">
        <f>-(32608+48377)</f>
        <v>-80985</v>
      </c>
    </row>
    <row r="36" spans="2:7" x14ac:dyDescent="0.45">
      <c r="D36" s="14" t="s">
        <v>97</v>
      </c>
      <c r="G36" s="14">
        <f>G34+G35</f>
        <v>17122.324092675</v>
      </c>
    </row>
    <row r="39" spans="2:7" x14ac:dyDescent="0.45">
      <c r="C39" s="151"/>
    </row>
    <row r="40" spans="2:7" x14ac:dyDescent="0.45">
      <c r="B40" s="16"/>
      <c r="C40" s="151"/>
    </row>
    <row r="41" spans="2:7" x14ac:dyDescent="0.45">
      <c r="B41" s="16"/>
      <c r="C41" s="151"/>
    </row>
  </sheetData>
  <phoneticPr fontId="24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workbookViewId="0">
      <selection activeCell="C14" sqref="C14"/>
    </sheetView>
  </sheetViews>
  <sheetFormatPr defaultColWidth="8.88671875" defaultRowHeight="14.25" x14ac:dyDescent="0.45"/>
  <cols>
    <col min="1" max="1" width="12.6640625" style="1" customWidth="1"/>
    <col min="2" max="2" width="11.5546875" style="116" bestFit="1" customWidth="1"/>
    <col min="3" max="3" width="12" style="116" customWidth="1"/>
    <col min="4" max="4" width="9.88671875" style="124" customWidth="1"/>
    <col min="5" max="5" width="9.88671875" style="117" customWidth="1"/>
    <col min="6" max="6" width="11.44140625" style="116" customWidth="1"/>
    <col min="7" max="7" width="10.6640625" style="118" customWidth="1"/>
    <col min="8" max="8" width="10.109375" style="116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88671875" style="1" bestFit="1" customWidth="1"/>
    <col min="15" max="16384" width="8.88671875" style="1"/>
  </cols>
  <sheetData>
    <row r="1" spans="1:12" x14ac:dyDescent="0.45">
      <c r="A1" s="1" t="s">
        <v>132</v>
      </c>
    </row>
    <row r="2" spans="1:12" x14ac:dyDescent="0.45">
      <c r="B2" s="119"/>
    </row>
    <row r="3" spans="1:12" x14ac:dyDescent="0.45">
      <c r="C3" s="116" t="s">
        <v>133</v>
      </c>
      <c r="F3" s="116" t="s">
        <v>134</v>
      </c>
      <c r="G3" s="118" t="s">
        <v>135</v>
      </c>
      <c r="H3" s="116" t="s">
        <v>135</v>
      </c>
    </row>
    <row r="4" spans="1:12" x14ac:dyDescent="0.45">
      <c r="B4" s="120" t="s">
        <v>133</v>
      </c>
      <c r="C4" s="116" t="s">
        <v>136</v>
      </c>
      <c r="D4" s="124" t="s">
        <v>136</v>
      </c>
      <c r="E4" s="117" t="s">
        <v>137</v>
      </c>
      <c r="F4" s="116" t="s">
        <v>138</v>
      </c>
      <c r="G4" s="118" t="s">
        <v>139</v>
      </c>
      <c r="H4" s="116" t="s">
        <v>139</v>
      </c>
    </row>
    <row r="5" spans="1:12" x14ac:dyDescent="0.45">
      <c r="B5" s="116" t="s">
        <v>140</v>
      </c>
      <c r="C5" s="116" t="s">
        <v>141</v>
      </c>
      <c r="D5" s="124" t="s">
        <v>142</v>
      </c>
      <c r="E5" s="117" t="s">
        <v>142</v>
      </c>
      <c r="F5" s="116" t="s">
        <v>140</v>
      </c>
      <c r="G5" s="118" t="s">
        <v>143</v>
      </c>
      <c r="H5" s="116" t="s">
        <v>144</v>
      </c>
      <c r="I5" s="19"/>
    </row>
    <row r="6" spans="1:12" x14ac:dyDescent="0.45">
      <c r="A6" s="1" t="s">
        <v>147</v>
      </c>
      <c r="B6" s="116">
        <f>581.99+375.37+375.37+375.37</f>
        <v>1708.1</v>
      </c>
      <c r="C6" s="116">
        <v>0</v>
      </c>
      <c r="D6" s="124">
        <v>0</v>
      </c>
      <c r="E6" s="117">
        <v>1</v>
      </c>
      <c r="F6" s="116">
        <f>B6*12</f>
        <v>20497.199999999997</v>
      </c>
      <c r="G6" s="118">
        <v>0.79</v>
      </c>
      <c r="H6" s="116">
        <f>F6*G6</f>
        <v>16192.787999999999</v>
      </c>
      <c r="I6" s="19"/>
    </row>
    <row r="7" spans="1:12" x14ac:dyDescent="0.45">
      <c r="A7" s="1" t="s">
        <v>204</v>
      </c>
      <c r="B7" s="116">
        <f>2090.15+2676.34+2712.61+1907.88+2676.34+2028.35+1798.67</f>
        <v>15890.34</v>
      </c>
      <c r="C7" s="116">
        <v>0</v>
      </c>
      <c r="D7" s="124">
        <v>0</v>
      </c>
      <c r="E7" s="117">
        <v>1</v>
      </c>
      <c r="F7" s="116">
        <f>B7*12</f>
        <v>190684.08000000002</v>
      </c>
      <c r="G7" s="118">
        <v>0.67</v>
      </c>
      <c r="H7" s="116">
        <f>F7*G7</f>
        <v>127758.33360000001</v>
      </c>
      <c r="I7" s="19"/>
    </row>
    <row r="8" spans="1:12" x14ac:dyDescent="0.45">
      <c r="A8" s="1" t="s">
        <v>149</v>
      </c>
      <c r="B8" s="116">
        <v>0</v>
      </c>
      <c r="C8" s="116">
        <v>0</v>
      </c>
      <c r="D8" s="124">
        <v>0</v>
      </c>
      <c r="E8" s="117">
        <v>1</v>
      </c>
      <c r="F8" s="116">
        <f t="shared" ref="F8:F10" si="0">B8*12</f>
        <v>0</v>
      </c>
      <c r="G8" s="129">
        <v>1</v>
      </c>
      <c r="H8" s="116">
        <f t="shared" ref="H8:H10" si="1">F8*G8</f>
        <v>0</v>
      </c>
      <c r="I8" s="45"/>
    </row>
    <row r="9" spans="1:12" x14ac:dyDescent="0.45">
      <c r="A9" s="1" t="s">
        <v>148</v>
      </c>
      <c r="B9" s="116">
        <f>79.97+79.97+79.97+79.97+22.15+22.15+45.44+79.97+45.44+79.97+22.15</f>
        <v>637.15</v>
      </c>
      <c r="C9" s="121">
        <v>0</v>
      </c>
      <c r="D9" s="124">
        <v>0</v>
      </c>
      <c r="E9" s="118">
        <v>1</v>
      </c>
      <c r="F9" s="116">
        <f t="shared" si="0"/>
        <v>7645.7999999999993</v>
      </c>
      <c r="G9" s="118">
        <v>0.6</v>
      </c>
      <c r="H9" s="116">
        <f t="shared" si="1"/>
        <v>4587.4799999999996</v>
      </c>
      <c r="I9" s="113"/>
      <c r="K9" s="2"/>
      <c r="L9" s="114"/>
    </row>
    <row r="10" spans="1:12" x14ac:dyDescent="0.45">
      <c r="A10" s="1" t="s">
        <v>150</v>
      </c>
      <c r="B10" s="122">
        <f>(0.75+8.85)*11</f>
        <v>105.6</v>
      </c>
      <c r="C10" s="123">
        <v>0</v>
      </c>
      <c r="D10" s="124">
        <v>0</v>
      </c>
      <c r="E10" s="118">
        <v>1</v>
      </c>
      <c r="F10" s="122">
        <f t="shared" si="0"/>
        <v>1267.1999999999998</v>
      </c>
      <c r="G10" s="118">
        <v>1</v>
      </c>
      <c r="H10" s="122">
        <f t="shared" si="1"/>
        <v>1267.1999999999998</v>
      </c>
    </row>
    <row r="11" spans="1:12" x14ac:dyDescent="0.45">
      <c r="A11" s="110" t="s">
        <v>55</v>
      </c>
      <c r="B11" s="116">
        <f>SUM(B6:B10)</f>
        <v>18341.189999999999</v>
      </c>
      <c r="C11" s="116">
        <f>SUM(C6:C10)</f>
        <v>0</v>
      </c>
      <c r="F11" s="116">
        <f>SUM(F6:F10)</f>
        <v>220094.28000000003</v>
      </c>
      <c r="G11" s="130"/>
      <c r="H11" s="132">
        <f>SUM(H6:H10)</f>
        <v>149805.80160000004</v>
      </c>
      <c r="I11" s="45"/>
    </row>
    <row r="12" spans="1:12" x14ac:dyDescent="0.45">
      <c r="B12" s="116" t="s">
        <v>205</v>
      </c>
      <c r="C12" s="121"/>
      <c r="E12" s="118"/>
      <c r="H12" s="133"/>
      <c r="I12" s="113"/>
    </row>
    <row r="13" spans="1:12" x14ac:dyDescent="0.45">
      <c r="A13" s="1" t="s">
        <v>145</v>
      </c>
      <c r="C13" s="121">
        <f>H11</f>
        <v>149805.80160000004</v>
      </c>
      <c r="E13" s="118"/>
      <c r="H13" s="133"/>
      <c r="I13" s="111"/>
    </row>
    <row r="14" spans="1:12" ht="16.5" x14ac:dyDescent="0.75">
      <c r="A14" s="1" t="s">
        <v>151</v>
      </c>
      <c r="C14" s="121">
        <v>-145543</v>
      </c>
      <c r="E14" s="118"/>
      <c r="G14" s="131"/>
      <c r="H14" s="133"/>
      <c r="I14" s="115"/>
    </row>
    <row r="15" spans="1:12" x14ac:dyDescent="0.45">
      <c r="A15" s="1" t="s">
        <v>146</v>
      </c>
      <c r="C15" s="116">
        <f>C13+C14</f>
        <v>4262.8016000000353</v>
      </c>
      <c r="D15" s="137"/>
    </row>
    <row r="16" spans="1:12" x14ac:dyDescent="0.45">
      <c r="I16" s="113"/>
    </row>
    <row r="17" spans="1:12" x14ac:dyDescent="0.45">
      <c r="I17" s="113"/>
    </row>
    <row r="18" spans="1:12" x14ac:dyDescent="0.45">
      <c r="I18" s="113"/>
    </row>
    <row r="19" spans="1:12" x14ac:dyDescent="0.45">
      <c r="E19" s="126"/>
      <c r="H19" s="134"/>
      <c r="I19" s="45"/>
      <c r="K19" s="112"/>
      <c r="L19" s="112"/>
    </row>
    <row r="20" spans="1:12" x14ac:dyDescent="0.45">
      <c r="D20" s="125"/>
      <c r="E20" s="127"/>
      <c r="H20" s="135"/>
      <c r="I20" s="108"/>
      <c r="K20" s="2"/>
    </row>
    <row r="21" spans="1:12" ht="16.5" x14ac:dyDescent="0.75">
      <c r="E21" s="128"/>
      <c r="H21" s="136"/>
      <c r="I21" s="109"/>
    </row>
    <row r="22" spans="1:12" x14ac:dyDescent="0.45">
      <c r="E22" s="127"/>
      <c r="H22" s="135"/>
      <c r="I22" s="108"/>
    </row>
    <row r="27" spans="1:12" x14ac:dyDescent="0.45">
      <c r="A27" s="1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2"/>
  <sheetViews>
    <sheetView showGridLines="0" topLeftCell="A38" workbookViewId="0">
      <selection activeCell="I53" sqref="I53"/>
    </sheetView>
  </sheetViews>
  <sheetFormatPr defaultRowHeight="15.4" x14ac:dyDescent="0.45"/>
  <cols>
    <col min="1" max="1" width="2" customWidth="1"/>
    <col min="2" max="3" width="1.88671875" customWidth="1"/>
    <col min="4" max="4" width="27.44140625" style="1" customWidth="1"/>
    <col min="5" max="5" width="8.33203125" style="1" customWidth="1"/>
    <col min="6" max="6" width="10.6640625" style="145" customWidth="1"/>
    <col min="7" max="7" width="6.109375" style="1" customWidth="1"/>
    <col min="8" max="8" width="9.33203125" style="141" customWidth="1"/>
    <col min="9" max="9" width="6.109375" customWidth="1"/>
    <col min="10" max="10" width="9.33203125" style="141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86"/>
      <c r="H1" s="18"/>
      <c r="I1" s="86"/>
      <c r="J1" s="18"/>
      <c r="K1" s="3"/>
      <c r="L1" s="3"/>
      <c r="M1" s="3"/>
    </row>
    <row r="2" spans="1:13" x14ac:dyDescent="0.45">
      <c r="A2" s="1"/>
      <c r="B2" s="76"/>
      <c r="C2" s="78"/>
      <c r="D2" s="78"/>
      <c r="E2" s="78"/>
      <c r="F2" s="146"/>
      <c r="G2" s="87"/>
      <c r="H2" s="138"/>
      <c r="I2" s="87"/>
      <c r="J2" s="138"/>
      <c r="K2" s="78"/>
      <c r="L2" s="92"/>
      <c r="M2" s="95"/>
    </row>
    <row r="3" spans="1:13" ht="18" x14ac:dyDescent="0.55000000000000004">
      <c r="A3" s="1"/>
      <c r="B3" s="48"/>
      <c r="C3" s="390" t="s">
        <v>28</v>
      </c>
      <c r="D3" s="390"/>
      <c r="E3" s="390"/>
      <c r="F3" s="390"/>
      <c r="G3" s="390"/>
      <c r="H3" s="390"/>
      <c r="I3" s="390"/>
      <c r="J3" s="390"/>
      <c r="K3" s="390"/>
      <c r="L3" s="93"/>
      <c r="M3" s="95"/>
    </row>
    <row r="4" spans="1:13" ht="18" x14ac:dyDescent="0.55000000000000004">
      <c r="A4" s="1"/>
      <c r="B4" s="48"/>
      <c r="C4" s="391" t="s">
        <v>42</v>
      </c>
      <c r="D4" s="391"/>
      <c r="E4" s="391"/>
      <c r="F4" s="391"/>
      <c r="G4" s="391"/>
      <c r="H4" s="391"/>
      <c r="I4" s="391"/>
      <c r="J4" s="391"/>
      <c r="K4" s="391"/>
      <c r="L4" s="93"/>
      <c r="M4" s="95"/>
    </row>
    <row r="5" spans="1:13" ht="15.75" x14ac:dyDescent="0.45">
      <c r="A5" s="1"/>
      <c r="B5" s="48"/>
      <c r="C5" s="392" t="s">
        <v>162</v>
      </c>
      <c r="D5" s="392"/>
      <c r="E5" s="392"/>
      <c r="F5" s="392"/>
      <c r="G5" s="392"/>
      <c r="H5" s="392"/>
      <c r="I5" s="392"/>
      <c r="J5" s="392"/>
      <c r="K5" s="392"/>
      <c r="L5" s="93"/>
      <c r="M5" s="95"/>
    </row>
    <row r="6" spans="1:13" x14ac:dyDescent="0.45">
      <c r="A6" s="1"/>
      <c r="B6" s="48"/>
      <c r="C6" s="3"/>
      <c r="D6" s="3"/>
      <c r="E6" s="3"/>
      <c r="G6" s="88"/>
      <c r="H6" s="18"/>
      <c r="I6" s="88"/>
      <c r="J6" s="18"/>
      <c r="K6" s="80" t="s">
        <v>43</v>
      </c>
      <c r="L6" s="93"/>
      <c r="M6" s="95"/>
    </row>
    <row r="7" spans="1:13" x14ac:dyDescent="0.45">
      <c r="A7" s="1"/>
      <c r="B7" s="48"/>
      <c r="C7" s="79"/>
      <c r="D7" s="79"/>
      <c r="E7" s="79" t="s">
        <v>44</v>
      </c>
      <c r="F7" s="147" t="s">
        <v>45</v>
      </c>
      <c r="G7" s="393" t="s">
        <v>123</v>
      </c>
      <c r="H7" s="393"/>
      <c r="I7" s="393" t="s">
        <v>33</v>
      </c>
      <c r="J7" s="393"/>
      <c r="K7" s="80" t="s">
        <v>46</v>
      </c>
      <c r="L7" s="93"/>
      <c r="M7" s="95"/>
    </row>
    <row r="8" spans="1:13" ht="17.649999999999999" x14ac:dyDescent="0.75">
      <c r="A8" s="1"/>
      <c r="B8" s="48"/>
      <c r="C8" s="80"/>
      <c r="D8" s="84" t="s">
        <v>103</v>
      </c>
      <c r="E8" s="80" t="s">
        <v>47</v>
      </c>
      <c r="F8" s="148" t="s">
        <v>122</v>
      </c>
      <c r="G8" s="25" t="s">
        <v>48</v>
      </c>
      <c r="H8" s="80" t="s">
        <v>49</v>
      </c>
      <c r="I8" s="25" t="s">
        <v>48</v>
      </c>
      <c r="J8" s="80" t="s">
        <v>49</v>
      </c>
      <c r="K8" s="80" t="s">
        <v>39</v>
      </c>
      <c r="L8" s="93"/>
      <c r="M8" s="95"/>
    </row>
    <row r="9" spans="1:13" x14ac:dyDescent="0.45">
      <c r="A9" s="1"/>
      <c r="B9" s="48"/>
      <c r="C9" s="81" t="s">
        <v>98</v>
      </c>
      <c r="D9" s="3"/>
      <c r="E9" s="85"/>
      <c r="G9" s="88"/>
      <c r="H9" s="140"/>
      <c r="I9" s="88"/>
      <c r="J9" s="140"/>
      <c r="K9" s="2"/>
      <c r="L9" s="93"/>
      <c r="M9" s="95"/>
    </row>
    <row r="10" spans="1:13" x14ac:dyDescent="0.45">
      <c r="A10" s="1"/>
      <c r="B10" s="48"/>
      <c r="C10" s="81"/>
      <c r="D10" s="3" t="s">
        <v>104</v>
      </c>
      <c r="E10" s="85" t="s">
        <v>124</v>
      </c>
      <c r="F10" s="150">
        <f>142275+16428+5800+7700+2659+15260+12296+7490+2800+700+608+3880+21137+55+4520</f>
        <v>243608</v>
      </c>
      <c r="G10" s="339" t="s">
        <v>124</v>
      </c>
      <c r="H10" s="340">
        <v>11375</v>
      </c>
      <c r="I10" s="88">
        <v>37.5</v>
      </c>
      <c r="J10" s="104">
        <f>F10/I10</f>
        <v>6496.2133333333331</v>
      </c>
      <c r="K10" s="22">
        <f>J10-H10</f>
        <v>-4878.7866666666669</v>
      </c>
      <c r="L10" s="93"/>
      <c r="M10" s="95"/>
    </row>
    <row r="11" spans="1:13" x14ac:dyDescent="0.45">
      <c r="A11" s="1"/>
      <c r="B11" s="48"/>
      <c r="C11" s="81"/>
      <c r="D11" s="3" t="s">
        <v>105</v>
      </c>
      <c r="E11" s="85" t="s">
        <v>124</v>
      </c>
      <c r="F11" s="150">
        <f>18740+1862+1165+2410+1143+566</f>
        <v>25886</v>
      </c>
      <c r="G11" s="339" t="s">
        <v>124</v>
      </c>
      <c r="H11" s="340">
        <v>2589</v>
      </c>
      <c r="I11" s="88">
        <v>10</v>
      </c>
      <c r="J11" s="104">
        <f>F11/I11</f>
        <v>2588.6</v>
      </c>
      <c r="K11" s="22">
        <f>J11-H11</f>
        <v>-0.40000000000009095</v>
      </c>
      <c r="L11" s="93"/>
      <c r="M11" s="95"/>
    </row>
    <row r="12" spans="1:13" x14ac:dyDescent="0.45">
      <c r="A12" s="1"/>
      <c r="B12" s="48"/>
      <c r="C12" s="3"/>
      <c r="D12" s="3" t="s">
        <v>106</v>
      </c>
      <c r="E12" s="85" t="s">
        <v>124</v>
      </c>
      <c r="F12" s="150">
        <f>1562+13596+1520+1519+740+2398+2316+4481+3140+529+3921+2177+13200+716+3375+3848+4500+11000+4034+1837+2890+1195+7979</f>
        <v>92473</v>
      </c>
      <c r="G12" s="339" t="s">
        <v>124</v>
      </c>
      <c r="H12" s="340">
        <v>9134</v>
      </c>
      <c r="I12" s="88">
        <v>22.5</v>
      </c>
      <c r="J12" s="104">
        <f>F12/I12</f>
        <v>4109.9111111111115</v>
      </c>
      <c r="K12" s="22">
        <f>J12-H12</f>
        <v>-5024.0888888888885</v>
      </c>
      <c r="L12" s="93"/>
      <c r="M12" s="95"/>
    </row>
    <row r="13" spans="1:13" x14ac:dyDescent="0.45">
      <c r="A13" s="1"/>
      <c r="B13" s="48"/>
      <c r="C13" s="3"/>
      <c r="D13" s="3" t="s">
        <v>107</v>
      </c>
      <c r="E13" s="85"/>
      <c r="F13" s="150"/>
      <c r="G13" s="341"/>
      <c r="H13" s="340"/>
      <c r="I13" s="88">
        <v>12.5</v>
      </c>
      <c r="J13" s="104">
        <f t="shared" ref="J13:J15" si="0">F13/I13</f>
        <v>0</v>
      </c>
      <c r="K13" s="22">
        <f t="shared" ref="K13:K15" si="1">J13-H13</f>
        <v>0</v>
      </c>
      <c r="L13" s="93"/>
      <c r="M13" s="95"/>
    </row>
    <row r="14" spans="1:13" x14ac:dyDescent="0.45">
      <c r="A14" s="1"/>
      <c r="B14" s="48"/>
      <c r="C14" s="3"/>
      <c r="D14" s="3" t="s">
        <v>342</v>
      </c>
      <c r="E14" s="85" t="s">
        <v>124</v>
      </c>
      <c r="F14" s="150">
        <f>7646+10636+2744+2106+7089</f>
        <v>30221</v>
      </c>
      <c r="G14" s="339" t="s">
        <v>124</v>
      </c>
      <c r="H14" s="340">
        <v>2562</v>
      </c>
      <c r="I14" s="88">
        <v>17.5</v>
      </c>
      <c r="J14" s="104">
        <f t="shared" si="0"/>
        <v>1726.9142857142858</v>
      </c>
      <c r="K14" s="22">
        <f t="shared" si="1"/>
        <v>-835.08571428571418</v>
      </c>
      <c r="L14" s="93"/>
      <c r="M14" s="95"/>
    </row>
    <row r="15" spans="1:13" x14ac:dyDescent="0.45">
      <c r="A15" s="1"/>
      <c r="B15" s="48"/>
      <c r="C15" s="3"/>
      <c r="D15" s="3" t="s">
        <v>108</v>
      </c>
      <c r="E15" s="85"/>
      <c r="F15" s="150"/>
      <c r="G15" s="341"/>
      <c r="H15" s="340"/>
      <c r="I15" s="88">
        <v>15</v>
      </c>
      <c r="J15" s="104">
        <f t="shared" si="0"/>
        <v>0</v>
      </c>
      <c r="K15" s="22">
        <f t="shared" si="1"/>
        <v>0</v>
      </c>
      <c r="L15" s="93"/>
      <c r="M15" s="95"/>
    </row>
    <row r="16" spans="1:13" x14ac:dyDescent="0.45">
      <c r="A16" s="1"/>
      <c r="B16" s="48"/>
      <c r="C16" s="3"/>
      <c r="D16" s="3"/>
      <c r="E16" s="85"/>
      <c r="F16" s="150"/>
      <c r="G16" s="341"/>
      <c r="H16" s="340"/>
      <c r="I16" s="88"/>
      <c r="J16" s="104"/>
      <c r="K16" s="22"/>
      <c r="L16" s="93"/>
      <c r="M16" s="95"/>
    </row>
    <row r="17" spans="1:13" x14ac:dyDescent="0.45">
      <c r="A17" s="1"/>
      <c r="B17" s="48"/>
      <c r="C17" s="81" t="s">
        <v>154</v>
      </c>
      <c r="D17" s="3"/>
      <c r="E17" s="85"/>
      <c r="F17" s="150"/>
      <c r="G17" s="341"/>
      <c r="H17" s="340"/>
      <c r="I17" s="88"/>
      <c r="J17" s="104"/>
      <c r="K17" s="22"/>
      <c r="L17" s="93"/>
      <c r="M17" s="95"/>
    </row>
    <row r="18" spans="1:13" x14ac:dyDescent="0.45">
      <c r="A18" s="1"/>
      <c r="B18" s="48"/>
      <c r="C18" s="3"/>
      <c r="D18" s="3" t="s">
        <v>104</v>
      </c>
      <c r="E18" s="85" t="s">
        <v>124</v>
      </c>
      <c r="F18" s="150">
        <f>64269-4</f>
        <v>64265</v>
      </c>
      <c r="G18" s="341" t="s">
        <v>124</v>
      </c>
      <c r="H18" s="340">
        <v>1476</v>
      </c>
      <c r="I18" s="88">
        <v>37.5</v>
      </c>
      <c r="J18" s="104">
        <f t="shared" ref="J18:J19" si="2">F18/I18</f>
        <v>1713.7333333333333</v>
      </c>
      <c r="K18" s="22">
        <f t="shared" ref="K18:K19" si="3">J18-H18</f>
        <v>237.73333333333335</v>
      </c>
      <c r="L18" s="93"/>
      <c r="M18" s="95"/>
    </row>
    <row r="19" spans="1:13" x14ac:dyDescent="0.45">
      <c r="A19" s="1"/>
      <c r="B19" s="48"/>
      <c r="C19" s="3"/>
      <c r="D19" s="3" t="s">
        <v>155</v>
      </c>
      <c r="E19" s="85" t="s">
        <v>124</v>
      </c>
      <c r="F19" s="150">
        <f>61193+47572+220481+4043</f>
        <v>333289</v>
      </c>
      <c r="G19" s="341" t="s">
        <v>124</v>
      </c>
      <c r="H19" s="340">
        <v>6666</v>
      </c>
      <c r="I19" s="88">
        <v>62.5</v>
      </c>
      <c r="J19" s="104">
        <f t="shared" si="2"/>
        <v>5332.6239999999998</v>
      </c>
      <c r="K19" s="22">
        <f t="shared" si="3"/>
        <v>-1333.3760000000002</v>
      </c>
      <c r="L19" s="93"/>
      <c r="M19" s="95"/>
    </row>
    <row r="20" spans="1:13" x14ac:dyDescent="0.45">
      <c r="A20" s="1"/>
      <c r="B20" s="48"/>
      <c r="C20" s="80"/>
      <c r="D20" s="80"/>
      <c r="E20" s="80"/>
      <c r="F20" s="342"/>
      <c r="G20" s="343"/>
      <c r="H20" s="139"/>
      <c r="I20" s="25"/>
      <c r="J20" s="139"/>
      <c r="K20" s="80"/>
      <c r="L20" s="93"/>
      <c r="M20" s="95"/>
    </row>
    <row r="21" spans="1:13" x14ac:dyDescent="0.45">
      <c r="A21" s="1"/>
      <c r="B21" s="48"/>
      <c r="C21" s="81" t="s">
        <v>99</v>
      </c>
      <c r="D21" s="3"/>
      <c r="E21" s="85"/>
      <c r="G21" s="344"/>
      <c r="H21" s="140"/>
      <c r="I21" s="89"/>
      <c r="J21" s="140"/>
      <c r="K21" s="2"/>
      <c r="L21" s="93"/>
      <c r="M21" s="95"/>
    </row>
    <row r="22" spans="1:13" x14ac:dyDescent="0.45">
      <c r="A22" s="1"/>
      <c r="B22" s="48"/>
      <c r="C22" s="81"/>
      <c r="D22" s="3" t="s">
        <v>104</v>
      </c>
      <c r="E22" s="85" t="s">
        <v>124</v>
      </c>
      <c r="F22" s="150">
        <f>898289+4449874+28975+139122+5831+69145+2352+88183+1129+5138</f>
        <v>5688038</v>
      </c>
      <c r="G22" s="341" t="s">
        <v>124</v>
      </c>
      <c r="H22" s="340">
        <v>114163</v>
      </c>
      <c r="I22" s="88">
        <v>37.5</v>
      </c>
      <c r="J22" s="104">
        <f>F22/I22</f>
        <v>151681.01333333334</v>
      </c>
      <c r="K22" s="22">
        <f>J22-H22</f>
        <v>37518.013333333336</v>
      </c>
      <c r="L22" s="93"/>
      <c r="M22" s="95"/>
    </row>
    <row r="23" spans="1:13" x14ac:dyDescent="0.45">
      <c r="A23" s="1"/>
      <c r="B23" s="48"/>
      <c r="C23" s="3"/>
      <c r="D23" s="3" t="s">
        <v>109</v>
      </c>
      <c r="E23" s="85"/>
      <c r="G23" s="344"/>
      <c r="H23" s="340"/>
      <c r="I23" s="88">
        <v>10</v>
      </c>
      <c r="J23" s="140">
        <f>F23/I23</f>
        <v>0</v>
      </c>
      <c r="K23" s="22">
        <f>J23-H23</f>
        <v>0</v>
      </c>
      <c r="L23" s="93"/>
      <c r="M23" s="95"/>
    </row>
    <row r="24" spans="1:13" x14ac:dyDescent="0.45">
      <c r="A24" s="1"/>
      <c r="B24" s="48"/>
      <c r="C24" s="3"/>
      <c r="D24" s="3" t="s">
        <v>110</v>
      </c>
      <c r="E24" s="85" t="s">
        <v>124</v>
      </c>
      <c r="F24" s="145">
        <f>248056+148946+119230+199470+22193+53612</f>
        <v>791507</v>
      </c>
      <c r="G24" s="344" t="s">
        <v>124</v>
      </c>
      <c r="H24" s="340">
        <v>36189</v>
      </c>
      <c r="I24" s="88">
        <v>20</v>
      </c>
      <c r="J24" s="140">
        <f>F24/I24</f>
        <v>39575.35</v>
      </c>
      <c r="K24" s="22">
        <f>J24-H24</f>
        <v>3386.3499999999985</v>
      </c>
      <c r="L24" s="93"/>
      <c r="M24" s="95"/>
    </row>
    <row r="25" spans="1:13" x14ac:dyDescent="0.45">
      <c r="A25" s="1"/>
      <c r="B25" s="48"/>
      <c r="C25" s="80"/>
      <c r="D25" s="80"/>
      <c r="E25" s="80"/>
      <c r="G25" s="344"/>
      <c r="H25" s="140"/>
      <c r="I25" s="89"/>
      <c r="J25" s="140"/>
      <c r="K25" s="2"/>
      <c r="L25" s="93"/>
      <c r="M25" s="95"/>
    </row>
    <row r="26" spans="1:13" x14ac:dyDescent="0.45">
      <c r="A26" s="1"/>
      <c r="B26" s="48"/>
      <c r="C26" s="81" t="s">
        <v>100</v>
      </c>
      <c r="D26" s="3"/>
      <c r="E26" s="85"/>
      <c r="G26" s="339"/>
      <c r="H26" s="140"/>
      <c r="I26" s="88"/>
      <c r="J26" s="140"/>
      <c r="K26" s="2"/>
      <c r="L26" s="93"/>
      <c r="M26" s="95"/>
    </row>
    <row r="27" spans="1:13" x14ac:dyDescent="0.45">
      <c r="A27" s="1"/>
      <c r="B27" s="48"/>
      <c r="C27" s="81"/>
      <c r="D27" s="3" t="s">
        <v>104</v>
      </c>
      <c r="E27" s="85" t="s">
        <v>124</v>
      </c>
      <c r="F27" s="145">
        <v>5870</v>
      </c>
      <c r="G27" s="339" t="s">
        <v>124</v>
      </c>
      <c r="H27" s="140">
        <v>117</v>
      </c>
      <c r="I27" s="88">
        <v>37.5</v>
      </c>
      <c r="J27" s="140">
        <f>F27/I27</f>
        <v>156.53333333333333</v>
      </c>
      <c r="K27" s="2">
        <f>J27-H27</f>
        <v>39.533333333333331</v>
      </c>
      <c r="L27" s="93"/>
      <c r="M27" s="95"/>
    </row>
    <row r="28" spans="1:13" x14ac:dyDescent="0.45">
      <c r="A28" s="1"/>
      <c r="B28" s="48"/>
      <c r="C28" s="81"/>
      <c r="D28" s="3" t="s">
        <v>111</v>
      </c>
      <c r="E28" s="85" t="s">
        <v>124</v>
      </c>
      <c r="F28" s="150">
        <f>64251-900-1700</f>
        <v>61651</v>
      </c>
      <c r="G28" s="339" t="s">
        <v>124</v>
      </c>
      <c r="H28" s="340">
        <v>-99</v>
      </c>
      <c r="I28" s="88">
        <v>50</v>
      </c>
      <c r="J28" s="104">
        <f>F28/I28</f>
        <v>1233.02</v>
      </c>
      <c r="K28" s="22">
        <f>J28-H28</f>
        <v>1332.02</v>
      </c>
      <c r="L28" s="93"/>
      <c r="M28" s="95"/>
    </row>
    <row r="29" spans="1:13" x14ac:dyDescent="0.45">
      <c r="A29" s="1"/>
      <c r="B29" s="48"/>
      <c r="C29" s="81"/>
      <c r="D29" s="3" t="s">
        <v>112</v>
      </c>
      <c r="E29" s="85" t="s">
        <v>124</v>
      </c>
      <c r="F29" s="150">
        <v>10167558</v>
      </c>
      <c r="G29" s="339" t="s">
        <v>124</v>
      </c>
      <c r="H29" s="340">
        <v>233197</v>
      </c>
      <c r="I29" s="88">
        <v>50</v>
      </c>
      <c r="J29" s="104">
        <f t="shared" ref="J29:J36" si="4">F29/I29</f>
        <v>203351.16</v>
      </c>
      <c r="K29" s="22">
        <f t="shared" ref="K29:K36" si="5">J29-H29</f>
        <v>-29845.839999999997</v>
      </c>
      <c r="L29" s="93"/>
      <c r="M29" s="95"/>
    </row>
    <row r="30" spans="1:13" x14ac:dyDescent="0.45">
      <c r="A30" s="1"/>
      <c r="B30" s="48"/>
      <c r="C30" s="81"/>
      <c r="D30" s="3" t="s">
        <v>113</v>
      </c>
      <c r="E30" s="85" t="s">
        <v>124</v>
      </c>
      <c r="F30" s="150">
        <f>17692+35030+33419+31112+28062+28624+58942+109912+84835+64503+46100</f>
        <v>538231</v>
      </c>
      <c r="G30" s="339" t="s">
        <v>124</v>
      </c>
      <c r="H30" s="340">
        <v>48293</v>
      </c>
      <c r="I30" s="88">
        <v>45</v>
      </c>
      <c r="J30" s="104">
        <f t="shared" si="4"/>
        <v>11960.68888888889</v>
      </c>
      <c r="K30" s="22">
        <f t="shared" si="5"/>
        <v>-36332.311111111107</v>
      </c>
      <c r="L30" s="93"/>
      <c r="M30" s="95"/>
    </row>
    <row r="31" spans="1:13" x14ac:dyDescent="0.45">
      <c r="A31" s="1"/>
      <c r="B31" s="48"/>
      <c r="C31" s="81"/>
      <c r="D31" s="3" t="s">
        <v>114</v>
      </c>
      <c r="E31" s="85"/>
      <c r="F31" s="150"/>
      <c r="G31" s="341"/>
      <c r="H31" s="340"/>
      <c r="I31" s="88">
        <v>15</v>
      </c>
      <c r="J31" s="104">
        <f t="shared" si="4"/>
        <v>0</v>
      </c>
      <c r="K31" s="22">
        <f t="shared" si="5"/>
        <v>0</v>
      </c>
      <c r="L31" s="93"/>
      <c r="M31" s="95"/>
    </row>
    <row r="32" spans="1:13" x14ac:dyDescent="0.45">
      <c r="A32" s="1"/>
      <c r="B32" s="48"/>
      <c r="C32" s="81"/>
      <c r="D32" s="3" t="s">
        <v>115</v>
      </c>
      <c r="E32" s="85" t="s">
        <v>124</v>
      </c>
      <c r="F32" s="150">
        <f>7600+25136+7733+25340+19046+28896+23530+4232+96766+38000+10216</f>
        <v>286495</v>
      </c>
      <c r="G32" s="341" t="s">
        <v>124</v>
      </c>
      <c r="H32" s="340">
        <f>18481+4822</f>
        <v>23303</v>
      </c>
      <c r="I32" s="88">
        <v>20</v>
      </c>
      <c r="J32" s="104">
        <f t="shared" si="4"/>
        <v>14324.75</v>
      </c>
      <c r="K32" s="22">
        <f t="shared" si="5"/>
        <v>-8978.25</v>
      </c>
      <c r="L32" s="93"/>
      <c r="M32" s="95"/>
    </row>
    <row r="33" spans="1:14" x14ac:dyDescent="0.45">
      <c r="A33" s="1"/>
      <c r="B33" s="48"/>
      <c r="C33" s="81"/>
      <c r="D33" s="3" t="s">
        <v>116</v>
      </c>
      <c r="E33" s="85"/>
      <c r="F33" s="150"/>
      <c r="G33" s="341"/>
      <c r="H33" s="340"/>
      <c r="I33" s="88">
        <v>37.5</v>
      </c>
      <c r="J33" s="104">
        <f t="shared" si="4"/>
        <v>0</v>
      </c>
      <c r="K33" s="22">
        <f t="shared" si="5"/>
        <v>0</v>
      </c>
      <c r="L33" s="93"/>
      <c r="M33" s="95"/>
    </row>
    <row r="34" spans="1:14" x14ac:dyDescent="0.45">
      <c r="A34" s="1"/>
      <c r="B34" s="48"/>
      <c r="C34" s="81"/>
      <c r="D34" s="3" t="s">
        <v>117</v>
      </c>
      <c r="E34" s="85"/>
      <c r="F34" s="150"/>
      <c r="G34" s="341"/>
      <c r="H34" s="340"/>
      <c r="I34" s="88">
        <v>40</v>
      </c>
      <c r="J34" s="104">
        <f t="shared" si="4"/>
        <v>0</v>
      </c>
      <c r="K34" s="22">
        <f t="shared" si="5"/>
        <v>0</v>
      </c>
      <c r="L34" s="93"/>
      <c r="M34" s="95"/>
    </row>
    <row r="35" spans="1:14" x14ac:dyDescent="0.45">
      <c r="A35" s="1"/>
      <c r="B35" s="48"/>
      <c r="C35" s="81"/>
      <c r="D35" s="3" t="s">
        <v>118</v>
      </c>
      <c r="E35" s="85" t="s">
        <v>124</v>
      </c>
      <c r="F35" s="150">
        <f>2679307-28378-56178-1950</f>
        <v>2592801</v>
      </c>
      <c r="G35" s="339" t="s">
        <v>124</v>
      </c>
      <c r="H35" s="340">
        <v>52575</v>
      </c>
      <c r="I35" s="88">
        <v>45</v>
      </c>
      <c r="J35" s="104">
        <f t="shared" si="4"/>
        <v>57617.8</v>
      </c>
      <c r="K35" s="22">
        <f t="shared" si="5"/>
        <v>5042.8000000000029</v>
      </c>
      <c r="L35" s="93"/>
      <c r="M35" s="95"/>
    </row>
    <row r="36" spans="1:14" x14ac:dyDescent="0.45">
      <c r="A36" s="1"/>
      <c r="B36" s="48"/>
      <c r="C36" s="81"/>
      <c r="D36" s="3" t="s">
        <v>119</v>
      </c>
      <c r="E36" s="85"/>
      <c r="F36" s="150"/>
      <c r="G36" s="341"/>
      <c r="H36" s="340"/>
      <c r="I36" s="88">
        <v>15</v>
      </c>
      <c r="J36" s="104">
        <f t="shared" si="4"/>
        <v>0</v>
      </c>
      <c r="K36" s="22">
        <f t="shared" si="5"/>
        <v>0</v>
      </c>
      <c r="L36" s="93"/>
      <c r="M36" s="95"/>
    </row>
    <row r="37" spans="1:14" x14ac:dyDescent="0.45">
      <c r="A37" s="1"/>
      <c r="B37" s="48"/>
      <c r="C37" s="81"/>
      <c r="E37" s="85"/>
      <c r="G37" s="344"/>
      <c r="H37" s="140"/>
      <c r="I37" s="89"/>
      <c r="J37" s="140"/>
      <c r="K37" s="22"/>
      <c r="L37" s="93"/>
      <c r="M37" s="95"/>
    </row>
    <row r="38" spans="1:14" x14ac:dyDescent="0.45">
      <c r="A38" s="1"/>
      <c r="B38" s="48"/>
      <c r="C38" s="81" t="s">
        <v>101</v>
      </c>
      <c r="E38" s="85"/>
      <c r="G38" s="339"/>
      <c r="H38" s="140"/>
      <c r="I38" s="91"/>
      <c r="J38" s="140"/>
      <c r="K38" s="2"/>
      <c r="L38" s="93"/>
      <c r="M38" s="95"/>
    </row>
    <row r="39" spans="1:14" x14ac:dyDescent="0.45">
      <c r="A39" s="1"/>
      <c r="B39" s="48"/>
      <c r="C39" s="3"/>
      <c r="D39" s="1" t="s">
        <v>120</v>
      </c>
      <c r="E39" s="85" t="s">
        <v>124</v>
      </c>
      <c r="F39" s="145">
        <f>23159+23310+3834+10005</f>
        <v>60308</v>
      </c>
      <c r="G39" s="339" t="s">
        <v>124</v>
      </c>
      <c r="H39" s="140">
        <v>10678</v>
      </c>
      <c r="I39" s="91">
        <v>7</v>
      </c>
      <c r="J39" s="140">
        <f>F39/I39</f>
        <v>8615.4285714285706</v>
      </c>
      <c r="K39" s="2">
        <f>J39-H39</f>
        <v>-2062.5714285714294</v>
      </c>
      <c r="L39" s="93"/>
      <c r="M39" s="95"/>
    </row>
    <row r="40" spans="1:14" x14ac:dyDescent="0.45">
      <c r="A40" s="1"/>
      <c r="B40" s="48"/>
      <c r="C40" s="80"/>
      <c r="D40" s="80"/>
      <c r="E40" s="80"/>
      <c r="G40" s="344"/>
      <c r="H40" s="140"/>
      <c r="I40" s="89"/>
      <c r="J40" s="140"/>
      <c r="K40" s="2"/>
      <c r="L40" s="93"/>
      <c r="M40" s="95"/>
    </row>
    <row r="41" spans="1:14" x14ac:dyDescent="0.45">
      <c r="A41" s="1"/>
      <c r="B41" s="48"/>
      <c r="C41" s="81" t="s">
        <v>102</v>
      </c>
      <c r="D41" s="3"/>
      <c r="E41" s="85"/>
      <c r="G41" s="345"/>
      <c r="H41" s="140"/>
      <c r="I41" s="88"/>
      <c r="J41" s="140"/>
      <c r="K41" s="2"/>
      <c r="L41" s="93"/>
      <c r="M41" s="95"/>
    </row>
    <row r="42" spans="1:14" x14ac:dyDescent="0.45">
      <c r="A42" s="1"/>
      <c r="B42" s="48"/>
      <c r="C42" s="81"/>
      <c r="D42" s="1" t="s">
        <v>152</v>
      </c>
      <c r="E42" s="85" t="s">
        <v>124</v>
      </c>
      <c r="F42" s="145">
        <f>7479+3234+11850+1905+37335+146669+27801+19998+65049+24352+3195+2523</f>
        <v>351390</v>
      </c>
      <c r="G42" s="339" t="s">
        <v>124</v>
      </c>
      <c r="H42" s="140">
        <v>10857</v>
      </c>
      <c r="I42" s="91">
        <v>37.5</v>
      </c>
      <c r="J42" s="140">
        <f>F42/I42</f>
        <v>9370.4</v>
      </c>
      <c r="K42" s="2">
        <f>J42-H42</f>
        <v>-1486.6000000000004</v>
      </c>
      <c r="L42" s="93"/>
      <c r="M42" s="95"/>
    </row>
    <row r="43" spans="1:14" x14ac:dyDescent="0.45">
      <c r="A43" s="1"/>
      <c r="B43" s="48"/>
      <c r="C43" s="81"/>
      <c r="D43" s="1" t="s">
        <v>153</v>
      </c>
      <c r="E43" s="85" t="s">
        <v>124</v>
      </c>
      <c r="F43" s="145">
        <v>15479.49</v>
      </c>
      <c r="G43" s="339" t="s">
        <v>124</v>
      </c>
      <c r="H43" s="140">
        <v>773.97</v>
      </c>
      <c r="I43" s="91">
        <v>27.5</v>
      </c>
      <c r="J43" s="140">
        <f>F43/I43</f>
        <v>562.89054545454542</v>
      </c>
      <c r="K43" s="2">
        <f>J43-H43</f>
        <v>-211.07945454545461</v>
      </c>
      <c r="L43" s="93"/>
      <c r="M43" s="95"/>
    </row>
    <row r="44" spans="1:14" x14ac:dyDescent="0.45">
      <c r="A44" s="1"/>
      <c r="B44" s="48"/>
      <c r="C44" s="81"/>
      <c r="E44" s="85"/>
      <c r="G44" s="339"/>
      <c r="H44" s="140"/>
      <c r="I44" s="91"/>
      <c r="J44" s="140"/>
      <c r="K44" s="2"/>
      <c r="L44" s="93"/>
      <c r="M44" s="95"/>
    </row>
    <row r="45" spans="1:14" x14ac:dyDescent="0.45">
      <c r="A45" s="1"/>
      <c r="B45" s="48"/>
      <c r="C45" s="82" t="s">
        <v>72</v>
      </c>
      <c r="F45" s="142">
        <f>SUM(F10:F44)</f>
        <v>21349070.489999998</v>
      </c>
      <c r="G45" s="346"/>
      <c r="H45" s="142">
        <f>SUM(H10:H44)</f>
        <v>563848.97</v>
      </c>
      <c r="I45" s="90"/>
      <c r="J45" s="142">
        <f>SUM(J10:J44)</f>
        <v>520417.03073593066</v>
      </c>
      <c r="K45" s="90">
        <f>SUM(K10:K44)</f>
        <v>-43431.939264069253</v>
      </c>
      <c r="L45" s="93"/>
      <c r="M45" s="95"/>
      <c r="N45" s="175"/>
    </row>
    <row r="46" spans="1:14" x14ac:dyDescent="0.45">
      <c r="A46" s="1"/>
      <c r="B46" s="77"/>
      <c r="C46" s="83"/>
      <c r="D46" s="83"/>
      <c r="E46" s="83"/>
      <c r="F46" s="347"/>
      <c r="G46" s="83"/>
      <c r="H46" s="348"/>
      <c r="I46" s="83"/>
      <c r="J46" s="143"/>
      <c r="K46" s="83"/>
      <c r="L46" s="94"/>
      <c r="M46" s="96"/>
    </row>
    <row r="47" spans="1:14" x14ac:dyDescent="0.45">
      <c r="A47" s="1"/>
      <c r="B47" s="1"/>
      <c r="C47" s="3"/>
      <c r="D47" s="3"/>
      <c r="E47" s="3"/>
      <c r="G47" s="3"/>
      <c r="H47" s="349"/>
      <c r="I47" s="3"/>
      <c r="J47" s="144"/>
      <c r="K47" s="3"/>
      <c r="L47" s="3"/>
      <c r="M47" s="3"/>
    </row>
    <row r="48" spans="1:14" x14ac:dyDescent="0.45">
      <c r="D48" s="3" t="s">
        <v>121</v>
      </c>
    </row>
    <row r="50" spans="4:7" x14ac:dyDescent="0.45">
      <c r="D50" s="1" t="s">
        <v>156</v>
      </c>
      <c r="F50" s="145">
        <f>J45</f>
        <v>520417.03073593066</v>
      </c>
    </row>
    <row r="51" spans="4:7" ht="17.649999999999999" x14ac:dyDescent="0.75">
      <c r="D51" s="1" t="s">
        <v>157</v>
      </c>
      <c r="F51" s="350">
        <v>563848</v>
      </c>
    </row>
    <row r="52" spans="4:7" x14ac:dyDescent="0.45">
      <c r="D52" s="1" t="s">
        <v>158</v>
      </c>
      <c r="F52" s="145">
        <f>F50-F51</f>
        <v>-43430.969264069339</v>
      </c>
      <c r="G52" s="19" t="s">
        <v>355</v>
      </c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J37" sqref="J37"/>
    </sheetView>
  </sheetViews>
  <sheetFormatPr defaultRowHeight="15" x14ac:dyDescent="0.4"/>
  <sheetData>
    <row r="1" spans="1:4" ht="15.4" x14ac:dyDescent="0.45">
      <c r="A1" s="1" t="s">
        <v>128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131</v>
      </c>
      <c r="B3" s="1"/>
      <c r="C3" s="106">
        <v>12000</v>
      </c>
      <c r="D3" s="1"/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129</v>
      </c>
      <c r="B5" s="107">
        <v>0.3</v>
      </c>
      <c r="C5" s="106">
        <f>B5*C3</f>
        <v>3600</v>
      </c>
      <c r="D5" s="1" t="s">
        <v>127</v>
      </c>
    </row>
    <row r="6" spans="1:4" ht="15.4" x14ac:dyDescent="0.45">
      <c r="A6" s="1" t="s">
        <v>130</v>
      </c>
      <c r="B6" s="107">
        <v>0.7</v>
      </c>
      <c r="C6" s="106">
        <f>B6*C3</f>
        <v>8400</v>
      </c>
      <c r="D6" s="1" t="s">
        <v>127</v>
      </c>
    </row>
  </sheetData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48"/>
  <sheetViews>
    <sheetView showGridLines="0" topLeftCell="A29" zoomScaleNormal="100" workbookViewId="0">
      <selection activeCell="P43" sqref="A1:P43"/>
    </sheetView>
  </sheetViews>
  <sheetFormatPr defaultColWidth="8.88671875" defaultRowHeight="15.75" outlineLevelRow="1" x14ac:dyDescent="0.5"/>
  <cols>
    <col min="1" max="1" width="2.109375" style="176" customWidth="1"/>
    <col min="2" max="2" width="1.109375" style="176" customWidth="1"/>
    <col min="3" max="3" width="4.77734375" style="176" customWidth="1"/>
    <col min="4" max="4" width="8.5546875" style="176" customWidth="1"/>
    <col min="5" max="5" width="6.33203125" style="176" customWidth="1"/>
    <col min="6" max="6" width="7.33203125" style="176" customWidth="1"/>
    <col min="7" max="7" width="13.33203125" style="176" customWidth="1"/>
    <col min="8" max="8" width="1.21875" style="176" customWidth="1"/>
    <col min="9" max="9" width="4.77734375" style="176" customWidth="1"/>
    <col min="10" max="10" width="7" style="176" customWidth="1"/>
    <col min="11" max="11" width="6.33203125" style="176" customWidth="1"/>
    <col min="12" max="12" width="7.33203125" style="176" customWidth="1"/>
    <col min="13" max="13" width="13.33203125" style="176" customWidth="1"/>
    <col min="14" max="14" width="8.5546875" style="176" bestFit="1" customWidth="1"/>
    <col min="15" max="15" width="6.5546875" style="176" bestFit="1" customWidth="1"/>
    <col min="16" max="16" width="2.6640625" style="176" customWidth="1"/>
    <col min="17" max="207" width="9.6640625" style="176" customWidth="1"/>
    <col min="208" max="16384" width="8.88671875" style="176"/>
  </cols>
  <sheetData>
    <row r="2" spans="2:18" ht="18" x14ac:dyDescent="0.55000000000000004">
      <c r="B2" s="399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1"/>
    </row>
    <row r="3" spans="2:18" ht="18" hidden="1" customHeight="1" x14ac:dyDescent="0.55000000000000004">
      <c r="B3" s="402" t="s">
        <v>230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403"/>
    </row>
    <row r="4" spans="2:18" ht="18" x14ac:dyDescent="0.55000000000000004">
      <c r="B4" s="48"/>
      <c r="C4" s="394" t="s">
        <v>209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5"/>
      <c r="O4" s="396"/>
    </row>
    <row r="5" spans="2:18" ht="18" x14ac:dyDescent="0.55000000000000004">
      <c r="B5" s="48"/>
      <c r="C5" s="394" t="s">
        <v>162</v>
      </c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5"/>
      <c r="O5" s="396"/>
      <c r="P5" s="30"/>
      <c r="Q5" s="30"/>
      <c r="R5" s="30"/>
    </row>
    <row r="6" spans="2:18" x14ac:dyDescent="0.5">
      <c r="B6" s="77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7"/>
    </row>
    <row r="7" spans="2:18" x14ac:dyDescent="0.5">
      <c r="B7" s="48"/>
      <c r="C7" s="1"/>
      <c r="D7" s="1"/>
      <c r="E7" s="1"/>
      <c r="F7" s="1"/>
      <c r="G7" s="178"/>
      <c r="H7" s="48"/>
      <c r="I7" s="1"/>
      <c r="J7" s="1"/>
      <c r="K7" s="1"/>
      <c r="L7" s="1"/>
      <c r="M7" s="178"/>
      <c r="N7" s="48"/>
      <c r="O7" s="178"/>
    </row>
    <row r="8" spans="2:18" x14ac:dyDescent="0.5">
      <c r="B8" s="48"/>
      <c r="C8" s="397" t="s">
        <v>210</v>
      </c>
      <c r="D8" s="397"/>
      <c r="E8" s="397"/>
      <c r="F8" s="397"/>
      <c r="G8" s="398"/>
      <c r="H8" s="1"/>
      <c r="I8" s="397" t="s">
        <v>211</v>
      </c>
      <c r="J8" s="397"/>
      <c r="K8" s="397"/>
      <c r="L8" s="397"/>
      <c r="M8" s="398"/>
      <c r="N8" s="180" t="s">
        <v>212</v>
      </c>
      <c r="O8" s="179" t="s">
        <v>213</v>
      </c>
    </row>
    <row r="9" spans="2:18" x14ac:dyDescent="0.5">
      <c r="B9" s="48"/>
      <c r="C9" s="1"/>
      <c r="D9" s="1"/>
      <c r="E9" s="1"/>
      <c r="F9" s="1"/>
      <c r="G9" s="178"/>
      <c r="H9" s="1"/>
      <c r="I9" s="1"/>
      <c r="J9" s="1"/>
      <c r="K9" s="1"/>
      <c r="L9" s="1"/>
      <c r="M9" s="178"/>
      <c r="N9" s="48"/>
      <c r="O9" s="178"/>
    </row>
    <row r="10" spans="2:18" x14ac:dyDescent="0.5">
      <c r="B10" s="48"/>
      <c r="C10" s="181" t="s">
        <v>214</v>
      </c>
      <c r="D10" s="1"/>
      <c r="E10" s="1"/>
      <c r="F10" s="1"/>
      <c r="G10" s="178"/>
      <c r="H10" s="1"/>
      <c r="I10" s="181" t="s">
        <v>214</v>
      </c>
      <c r="J10" s="1"/>
      <c r="K10" s="1"/>
      <c r="L10" s="182"/>
      <c r="M10" s="178"/>
      <c r="N10" s="48"/>
      <c r="O10" s="178"/>
    </row>
    <row r="11" spans="2:18" outlineLevel="1" x14ac:dyDescent="0.5">
      <c r="B11" s="48"/>
      <c r="C11" s="20" t="s">
        <v>215</v>
      </c>
      <c r="D11" s="183">
        <v>2000</v>
      </c>
      <c r="E11" s="1" t="s">
        <v>216</v>
      </c>
      <c r="F11" s="184">
        <f>ExBA!E28</f>
        <v>17.5</v>
      </c>
      <c r="G11" s="178" t="s">
        <v>217</v>
      </c>
      <c r="H11" s="1"/>
      <c r="I11" s="20" t="s">
        <v>215</v>
      </c>
      <c r="J11" s="183">
        <f>D11</f>
        <v>2000</v>
      </c>
      <c r="K11" s="1" t="s">
        <v>216</v>
      </c>
      <c r="L11" s="184">
        <f>ROUND(F11*(1+SAO!$H$54),2)</f>
        <v>22.42</v>
      </c>
      <c r="M11" s="178" t="s">
        <v>217</v>
      </c>
      <c r="N11" s="185">
        <f>L11-F11</f>
        <v>4.9200000000000017</v>
      </c>
      <c r="O11" s="186">
        <f>N11/F11</f>
        <v>0.28114285714285725</v>
      </c>
      <c r="R11" s="187"/>
    </row>
    <row r="12" spans="2:18" outlineLevel="1" x14ac:dyDescent="0.5">
      <c r="B12" s="48"/>
      <c r="C12" s="20" t="s">
        <v>218</v>
      </c>
      <c r="D12" s="183">
        <f>ExBA!B21</f>
        <v>4000</v>
      </c>
      <c r="E12" s="1" t="s">
        <v>216</v>
      </c>
      <c r="F12" s="184">
        <f>ExBA!E29</f>
        <v>7.95</v>
      </c>
      <c r="G12" s="178" t="s">
        <v>219</v>
      </c>
      <c r="H12" s="1"/>
      <c r="I12" s="20" t="s">
        <v>218</v>
      </c>
      <c r="J12" s="183">
        <f t="shared" ref="J12:J14" si="0">D12</f>
        <v>4000</v>
      </c>
      <c r="K12" s="1" t="s">
        <v>216</v>
      </c>
      <c r="L12" s="184">
        <f>ROUND(F12*(1+SAO!$H$54),2)</f>
        <v>10.18</v>
      </c>
      <c r="M12" s="178" t="s">
        <v>219</v>
      </c>
      <c r="N12" s="185">
        <f t="shared" ref="N12:N14" si="1">L12-F12</f>
        <v>2.2299999999999995</v>
      </c>
      <c r="O12" s="186">
        <f t="shared" ref="O12:O14" si="2">N12/F12</f>
        <v>0.28050314465408799</v>
      </c>
      <c r="R12" s="189"/>
    </row>
    <row r="13" spans="2:18" outlineLevel="1" x14ac:dyDescent="0.5">
      <c r="B13" s="48"/>
      <c r="C13" s="20" t="s">
        <v>218</v>
      </c>
      <c r="D13" s="183">
        <f>ExBA!B22</f>
        <v>94000</v>
      </c>
      <c r="E13" s="1" t="s">
        <v>216</v>
      </c>
      <c r="F13" s="184">
        <f>ExBA!E30</f>
        <v>6.95</v>
      </c>
      <c r="G13" s="178" t="s">
        <v>219</v>
      </c>
      <c r="H13" s="1"/>
      <c r="I13" s="20" t="s">
        <v>218</v>
      </c>
      <c r="J13" s="183">
        <f t="shared" si="0"/>
        <v>94000</v>
      </c>
      <c r="K13" s="1" t="s">
        <v>216</v>
      </c>
      <c r="L13" s="184">
        <f>ROUND(F13*(1+SAO!$H$54),2)</f>
        <v>8.9</v>
      </c>
      <c r="M13" s="178" t="s">
        <v>219</v>
      </c>
      <c r="N13" s="185">
        <f t="shared" si="1"/>
        <v>1.9500000000000002</v>
      </c>
      <c r="O13" s="186">
        <f t="shared" si="2"/>
        <v>0.28057553956834536</v>
      </c>
      <c r="R13" s="189"/>
    </row>
    <row r="14" spans="2:18" outlineLevel="1" x14ac:dyDescent="0.5">
      <c r="B14" s="48"/>
      <c r="C14" s="20" t="s">
        <v>220</v>
      </c>
      <c r="D14" s="183">
        <f>ExBA!B23</f>
        <v>100000</v>
      </c>
      <c r="E14" s="1" t="s">
        <v>216</v>
      </c>
      <c r="F14" s="184">
        <v>4.1900000000000004</v>
      </c>
      <c r="G14" s="178" t="s">
        <v>219</v>
      </c>
      <c r="H14" s="1"/>
      <c r="I14" s="20" t="s">
        <v>220</v>
      </c>
      <c r="J14" s="183">
        <f t="shared" si="0"/>
        <v>100000</v>
      </c>
      <c r="K14" s="1" t="s">
        <v>216</v>
      </c>
      <c r="L14" s="184">
        <f>ROUND(F14*(1+SAO!$H$54),2)</f>
        <v>5.37</v>
      </c>
      <c r="M14" s="178" t="s">
        <v>219</v>
      </c>
      <c r="N14" s="185">
        <f t="shared" si="1"/>
        <v>1.1799999999999997</v>
      </c>
      <c r="O14" s="186">
        <f t="shared" si="2"/>
        <v>0.28162291169451065</v>
      </c>
      <c r="R14" s="189"/>
    </row>
    <row r="15" spans="2:18" outlineLevel="1" x14ac:dyDescent="0.5">
      <c r="B15" s="48"/>
      <c r="C15" s="183"/>
      <c r="D15" s="1"/>
      <c r="E15" s="1"/>
      <c r="F15" s="1"/>
      <c r="G15" s="178"/>
      <c r="H15" s="1"/>
      <c r="I15" s="183"/>
      <c r="J15" s="1"/>
      <c r="K15" s="1"/>
      <c r="L15" s="1"/>
      <c r="M15" s="178"/>
      <c r="N15" s="48"/>
      <c r="O15" s="178"/>
    </row>
    <row r="16" spans="2:18" outlineLevel="1" x14ac:dyDescent="0.5">
      <c r="B16" s="48"/>
      <c r="C16" s="181" t="s">
        <v>221</v>
      </c>
      <c r="D16" s="1"/>
      <c r="E16" s="1"/>
      <c r="F16" s="1"/>
      <c r="G16" s="178"/>
      <c r="H16" s="1"/>
      <c r="I16" s="181" t="s">
        <v>221</v>
      </c>
      <c r="J16" s="1"/>
      <c r="K16" s="1"/>
      <c r="L16" s="1"/>
      <c r="M16" s="178"/>
      <c r="N16" s="48"/>
      <c r="O16" s="178"/>
    </row>
    <row r="17" spans="2:18" x14ac:dyDescent="0.5">
      <c r="B17" s="48"/>
      <c r="C17" s="20" t="s">
        <v>215</v>
      </c>
      <c r="D17" s="183">
        <f>ExBA!B38</f>
        <v>10000</v>
      </c>
      <c r="E17" s="1" t="s">
        <v>216</v>
      </c>
      <c r="F17" s="184">
        <f>ExBA!E45</f>
        <v>77.099999999999994</v>
      </c>
      <c r="G17" s="178" t="s">
        <v>217</v>
      </c>
      <c r="H17" s="1"/>
      <c r="I17" s="20" t="s">
        <v>215</v>
      </c>
      <c r="J17" s="183">
        <f>D17</f>
        <v>10000</v>
      </c>
      <c r="K17" s="1" t="s">
        <v>216</v>
      </c>
      <c r="L17" s="184">
        <f>ROUND(F17*(1+SAO!$H$54),2)</f>
        <v>98.76</v>
      </c>
      <c r="M17" s="178" t="s">
        <v>217</v>
      </c>
      <c r="N17" s="185">
        <f t="shared" ref="N17:N19" si="3">L17-F17</f>
        <v>21.660000000000011</v>
      </c>
      <c r="O17" s="186">
        <f t="shared" ref="O17:O19" si="4">N17/F17</f>
        <v>0.28093385214007799</v>
      </c>
      <c r="R17" s="189"/>
    </row>
    <row r="18" spans="2:18" x14ac:dyDescent="0.5">
      <c r="B18" s="48"/>
      <c r="C18" s="20" t="s">
        <v>218</v>
      </c>
      <c r="D18" s="183">
        <f>ExBA!B39</f>
        <v>90000</v>
      </c>
      <c r="E18" s="1" t="s">
        <v>216</v>
      </c>
      <c r="F18" s="184">
        <f>ExBA!E47</f>
        <v>6.95</v>
      </c>
      <c r="G18" s="178" t="s">
        <v>219</v>
      </c>
      <c r="H18" s="1"/>
      <c r="I18" s="20" t="s">
        <v>218</v>
      </c>
      <c r="J18" s="183">
        <f t="shared" ref="J18:J19" si="5">D18</f>
        <v>90000</v>
      </c>
      <c r="K18" s="1" t="s">
        <v>216</v>
      </c>
      <c r="L18" s="184">
        <f>ROUND(F18*(1+SAO!$H$54),2)</f>
        <v>8.9</v>
      </c>
      <c r="M18" s="178" t="s">
        <v>219</v>
      </c>
      <c r="N18" s="185">
        <f t="shared" si="3"/>
        <v>1.9500000000000002</v>
      </c>
      <c r="O18" s="186">
        <f t="shared" si="4"/>
        <v>0.28057553956834536</v>
      </c>
      <c r="R18" s="189"/>
    </row>
    <row r="19" spans="2:18" x14ac:dyDescent="0.5">
      <c r="B19" s="48"/>
      <c r="C19" s="20" t="s">
        <v>220</v>
      </c>
      <c r="D19" s="183">
        <f>ExBA!B40</f>
        <v>100000</v>
      </c>
      <c r="E19" s="1" t="s">
        <v>216</v>
      </c>
      <c r="F19" s="184">
        <f>ExBA!E48</f>
        <v>4.1900000000000004</v>
      </c>
      <c r="G19" s="178" t="s">
        <v>219</v>
      </c>
      <c r="H19" s="1"/>
      <c r="I19" s="20" t="s">
        <v>220</v>
      </c>
      <c r="J19" s="183">
        <f t="shared" si="5"/>
        <v>100000</v>
      </c>
      <c r="K19" s="1" t="s">
        <v>216</v>
      </c>
      <c r="L19" s="184">
        <f>ROUND(F19*(1+SAO!$H$54),2)</f>
        <v>5.37</v>
      </c>
      <c r="M19" s="178" t="s">
        <v>219</v>
      </c>
      <c r="N19" s="185">
        <f t="shared" si="3"/>
        <v>1.1799999999999997</v>
      </c>
      <c r="O19" s="186">
        <f t="shared" si="4"/>
        <v>0.28162291169451065</v>
      </c>
      <c r="R19" s="189"/>
    </row>
    <row r="20" spans="2:18" x14ac:dyDescent="0.5">
      <c r="B20" s="48"/>
      <c r="C20" s="183"/>
      <c r="D20" s="1"/>
      <c r="E20" s="1"/>
      <c r="F20" s="1"/>
      <c r="G20" s="178"/>
      <c r="H20" s="1"/>
      <c r="I20" s="183"/>
      <c r="J20" s="1"/>
      <c r="K20" s="1"/>
      <c r="L20" s="1"/>
      <c r="M20" s="178"/>
      <c r="N20" s="48"/>
      <c r="O20" s="178"/>
    </row>
    <row r="21" spans="2:18" x14ac:dyDescent="0.5">
      <c r="B21" s="48"/>
      <c r="C21" s="181" t="s">
        <v>222</v>
      </c>
      <c r="D21" s="1"/>
      <c r="E21" s="1"/>
      <c r="F21" s="1"/>
      <c r="G21" s="178"/>
      <c r="H21" s="1"/>
      <c r="I21" s="181" t="s">
        <v>222</v>
      </c>
      <c r="J21" s="1"/>
      <c r="K21" s="1"/>
      <c r="L21" s="1"/>
      <c r="M21" s="178"/>
      <c r="N21" s="48"/>
      <c r="O21" s="178"/>
    </row>
    <row r="22" spans="2:18" x14ac:dyDescent="0.5">
      <c r="B22" s="48"/>
      <c r="C22" s="20" t="s">
        <v>215</v>
      </c>
      <c r="D22" s="183">
        <f>ExBA!B54</f>
        <v>15000</v>
      </c>
      <c r="E22" s="1" t="s">
        <v>216</v>
      </c>
      <c r="F22" s="184">
        <f>ExBA!E61</f>
        <v>111.85</v>
      </c>
      <c r="G22" s="178" t="s">
        <v>217</v>
      </c>
      <c r="H22" s="1"/>
      <c r="I22" s="20" t="s">
        <v>215</v>
      </c>
      <c r="J22" s="183">
        <f>D22</f>
        <v>15000</v>
      </c>
      <c r="K22" s="1" t="s">
        <v>216</v>
      </c>
      <c r="L22" s="184">
        <f>ROUND(F22*(1+SAO!$H$54),2)</f>
        <v>143.27000000000001</v>
      </c>
      <c r="M22" s="178" t="s">
        <v>217</v>
      </c>
      <c r="N22" s="185">
        <f t="shared" ref="N22:N24" si="6">L22-F22</f>
        <v>31.420000000000016</v>
      </c>
      <c r="O22" s="186">
        <f t="shared" ref="O22:O24" si="7">N22/F22</f>
        <v>0.28091193562807348</v>
      </c>
    </row>
    <row r="23" spans="2:18" x14ac:dyDescent="0.5">
      <c r="B23" s="48"/>
      <c r="C23" s="20" t="s">
        <v>218</v>
      </c>
      <c r="D23" s="183">
        <f>ExBA!B55</f>
        <v>85000</v>
      </c>
      <c r="E23" s="1" t="s">
        <v>216</v>
      </c>
      <c r="F23" s="184">
        <f>ExBA!E62</f>
        <v>6.95</v>
      </c>
      <c r="G23" s="178" t="s">
        <v>219</v>
      </c>
      <c r="H23" s="1"/>
      <c r="I23" s="20" t="s">
        <v>218</v>
      </c>
      <c r="J23" s="183">
        <f t="shared" ref="J23" si="8">D23</f>
        <v>85000</v>
      </c>
      <c r="K23" s="1" t="s">
        <v>216</v>
      </c>
      <c r="L23" s="184">
        <f>ROUND(F23*(1+SAO!$H$54),2)</f>
        <v>8.9</v>
      </c>
      <c r="M23" s="178" t="s">
        <v>219</v>
      </c>
      <c r="N23" s="185">
        <f t="shared" si="6"/>
        <v>1.9500000000000002</v>
      </c>
      <c r="O23" s="186">
        <f t="shared" si="7"/>
        <v>0.28057553956834536</v>
      </c>
    </row>
    <row r="24" spans="2:18" x14ac:dyDescent="0.5">
      <c r="B24" s="48"/>
      <c r="C24" s="20" t="s">
        <v>220</v>
      </c>
      <c r="D24" s="183">
        <f>ExBA!B56</f>
        <v>100000</v>
      </c>
      <c r="E24" s="1" t="s">
        <v>216</v>
      </c>
      <c r="F24" s="188">
        <f>ExBA!E63</f>
        <v>4.1900000000000004</v>
      </c>
      <c r="G24" s="178" t="s">
        <v>219</v>
      </c>
      <c r="H24" s="1"/>
      <c r="I24" s="20" t="s">
        <v>220</v>
      </c>
      <c r="J24" s="183">
        <f>D24</f>
        <v>100000</v>
      </c>
      <c r="K24" s="1" t="s">
        <v>216</v>
      </c>
      <c r="L24" s="184">
        <f>ROUND(F24*(1+SAO!$H$54),2)</f>
        <v>5.37</v>
      </c>
      <c r="M24" s="178" t="s">
        <v>219</v>
      </c>
      <c r="N24" s="185">
        <f t="shared" si="6"/>
        <v>1.1799999999999997</v>
      </c>
      <c r="O24" s="186">
        <f t="shared" si="7"/>
        <v>0.28162291169451065</v>
      </c>
    </row>
    <row r="25" spans="2:18" x14ac:dyDescent="0.5">
      <c r="B25" s="48"/>
      <c r="C25" s="183"/>
      <c r="D25" s="1"/>
      <c r="E25" s="1"/>
      <c r="F25" s="1"/>
      <c r="G25" s="178"/>
      <c r="H25" s="1"/>
      <c r="I25" s="183"/>
      <c r="J25" s="1"/>
      <c r="K25" s="1"/>
      <c r="L25" s="1"/>
      <c r="M25" s="178"/>
      <c r="N25" s="48"/>
      <c r="O25" s="178"/>
    </row>
    <row r="26" spans="2:18" x14ac:dyDescent="0.5">
      <c r="B26" s="48"/>
      <c r="C26" s="181" t="s">
        <v>223</v>
      </c>
      <c r="D26" s="1"/>
      <c r="E26" s="1"/>
      <c r="F26" s="1"/>
      <c r="G26" s="178"/>
      <c r="H26" s="1"/>
      <c r="I26" s="181" t="s">
        <v>223</v>
      </c>
      <c r="J26" s="1"/>
      <c r="K26" s="1"/>
      <c r="L26" s="1"/>
      <c r="M26" s="178"/>
      <c r="N26" s="48"/>
      <c r="O26" s="178"/>
    </row>
    <row r="27" spans="2:18" x14ac:dyDescent="0.5">
      <c r="B27" s="48"/>
      <c r="C27" s="20" t="s">
        <v>215</v>
      </c>
      <c r="D27" s="183">
        <f>ExBA!B71</f>
        <v>20000</v>
      </c>
      <c r="E27" s="1" t="s">
        <v>216</v>
      </c>
      <c r="F27" s="184">
        <f>ExBA!E78</f>
        <v>146.6</v>
      </c>
      <c r="G27" s="178" t="s">
        <v>217</v>
      </c>
      <c r="H27" s="1"/>
      <c r="I27" s="20" t="s">
        <v>215</v>
      </c>
      <c r="J27" s="183">
        <f>D27</f>
        <v>20000</v>
      </c>
      <c r="K27" s="1" t="s">
        <v>216</v>
      </c>
      <c r="L27" s="184">
        <f>ROUND(F27*(1+SAO!$H$54),2)</f>
        <v>187.78</v>
      </c>
      <c r="M27" s="178" t="s">
        <v>217</v>
      </c>
      <c r="N27" s="185">
        <f t="shared" ref="N27:N29" si="9">L27-F27</f>
        <v>41.180000000000007</v>
      </c>
      <c r="O27" s="186">
        <f t="shared" ref="O27:O29" si="10">N27/F27</f>
        <v>0.2809004092769441</v>
      </c>
      <c r="P27" s="187"/>
      <c r="R27" s="187"/>
    </row>
    <row r="28" spans="2:18" x14ac:dyDescent="0.5">
      <c r="B28" s="48"/>
      <c r="C28" s="20" t="s">
        <v>218</v>
      </c>
      <c r="D28" s="183">
        <f>ExBA!B72</f>
        <v>80000</v>
      </c>
      <c r="E28" s="1" t="s">
        <v>216</v>
      </c>
      <c r="F28" s="184">
        <f>ExBA!E79</f>
        <v>6.95</v>
      </c>
      <c r="G28" s="178" t="s">
        <v>219</v>
      </c>
      <c r="H28" s="1"/>
      <c r="I28" s="20" t="s">
        <v>218</v>
      </c>
      <c r="J28" s="183">
        <f t="shared" ref="J28" si="11">D28</f>
        <v>80000</v>
      </c>
      <c r="K28" s="1" t="s">
        <v>216</v>
      </c>
      <c r="L28" s="184">
        <f>ROUND(F28*(1+SAO!$H$54),2)</f>
        <v>8.9</v>
      </c>
      <c r="M28" s="178" t="s">
        <v>219</v>
      </c>
      <c r="N28" s="185">
        <f t="shared" si="9"/>
        <v>1.9500000000000002</v>
      </c>
      <c r="O28" s="186">
        <f t="shared" si="10"/>
        <v>0.28057553956834536</v>
      </c>
      <c r="P28" s="187"/>
      <c r="R28" s="187"/>
    </row>
    <row r="29" spans="2:18" x14ac:dyDescent="0.5">
      <c r="B29" s="48"/>
      <c r="C29" s="20" t="s">
        <v>220</v>
      </c>
      <c r="D29" s="183">
        <f>ExBA!B73</f>
        <v>100000</v>
      </c>
      <c r="E29" s="1" t="s">
        <v>216</v>
      </c>
      <c r="F29" s="188">
        <f>ExBA!E80</f>
        <v>4.1900000000000004</v>
      </c>
      <c r="G29" s="178" t="s">
        <v>219</v>
      </c>
      <c r="H29" s="1"/>
      <c r="I29" s="20" t="s">
        <v>220</v>
      </c>
      <c r="J29" s="183">
        <f>D29</f>
        <v>100000</v>
      </c>
      <c r="K29" s="1" t="s">
        <v>216</v>
      </c>
      <c r="L29" s="184">
        <f>ROUND(F29*(1+SAO!$H$54),2)</f>
        <v>5.37</v>
      </c>
      <c r="M29" s="178" t="s">
        <v>219</v>
      </c>
      <c r="N29" s="185">
        <f t="shared" si="9"/>
        <v>1.1799999999999997</v>
      </c>
      <c r="O29" s="186">
        <f t="shared" si="10"/>
        <v>0.28162291169451065</v>
      </c>
      <c r="R29" s="189"/>
    </row>
    <row r="30" spans="2:18" x14ac:dyDescent="0.5">
      <c r="B30" s="48"/>
      <c r="C30" s="20"/>
      <c r="D30" s="183"/>
      <c r="E30" s="1"/>
      <c r="F30" s="188"/>
      <c r="G30" s="178"/>
      <c r="H30" s="1"/>
      <c r="I30" s="20"/>
      <c r="J30" s="183"/>
      <c r="K30" s="1"/>
      <c r="L30" s="188"/>
      <c r="M30" s="178"/>
      <c r="N30" s="185"/>
      <c r="O30" s="186"/>
      <c r="R30" s="189"/>
    </row>
    <row r="31" spans="2:18" x14ac:dyDescent="0.5">
      <c r="B31" s="48"/>
      <c r="C31" s="181" t="s">
        <v>224</v>
      </c>
      <c r="D31" s="1"/>
      <c r="E31" s="1"/>
      <c r="F31" s="1"/>
      <c r="G31" s="178"/>
      <c r="H31" s="1"/>
      <c r="I31" s="181" t="str">
        <f>C31</f>
        <v>3" Meters</v>
      </c>
      <c r="J31" s="1"/>
      <c r="K31" s="1"/>
      <c r="L31" s="1"/>
      <c r="M31" s="178"/>
      <c r="N31" s="48"/>
      <c r="O31" s="178"/>
      <c r="R31" s="189"/>
    </row>
    <row r="32" spans="2:18" x14ac:dyDescent="0.5">
      <c r="B32" s="48"/>
      <c r="C32" s="20" t="s">
        <v>215</v>
      </c>
      <c r="D32" s="183">
        <v>30000</v>
      </c>
      <c r="E32" s="1" t="s">
        <v>216</v>
      </c>
      <c r="F32" s="334">
        <v>216.1</v>
      </c>
      <c r="G32" s="178" t="s">
        <v>217</v>
      </c>
      <c r="H32" s="1"/>
      <c r="I32" s="20" t="s">
        <v>215</v>
      </c>
      <c r="J32" s="183">
        <f>D32</f>
        <v>30000</v>
      </c>
      <c r="K32" s="1" t="s">
        <v>216</v>
      </c>
      <c r="L32" s="184">
        <f>ROUND(F32*(1+SAO!$H$54),2)</f>
        <v>276.8</v>
      </c>
      <c r="M32" s="178" t="s">
        <v>217</v>
      </c>
      <c r="N32" s="185">
        <f t="shared" ref="N32:N34" si="12">L32-F32</f>
        <v>60.700000000000017</v>
      </c>
      <c r="O32" s="186">
        <f t="shared" ref="O32" si="13">N32/F32</f>
        <v>0.28088847755668683</v>
      </c>
      <c r="R32" s="189"/>
    </row>
    <row r="33" spans="2:21" x14ac:dyDescent="0.5">
      <c r="B33" s="48"/>
      <c r="C33" s="20" t="s">
        <v>218</v>
      </c>
      <c r="D33" s="183">
        <v>70000</v>
      </c>
      <c r="E33" s="1" t="s">
        <v>216</v>
      </c>
      <c r="F33" s="184">
        <f>ExBA!E79</f>
        <v>6.95</v>
      </c>
      <c r="G33" s="178" t="s">
        <v>219</v>
      </c>
      <c r="H33" s="1"/>
      <c r="I33" s="20" t="s">
        <v>218</v>
      </c>
      <c r="J33" s="183">
        <f t="shared" ref="J33" si="14">D33</f>
        <v>70000</v>
      </c>
      <c r="K33" s="1" t="s">
        <v>216</v>
      </c>
      <c r="L33" s="184">
        <f>ROUND(F33*(1+SAO!$H$54),2)</f>
        <v>8.9</v>
      </c>
      <c r="M33" s="178" t="s">
        <v>219</v>
      </c>
      <c r="N33" s="185">
        <f t="shared" si="12"/>
        <v>1.9500000000000002</v>
      </c>
      <c r="O33" s="186">
        <f>N33/F33</f>
        <v>0.28057553956834536</v>
      </c>
      <c r="R33" s="189"/>
    </row>
    <row r="34" spans="2:21" x14ac:dyDescent="0.5">
      <c r="B34" s="48"/>
      <c r="C34" s="20" t="s">
        <v>220</v>
      </c>
      <c r="D34" s="183">
        <v>100000</v>
      </c>
      <c r="E34" s="1" t="s">
        <v>216</v>
      </c>
      <c r="F34" s="188">
        <f>ExBA!E80</f>
        <v>4.1900000000000004</v>
      </c>
      <c r="G34" s="178" t="s">
        <v>219</v>
      </c>
      <c r="H34" s="1"/>
      <c r="I34" s="20" t="s">
        <v>220</v>
      </c>
      <c r="J34" s="183">
        <f>D34</f>
        <v>100000</v>
      </c>
      <c r="K34" s="1" t="s">
        <v>216</v>
      </c>
      <c r="L34" s="184">
        <f>ROUND(F34*(1+SAO!$H$54),2)</f>
        <v>5.37</v>
      </c>
      <c r="M34" s="178" t="s">
        <v>219</v>
      </c>
      <c r="N34" s="185">
        <f t="shared" si="12"/>
        <v>1.1799999999999997</v>
      </c>
      <c r="O34" s="186">
        <f>N34/F34</f>
        <v>0.28162291169451065</v>
      </c>
      <c r="R34" s="189"/>
    </row>
    <row r="35" spans="2:21" x14ac:dyDescent="0.5">
      <c r="B35" s="48"/>
      <c r="C35" s="20"/>
      <c r="D35" s="183"/>
      <c r="E35" s="1"/>
      <c r="F35" s="188"/>
      <c r="G35" s="178"/>
      <c r="H35" s="1"/>
      <c r="I35" s="20"/>
      <c r="J35" s="183"/>
      <c r="K35" s="1"/>
      <c r="L35" s="188"/>
      <c r="M35" s="178"/>
      <c r="N35" s="185"/>
      <c r="O35" s="186"/>
      <c r="R35" s="189"/>
    </row>
    <row r="36" spans="2:21" x14ac:dyDescent="0.5">
      <c r="B36" s="48"/>
      <c r="C36" s="181" t="s">
        <v>225</v>
      </c>
      <c r="D36" s="1"/>
      <c r="E36" s="1"/>
      <c r="F36" s="1"/>
      <c r="G36" s="178"/>
      <c r="H36" s="1"/>
      <c r="I36" s="181" t="str">
        <f>C36</f>
        <v>4" Meters</v>
      </c>
      <c r="J36" s="1"/>
      <c r="K36" s="1"/>
      <c r="L36" s="1"/>
      <c r="M36" s="178"/>
      <c r="N36" s="48"/>
      <c r="O36" s="178"/>
      <c r="R36" s="189"/>
    </row>
    <row r="37" spans="2:21" x14ac:dyDescent="0.5">
      <c r="B37" s="48"/>
      <c r="C37" s="20" t="s">
        <v>215</v>
      </c>
      <c r="D37" s="183">
        <f>ExBA!B87</f>
        <v>50000</v>
      </c>
      <c r="E37" s="1" t="s">
        <v>216</v>
      </c>
      <c r="F37" s="184">
        <f>ExBA!E94</f>
        <v>355.1</v>
      </c>
      <c r="G37" s="178" t="s">
        <v>217</v>
      </c>
      <c r="H37" s="1"/>
      <c r="I37" s="20" t="s">
        <v>215</v>
      </c>
      <c r="J37" s="183">
        <f>D37</f>
        <v>50000</v>
      </c>
      <c r="K37" s="1" t="s">
        <v>216</v>
      </c>
      <c r="L37" s="184">
        <f>ROUND(F37*(1+SAO!$H$54),2)</f>
        <v>454.85</v>
      </c>
      <c r="M37" s="178" t="s">
        <v>217</v>
      </c>
      <c r="N37" s="185">
        <f t="shared" ref="N37:N39" si="15">L37-F37</f>
        <v>99.75</v>
      </c>
      <c r="O37" s="186">
        <f t="shared" ref="O37:O39" si="16">N37/F37</f>
        <v>0.28090678682061387</v>
      </c>
      <c r="R37" s="189"/>
    </row>
    <row r="38" spans="2:21" x14ac:dyDescent="0.5">
      <c r="B38" s="48"/>
      <c r="C38" s="20" t="s">
        <v>218</v>
      </c>
      <c r="D38" s="183">
        <f>ExBA!B88</f>
        <v>50000</v>
      </c>
      <c r="E38" s="1" t="s">
        <v>216</v>
      </c>
      <c r="F38" s="184">
        <f>ExBA!E95</f>
        <v>6.95</v>
      </c>
      <c r="G38" s="178" t="s">
        <v>219</v>
      </c>
      <c r="H38" s="1"/>
      <c r="I38" s="20" t="s">
        <v>218</v>
      </c>
      <c r="J38" s="183">
        <f t="shared" ref="J38" si="17">D38</f>
        <v>50000</v>
      </c>
      <c r="K38" s="1" t="s">
        <v>216</v>
      </c>
      <c r="L38" s="184">
        <f>ROUND(F38*(1+SAO!$H$54),2)</f>
        <v>8.9</v>
      </c>
      <c r="M38" s="178" t="s">
        <v>219</v>
      </c>
      <c r="N38" s="185">
        <f t="shared" si="15"/>
        <v>1.9500000000000002</v>
      </c>
      <c r="O38" s="186">
        <f t="shared" si="16"/>
        <v>0.28057553956834536</v>
      </c>
      <c r="R38" s="189"/>
    </row>
    <row r="39" spans="2:21" x14ac:dyDescent="0.5">
      <c r="B39" s="48"/>
      <c r="C39" s="20" t="s">
        <v>220</v>
      </c>
      <c r="D39" s="183">
        <f>ExBA!B89</f>
        <v>100000</v>
      </c>
      <c r="E39" s="1" t="s">
        <v>216</v>
      </c>
      <c r="F39" s="188">
        <f>ExBA!E96</f>
        <v>4.1900000000000004</v>
      </c>
      <c r="G39" s="178" t="s">
        <v>219</v>
      </c>
      <c r="H39" s="1"/>
      <c r="I39" s="20" t="s">
        <v>220</v>
      </c>
      <c r="J39" s="183">
        <f>D39</f>
        <v>100000</v>
      </c>
      <c r="K39" s="1" t="s">
        <v>216</v>
      </c>
      <c r="L39" s="184">
        <f>ROUND(F39*(1+SAO!$H$54),2)</f>
        <v>5.37</v>
      </c>
      <c r="M39" s="178" t="s">
        <v>219</v>
      </c>
      <c r="N39" s="185">
        <f t="shared" si="15"/>
        <v>1.1799999999999997</v>
      </c>
      <c r="O39" s="186">
        <f t="shared" si="16"/>
        <v>0.28162291169451065</v>
      </c>
      <c r="R39" s="189"/>
    </row>
    <row r="40" spans="2:21" x14ac:dyDescent="0.5">
      <c r="B40" s="48"/>
      <c r="C40" s="20"/>
      <c r="D40" s="183"/>
      <c r="E40" s="1"/>
      <c r="F40" s="188"/>
      <c r="G40" s="178"/>
      <c r="H40" s="1"/>
      <c r="I40" s="20"/>
      <c r="J40" s="183"/>
      <c r="K40" s="1"/>
      <c r="L40" s="188"/>
      <c r="M40" s="178"/>
      <c r="N40" s="185"/>
      <c r="O40" s="186"/>
      <c r="R40" s="189"/>
    </row>
    <row r="41" spans="2:21" x14ac:dyDescent="0.5">
      <c r="B41" s="48"/>
      <c r="C41" s="181" t="s">
        <v>226</v>
      </c>
      <c r="D41" s="1"/>
      <c r="E41" s="1"/>
      <c r="F41" s="1"/>
      <c r="G41" s="178"/>
      <c r="H41" s="1"/>
      <c r="I41" s="181" t="str">
        <f>C41</f>
        <v>Wholesale</v>
      </c>
      <c r="J41" s="1"/>
      <c r="K41" s="1"/>
      <c r="L41" s="1"/>
      <c r="M41" s="178"/>
      <c r="N41" s="48"/>
      <c r="O41" s="178"/>
      <c r="R41" s="189"/>
    </row>
    <row r="42" spans="2:21" x14ac:dyDescent="0.5">
      <c r="B42" s="77"/>
      <c r="C42" s="195"/>
      <c r="D42" s="190"/>
      <c r="E42" s="170"/>
      <c r="F42" s="196">
        <v>3.7</v>
      </c>
      <c r="G42" s="177" t="s">
        <v>219</v>
      </c>
      <c r="H42" s="170"/>
      <c r="I42" s="195"/>
      <c r="J42" s="190"/>
      <c r="K42" s="170"/>
      <c r="L42" s="196">
        <f>Whol!G75</f>
        <v>4.4000000000000004</v>
      </c>
      <c r="M42" s="177" t="s">
        <v>219</v>
      </c>
      <c r="N42" s="197">
        <f t="shared" ref="N42" si="18">L42-F42</f>
        <v>0.70000000000000018</v>
      </c>
      <c r="O42" s="198">
        <f t="shared" ref="O42" si="19">N42/F42</f>
        <v>0.18918918918918923</v>
      </c>
      <c r="R42" s="189"/>
    </row>
    <row r="43" spans="2:21" x14ac:dyDescent="0.5">
      <c r="C43" s="191"/>
    </row>
    <row r="44" spans="2:21" x14ac:dyDescent="0.5">
      <c r="C44" s="191"/>
      <c r="Q44" s="1"/>
      <c r="R44" s="1"/>
      <c r="S44" s="182"/>
      <c r="T44" s="182"/>
      <c r="U44" s="182"/>
    </row>
    <row r="45" spans="2:21" x14ac:dyDescent="0.5">
      <c r="C45" s="191"/>
      <c r="Q45" s="192"/>
      <c r="R45" s="1"/>
      <c r="S45" s="113"/>
      <c r="T45" s="113"/>
      <c r="U45" s="193"/>
    </row>
    <row r="46" spans="2:21" x14ac:dyDescent="0.5">
      <c r="C46" s="191"/>
      <c r="Q46" s="192"/>
      <c r="R46" s="1"/>
      <c r="S46" s="194"/>
      <c r="T46" s="194"/>
      <c r="U46" s="193"/>
    </row>
    <row r="47" spans="2:21" x14ac:dyDescent="0.5">
      <c r="C47" s="191"/>
      <c r="Q47" s="192"/>
      <c r="R47" s="1"/>
      <c r="S47" s="194"/>
      <c r="T47" s="194"/>
      <c r="U47" s="193"/>
    </row>
    <row r="48" spans="2:21" x14ac:dyDescent="0.5">
      <c r="P48" s="191"/>
      <c r="Q48" s="192"/>
      <c r="R48" s="1"/>
      <c r="S48" s="194"/>
      <c r="T48" s="194"/>
      <c r="U48" s="193"/>
    </row>
  </sheetData>
  <mergeCells count="6">
    <mergeCell ref="C4:O4"/>
    <mergeCell ref="C5:O5"/>
    <mergeCell ref="C8:G8"/>
    <mergeCell ref="I8:M8"/>
    <mergeCell ref="B2:O2"/>
    <mergeCell ref="B3:O3"/>
  </mergeCells>
  <printOptions horizontalCentered="1"/>
  <pageMargins left="0.55000000000000004" right="0.55000000000000004" top="1.6" bottom="0.5" header="0" footer="0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4ADC-D427-494B-AB52-A14B2B13F3D4}">
  <dimension ref="B1:K17"/>
  <sheetViews>
    <sheetView showGridLines="0" workbookViewId="0">
      <selection activeCell="J16" sqref="A1:J16"/>
    </sheetView>
  </sheetViews>
  <sheetFormatPr defaultColWidth="8.88671875" defaultRowHeight="14.25" x14ac:dyDescent="0.45"/>
  <cols>
    <col min="1" max="1" width="2.609375" style="17" customWidth="1"/>
    <col min="2" max="2" width="1.77734375" style="17" customWidth="1"/>
    <col min="3" max="3" width="9.77734375" style="17" customWidth="1"/>
    <col min="4" max="4" width="11.109375" style="17" customWidth="1"/>
    <col min="5" max="8" width="9.77734375" style="17" customWidth="1"/>
    <col min="9" max="9" width="1.77734375" style="17" customWidth="1"/>
    <col min="10" max="10" width="2.609375" style="17" customWidth="1"/>
    <col min="11" max="16384" width="8.88671875" style="17"/>
  </cols>
  <sheetData>
    <row r="1" spans="2:11" x14ac:dyDescent="0.45">
      <c r="B1" s="22"/>
      <c r="C1" s="22"/>
      <c r="D1" s="22"/>
      <c r="E1" s="22"/>
      <c r="F1" s="22"/>
      <c r="G1" s="22"/>
      <c r="H1" s="22"/>
      <c r="I1" s="22"/>
    </row>
    <row r="2" spans="2:11" ht="18" x14ac:dyDescent="0.55000000000000004">
      <c r="B2" s="306"/>
      <c r="C2" s="404"/>
      <c r="D2" s="404"/>
      <c r="E2" s="404"/>
      <c r="F2" s="404"/>
      <c r="G2" s="404"/>
      <c r="H2" s="404"/>
      <c r="I2" s="405"/>
    </row>
    <row r="3" spans="2:11" ht="18" x14ac:dyDescent="0.55000000000000004">
      <c r="B3" s="307"/>
      <c r="C3" s="406" t="s">
        <v>159</v>
      </c>
      <c r="D3" s="406"/>
      <c r="E3" s="406"/>
      <c r="F3" s="406"/>
      <c r="G3" s="406"/>
      <c r="H3" s="406"/>
      <c r="I3" s="407"/>
    </row>
    <row r="4" spans="2:11" ht="15.75" x14ac:dyDescent="0.45">
      <c r="B4" s="307"/>
      <c r="C4" s="392" t="s">
        <v>162</v>
      </c>
      <c r="D4" s="392"/>
      <c r="E4" s="392"/>
      <c r="F4" s="392"/>
      <c r="G4" s="392"/>
      <c r="H4" s="392"/>
      <c r="I4" s="408"/>
    </row>
    <row r="5" spans="2:11" x14ac:dyDescent="0.45">
      <c r="B5" s="308"/>
      <c r="C5" s="21"/>
      <c r="D5" s="21"/>
      <c r="E5" s="21"/>
      <c r="F5" s="21"/>
      <c r="G5" s="21"/>
      <c r="H5" s="21"/>
      <c r="I5" s="309"/>
    </row>
    <row r="6" spans="2:11" ht="18" x14ac:dyDescent="0.45">
      <c r="B6" s="307"/>
      <c r="C6" s="22"/>
      <c r="D6" s="310"/>
      <c r="E6" s="31"/>
      <c r="F6" s="32"/>
      <c r="G6" s="32"/>
      <c r="H6" s="32"/>
      <c r="I6" s="33"/>
      <c r="J6" s="30"/>
      <c r="K6" s="30"/>
    </row>
    <row r="7" spans="2:11" ht="16.5" x14ac:dyDescent="0.75">
      <c r="B7" s="307"/>
      <c r="C7" s="311" t="s">
        <v>14</v>
      </c>
      <c r="D7" s="312" t="s">
        <v>67</v>
      </c>
      <c r="E7" s="313" t="s">
        <v>24</v>
      </c>
      <c r="F7" s="311" t="s">
        <v>11</v>
      </c>
      <c r="G7" s="311"/>
      <c r="H7" s="311"/>
      <c r="I7" s="312"/>
    </row>
    <row r="8" spans="2:11" ht="16.5" x14ac:dyDescent="0.75">
      <c r="B8" s="307"/>
      <c r="C8" s="311" t="s">
        <v>73</v>
      </c>
      <c r="D8" s="312" t="s">
        <v>70</v>
      </c>
      <c r="E8" s="313" t="s">
        <v>68</v>
      </c>
      <c r="F8" s="311" t="s">
        <v>68</v>
      </c>
      <c r="G8" s="311" t="s">
        <v>25</v>
      </c>
      <c r="H8" s="311" t="s">
        <v>69</v>
      </c>
      <c r="I8" s="312"/>
    </row>
    <row r="9" spans="2:11" x14ac:dyDescent="0.45">
      <c r="B9" s="307"/>
      <c r="C9" s="22">
        <v>4000</v>
      </c>
      <c r="D9" s="314" t="s">
        <v>71</v>
      </c>
      <c r="E9" s="315">
        <v>33.4</v>
      </c>
      <c r="F9" s="315">
        <f>Bills!F10</f>
        <v>42.78</v>
      </c>
      <c r="G9" s="316">
        <f>F9-E9</f>
        <v>9.3800000000000026</v>
      </c>
      <c r="H9" s="317">
        <f>G9/E9</f>
        <v>0.28083832335329351</v>
      </c>
      <c r="I9" s="318"/>
    </row>
    <row r="10" spans="2:11" x14ac:dyDescent="0.45">
      <c r="B10" s="307"/>
      <c r="C10" s="22">
        <v>10000</v>
      </c>
      <c r="D10" s="314" t="s">
        <v>26</v>
      </c>
      <c r="E10" s="315">
        <v>77.099999999999994</v>
      </c>
      <c r="F10" s="315">
        <f>Rates!L17</f>
        <v>98.76</v>
      </c>
      <c r="G10" s="319">
        <f t="shared" ref="G10:G14" si="0">F10-E10</f>
        <v>21.660000000000011</v>
      </c>
      <c r="H10" s="317">
        <f t="shared" ref="H10:H14" si="1">G10/E10</f>
        <v>0.28093385214007799</v>
      </c>
      <c r="I10" s="318"/>
    </row>
    <row r="11" spans="2:11" x14ac:dyDescent="0.45">
      <c r="B11" s="307"/>
      <c r="C11" s="153">
        <v>15000</v>
      </c>
      <c r="D11" s="320" t="s">
        <v>338</v>
      </c>
      <c r="E11" s="321">
        <v>111.85</v>
      </c>
      <c r="F11" s="321">
        <f>Rates!L22</f>
        <v>143.27000000000001</v>
      </c>
      <c r="G11" s="322">
        <f t="shared" si="0"/>
        <v>31.420000000000016</v>
      </c>
      <c r="H11" s="323">
        <f t="shared" si="1"/>
        <v>0.28091193562807348</v>
      </c>
      <c r="I11" s="324"/>
    </row>
    <row r="12" spans="2:11" x14ac:dyDescent="0.45">
      <c r="B12" s="307"/>
      <c r="C12" s="22">
        <v>20000</v>
      </c>
      <c r="D12" s="314" t="s">
        <v>27</v>
      </c>
      <c r="E12" s="315">
        <v>146.6</v>
      </c>
      <c r="F12" s="315">
        <f>Rates!L27</f>
        <v>187.78</v>
      </c>
      <c r="G12" s="319">
        <f t="shared" si="0"/>
        <v>41.180000000000007</v>
      </c>
      <c r="H12" s="317">
        <f t="shared" si="1"/>
        <v>0.2809004092769441</v>
      </c>
      <c r="I12" s="318"/>
    </row>
    <row r="13" spans="2:11" x14ac:dyDescent="0.45">
      <c r="B13" s="307"/>
      <c r="C13" s="22">
        <v>30000</v>
      </c>
      <c r="D13" s="314" t="s">
        <v>339</v>
      </c>
      <c r="E13" s="315">
        <v>213.1</v>
      </c>
      <c r="F13" s="315">
        <f>Rates!L32</f>
        <v>276.8</v>
      </c>
      <c r="G13" s="319">
        <f t="shared" si="0"/>
        <v>63.700000000000017</v>
      </c>
      <c r="H13" s="317">
        <f t="shared" si="1"/>
        <v>0.29892069450962</v>
      </c>
      <c r="I13" s="318"/>
    </row>
    <row r="14" spans="2:11" x14ac:dyDescent="0.45">
      <c r="B14" s="307"/>
      <c r="C14" s="22">
        <v>50000</v>
      </c>
      <c r="D14" s="314" t="s">
        <v>340</v>
      </c>
      <c r="E14" s="315">
        <v>355.1</v>
      </c>
      <c r="F14" s="315">
        <f>Rates!L37</f>
        <v>454.85</v>
      </c>
      <c r="G14" s="319">
        <f t="shared" si="0"/>
        <v>99.75</v>
      </c>
      <c r="H14" s="317">
        <f t="shared" si="1"/>
        <v>0.28090678682061387</v>
      </c>
      <c r="I14" s="318"/>
    </row>
    <row r="15" spans="2:11" ht="15.4" x14ac:dyDescent="0.45">
      <c r="B15" s="308"/>
      <c r="C15" s="21"/>
      <c r="D15" s="4"/>
      <c r="E15" s="325"/>
      <c r="F15" s="300"/>
      <c r="G15" s="300"/>
      <c r="H15" s="21"/>
      <c r="I15" s="309"/>
    </row>
    <row r="17" spans="4:4" x14ac:dyDescent="0.45">
      <c r="D17" s="47"/>
    </row>
  </sheetData>
  <mergeCells count="3">
    <mergeCell ref="C2:I2"/>
    <mergeCell ref="C3:I3"/>
    <mergeCell ref="C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36"/>
  <sheetViews>
    <sheetView showGridLines="0" topLeftCell="A15" workbookViewId="0">
      <selection activeCell="O36" sqref="C31:O36"/>
    </sheetView>
  </sheetViews>
  <sheetFormatPr defaultColWidth="8.88671875" defaultRowHeight="14.25" x14ac:dyDescent="0.45"/>
  <cols>
    <col min="1" max="1" width="2.5546875" style="7" customWidth="1"/>
    <col min="2" max="2" width="1.88671875" style="7" customWidth="1"/>
    <col min="3" max="8" width="9.88671875" style="7" customWidth="1"/>
    <col min="9" max="9" width="1.88671875" style="7" customWidth="1"/>
    <col min="10" max="10" width="2.5546875" style="7" customWidth="1"/>
    <col min="11" max="11" width="8.88671875" style="7"/>
    <col min="12" max="13" width="10.609375" style="7" customWidth="1"/>
    <col min="14" max="16384" width="8.88671875" style="7"/>
  </cols>
  <sheetData>
    <row r="1" spans="2:9" x14ac:dyDescent="0.45">
      <c r="B1" s="8"/>
      <c r="C1" s="9"/>
      <c r="D1" s="9"/>
      <c r="E1" s="9"/>
      <c r="F1" s="9"/>
      <c r="G1" s="9"/>
      <c r="H1" s="9"/>
      <c r="I1" s="10"/>
    </row>
    <row r="2" spans="2:9" ht="18" x14ac:dyDescent="0.55000000000000004">
      <c r="B2" s="11"/>
      <c r="C2" s="409" t="s">
        <v>207</v>
      </c>
      <c r="D2" s="409"/>
      <c r="E2" s="409"/>
      <c r="F2" s="409"/>
      <c r="G2" s="409"/>
      <c r="H2" s="409"/>
      <c r="I2" s="410"/>
    </row>
    <row r="3" spans="2:9" ht="18" x14ac:dyDescent="0.55000000000000004">
      <c r="B3" s="11"/>
      <c r="C3" s="406" t="s">
        <v>159</v>
      </c>
      <c r="D3" s="406"/>
      <c r="E3" s="406"/>
      <c r="F3" s="406"/>
      <c r="G3" s="406"/>
      <c r="H3" s="406"/>
      <c r="I3" s="407"/>
    </row>
    <row r="4" spans="2:9" ht="15.75" x14ac:dyDescent="0.45">
      <c r="B4" s="11"/>
      <c r="C4" s="392" t="s">
        <v>208</v>
      </c>
      <c r="D4" s="392"/>
      <c r="E4" s="392"/>
      <c r="F4" s="392"/>
      <c r="G4" s="392"/>
      <c r="H4" s="392"/>
      <c r="I4" s="408"/>
    </row>
    <row r="5" spans="2:9" x14ac:dyDescent="0.45">
      <c r="B5" s="12"/>
      <c r="C5" s="5"/>
      <c r="D5" s="5"/>
      <c r="E5" s="5"/>
      <c r="F5" s="5"/>
      <c r="G5" s="5"/>
      <c r="H5" s="5"/>
      <c r="I5" s="13"/>
    </row>
    <row r="6" spans="2:9" ht="16.5" x14ac:dyDescent="0.75">
      <c r="B6" s="8"/>
      <c r="C6" s="200" t="s">
        <v>14</v>
      </c>
      <c r="D6" s="201" t="s">
        <v>67</v>
      </c>
      <c r="E6" s="202" t="s">
        <v>24</v>
      </c>
      <c r="F6" s="200" t="s">
        <v>11</v>
      </c>
      <c r="G6" s="200"/>
      <c r="H6" s="200"/>
      <c r="I6" s="201"/>
    </row>
    <row r="7" spans="2:9" ht="16.5" x14ac:dyDescent="0.75">
      <c r="B7" s="11"/>
      <c r="C7" s="15" t="s">
        <v>73</v>
      </c>
      <c r="D7" s="29" t="s">
        <v>70</v>
      </c>
      <c r="E7" s="34" t="s">
        <v>68</v>
      </c>
      <c r="F7" s="15" t="s">
        <v>68</v>
      </c>
      <c r="G7" s="15" t="s">
        <v>25</v>
      </c>
      <c r="H7" s="15" t="s">
        <v>69</v>
      </c>
      <c r="I7" s="29"/>
    </row>
    <row r="8" spans="2:9" x14ac:dyDescent="0.45">
      <c r="B8" s="11"/>
      <c r="C8" s="16">
        <v>0</v>
      </c>
      <c r="D8" s="35" t="s">
        <v>71</v>
      </c>
      <c r="E8" s="26">
        <f>Rates!F11</f>
        <v>17.5</v>
      </c>
      <c r="F8" s="16">
        <f>Rates!L11</f>
        <v>22.42</v>
      </c>
      <c r="G8" s="46">
        <f>F8-E8</f>
        <v>4.9200000000000017</v>
      </c>
      <c r="H8" s="68">
        <f>G8/E8</f>
        <v>0.28114285714285725</v>
      </c>
      <c r="I8" s="39"/>
    </row>
    <row r="9" spans="2:9" x14ac:dyDescent="0.45">
      <c r="B9" s="11"/>
      <c r="C9" s="6">
        <v>2000</v>
      </c>
      <c r="D9" s="35" t="s">
        <v>71</v>
      </c>
      <c r="E9" s="26">
        <f>Rates!F11</f>
        <v>17.5</v>
      </c>
      <c r="F9" s="26">
        <f>Rates!L11</f>
        <v>22.42</v>
      </c>
      <c r="G9" s="16">
        <f t="shared" ref="G9:G16" si="0">F9-E9</f>
        <v>4.9200000000000017</v>
      </c>
      <c r="H9" s="68">
        <f t="shared" ref="H9:H23" si="1">G9/E9</f>
        <v>0.28114285714285725</v>
      </c>
      <c r="I9" s="39"/>
    </row>
    <row r="10" spans="2:9" x14ac:dyDescent="0.45">
      <c r="B10" s="11"/>
      <c r="C10" s="40">
        <v>4000</v>
      </c>
      <c r="D10" s="41" t="s">
        <v>71</v>
      </c>
      <c r="E10" s="152">
        <f>E9+(Rates!F12*2)</f>
        <v>33.4</v>
      </c>
      <c r="F10" s="152">
        <f>F9+(Rates!L12*2)</f>
        <v>42.78</v>
      </c>
      <c r="G10" s="42">
        <f t="shared" si="0"/>
        <v>9.3800000000000026</v>
      </c>
      <c r="H10" s="69">
        <f t="shared" si="1"/>
        <v>0.28083832335329351</v>
      </c>
      <c r="I10" s="43"/>
    </row>
    <row r="11" spans="2:9" x14ac:dyDescent="0.45">
      <c r="B11" s="11"/>
      <c r="C11" s="6">
        <v>6000</v>
      </c>
      <c r="D11" s="35" t="s">
        <v>71</v>
      </c>
      <c r="E11" s="26">
        <f>E9+(Rates!F12*4)</f>
        <v>49.3</v>
      </c>
      <c r="F11" s="26">
        <f>F9+(Rates!L12*4)</f>
        <v>63.14</v>
      </c>
      <c r="G11" s="16">
        <f t="shared" si="0"/>
        <v>13.840000000000003</v>
      </c>
      <c r="H11" s="68">
        <f t="shared" si="1"/>
        <v>0.28073022312373236</v>
      </c>
      <c r="I11" s="39"/>
    </row>
    <row r="12" spans="2:9" x14ac:dyDescent="0.45">
      <c r="B12" s="11"/>
      <c r="C12" s="6">
        <v>8000</v>
      </c>
      <c r="D12" s="35" t="s">
        <v>71</v>
      </c>
      <c r="E12" s="26">
        <f>E11+(Rates!F13*2)</f>
        <v>63.199999999999996</v>
      </c>
      <c r="F12" s="26">
        <f>F11+(Rates!L13*2)</f>
        <v>80.94</v>
      </c>
      <c r="G12" s="16">
        <f t="shared" si="0"/>
        <v>17.740000000000002</v>
      </c>
      <c r="H12" s="68">
        <f t="shared" si="1"/>
        <v>0.28069620253164562</v>
      </c>
      <c r="I12" s="39"/>
    </row>
    <row r="13" spans="2:9" x14ac:dyDescent="0.45">
      <c r="B13" s="11"/>
      <c r="C13" s="6">
        <v>10000</v>
      </c>
      <c r="D13" s="35" t="s">
        <v>71</v>
      </c>
      <c r="E13" s="26">
        <f>E11+(Rates!F13*4)</f>
        <v>77.099999999999994</v>
      </c>
      <c r="F13" s="26">
        <f>F11+(Rates!L13*4)</f>
        <v>98.740000000000009</v>
      </c>
      <c r="G13" s="16">
        <f t="shared" si="0"/>
        <v>21.640000000000015</v>
      </c>
      <c r="H13" s="68">
        <f t="shared" si="1"/>
        <v>0.28067444876783421</v>
      </c>
      <c r="I13" s="39"/>
    </row>
    <row r="14" spans="2:9" x14ac:dyDescent="0.45">
      <c r="B14" s="11"/>
      <c r="C14" s="6">
        <v>15000</v>
      </c>
      <c r="D14" s="35" t="s">
        <v>71</v>
      </c>
      <c r="E14" s="26">
        <f>E11+(Rates!F13*9)</f>
        <v>111.85</v>
      </c>
      <c r="F14" s="26">
        <f>F11+(Rates!L13*9)</f>
        <v>143.24</v>
      </c>
      <c r="G14" s="16">
        <f t="shared" si="0"/>
        <v>31.390000000000015</v>
      </c>
      <c r="H14" s="68">
        <f t="shared" si="1"/>
        <v>0.28064371926687542</v>
      </c>
      <c r="I14" s="39"/>
    </row>
    <row r="15" spans="2:9" x14ac:dyDescent="0.45">
      <c r="B15" s="11"/>
      <c r="C15" s="6">
        <v>20000</v>
      </c>
      <c r="D15" s="35" t="s">
        <v>71</v>
      </c>
      <c r="E15" s="26">
        <f>E11+(Rates!F13*14)</f>
        <v>146.6</v>
      </c>
      <c r="F15" s="26">
        <f>F11+(Rates!L13*14)</f>
        <v>187.74</v>
      </c>
      <c r="G15" s="16">
        <f t="shared" si="0"/>
        <v>41.140000000000015</v>
      </c>
      <c r="H15" s="68">
        <f t="shared" si="1"/>
        <v>0.2806275579809005</v>
      </c>
      <c r="I15" s="39"/>
    </row>
    <row r="16" spans="2:9" x14ac:dyDescent="0.45">
      <c r="B16" s="11"/>
      <c r="C16" s="6">
        <v>25000</v>
      </c>
      <c r="D16" s="36" t="s">
        <v>26</v>
      </c>
      <c r="E16" s="26">
        <f>Rates!F17+(Rates!F18*15)</f>
        <v>181.35</v>
      </c>
      <c r="F16" s="26">
        <f>Rates!L17+(Rates!L18*15)</f>
        <v>232.26</v>
      </c>
      <c r="G16" s="16">
        <f t="shared" si="0"/>
        <v>50.91</v>
      </c>
      <c r="H16" s="68">
        <f t="shared" si="1"/>
        <v>0.28072787427626134</v>
      </c>
      <c r="I16" s="39"/>
    </row>
    <row r="17" spans="2:15" x14ac:dyDescent="0.45">
      <c r="B17" s="11"/>
      <c r="C17" s="6">
        <v>30000</v>
      </c>
      <c r="D17" s="36" t="s">
        <v>26</v>
      </c>
      <c r="E17" s="26">
        <f>Rates!F17+(Rates!F18*20)</f>
        <v>216.1</v>
      </c>
      <c r="F17" s="26">
        <f>Rates!L17+(Rates!L18*20)</f>
        <v>276.76</v>
      </c>
      <c r="G17" s="16">
        <f t="shared" ref="G17:G23" si="2">F17-E17</f>
        <v>60.66</v>
      </c>
      <c r="H17" s="68">
        <f t="shared" si="1"/>
        <v>0.28070337806571033</v>
      </c>
      <c r="I17" s="39"/>
      <c r="O17" s="6"/>
    </row>
    <row r="18" spans="2:15" x14ac:dyDescent="0.45">
      <c r="B18" s="11"/>
      <c r="C18" s="6">
        <v>40000</v>
      </c>
      <c r="D18" s="36" t="s">
        <v>26</v>
      </c>
      <c r="E18" s="26">
        <f>Rates!F17+(Rates!F18*30)</f>
        <v>285.60000000000002</v>
      </c>
      <c r="F18" s="26">
        <f>Rates!L17+(Rates!L18*30)</f>
        <v>365.76</v>
      </c>
      <c r="G18" s="16">
        <f t="shared" si="2"/>
        <v>80.159999999999968</v>
      </c>
      <c r="H18" s="68">
        <f t="shared" si="1"/>
        <v>0.28067226890756292</v>
      </c>
      <c r="I18" s="39"/>
    </row>
    <row r="19" spans="2:15" x14ac:dyDescent="0.45">
      <c r="B19" s="11"/>
      <c r="C19" s="6">
        <v>50000</v>
      </c>
      <c r="D19" s="36" t="s">
        <v>26</v>
      </c>
      <c r="E19" s="26">
        <f>Rates!F17+(Rates!F18*40)</f>
        <v>355.1</v>
      </c>
      <c r="F19" s="26">
        <f>Rates!L17+(Rates!L18*40)</f>
        <v>454.76</v>
      </c>
      <c r="G19" s="16">
        <f t="shared" si="2"/>
        <v>99.659999999999968</v>
      </c>
      <c r="H19" s="68">
        <f t="shared" si="1"/>
        <v>0.28065333708814405</v>
      </c>
      <c r="I19" s="39"/>
    </row>
    <row r="20" spans="2:15" x14ac:dyDescent="0.45">
      <c r="B20" s="11"/>
      <c r="C20" s="6">
        <v>75000</v>
      </c>
      <c r="D20" s="36" t="s">
        <v>27</v>
      </c>
      <c r="E20" s="330">
        <f>Rates!F27+(Rates!F28*55)</f>
        <v>528.85</v>
      </c>
      <c r="F20" s="330">
        <f>Rates!L22+(Rates!L23*55)</f>
        <v>632.77</v>
      </c>
      <c r="G20" s="331">
        <f t="shared" si="2"/>
        <v>103.91999999999996</v>
      </c>
      <c r="H20" s="332">
        <f t="shared" si="1"/>
        <v>0.19650184362295539</v>
      </c>
      <c r="I20" s="39"/>
    </row>
    <row r="21" spans="2:15" x14ac:dyDescent="0.45">
      <c r="B21" s="11"/>
      <c r="C21" s="6">
        <v>100000</v>
      </c>
      <c r="D21" s="36" t="s">
        <v>27</v>
      </c>
      <c r="E21" s="26">
        <f>Rates!F27+(Rates!F28*80)</f>
        <v>702.6</v>
      </c>
      <c r="F21" s="26">
        <f>Rates!L27+(Rates!L28*80)</f>
        <v>899.78</v>
      </c>
      <c r="G21" s="16">
        <f t="shared" si="2"/>
        <v>197.17999999999995</v>
      </c>
      <c r="H21" s="68">
        <f t="shared" si="1"/>
        <v>0.28064332479362358</v>
      </c>
      <c r="I21" s="39"/>
    </row>
    <row r="22" spans="2:15" x14ac:dyDescent="0.45">
      <c r="B22" s="11"/>
      <c r="C22" s="6">
        <v>200000</v>
      </c>
      <c r="D22" s="36" t="s">
        <v>27</v>
      </c>
      <c r="E22" s="26">
        <f>Rates!F27+(Rates!F28*80)+(Rates!F29*100)</f>
        <v>1121.6000000000001</v>
      </c>
      <c r="F22" s="26">
        <f>Rates!L27+(Rates!L28*80)+(Rates!L29*100)</f>
        <v>1436.78</v>
      </c>
      <c r="G22" s="16">
        <f t="shared" si="2"/>
        <v>315.17999999999984</v>
      </c>
      <c r="H22" s="68">
        <f t="shared" si="1"/>
        <v>0.2810092724679028</v>
      </c>
      <c r="I22" s="39"/>
    </row>
    <row r="23" spans="2:15" x14ac:dyDescent="0.45">
      <c r="B23" s="11"/>
      <c r="C23" s="6">
        <v>500000</v>
      </c>
      <c r="D23" s="36" t="s">
        <v>27</v>
      </c>
      <c r="E23" s="26">
        <f>Rates!F27+(Rates!F28*80)+(Rates!F29*400)</f>
        <v>2378.6000000000004</v>
      </c>
      <c r="F23" s="26">
        <f>Rates!L27+(Rates!L28*80)+(Rates!L29*400)</f>
        <v>3047.7799999999997</v>
      </c>
      <c r="G23" s="16">
        <f t="shared" si="2"/>
        <v>669.17999999999938</v>
      </c>
      <c r="H23" s="68">
        <f t="shared" si="1"/>
        <v>0.28133355755486389</v>
      </c>
      <c r="I23" s="39"/>
    </row>
    <row r="24" spans="2:15" ht="6" customHeight="1" x14ac:dyDescent="0.45">
      <c r="B24" s="12"/>
      <c r="C24" s="5"/>
      <c r="D24" s="4"/>
      <c r="E24" s="38"/>
      <c r="F24" s="37"/>
      <c r="G24" s="37"/>
      <c r="H24" s="5"/>
      <c r="I24" s="13"/>
    </row>
    <row r="26" spans="2:15" x14ac:dyDescent="0.45">
      <c r="D26" s="47" t="s">
        <v>74</v>
      </c>
    </row>
    <row r="31" spans="2:15" ht="28.5" x14ac:dyDescent="0.45">
      <c r="C31" s="7" t="s">
        <v>226</v>
      </c>
      <c r="F31" s="385" t="s">
        <v>365</v>
      </c>
      <c r="G31" s="385" t="s">
        <v>370</v>
      </c>
      <c r="H31" s="385" t="s">
        <v>366</v>
      </c>
      <c r="K31" s="385" t="s">
        <v>367</v>
      </c>
      <c r="L31" s="385" t="s">
        <v>368</v>
      </c>
      <c r="M31" s="385" t="s">
        <v>369</v>
      </c>
      <c r="N31" s="386" t="s">
        <v>336</v>
      </c>
      <c r="O31" s="386" t="s">
        <v>245</v>
      </c>
    </row>
    <row r="32" spans="2:15" x14ac:dyDescent="0.45">
      <c r="C32" s="7" t="s">
        <v>360</v>
      </c>
      <c r="F32" s="7">
        <v>29343</v>
      </c>
      <c r="G32" s="7">
        <f>ROUND(F32/12,0)</f>
        <v>2445</v>
      </c>
      <c r="H32" s="387">
        <f>Rates!$F$42</f>
        <v>3.7</v>
      </c>
      <c r="K32" s="387">
        <f>Rates!$L$42</f>
        <v>4.4000000000000004</v>
      </c>
      <c r="L32" s="387">
        <f>G32*H32</f>
        <v>9046.5</v>
      </c>
      <c r="M32" s="387">
        <f>G32*K32</f>
        <v>10758</v>
      </c>
      <c r="N32" s="387">
        <f>M32-L32</f>
        <v>1711.5</v>
      </c>
      <c r="O32" s="388">
        <f>N32/L32</f>
        <v>0.1891891891891892</v>
      </c>
    </row>
    <row r="33" spans="3:15" x14ac:dyDescent="0.45">
      <c r="C33" s="7" t="s">
        <v>361</v>
      </c>
      <c r="F33" s="7">
        <v>32542</v>
      </c>
      <c r="G33" s="7">
        <f t="shared" ref="G33:G36" si="3">ROUND(F33/12,0)</f>
        <v>2712</v>
      </c>
      <c r="H33" s="387">
        <f>Rates!$F$42</f>
        <v>3.7</v>
      </c>
      <c r="K33" s="387">
        <f>Rates!$L$42</f>
        <v>4.4000000000000004</v>
      </c>
      <c r="L33" s="387">
        <f t="shared" ref="L33:L36" si="4">G33*H33</f>
        <v>10034.4</v>
      </c>
      <c r="M33" s="387">
        <f t="shared" ref="M33:M36" si="5">G33*K33</f>
        <v>11932.800000000001</v>
      </c>
      <c r="N33" s="387">
        <f t="shared" ref="N33:N36" si="6">M33-L33</f>
        <v>1898.4000000000015</v>
      </c>
      <c r="O33" s="388">
        <f t="shared" ref="O33:O36" si="7">N33/L33</f>
        <v>0.18918918918918934</v>
      </c>
    </row>
    <row r="34" spans="3:15" x14ac:dyDescent="0.45">
      <c r="C34" s="7" t="s">
        <v>362</v>
      </c>
      <c r="F34" s="7">
        <v>12893</v>
      </c>
      <c r="G34" s="7">
        <f t="shared" si="3"/>
        <v>1074</v>
      </c>
      <c r="H34" s="387">
        <f>Rates!$F$42</f>
        <v>3.7</v>
      </c>
      <c r="K34" s="387">
        <f>Rates!$L$42</f>
        <v>4.4000000000000004</v>
      </c>
      <c r="L34" s="387">
        <f t="shared" si="4"/>
        <v>3973.8</v>
      </c>
      <c r="M34" s="387">
        <f t="shared" si="5"/>
        <v>4725.6000000000004</v>
      </c>
      <c r="N34" s="387">
        <f t="shared" si="6"/>
        <v>751.80000000000018</v>
      </c>
      <c r="O34" s="388">
        <f t="shared" si="7"/>
        <v>0.18918918918918923</v>
      </c>
    </row>
    <row r="35" spans="3:15" x14ac:dyDescent="0.45">
      <c r="C35" s="7" t="s">
        <v>363</v>
      </c>
      <c r="F35" s="7">
        <v>605</v>
      </c>
      <c r="G35" s="7">
        <f t="shared" si="3"/>
        <v>50</v>
      </c>
      <c r="H35" s="387">
        <f>Rates!$F$42</f>
        <v>3.7</v>
      </c>
      <c r="K35" s="387">
        <f>Rates!$L$42</f>
        <v>4.4000000000000004</v>
      </c>
      <c r="L35" s="387">
        <f t="shared" si="4"/>
        <v>185</v>
      </c>
      <c r="M35" s="387">
        <f t="shared" si="5"/>
        <v>220.00000000000003</v>
      </c>
      <c r="N35" s="387">
        <f t="shared" si="6"/>
        <v>35.000000000000028</v>
      </c>
      <c r="O35" s="388">
        <f t="shared" si="7"/>
        <v>0.18918918918918934</v>
      </c>
    </row>
    <row r="36" spans="3:15" x14ac:dyDescent="0.45">
      <c r="C36" s="7" t="s">
        <v>364</v>
      </c>
      <c r="F36" s="7">
        <v>81079</v>
      </c>
      <c r="G36" s="7">
        <f t="shared" si="3"/>
        <v>6757</v>
      </c>
      <c r="H36" s="387">
        <f>Rates!$F$42</f>
        <v>3.7</v>
      </c>
      <c r="K36" s="387">
        <f>Rates!$L$42</f>
        <v>4.4000000000000004</v>
      </c>
      <c r="L36" s="387">
        <f t="shared" si="4"/>
        <v>25000.9</v>
      </c>
      <c r="M36" s="387">
        <f t="shared" si="5"/>
        <v>29730.800000000003</v>
      </c>
      <c r="N36" s="387">
        <f t="shared" si="6"/>
        <v>4729.9000000000015</v>
      </c>
      <c r="O36" s="388">
        <f t="shared" si="7"/>
        <v>0.18918918918918923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scale="9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99"/>
  <sheetViews>
    <sheetView showGridLines="0" workbookViewId="0">
      <selection sqref="A1:I97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1" style="1" customWidth="1"/>
    <col min="7" max="7" width="10.5546875" style="1" customWidth="1"/>
    <col min="8" max="9" width="9.77734375" style="1" customWidth="1"/>
    <col min="10" max="10" width="10.109375" style="1" bestFit="1" customWidth="1"/>
    <col min="11" max="11" width="9.88671875" style="1" bestFit="1" customWidth="1"/>
    <col min="12" max="12" width="10.5546875" style="17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154" t="s">
        <v>163</v>
      </c>
      <c r="B1" s="23"/>
      <c r="C1" s="23"/>
      <c r="D1" s="74"/>
      <c r="E1" s="23"/>
      <c r="F1" s="23"/>
      <c r="G1" s="23"/>
      <c r="H1" s="23"/>
      <c r="I1" s="23"/>
    </row>
    <row r="2" spans="1:17" ht="18" x14ac:dyDescent="0.45">
      <c r="A2" s="411" t="s">
        <v>162</v>
      </c>
      <c r="B2" s="411"/>
      <c r="C2" s="411"/>
      <c r="D2" s="411"/>
      <c r="E2" s="411"/>
      <c r="F2" s="411"/>
      <c r="G2" s="411"/>
      <c r="H2" s="411"/>
      <c r="I2" s="411"/>
    </row>
    <row r="3" spans="1:17" x14ac:dyDescent="0.45">
      <c r="M3" s="17"/>
      <c r="Q3" s="17"/>
    </row>
    <row r="4" spans="1:17" ht="16.5" x14ac:dyDescent="0.75">
      <c r="C4" s="155" t="s">
        <v>164</v>
      </c>
      <c r="M4" s="101"/>
      <c r="Q4" s="149"/>
    </row>
    <row r="5" spans="1:17" x14ac:dyDescent="0.45">
      <c r="C5" s="156"/>
      <c r="D5" s="21"/>
      <c r="E5" s="157" t="s">
        <v>165</v>
      </c>
      <c r="F5" s="157" t="s">
        <v>166</v>
      </c>
      <c r="G5" s="157" t="s">
        <v>167</v>
      </c>
      <c r="H5" s="19"/>
      <c r="J5" s="158"/>
      <c r="K5" s="17"/>
      <c r="L5" s="158"/>
      <c r="M5" s="17"/>
      <c r="Q5" s="2"/>
    </row>
    <row r="6" spans="1:17" x14ac:dyDescent="0.45">
      <c r="C6" s="1" t="s">
        <v>168</v>
      </c>
      <c r="E6" s="17">
        <f>C24</f>
        <v>24905</v>
      </c>
      <c r="F6" s="159">
        <f>D24</f>
        <v>99586091</v>
      </c>
      <c r="G6" s="27">
        <f>F33</f>
        <v>874972.37584999995</v>
      </c>
      <c r="H6" s="27"/>
      <c r="J6" s="158"/>
      <c r="K6" s="2"/>
    </row>
    <row r="7" spans="1:17" x14ac:dyDescent="0.45">
      <c r="C7" s="1" t="s">
        <v>169</v>
      </c>
      <c r="E7" s="17">
        <f>C41</f>
        <v>185</v>
      </c>
      <c r="F7" s="159">
        <f>D41</f>
        <v>9883740</v>
      </c>
      <c r="G7" s="7">
        <f>F49</f>
        <v>65997.466199999995</v>
      </c>
      <c r="H7" s="27"/>
      <c r="J7" s="158"/>
      <c r="K7" s="2"/>
    </row>
    <row r="8" spans="1:17" x14ac:dyDescent="0.45">
      <c r="C8" s="1" t="s">
        <v>170</v>
      </c>
      <c r="E8" s="17">
        <f>C57</f>
        <v>60</v>
      </c>
      <c r="F8" s="159">
        <f>D57</f>
        <v>10427400</v>
      </c>
      <c r="G8" s="17">
        <f>F64</f>
        <v>55603.832000000002</v>
      </c>
      <c r="H8" s="17"/>
      <c r="J8" s="158"/>
      <c r="K8" s="17"/>
    </row>
    <row r="9" spans="1:17" x14ac:dyDescent="0.45">
      <c r="B9" s="1" t="s">
        <v>88</v>
      </c>
      <c r="C9" s="1" t="s">
        <v>183</v>
      </c>
      <c r="E9" s="17">
        <f>C81</f>
        <v>272</v>
      </c>
      <c r="F9" s="159">
        <f>D81</f>
        <v>31958633</v>
      </c>
      <c r="G9" s="17">
        <f>F81</f>
        <v>185296.01985000001</v>
      </c>
      <c r="H9" s="17"/>
      <c r="J9" s="158"/>
      <c r="K9" s="17"/>
    </row>
    <row r="10" spans="1:17" x14ac:dyDescent="0.45">
      <c r="C10" s="1" t="s">
        <v>185</v>
      </c>
      <c r="E10" s="17">
        <v>0</v>
      </c>
      <c r="F10" s="159">
        <v>0</v>
      </c>
      <c r="G10" s="17">
        <v>0</v>
      </c>
      <c r="H10" s="17"/>
      <c r="J10" s="158"/>
      <c r="K10" s="17"/>
    </row>
    <row r="11" spans="1:17" x14ac:dyDescent="0.45">
      <c r="B11" s="1" t="s">
        <v>88</v>
      </c>
      <c r="C11" s="1" t="s">
        <v>171</v>
      </c>
      <c r="E11" s="21">
        <f>C97</f>
        <v>24</v>
      </c>
      <c r="F11" s="21">
        <f>D97</f>
        <v>1074550</v>
      </c>
      <c r="G11" s="21">
        <f>F97</f>
        <v>12184.340000000002</v>
      </c>
      <c r="H11" s="17"/>
      <c r="J11" s="158"/>
      <c r="K11" s="17"/>
    </row>
    <row r="12" spans="1:17" x14ac:dyDescent="0.45">
      <c r="C12" s="1" t="s">
        <v>172</v>
      </c>
      <c r="E12" s="2">
        <f>24846+177+69+296+17+6+145</f>
        <v>25556</v>
      </c>
      <c r="F12" s="22">
        <f>56839740+95733310+11625200+29027128+940810+13675791+138264070</f>
        <v>346106049</v>
      </c>
      <c r="G12" s="100">
        <f>SUM(G6:G11)</f>
        <v>1194054.0339000002</v>
      </c>
      <c r="H12" s="100"/>
      <c r="J12" s="158"/>
      <c r="K12" s="2"/>
      <c r="M12" s="160"/>
    </row>
    <row r="13" spans="1:17" x14ac:dyDescent="0.45">
      <c r="C13" s="1" t="s">
        <v>173</v>
      </c>
      <c r="E13" s="2"/>
      <c r="F13" s="22"/>
      <c r="G13" s="335">
        <f>-8886.51-16865.17</f>
        <v>-25751.68</v>
      </c>
      <c r="H13" s="100"/>
      <c r="J13" s="158"/>
      <c r="K13" s="2"/>
      <c r="M13" s="160"/>
    </row>
    <row r="14" spans="1:17" x14ac:dyDescent="0.45">
      <c r="C14" s="1" t="s">
        <v>174</v>
      </c>
      <c r="E14" s="2"/>
      <c r="F14" s="22"/>
      <c r="G14" s="100">
        <f>G12+G13</f>
        <v>1168302.3539000002</v>
      </c>
      <c r="H14" s="100"/>
      <c r="J14" s="158"/>
      <c r="K14" s="2"/>
      <c r="M14" s="160"/>
    </row>
    <row r="15" spans="1:17" x14ac:dyDescent="0.45">
      <c r="C15" s="1" t="s">
        <v>175</v>
      </c>
      <c r="E15" s="2"/>
      <c r="F15" s="22"/>
      <c r="G15" s="335">
        <f>-SAO!D6</f>
        <v>-1193865</v>
      </c>
      <c r="H15" s="100"/>
      <c r="J15" s="158"/>
      <c r="K15" s="160"/>
    </row>
    <row r="16" spans="1:17" x14ac:dyDescent="0.45">
      <c r="C16" s="1" t="s">
        <v>176</v>
      </c>
      <c r="D16" s="161"/>
      <c r="F16" s="18"/>
      <c r="G16" s="101">
        <f>G14+G15</f>
        <v>-25562.64609999978</v>
      </c>
      <c r="H16" s="162">
        <f>G16/G15</f>
        <v>2.14116722577509E-2</v>
      </c>
      <c r="I16" s="101"/>
      <c r="J16" s="158"/>
      <c r="O16" s="2"/>
    </row>
    <row r="17" spans="1:19" ht="15.75" x14ac:dyDescent="0.5">
      <c r="A17" s="163" t="s">
        <v>177</v>
      </c>
      <c r="N17"/>
      <c r="O17"/>
      <c r="P17"/>
      <c r="Q17"/>
      <c r="R17"/>
      <c r="S17"/>
    </row>
    <row r="18" spans="1:19" ht="15.4" x14ac:dyDescent="0.45">
      <c r="E18" s="19" t="s">
        <v>50</v>
      </c>
      <c r="F18" s="19" t="s">
        <v>125</v>
      </c>
      <c r="G18" s="19" t="s">
        <v>125</v>
      </c>
      <c r="H18" s="19" t="s">
        <v>51</v>
      </c>
      <c r="K18"/>
      <c r="L18"/>
      <c r="M18"/>
      <c r="N18"/>
      <c r="O18"/>
      <c r="P18"/>
    </row>
    <row r="19" spans="1:19" ht="15.4" x14ac:dyDescent="0.45">
      <c r="B19" s="157" t="s">
        <v>52</v>
      </c>
      <c r="C19" s="164" t="s">
        <v>53</v>
      </c>
      <c r="D19" s="75" t="s">
        <v>54</v>
      </c>
      <c r="E19" s="164">
        <f>B20</f>
        <v>2000</v>
      </c>
      <c r="F19" s="164">
        <f>B21</f>
        <v>4000</v>
      </c>
      <c r="G19" s="164">
        <f>B22</f>
        <v>94000</v>
      </c>
      <c r="H19" s="164">
        <f>B23</f>
        <v>100000</v>
      </c>
      <c r="I19" s="157" t="s">
        <v>55</v>
      </c>
      <c r="K19"/>
      <c r="L19"/>
      <c r="M19"/>
      <c r="N19"/>
      <c r="O19"/>
      <c r="P19"/>
    </row>
    <row r="20" spans="1:19" ht="15.4" x14ac:dyDescent="0.45">
      <c r="A20" s="20" t="s">
        <v>50</v>
      </c>
      <c r="B20" s="102">
        <v>2000</v>
      </c>
      <c r="C20" s="165">
        <v>8758</v>
      </c>
      <c r="D20" s="161">
        <v>8079564</v>
      </c>
      <c r="E20" s="161">
        <f>D20</f>
        <v>8079564</v>
      </c>
      <c r="F20" s="161">
        <v>0</v>
      </c>
      <c r="G20" s="161">
        <v>0</v>
      </c>
      <c r="H20" s="161">
        <v>0</v>
      </c>
      <c r="I20" s="161">
        <f>SUM(E20:H20)</f>
        <v>8079564</v>
      </c>
      <c r="K20"/>
      <c r="L20"/>
      <c r="M20"/>
      <c r="N20"/>
      <c r="O20"/>
      <c r="P20"/>
    </row>
    <row r="21" spans="1:19" ht="15.4" x14ac:dyDescent="0.45">
      <c r="A21" s="20" t="s">
        <v>125</v>
      </c>
      <c r="B21" s="102">
        <v>4000</v>
      </c>
      <c r="C21" s="165">
        <v>12485</v>
      </c>
      <c r="D21" s="161">
        <v>44488898</v>
      </c>
      <c r="E21" s="161">
        <f>C21*E$19</f>
        <v>24970000</v>
      </c>
      <c r="F21" s="161">
        <f>D21-E21</f>
        <v>19518898</v>
      </c>
      <c r="G21" s="161">
        <v>0</v>
      </c>
      <c r="H21" s="161">
        <v>0</v>
      </c>
      <c r="I21" s="161">
        <f>SUM(E21:H21)</f>
        <v>44488898</v>
      </c>
      <c r="K21"/>
      <c r="L21"/>
      <c r="M21"/>
      <c r="N21"/>
      <c r="O21"/>
      <c r="P21"/>
    </row>
    <row r="22" spans="1:19" ht="15.4" x14ac:dyDescent="0.45">
      <c r="A22" s="20" t="s">
        <v>125</v>
      </c>
      <c r="B22" s="102">
        <v>94000</v>
      </c>
      <c r="C22" s="165">
        <v>3630</v>
      </c>
      <c r="D22" s="161">
        <v>41441149</v>
      </c>
      <c r="E22" s="161">
        <f>C22*E$19</f>
        <v>7260000</v>
      </c>
      <c r="F22" s="161">
        <f>$C22*F$19</f>
        <v>14520000</v>
      </c>
      <c r="G22" s="161">
        <f>D22-(F22+E22)</f>
        <v>19661149</v>
      </c>
      <c r="H22" s="161">
        <v>0</v>
      </c>
      <c r="I22" s="161">
        <f>SUM(E22:H22)</f>
        <v>41441149</v>
      </c>
      <c r="K22"/>
      <c r="L22"/>
      <c r="M22"/>
      <c r="N22"/>
      <c r="O22"/>
      <c r="P22"/>
    </row>
    <row r="23" spans="1:19" ht="15.4" x14ac:dyDescent="0.45">
      <c r="A23" s="20" t="s">
        <v>51</v>
      </c>
      <c r="B23" s="166">
        <v>100000</v>
      </c>
      <c r="C23" s="167">
        <v>32</v>
      </c>
      <c r="D23" s="168">
        <v>5576480</v>
      </c>
      <c r="E23" s="168">
        <f>C23*E$19</f>
        <v>64000</v>
      </c>
      <c r="F23" s="168">
        <f>$C23*F$19</f>
        <v>128000</v>
      </c>
      <c r="G23" s="168">
        <f>$C23*G$19</f>
        <v>3008000</v>
      </c>
      <c r="H23" s="168">
        <f>D23-E23-F23-G23</f>
        <v>2376480</v>
      </c>
      <c r="I23" s="168">
        <f>SUM(E23:H23)</f>
        <v>5576480</v>
      </c>
      <c r="K23"/>
      <c r="L23"/>
      <c r="M23"/>
      <c r="N23"/>
      <c r="O23"/>
      <c r="P23"/>
    </row>
    <row r="24" spans="1:19" ht="15.4" x14ac:dyDescent="0.45">
      <c r="A24" s="20"/>
      <c r="B24" s="102" t="s">
        <v>55</v>
      </c>
      <c r="C24" s="22">
        <f t="shared" ref="C24:I24" si="0">SUM(C20:C23)</f>
        <v>24905</v>
      </c>
      <c r="D24" s="22">
        <f t="shared" si="0"/>
        <v>99586091</v>
      </c>
      <c r="E24" s="22">
        <f t="shared" si="0"/>
        <v>40373564</v>
      </c>
      <c r="F24" s="22">
        <f t="shared" si="0"/>
        <v>34166898</v>
      </c>
      <c r="G24" s="22">
        <f t="shared" si="0"/>
        <v>22669149</v>
      </c>
      <c r="H24" s="22">
        <f t="shared" si="0"/>
        <v>2376480</v>
      </c>
      <c r="I24" s="22">
        <f t="shared" si="0"/>
        <v>99586091</v>
      </c>
      <c r="J24" s="17"/>
      <c r="K24"/>
      <c r="L24"/>
      <c r="M24"/>
      <c r="N24"/>
      <c r="O24"/>
      <c r="P24"/>
    </row>
    <row r="25" spans="1:19" ht="15.4" x14ac:dyDescent="0.45">
      <c r="A25" s="20"/>
      <c r="B25" s="102"/>
      <c r="E25" s="102"/>
      <c r="F25" s="102"/>
      <c r="G25" s="102"/>
      <c r="H25" s="102"/>
      <c r="I25" s="102"/>
      <c r="N25"/>
      <c r="O25"/>
      <c r="P25"/>
      <c r="Q25"/>
      <c r="R25"/>
      <c r="S25"/>
    </row>
    <row r="26" spans="1:19" ht="15.4" x14ac:dyDescent="0.45">
      <c r="A26" s="103" t="s">
        <v>178</v>
      </c>
      <c r="B26" s="103"/>
      <c r="E26" s="102"/>
      <c r="F26" s="102"/>
      <c r="G26" s="102"/>
      <c r="H26" s="102"/>
      <c r="I26" s="102"/>
      <c r="N26"/>
      <c r="O26"/>
      <c r="P26"/>
      <c r="Q26"/>
      <c r="R26"/>
      <c r="S26"/>
    </row>
    <row r="27" spans="1:19" ht="15.4" x14ac:dyDescent="0.45">
      <c r="A27" s="20"/>
      <c r="B27" s="157"/>
      <c r="C27" s="164" t="s">
        <v>53</v>
      </c>
      <c r="D27" s="75" t="s">
        <v>54</v>
      </c>
      <c r="E27" s="164" t="s">
        <v>56</v>
      </c>
      <c r="F27" s="164" t="s">
        <v>57</v>
      </c>
      <c r="G27" s="102"/>
      <c r="H27" s="102"/>
      <c r="I27" s="102"/>
      <c r="N27"/>
      <c r="O27"/>
      <c r="P27"/>
      <c r="Q27"/>
      <c r="R27"/>
      <c r="S27"/>
    </row>
    <row r="28" spans="1:19" ht="15.4" x14ac:dyDescent="0.45">
      <c r="A28" s="20" t="s">
        <v>50</v>
      </c>
      <c r="B28" s="102">
        <f>B20</f>
        <v>2000</v>
      </c>
      <c r="C28" s="17">
        <f>C24</f>
        <v>24905</v>
      </c>
      <c r="D28" s="161">
        <f>E24</f>
        <v>40373564</v>
      </c>
      <c r="E28" s="169">
        <v>17.5</v>
      </c>
      <c r="F28" s="27">
        <f>E28*C28</f>
        <v>435837.5</v>
      </c>
      <c r="G28" s="102"/>
      <c r="N28"/>
      <c r="O28"/>
      <c r="P28"/>
      <c r="Q28"/>
      <c r="R28"/>
      <c r="S28"/>
    </row>
    <row r="29" spans="1:19" ht="15.4" x14ac:dyDescent="0.45">
      <c r="A29" s="20" t="s">
        <v>125</v>
      </c>
      <c r="B29" s="102">
        <f>B21</f>
        <v>4000</v>
      </c>
      <c r="D29" s="161">
        <f>F24</f>
        <v>34166898</v>
      </c>
      <c r="E29" s="169">
        <v>7.95</v>
      </c>
      <c r="F29" s="17">
        <f>E29*(D29/1000)</f>
        <v>271626.83910000004</v>
      </c>
      <c r="G29" s="102"/>
      <c r="N29"/>
      <c r="O29"/>
      <c r="P29"/>
      <c r="Q29"/>
      <c r="R29"/>
      <c r="S29"/>
    </row>
    <row r="30" spans="1:19" ht="15.4" x14ac:dyDescent="0.45">
      <c r="A30" s="20" t="s">
        <v>125</v>
      </c>
      <c r="B30" s="102">
        <f>B22</f>
        <v>94000</v>
      </c>
      <c r="D30" s="161">
        <f>G24</f>
        <v>22669149</v>
      </c>
      <c r="E30" s="169">
        <v>6.95</v>
      </c>
      <c r="F30" s="17">
        <f>E30*(D30/1000)</f>
        <v>157550.58555000002</v>
      </c>
      <c r="G30" s="102"/>
      <c r="N30"/>
      <c r="O30"/>
      <c r="P30"/>
      <c r="Q30"/>
      <c r="R30"/>
      <c r="S30"/>
    </row>
    <row r="31" spans="1:19" ht="15.4" hidden="1" x14ac:dyDescent="0.45">
      <c r="A31" s="20" t="s">
        <v>125</v>
      </c>
      <c r="B31" s="102">
        <v>0</v>
      </c>
      <c r="D31" s="161">
        <v>0</v>
      </c>
      <c r="E31" s="169">
        <v>0</v>
      </c>
      <c r="F31" s="17">
        <v>0</v>
      </c>
      <c r="G31" s="102"/>
      <c r="N31"/>
      <c r="O31"/>
      <c r="P31"/>
      <c r="Q31"/>
      <c r="R31"/>
      <c r="S31"/>
    </row>
    <row r="32" spans="1:19" x14ac:dyDescent="0.45">
      <c r="A32" s="20" t="s">
        <v>51</v>
      </c>
      <c r="B32" s="166">
        <f>B23</f>
        <v>100000</v>
      </c>
      <c r="C32" s="170"/>
      <c r="D32" s="168">
        <f>H24</f>
        <v>2376480</v>
      </c>
      <c r="E32" s="171">
        <v>4.1900000000000004</v>
      </c>
      <c r="F32" s="21">
        <f>E32*(D32/1000)</f>
        <v>9957.4512000000013</v>
      </c>
      <c r="G32" s="102"/>
      <c r="Q32" s="17">
        <f>Q25/12</f>
        <v>0</v>
      </c>
    </row>
    <row r="33" spans="1:12" x14ac:dyDescent="0.45">
      <c r="A33" s="20"/>
      <c r="B33" s="102" t="s">
        <v>55</v>
      </c>
      <c r="C33" s="17">
        <f>SUM(C28:C32)</f>
        <v>24905</v>
      </c>
      <c r="D33" s="22">
        <f>SUM(D28:D32)</f>
        <v>99586091</v>
      </c>
      <c r="F33" s="27">
        <f>SUM(F28:F32)</f>
        <v>874972.37584999995</v>
      </c>
      <c r="G33" s="27"/>
      <c r="H33" s="102"/>
      <c r="I33" s="172"/>
    </row>
    <row r="34" spans="1:12" x14ac:dyDescent="0.45">
      <c r="A34" s="20"/>
      <c r="B34" s="102"/>
      <c r="C34" s="17"/>
      <c r="D34" s="22"/>
      <c r="F34" s="27"/>
      <c r="G34" s="102"/>
      <c r="H34" s="102"/>
      <c r="I34" s="102"/>
    </row>
    <row r="35" spans="1:12" ht="15.75" x14ac:dyDescent="0.5">
      <c r="A35" s="163" t="s">
        <v>179</v>
      </c>
    </row>
    <row r="36" spans="1:12" x14ac:dyDescent="0.45">
      <c r="E36" s="19" t="s">
        <v>50</v>
      </c>
      <c r="F36" s="19" t="s">
        <v>125</v>
      </c>
      <c r="G36" s="19" t="s">
        <v>51</v>
      </c>
      <c r="J36" s="17"/>
      <c r="L36" s="1"/>
    </row>
    <row r="37" spans="1:12" x14ac:dyDescent="0.45">
      <c r="B37" s="157" t="s">
        <v>52</v>
      </c>
      <c r="C37" s="164" t="s">
        <v>53</v>
      </c>
      <c r="D37" s="75" t="s">
        <v>54</v>
      </c>
      <c r="E37" s="164">
        <v>10000</v>
      </c>
      <c r="F37" s="164">
        <f>B39</f>
        <v>90000</v>
      </c>
      <c r="G37" s="164">
        <f>B40</f>
        <v>100000</v>
      </c>
      <c r="H37" s="157" t="s">
        <v>55</v>
      </c>
      <c r="J37" s="17"/>
      <c r="L37" s="1"/>
    </row>
    <row r="38" spans="1:12" x14ac:dyDescent="0.45">
      <c r="A38" s="20" t="s">
        <v>50</v>
      </c>
      <c r="B38" s="102">
        <v>10000</v>
      </c>
      <c r="C38" s="165">
        <v>71</v>
      </c>
      <c r="D38" s="161">
        <v>120360</v>
      </c>
      <c r="E38" s="161">
        <f>D38</f>
        <v>120360</v>
      </c>
      <c r="F38" s="161">
        <v>0</v>
      </c>
      <c r="G38" s="161">
        <v>0</v>
      </c>
      <c r="H38" s="153">
        <f>SUM(E38:G38)</f>
        <v>120360</v>
      </c>
      <c r="J38" s="17"/>
      <c r="L38" s="1"/>
    </row>
    <row r="39" spans="1:12" x14ac:dyDescent="0.45">
      <c r="A39" s="20" t="s">
        <v>125</v>
      </c>
      <c r="B39" s="102">
        <v>90000</v>
      </c>
      <c r="C39" s="165">
        <v>81</v>
      </c>
      <c r="D39" s="161">
        <v>3492900</v>
      </c>
      <c r="E39" s="161">
        <f>C39*B38</f>
        <v>810000</v>
      </c>
      <c r="F39" s="161">
        <f>D39-E39</f>
        <v>2682900</v>
      </c>
      <c r="G39" s="161">
        <v>0</v>
      </c>
      <c r="H39" s="153">
        <f>SUM(E39:G39)</f>
        <v>3492900</v>
      </c>
      <c r="J39" s="17"/>
      <c r="L39" s="1"/>
    </row>
    <row r="40" spans="1:12" x14ac:dyDescent="0.45">
      <c r="A40" s="20" t="s">
        <v>51</v>
      </c>
      <c r="B40" s="166">
        <v>100000</v>
      </c>
      <c r="C40" s="167">
        <v>33</v>
      </c>
      <c r="D40" s="168">
        <v>6270480</v>
      </c>
      <c r="E40" s="168">
        <f>C40*B38</f>
        <v>330000</v>
      </c>
      <c r="F40" s="168">
        <f>C40*B39</f>
        <v>2970000</v>
      </c>
      <c r="G40" s="168">
        <f>D40-E40-F40</f>
        <v>2970480</v>
      </c>
      <c r="H40" s="168">
        <f>SUM(E40:G40)</f>
        <v>6270480</v>
      </c>
      <c r="J40" s="17"/>
      <c r="L40" s="1"/>
    </row>
    <row r="41" spans="1:12" x14ac:dyDescent="0.45">
      <c r="A41" s="20"/>
      <c r="B41" s="102" t="s">
        <v>55</v>
      </c>
      <c r="C41" s="22">
        <f t="shared" ref="C41:H41" si="1">SUM(C38:C40)</f>
        <v>185</v>
      </c>
      <c r="D41" s="22">
        <f t="shared" si="1"/>
        <v>9883740</v>
      </c>
      <c r="E41" s="22">
        <f t="shared" si="1"/>
        <v>1260360</v>
      </c>
      <c r="F41" s="22">
        <f t="shared" si="1"/>
        <v>5652900</v>
      </c>
      <c r="G41" s="22">
        <f t="shared" si="1"/>
        <v>2970480</v>
      </c>
      <c r="H41" s="22">
        <f t="shared" si="1"/>
        <v>9883740</v>
      </c>
      <c r="J41" s="17"/>
      <c r="L41" s="1"/>
    </row>
    <row r="42" spans="1:12" x14ac:dyDescent="0.45">
      <c r="A42" s="20"/>
      <c r="B42" s="102"/>
      <c r="E42" s="102"/>
      <c r="F42" s="102"/>
      <c r="G42" s="102"/>
      <c r="H42" s="102"/>
      <c r="I42" s="102"/>
    </row>
    <row r="43" spans="1:12" x14ac:dyDescent="0.45">
      <c r="A43" s="103" t="s">
        <v>178</v>
      </c>
      <c r="B43" s="103"/>
      <c r="E43" s="102"/>
      <c r="F43" s="102"/>
      <c r="G43" s="102"/>
      <c r="H43" s="102"/>
      <c r="I43" s="102"/>
    </row>
    <row r="44" spans="1:12" x14ac:dyDescent="0.45">
      <c r="A44" s="20"/>
      <c r="B44" s="157"/>
      <c r="C44" s="164" t="s">
        <v>53</v>
      </c>
      <c r="D44" s="75" t="s">
        <v>54</v>
      </c>
      <c r="E44" s="164" t="s">
        <v>56</v>
      </c>
      <c r="F44" s="164" t="s">
        <v>57</v>
      </c>
      <c r="G44" s="102"/>
      <c r="H44" s="102"/>
      <c r="I44" s="102"/>
    </row>
    <row r="45" spans="1:12" x14ac:dyDescent="0.45">
      <c r="A45" s="20" t="s">
        <v>50</v>
      </c>
      <c r="B45" s="102">
        <f>B38</f>
        <v>10000</v>
      </c>
      <c r="C45" s="17">
        <f>C41</f>
        <v>185</v>
      </c>
      <c r="D45" s="161">
        <f>E41</f>
        <v>1260360</v>
      </c>
      <c r="E45" s="169">
        <v>77.099999999999994</v>
      </c>
      <c r="F45" s="27">
        <f>E45*C45</f>
        <v>14263.499999999998</v>
      </c>
      <c r="G45" s="102"/>
    </row>
    <row r="46" spans="1:12" hidden="1" x14ac:dyDescent="0.45">
      <c r="A46" s="20" t="s">
        <v>125</v>
      </c>
      <c r="B46" s="102">
        <v>0</v>
      </c>
      <c r="D46" s="161">
        <v>0</v>
      </c>
      <c r="E46" s="169">
        <v>0</v>
      </c>
      <c r="F46" s="17">
        <f>E46*(D46/1000)</f>
        <v>0</v>
      </c>
      <c r="G46" s="102"/>
    </row>
    <row r="47" spans="1:12" x14ac:dyDescent="0.45">
      <c r="A47" s="20" t="s">
        <v>125</v>
      </c>
      <c r="B47" s="102">
        <v>90000</v>
      </c>
      <c r="D47" s="161">
        <f>F41</f>
        <v>5652900</v>
      </c>
      <c r="E47" s="169">
        <v>6.95</v>
      </c>
      <c r="F47" s="17">
        <f>E47*(D47/1000)</f>
        <v>39287.654999999999</v>
      </c>
      <c r="G47" s="102"/>
    </row>
    <row r="48" spans="1:12" x14ac:dyDescent="0.45">
      <c r="A48" s="20" t="s">
        <v>51</v>
      </c>
      <c r="B48" s="166">
        <v>100000</v>
      </c>
      <c r="C48" s="170"/>
      <c r="D48" s="168">
        <f>G41</f>
        <v>2970480</v>
      </c>
      <c r="E48" s="171">
        <v>4.1900000000000004</v>
      </c>
      <c r="F48" s="21">
        <f>E48*(D48/1000)</f>
        <v>12446.311200000002</v>
      </c>
      <c r="G48" s="102"/>
    </row>
    <row r="49" spans="1:12" x14ac:dyDescent="0.45">
      <c r="A49" s="20"/>
      <c r="B49" s="102" t="s">
        <v>55</v>
      </c>
      <c r="C49" s="17">
        <f>SUM(C45:C48)</f>
        <v>185</v>
      </c>
      <c r="D49" s="22">
        <f>SUM(D45:D48)</f>
        <v>9883740</v>
      </c>
      <c r="F49" s="27">
        <f>SUM(F45:F48)</f>
        <v>65997.466199999995</v>
      </c>
      <c r="G49" s="27"/>
      <c r="H49" s="102"/>
      <c r="I49" s="172"/>
    </row>
    <row r="50" spans="1:12" x14ac:dyDescent="0.45">
      <c r="A50" s="20"/>
      <c r="B50" s="102"/>
      <c r="C50" s="17"/>
      <c r="D50" s="22"/>
      <c r="F50" s="27"/>
      <c r="G50" s="102"/>
      <c r="H50" s="102"/>
      <c r="I50" s="102"/>
    </row>
    <row r="51" spans="1:12" ht="15.75" x14ac:dyDescent="0.5">
      <c r="A51" s="163" t="s">
        <v>180</v>
      </c>
    </row>
    <row r="52" spans="1:12" x14ac:dyDescent="0.45">
      <c r="E52" s="19" t="s">
        <v>50</v>
      </c>
      <c r="F52" s="19" t="s">
        <v>125</v>
      </c>
      <c r="G52" s="19" t="s">
        <v>51</v>
      </c>
      <c r="L52" s="1"/>
    </row>
    <row r="53" spans="1:12" x14ac:dyDescent="0.45">
      <c r="B53" s="157" t="s">
        <v>52</v>
      </c>
      <c r="C53" s="164" t="s">
        <v>53</v>
      </c>
      <c r="D53" s="75" t="s">
        <v>54</v>
      </c>
      <c r="E53" s="164">
        <f>B54</f>
        <v>15000</v>
      </c>
      <c r="F53" s="164">
        <f>B55</f>
        <v>85000</v>
      </c>
      <c r="G53" s="164">
        <f>B56</f>
        <v>100000</v>
      </c>
      <c r="H53" s="157" t="s">
        <v>55</v>
      </c>
      <c r="L53" s="1"/>
    </row>
    <row r="54" spans="1:12" x14ac:dyDescent="0.45">
      <c r="A54" s="20" t="s">
        <v>50</v>
      </c>
      <c r="B54" s="102">
        <v>15000</v>
      </c>
      <c r="C54" s="165">
        <v>17</v>
      </c>
      <c r="D54" s="161">
        <v>62000</v>
      </c>
      <c r="E54" s="161">
        <f>D54</f>
        <v>62000</v>
      </c>
      <c r="F54" s="161">
        <v>0</v>
      </c>
      <c r="G54" s="161">
        <v>0</v>
      </c>
      <c r="H54" s="161">
        <f>SUM(E54:G54)</f>
        <v>62000</v>
      </c>
      <c r="L54" s="1"/>
    </row>
    <row r="55" spans="1:12" x14ac:dyDescent="0.45">
      <c r="A55" s="20" t="s">
        <v>125</v>
      </c>
      <c r="B55" s="102">
        <v>85000</v>
      </c>
      <c r="C55" s="165">
        <v>12</v>
      </c>
      <c r="D55" s="161">
        <v>503100</v>
      </c>
      <c r="E55" s="161">
        <f>C55*B54</f>
        <v>180000</v>
      </c>
      <c r="F55" s="161">
        <f>D55-E55</f>
        <v>323100</v>
      </c>
      <c r="G55" s="161">
        <v>0</v>
      </c>
      <c r="H55" s="161">
        <f>SUM(E55:G55)</f>
        <v>503100</v>
      </c>
      <c r="L55" s="1"/>
    </row>
    <row r="56" spans="1:12" x14ac:dyDescent="0.45">
      <c r="A56" s="20" t="s">
        <v>51</v>
      </c>
      <c r="B56" s="166">
        <v>100000</v>
      </c>
      <c r="C56" s="167">
        <v>31</v>
      </c>
      <c r="D56" s="168">
        <v>9862300</v>
      </c>
      <c r="E56" s="168">
        <f>C56*B54</f>
        <v>465000</v>
      </c>
      <c r="F56" s="168">
        <f>C56*F53</f>
        <v>2635000</v>
      </c>
      <c r="G56" s="168">
        <f>D56-E56-F56</f>
        <v>6762300</v>
      </c>
      <c r="H56" s="168">
        <f>SUM(E56:G56)</f>
        <v>9862300</v>
      </c>
      <c r="L56" s="1"/>
    </row>
    <row r="57" spans="1:12" x14ac:dyDescent="0.45">
      <c r="A57" s="20"/>
      <c r="B57" s="102"/>
      <c r="C57" s="22">
        <f t="shared" ref="C57:H57" si="2">SUM(C54:C56)</f>
        <v>60</v>
      </c>
      <c r="D57" s="22">
        <f t="shared" si="2"/>
        <v>10427400</v>
      </c>
      <c r="E57" s="22">
        <f t="shared" si="2"/>
        <v>707000</v>
      </c>
      <c r="F57" s="22">
        <f t="shared" si="2"/>
        <v>2958100</v>
      </c>
      <c r="G57" s="22">
        <f t="shared" si="2"/>
        <v>6762300</v>
      </c>
      <c r="H57" s="22">
        <f t="shared" si="2"/>
        <v>10427400</v>
      </c>
      <c r="I57" s="113"/>
      <c r="K57" s="17"/>
      <c r="L57" s="1"/>
    </row>
    <row r="58" spans="1:12" x14ac:dyDescent="0.45">
      <c r="A58" s="20"/>
      <c r="B58" s="102"/>
      <c r="E58" s="102"/>
      <c r="F58" s="102"/>
      <c r="G58" s="102"/>
      <c r="H58" s="102"/>
      <c r="I58" s="102"/>
    </row>
    <row r="59" spans="1:12" x14ac:dyDescent="0.45">
      <c r="A59" s="103" t="s">
        <v>178</v>
      </c>
      <c r="B59" s="103"/>
      <c r="E59" s="102"/>
      <c r="F59" s="102"/>
      <c r="G59" s="102"/>
      <c r="H59" s="102"/>
      <c r="I59" s="102"/>
    </row>
    <row r="60" spans="1:12" x14ac:dyDescent="0.45">
      <c r="A60" s="20"/>
      <c r="B60" s="157"/>
      <c r="C60" s="164" t="s">
        <v>53</v>
      </c>
      <c r="D60" s="75" t="s">
        <v>54</v>
      </c>
      <c r="E60" s="164" t="s">
        <v>56</v>
      </c>
      <c r="F60" s="164" t="s">
        <v>57</v>
      </c>
      <c r="G60" s="102"/>
      <c r="H60" s="102"/>
      <c r="I60" s="102"/>
    </row>
    <row r="61" spans="1:12" x14ac:dyDescent="0.45">
      <c r="A61" s="20" t="s">
        <v>50</v>
      </c>
      <c r="B61" s="102">
        <f>B54</f>
        <v>15000</v>
      </c>
      <c r="C61" s="17">
        <f>C57</f>
        <v>60</v>
      </c>
      <c r="D61" s="161">
        <f>E57</f>
        <v>707000</v>
      </c>
      <c r="E61" s="169">
        <v>111.85</v>
      </c>
      <c r="F61" s="27">
        <f>E61*C61</f>
        <v>6711</v>
      </c>
      <c r="G61" s="102"/>
    </row>
    <row r="62" spans="1:12" x14ac:dyDescent="0.45">
      <c r="A62" s="20" t="s">
        <v>125</v>
      </c>
      <c r="B62" s="102">
        <v>85000</v>
      </c>
      <c r="C62" s="17"/>
      <c r="D62" s="161">
        <f>F57</f>
        <v>2958100</v>
      </c>
      <c r="E62" s="169">
        <v>6.95</v>
      </c>
      <c r="F62" s="22">
        <f t="shared" ref="F62" si="3">E62*(D62/1000)</f>
        <v>20558.794999999998</v>
      </c>
      <c r="G62" s="102"/>
    </row>
    <row r="63" spans="1:12" x14ac:dyDescent="0.45">
      <c r="A63" s="20" t="s">
        <v>51</v>
      </c>
      <c r="B63" s="166">
        <f>B56</f>
        <v>100000</v>
      </c>
      <c r="C63" s="170"/>
      <c r="D63" s="168">
        <f>G57</f>
        <v>6762300</v>
      </c>
      <c r="E63" s="171">
        <v>4.1900000000000004</v>
      </c>
      <c r="F63" s="21">
        <f>E63*(D63/1000)</f>
        <v>28334.037000000004</v>
      </c>
      <c r="G63" s="102"/>
    </row>
    <row r="64" spans="1:12" x14ac:dyDescent="0.45">
      <c r="A64" s="20"/>
      <c r="B64" s="102" t="s">
        <v>55</v>
      </c>
      <c r="C64" s="17">
        <f>SUM(C61:C63)</f>
        <v>60</v>
      </c>
      <c r="D64" s="22">
        <f>SUM(D61:D63)</f>
        <v>10427400</v>
      </c>
      <c r="F64" s="27">
        <f>SUM(F61:F63)</f>
        <v>55603.832000000002</v>
      </c>
      <c r="G64" s="27"/>
      <c r="H64" s="102"/>
      <c r="I64" s="172"/>
    </row>
    <row r="65" spans="1:12" x14ac:dyDescent="0.45">
      <c r="A65" s="20"/>
      <c r="B65" s="102"/>
      <c r="C65" s="17"/>
      <c r="D65" s="22"/>
      <c r="F65" s="27"/>
      <c r="G65" s="27"/>
      <c r="H65" s="102"/>
      <c r="I65" s="172"/>
    </row>
    <row r="66" spans="1:12" x14ac:dyDescent="0.45">
      <c r="A66" s="20"/>
      <c r="B66" s="102"/>
      <c r="C66" s="17"/>
      <c r="D66" s="22"/>
      <c r="F66" s="27"/>
      <c r="G66" s="27"/>
      <c r="H66" s="102"/>
      <c r="I66" s="172"/>
    </row>
    <row r="67" spans="1:12" x14ac:dyDescent="0.45">
      <c r="A67" s="20"/>
      <c r="B67" s="102"/>
      <c r="C67" s="3"/>
      <c r="D67" s="22"/>
      <c r="F67" s="169"/>
      <c r="G67" s="102"/>
      <c r="H67" s="102"/>
      <c r="I67" s="102"/>
    </row>
    <row r="68" spans="1:12" ht="15.75" x14ac:dyDescent="0.5">
      <c r="A68" s="163" t="s">
        <v>181</v>
      </c>
    </row>
    <row r="69" spans="1:12" x14ac:dyDescent="0.45">
      <c r="E69" s="19" t="s">
        <v>50</v>
      </c>
      <c r="F69" s="19" t="s">
        <v>125</v>
      </c>
      <c r="G69" s="19" t="s">
        <v>51</v>
      </c>
      <c r="L69" s="1"/>
    </row>
    <row r="70" spans="1:12" x14ac:dyDescent="0.45">
      <c r="B70" s="157" t="s">
        <v>52</v>
      </c>
      <c r="C70" s="164" t="s">
        <v>53</v>
      </c>
      <c r="D70" s="75" t="s">
        <v>54</v>
      </c>
      <c r="E70" s="164">
        <f>B71</f>
        <v>20000</v>
      </c>
      <c r="F70" s="164">
        <f>B72</f>
        <v>80000</v>
      </c>
      <c r="G70" s="164">
        <f>B73</f>
        <v>100000</v>
      </c>
      <c r="H70" s="157" t="s">
        <v>55</v>
      </c>
      <c r="L70" s="1"/>
    </row>
    <row r="71" spans="1:12" x14ac:dyDescent="0.45">
      <c r="A71" s="20" t="s">
        <v>50</v>
      </c>
      <c r="B71" s="102">
        <v>20000</v>
      </c>
      <c r="C71" s="165">
        <v>69</v>
      </c>
      <c r="D71" s="161">
        <v>494850</v>
      </c>
      <c r="E71" s="161">
        <f>D71</f>
        <v>494850</v>
      </c>
      <c r="F71" s="161">
        <v>0</v>
      </c>
      <c r="G71" s="161">
        <v>0</v>
      </c>
      <c r="H71" s="161">
        <f>SUM(E71:G71)</f>
        <v>494850</v>
      </c>
      <c r="L71" s="1"/>
    </row>
    <row r="72" spans="1:12" x14ac:dyDescent="0.45">
      <c r="A72" s="20" t="s">
        <v>125</v>
      </c>
      <c r="B72" s="102">
        <v>80000</v>
      </c>
      <c r="C72" s="165">
        <v>115</v>
      </c>
      <c r="D72" s="161">
        <v>6346583</v>
      </c>
      <c r="E72" s="161">
        <f>C72*B71</f>
        <v>2300000</v>
      </c>
      <c r="F72" s="161">
        <f>D72-E72</f>
        <v>4046583</v>
      </c>
      <c r="G72" s="161">
        <v>0</v>
      </c>
      <c r="H72" s="161">
        <f>SUM(E72:G72)</f>
        <v>6346583</v>
      </c>
      <c r="L72" s="1"/>
    </row>
    <row r="73" spans="1:12" x14ac:dyDescent="0.45">
      <c r="A73" s="20" t="s">
        <v>51</v>
      </c>
      <c r="B73" s="166">
        <v>100000</v>
      </c>
      <c r="C73" s="167">
        <v>88</v>
      </c>
      <c r="D73" s="168">
        <v>25117200</v>
      </c>
      <c r="E73" s="168">
        <f>C73*B71</f>
        <v>1760000</v>
      </c>
      <c r="F73" s="168">
        <f>C73*F70</f>
        <v>7040000</v>
      </c>
      <c r="G73" s="168">
        <f>D73-E73-F73</f>
        <v>16317200</v>
      </c>
      <c r="H73" s="168">
        <f>SUM(E73:G73)</f>
        <v>25117200</v>
      </c>
      <c r="L73" s="1"/>
    </row>
    <row r="74" spans="1:12" x14ac:dyDescent="0.45">
      <c r="A74" s="20"/>
      <c r="B74" s="102"/>
      <c r="C74" s="22">
        <f t="shared" ref="C74:H74" si="4">SUM(C71:C73)</f>
        <v>272</v>
      </c>
      <c r="D74" s="22">
        <f t="shared" si="4"/>
        <v>31958633</v>
      </c>
      <c r="E74" s="22">
        <f t="shared" si="4"/>
        <v>4554850</v>
      </c>
      <c r="F74" s="22">
        <f t="shared" si="4"/>
        <v>11086583</v>
      </c>
      <c r="G74" s="22">
        <f t="shared" si="4"/>
        <v>16317200</v>
      </c>
      <c r="H74" s="22">
        <f t="shared" si="4"/>
        <v>31958633</v>
      </c>
      <c r="I74" s="113"/>
      <c r="K74" s="17"/>
      <c r="L74" s="1"/>
    </row>
    <row r="75" spans="1:12" x14ac:dyDescent="0.45">
      <c r="A75" s="20"/>
      <c r="B75" s="102"/>
      <c r="E75" s="102"/>
      <c r="F75" s="102"/>
      <c r="G75" s="102"/>
      <c r="H75" s="102"/>
      <c r="I75" s="102"/>
    </row>
    <row r="76" spans="1:12" x14ac:dyDescent="0.45">
      <c r="A76" s="103" t="s">
        <v>178</v>
      </c>
      <c r="B76" s="103"/>
      <c r="E76" s="102"/>
      <c r="F76" s="102"/>
      <c r="G76" s="102"/>
      <c r="H76" s="102"/>
      <c r="I76" s="102"/>
    </row>
    <row r="77" spans="1:12" x14ac:dyDescent="0.45">
      <c r="A77" s="20"/>
      <c r="B77" s="157"/>
      <c r="C77" s="164" t="s">
        <v>53</v>
      </c>
      <c r="D77" s="75" t="s">
        <v>54</v>
      </c>
      <c r="E77" s="164" t="s">
        <v>56</v>
      </c>
      <c r="F77" s="164" t="s">
        <v>57</v>
      </c>
      <c r="G77" s="102"/>
      <c r="H77" s="102"/>
      <c r="I77" s="102"/>
    </row>
    <row r="78" spans="1:12" x14ac:dyDescent="0.45">
      <c r="A78" s="20" t="s">
        <v>50</v>
      </c>
      <c r="B78" s="102">
        <f>B71</f>
        <v>20000</v>
      </c>
      <c r="C78" s="17">
        <f>C74</f>
        <v>272</v>
      </c>
      <c r="D78" s="161">
        <f>E74</f>
        <v>4554850</v>
      </c>
      <c r="E78" s="169">
        <v>146.6</v>
      </c>
      <c r="F78" s="27">
        <f>E78*C78</f>
        <v>39875.199999999997</v>
      </c>
      <c r="G78" s="102"/>
    </row>
    <row r="79" spans="1:12" x14ac:dyDescent="0.45">
      <c r="A79" s="20" t="s">
        <v>125</v>
      </c>
      <c r="B79" s="102">
        <v>80000</v>
      </c>
      <c r="C79" s="17"/>
      <c r="D79" s="161">
        <f>F74</f>
        <v>11086583</v>
      </c>
      <c r="E79" s="169">
        <v>6.95</v>
      </c>
      <c r="F79" s="22">
        <f t="shared" ref="F79" si="5">E79*(D79/1000)</f>
        <v>77051.751850000001</v>
      </c>
      <c r="G79" s="102"/>
    </row>
    <row r="80" spans="1:12" x14ac:dyDescent="0.45">
      <c r="A80" s="20" t="s">
        <v>51</v>
      </c>
      <c r="B80" s="166">
        <f>B73</f>
        <v>100000</v>
      </c>
      <c r="C80" s="170"/>
      <c r="D80" s="168">
        <f>G74</f>
        <v>16317200</v>
      </c>
      <c r="E80" s="171">
        <v>4.1900000000000004</v>
      </c>
      <c r="F80" s="21">
        <f>E80*(D80/1000)</f>
        <v>68369.068000000014</v>
      </c>
      <c r="G80" s="102"/>
    </row>
    <row r="81" spans="1:12" x14ac:dyDescent="0.45">
      <c r="A81" s="20"/>
      <c r="B81" s="102" t="s">
        <v>55</v>
      </c>
      <c r="C81" s="17">
        <f>SUM(C78:C80)</f>
        <v>272</v>
      </c>
      <c r="D81" s="22">
        <f>SUM(D78:D80)</f>
        <v>31958633</v>
      </c>
      <c r="F81" s="27">
        <f>SUM(F78:F80)</f>
        <v>185296.01985000001</v>
      </c>
      <c r="G81" s="27"/>
      <c r="H81" s="102"/>
      <c r="I81" s="172"/>
    </row>
    <row r="82" spans="1:12" x14ac:dyDescent="0.45">
      <c r="A82" s="20"/>
      <c r="B82" s="102"/>
      <c r="C82" s="17"/>
      <c r="D82" s="22"/>
      <c r="F82" s="27"/>
      <c r="G82" s="27"/>
      <c r="H82" s="102"/>
      <c r="I82" s="172"/>
    </row>
    <row r="83" spans="1:12" x14ac:dyDescent="0.45">
      <c r="A83" s="20"/>
      <c r="B83" s="19"/>
      <c r="C83" s="99"/>
      <c r="D83" s="67"/>
      <c r="E83" s="99"/>
      <c r="F83" s="99"/>
      <c r="G83" s="102"/>
      <c r="H83" s="102"/>
      <c r="I83" s="102"/>
      <c r="L83" s="22"/>
    </row>
    <row r="84" spans="1:12" ht="15.75" x14ac:dyDescent="0.5">
      <c r="A84" s="163" t="s">
        <v>182</v>
      </c>
    </row>
    <row r="85" spans="1:12" x14ac:dyDescent="0.45">
      <c r="E85" s="19" t="s">
        <v>50</v>
      </c>
      <c r="F85" s="19" t="s">
        <v>125</v>
      </c>
      <c r="G85" s="19" t="s">
        <v>51</v>
      </c>
      <c r="L85" s="1"/>
    </row>
    <row r="86" spans="1:12" x14ac:dyDescent="0.45">
      <c r="B86" s="157" t="s">
        <v>52</v>
      </c>
      <c r="C86" s="164" t="s">
        <v>53</v>
      </c>
      <c r="D86" s="75" t="s">
        <v>54</v>
      </c>
      <c r="E86" s="164">
        <f>B87</f>
        <v>50000</v>
      </c>
      <c r="F86" s="164">
        <f>B88</f>
        <v>50000</v>
      </c>
      <c r="G86" s="164">
        <f>B89</f>
        <v>100000</v>
      </c>
      <c r="H86" s="157" t="s">
        <v>55</v>
      </c>
      <c r="L86" s="1"/>
    </row>
    <row r="87" spans="1:12" x14ac:dyDescent="0.45">
      <c r="A87" s="20" t="s">
        <v>50</v>
      </c>
      <c r="B87" s="102">
        <v>50000</v>
      </c>
      <c r="C87" s="165">
        <v>18</v>
      </c>
      <c r="D87" s="161">
        <v>68550</v>
      </c>
      <c r="E87" s="161">
        <f>D87</f>
        <v>68550</v>
      </c>
      <c r="F87" s="161">
        <v>0</v>
      </c>
      <c r="G87" s="161">
        <v>0</v>
      </c>
      <c r="H87" s="161">
        <f>SUM(E87:G87)</f>
        <v>68550</v>
      </c>
      <c r="L87" s="1"/>
    </row>
    <row r="88" spans="1:12" x14ac:dyDescent="0.45">
      <c r="A88" s="20" t="s">
        <v>125</v>
      </c>
      <c r="B88" s="102">
        <v>50000</v>
      </c>
      <c r="C88" s="165">
        <v>2</v>
      </c>
      <c r="D88" s="161">
        <v>155000</v>
      </c>
      <c r="E88" s="161">
        <f>C88*B87</f>
        <v>100000</v>
      </c>
      <c r="F88" s="161">
        <f>D88-E88</f>
        <v>55000</v>
      </c>
      <c r="G88" s="161">
        <v>0</v>
      </c>
      <c r="H88" s="161">
        <f>SUM(E88:G88)</f>
        <v>155000</v>
      </c>
      <c r="L88" s="1"/>
    </row>
    <row r="89" spans="1:12" x14ac:dyDescent="0.45">
      <c r="A89" s="20" t="s">
        <v>51</v>
      </c>
      <c r="B89" s="166">
        <v>100000</v>
      </c>
      <c r="C89" s="167">
        <v>4</v>
      </c>
      <c r="D89" s="168">
        <v>851000</v>
      </c>
      <c r="E89" s="168">
        <f>C89*B87</f>
        <v>200000</v>
      </c>
      <c r="F89" s="168">
        <f>C89*F86</f>
        <v>200000</v>
      </c>
      <c r="G89" s="168">
        <f>D89-E89-F89</f>
        <v>451000</v>
      </c>
      <c r="H89" s="168">
        <f>SUM(E89:G89)</f>
        <v>851000</v>
      </c>
      <c r="L89" s="1"/>
    </row>
    <row r="90" spans="1:12" x14ac:dyDescent="0.45">
      <c r="A90" s="20"/>
      <c r="B90" s="102"/>
      <c r="C90" s="22">
        <f t="shared" ref="C90:H90" si="6">SUM(C87:C89)</f>
        <v>24</v>
      </c>
      <c r="D90" s="22">
        <f t="shared" si="6"/>
        <v>1074550</v>
      </c>
      <c r="E90" s="22">
        <f t="shared" si="6"/>
        <v>368550</v>
      </c>
      <c r="F90" s="22">
        <f t="shared" si="6"/>
        <v>255000</v>
      </c>
      <c r="G90" s="22">
        <f t="shared" si="6"/>
        <v>451000</v>
      </c>
      <c r="H90" s="22">
        <f t="shared" si="6"/>
        <v>1074550</v>
      </c>
      <c r="I90" s="113"/>
      <c r="K90" s="17"/>
      <c r="L90" s="1"/>
    </row>
    <row r="91" spans="1:12" x14ac:dyDescent="0.45">
      <c r="A91" s="20"/>
      <c r="B91" s="102"/>
      <c r="E91" s="102"/>
      <c r="F91" s="102"/>
      <c r="G91" s="102"/>
      <c r="H91" s="102"/>
      <c r="I91" s="102"/>
    </row>
    <row r="92" spans="1:12" x14ac:dyDescent="0.45">
      <c r="A92" s="103" t="s">
        <v>178</v>
      </c>
      <c r="B92" s="103"/>
      <c r="E92" s="102"/>
      <c r="F92" s="102"/>
      <c r="G92" s="102"/>
      <c r="H92" s="102"/>
      <c r="I92" s="102"/>
    </row>
    <row r="93" spans="1:12" x14ac:dyDescent="0.45">
      <c r="A93" s="20"/>
      <c r="B93" s="157"/>
      <c r="C93" s="164" t="s">
        <v>53</v>
      </c>
      <c r="D93" s="75" t="s">
        <v>54</v>
      </c>
      <c r="E93" s="164" t="s">
        <v>56</v>
      </c>
      <c r="F93" s="164" t="s">
        <v>57</v>
      </c>
      <c r="G93" s="102"/>
      <c r="H93" s="102"/>
      <c r="I93" s="102"/>
    </row>
    <row r="94" spans="1:12" x14ac:dyDescent="0.45">
      <c r="A94" s="20" t="s">
        <v>50</v>
      </c>
      <c r="B94" s="102">
        <f>B87</f>
        <v>50000</v>
      </c>
      <c r="C94" s="17">
        <f>C90</f>
        <v>24</v>
      </c>
      <c r="D94" s="161">
        <f>E90</f>
        <v>368550</v>
      </c>
      <c r="E94" s="169">
        <v>355.1</v>
      </c>
      <c r="F94" s="27">
        <f>E94*C94</f>
        <v>8522.4000000000015</v>
      </c>
      <c r="G94" s="102"/>
    </row>
    <row r="95" spans="1:12" x14ac:dyDescent="0.45">
      <c r="A95" s="20" t="s">
        <v>125</v>
      </c>
      <c r="B95" s="102">
        <v>50000</v>
      </c>
      <c r="C95" s="17"/>
      <c r="D95" s="161">
        <f>F90</f>
        <v>255000</v>
      </c>
      <c r="E95" s="169">
        <v>6.95</v>
      </c>
      <c r="F95" s="22">
        <f>E95*(D95/1000)</f>
        <v>1772.25</v>
      </c>
      <c r="G95" s="102"/>
    </row>
    <row r="96" spans="1:12" x14ac:dyDescent="0.45">
      <c r="A96" s="20" t="s">
        <v>51</v>
      </c>
      <c r="B96" s="166">
        <f>B89</f>
        <v>100000</v>
      </c>
      <c r="C96" s="170"/>
      <c r="D96" s="168">
        <f>G90</f>
        <v>451000</v>
      </c>
      <c r="E96" s="171">
        <v>4.1900000000000004</v>
      </c>
      <c r="F96" s="21">
        <f>E96*(D96/1000)</f>
        <v>1889.6900000000003</v>
      </c>
      <c r="G96" s="102"/>
    </row>
    <row r="97" spans="1:12" x14ac:dyDescent="0.45">
      <c r="A97" s="20"/>
      <c r="B97" s="102" t="s">
        <v>55</v>
      </c>
      <c r="C97" s="17">
        <f>SUM(C94:C96)</f>
        <v>24</v>
      </c>
      <c r="D97" s="22">
        <f>SUM(D94:D96)</f>
        <v>1074550</v>
      </c>
      <c r="F97" s="27">
        <f>SUM(F94:F96)</f>
        <v>12184.340000000002</v>
      </c>
      <c r="G97" s="27"/>
      <c r="H97" s="102"/>
      <c r="I97" s="172"/>
    </row>
    <row r="98" spans="1:12" x14ac:dyDescent="0.45">
      <c r="A98" s="20"/>
      <c r="B98" s="102"/>
      <c r="C98" s="153"/>
      <c r="D98" s="153"/>
      <c r="E98" s="153"/>
      <c r="F98" s="153"/>
      <c r="G98" s="153"/>
      <c r="H98" s="153"/>
      <c r="I98" s="153"/>
      <c r="L98" s="22"/>
    </row>
    <row r="99" spans="1:12" x14ac:dyDescent="0.45">
      <c r="A99" s="20"/>
      <c r="B99" s="102"/>
      <c r="C99" s="153"/>
      <c r="D99" s="153"/>
      <c r="E99" s="153"/>
      <c r="F99" s="153"/>
      <c r="G99" s="153"/>
      <c r="H99" s="153"/>
      <c r="I99" s="153"/>
      <c r="L99" s="22"/>
    </row>
  </sheetData>
  <mergeCells count="1">
    <mergeCell ref="A2:I2"/>
  </mergeCells>
  <pageMargins left="0.7" right="0.7" top="0.75" bottom="0.75" header="0.3" footer="0.3"/>
  <pageSetup fitToHeight="0" orientation="landscape" horizontalDpi="4294967293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SAO</vt:lpstr>
      <vt:lpstr>Wages</vt:lpstr>
      <vt:lpstr>Medical</vt:lpstr>
      <vt:lpstr>Depreciation</vt:lpstr>
      <vt:lpstr>Capital</vt:lpstr>
      <vt:lpstr>Rates</vt:lpstr>
      <vt:lpstr>CPR</vt:lpstr>
      <vt:lpstr>Bills</vt:lpstr>
      <vt:lpstr>ExBA</vt:lpstr>
      <vt:lpstr>PrBA</vt:lpstr>
      <vt:lpstr>Sys</vt:lpstr>
      <vt:lpstr>Mtrx</vt:lpstr>
      <vt:lpstr>Fac</vt:lpstr>
      <vt:lpstr>Whol</vt:lpstr>
      <vt:lpstr>Bills!Print_Area</vt:lpstr>
      <vt:lpstr>Depreciation!Print_Area</vt:lpstr>
      <vt:lpstr>ExBA!Print_Area</vt:lpstr>
      <vt:lpstr>Mtrx!Print_Area</vt:lpstr>
      <vt:lpstr>PrBA!Print_Area</vt:lpstr>
      <vt:lpstr>Rates!Print_Area</vt:lpstr>
      <vt:lpstr>SAO!Print_Area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2025-01-15T15:19:12Z</cp:lastPrinted>
  <dcterms:created xsi:type="dcterms:W3CDTF">2016-05-18T14:12:06Z</dcterms:created>
  <dcterms:modified xsi:type="dcterms:W3CDTF">2025-03-12T20:08:03Z</dcterms:modified>
</cp:coreProperties>
</file>