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team.duke-energy.com/sites/OHKYRegDiscovery/KY/KY 2024 IRP Considerations/Discovery/KSES 1st Set Data Request/"/>
    </mc:Choice>
  </mc:AlternateContent>
  <xr:revisionPtr revIDLastSave="0" documentId="13_ncr:1_{883D907D-EE31-48B0-9C70-41AEA9E5C797}" xr6:coauthVersionLast="47" xr6:coauthVersionMax="47" xr10:uidLastSave="{00000000-0000-0000-0000-000000000000}"/>
  <bookViews>
    <workbookView xWindow="-108" yWindow="-108" windowWidth="23256" windowHeight="13896" tabRatio="691" xr2:uid="{00000000-000D-0000-FFFF-FFFF00000000}"/>
  </bookViews>
  <sheets>
    <sheet name="Planning Parameters" sheetId="15" r:id="rId1"/>
    <sheet name="Net CONE" sheetId="14" r:id="rId2"/>
    <sheet name="Key Transmission Upgrades" sheetId="1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5" l="1"/>
  <c r="G49" i="15"/>
  <c r="I49" i="15"/>
  <c r="G51" i="15"/>
  <c r="I51" i="15"/>
  <c r="G52" i="15"/>
  <c r="G54" i="15"/>
  <c r="G55" i="15"/>
  <c r="G56" i="15"/>
  <c r="G57" i="15"/>
  <c r="G58" i="15"/>
  <c r="G59" i="15"/>
  <c r="G60" i="15"/>
  <c r="I61" i="15"/>
  <c r="G62" i="15"/>
  <c r="I63" i="15"/>
  <c r="G63" i="15"/>
  <c r="G64" i="15"/>
  <c r="I65" i="15"/>
  <c r="G65" i="15"/>
  <c r="G66" i="15"/>
  <c r="I67" i="15"/>
  <c r="G67" i="15"/>
  <c r="G68" i="15"/>
  <c r="I69" i="15"/>
  <c r="G69" i="15"/>
  <c r="G70" i="15"/>
  <c r="I72" i="15"/>
  <c r="G72" i="15"/>
  <c r="H73" i="15"/>
  <c r="H74" i="15"/>
  <c r="H75" i="15"/>
  <c r="H77" i="15"/>
  <c r="M33" i="15"/>
  <c r="E33" i="15"/>
  <c r="C33" i="15"/>
  <c r="B33" i="15"/>
  <c r="E26" i="15"/>
  <c r="D26" i="15"/>
  <c r="C26" i="15"/>
  <c r="B26" i="15" s="1"/>
  <c r="Q43" i="15"/>
  <c r="G41" i="14"/>
  <c r="H41" i="14" s="1"/>
  <c r="B41" i="14"/>
  <c r="H40" i="14"/>
  <c r="L16" i="15"/>
  <c r="H38" i="14"/>
  <c r="H37" i="14"/>
  <c r="H36" i="14"/>
  <c r="H35" i="14"/>
  <c r="H34" i="14"/>
  <c r="H33" i="14"/>
  <c r="H32" i="14"/>
  <c r="H31" i="14"/>
  <c r="H30" i="14"/>
  <c r="D29" i="14"/>
  <c r="H27" i="14"/>
  <c r="H26" i="14"/>
  <c r="H25" i="14"/>
  <c r="D24" i="14"/>
  <c r="H22" i="14"/>
  <c r="H21" i="14"/>
  <c r="D20" i="14"/>
  <c r="H18" i="14"/>
  <c r="H17" i="14"/>
  <c r="H16" i="14"/>
  <c r="H15" i="14"/>
  <c r="H14" i="14"/>
  <c r="H13" i="14"/>
  <c r="D12" i="14"/>
  <c r="I13" i="14" l="1"/>
  <c r="I18" i="14"/>
  <c r="J18" i="14" s="1"/>
  <c r="I17" i="14"/>
  <c r="J17" i="14" s="1"/>
  <c r="I16" i="14"/>
  <c r="J16" i="14" s="1"/>
  <c r="I15" i="14"/>
  <c r="I14" i="14"/>
  <c r="I27" i="14"/>
  <c r="I26" i="14"/>
  <c r="J26" i="14" s="1"/>
  <c r="I25" i="14"/>
  <c r="J25" i="14" s="1"/>
  <c r="J38" i="14"/>
  <c r="I31" i="14"/>
  <c r="J31" i="14" s="1"/>
  <c r="I32" i="14"/>
  <c r="I35" i="14"/>
  <c r="I36" i="14"/>
  <c r="J36" i="14" s="1"/>
  <c r="Q17" i="15" s="1"/>
  <c r="I37" i="14"/>
  <c r="J37" i="14" s="1"/>
  <c r="I33" i="14"/>
  <c r="I34" i="14"/>
  <c r="I38" i="14"/>
  <c r="I30" i="14"/>
  <c r="J30" i="14" s="1"/>
  <c r="J33" i="14"/>
  <c r="O17" i="15" s="1"/>
  <c r="O40" i="15" s="1"/>
  <c r="I40" i="14"/>
  <c r="J40" i="14" s="1"/>
  <c r="L17" i="15" s="1"/>
  <c r="I22" i="14"/>
  <c r="J22" i="14" s="1"/>
  <c r="I17" i="15" s="1"/>
  <c r="I21" i="14"/>
  <c r="J21" i="14" s="1"/>
  <c r="J34" i="14"/>
  <c r="P17" i="15" s="1"/>
  <c r="P21" i="15"/>
  <c r="O21" i="15"/>
  <c r="H76" i="15"/>
  <c r="I59" i="15"/>
  <c r="I57" i="15"/>
  <c r="I55" i="15"/>
  <c r="F43" i="15"/>
  <c r="I71" i="15"/>
  <c r="I52" i="15"/>
  <c r="I50" i="15"/>
  <c r="E43" i="15"/>
  <c r="G50" i="15"/>
  <c r="I60" i="15"/>
  <c r="I58" i="15"/>
  <c r="I56" i="15"/>
  <c r="I54" i="15"/>
  <c r="J43" i="15"/>
  <c r="I70" i="15"/>
  <c r="I68" i="15"/>
  <c r="I66" i="15"/>
  <c r="I64" i="15"/>
  <c r="I62" i="15"/>
  <c r="I23" i="15"/>
  <c r="I24" i="15"/>
  <c r="O24" i="15"/>
  <c r="Q24" i="15"/>
  <c r="Q25" i="15"/>
  <c r="Q23" i="15"/>
  <c r="G24" i="15"/>
  <c r="G23" i="15"/>
  <c r="G25" i="15"/>
  <c r="K23" i="15"/>
  <c r="K25" i="15"/>
  <c r="K24" i="15"/>
  <c r="H24" i="15"/>
  <c r="H23" i="15"/>
  <c r="H25" i="15"/>
  <c r="N25" i="15"/>
  <c r="N23" i="15"/>
  <c r="N24" i="15"/>
  <c r="M43" i="15"/>
  <c r="P43" i="15"/>
  <c r="I25" i="15"/>
  <c r="P40" i="15"/>
  <c r="R43" i="15"/>
  <c r="L43" i="15"/>
  <c r="B7" i="15"/>
  <c r="B12" i="15" s="1"/>
  <c r="D43" i="15"/>
  <c r="O16" i="15"/>
  <c r="O20" i="15" s="1"/>
  <c r="J13" i="14"/>
  <c r="J27" i="14"/>
  <c r="N17" i="15" s="1"/>
  <c r="N21" i="15" s="1"/>
  <c r="J14" i="14"/>
  <c r="H17" i="15" s="1"/>
  <c r="J15" i="14"/>
  <c r="R17" i="15" s="1"/>
  <c r="Q16" i="15"/>
  <c r="P16" i="15"/>
  <c r="P20" i="15" s="1"/>
  <c r="D41" i="14"/>
  <c r="I41" i="14" s="1"/>
  <c r="J32" i="14"/>
  <c r="J35" i="14"/>
  <c r="J23" i="14" l="1"/>
  <c r="I23" i="14" s="1"/>
  <c r="M17" i="15"/>
  <c r="L21" i="15"/>
  <c r="L40" i="15"/>
  <c r="L20" i="15"/>
  <c r="F17" i="15"/>
  <c r="F40" i="15" s="1"/>
  <c r="G17" i="15"/>
  <c r="G21" i="15" s="1"/>
  <c r="I40" i="15"/>
  <c r="I21" i="15"/>
  <c r="Q40" i="15"/>
  <c r="Q21" i="15"/>
  <c r="Q20" i="15"/>
  <c r="N40" i="15"/>
  <c r="R40" i="15"/>
  <c r="R21" i="15"/>
  <c r="R20" i="15"/>
  <c r="M40" i="15"/>
  <c r="M21" i="15"/>
  <c r="H40" i="15"/>
  <c r="H21" i="15"/>
  <c r="E17" i="15"/>
  <c r="K16" i="15"/>
  <c r="J16" i="15"/>
  <c r="J17" i="15"/>
  <c r="K17" i="15"/>
  <c r="F21" i="15"/>
  <c r="I48" i="15"/>
  <c r="F24" i="15"/>
  <c r="F25" i="15"/>
  <c r="F23" i="15"/>
  <c r="C43" i="15"/>
  <c r="O25" i="15"/>
  <c r="O23" i="15"/>
  <c r="M23" i="15"/>
  <c r="M34" i="15" s="1"/>
  <c r="M25" i="15"/>
  <c r="M24" i="15"/>
  <c r="M38" i="15" s="1"/>
  <c r="D25" i="15"/>
  <c r="D24" i="15"/>
  <c r="D23" i="15"/>
  <c r="E24" i="15"/>
  <c r="E38" i="15" s="1"/>
  <c r="E25" i="15"/>
  <c r="E23" i="15"/>
  <c r="E34" i="15" s="1"/>
  <c r="P25" i="15"/>
  <c r="P24" i="15"/>
  <c r="P23" i="15"/>
  <c r="L23" i="15"/>
  <c r="L25" i="15"/>
  <c r="L24" i="15"/>
  <c r="R24" i="15"/>
  <c r="R23" i="15"/>
  <c r="R25" i="15"/>
  <c r="J23" i="15"/>
  <c r="J25" i="15"/>
  <c r="J24" i="15"/>
  <c r="B25" i="15"/>
  <c r="B23" i="15"/>
  <c r="B34" i="15" s="1"/>
  <c r="B24" i="15"/>
  <c r="B38" i="15" s="1"/>
  <c r="N16" i="15"/>
  <c r="N20" i="15" s="1"/>
  <c r="J41" i="14"/>
  <c r="B17" i="15" s="1"/>
  <c r="B16" i="15"/>
  <c r="I16" i="15"/>
  <c r="I20" i="15" s="1"/>
  <c r="M16" i="15"/>
  <c r="M20" i="15" s="1"/>
  <c r="E16" i="15"/>
  <c r="H16" i="15"/>
  <c r="H20" i="15" s="1"/>
  <c r="D16" i="15"/>
  <c r="J19" i="14"/>
  <c r="I19" i="14" s="1"/>
  <c r="J28" i="14"/>
  <c r="I28" i="14" s="1"/>
  <c r="G40" i="15" l="1"/>
  <c r="G16" i="15"/>
  <c r="G20" i="15" s="1"/>
  <c r="F16" i="15"/>
  <c r="F20" i="15" s="1"/>
  <c r="K20" i="15"/>
  <c r="K40" i="15"/>
  <c r="K21" i="15"/>
  <c r="C17" i="15"/>
  <c r="E21" i="15"/>
  <c r="E40" i="15"/>
  <c r="E20" i="15"/>
  <c r="M37" i="15"/>
  <c r="M36" i="15" s="1"/>
  <c r="M28" i="15"/>
  <c r="J40" i="15"/>
  <c r="J20" i="15"/>
  <c r="J21" i="15"/>
  <c r="D17" i="15"/>
  <c r="B21" i="15"/>
  <c r="B20" i="15"/>
  <c r="B40" i="15"/>
  <c r="E39" i="15"/>
  <c r="C25" i="15"/>
  <c r="C24" i="15"/>
  <c r="C35" i="15" s="1"/>
  <c r="C23" i="15"/>
  <c r="C34" i="15" s="1"/>
  <c r="B39" i="15"/>
  <c r="M39" i="15"/>
  <c r="C16" i="15"/>
  <c r="C21" i="15" l="1"/>
  <c r="C40" i="15"/>
  <c r="C20" i="15"/>
  <c r="C28" i="15" s="1"/>
  <c r="D21" i="15"/>
  <c r="D20" i="15"/>
  <c r="D40" i="15"/>
  <c r="E28" i="15"/>
  <c r="E37" i="15"/>
  <c r="E36" i="15" s="1"/>
  <c r="B28" i="15"/>
  <c r="B37" i="15"/>
  <c r="B36" i="15" s="1"/>
  <c r="C39" i="15"/>
  <c r="C29" i="15" l="1"/>
  <c r="C37" i="15"/>
  <c r="C36" i="15" s="1"/>
</calcChain>
</file>

<file path=xl/sharedStrings.xml><?xml version="1.0" encoding="utf-8"?>
<sst xmlns="http://schemas.openxmlformats.org/spreadsheetml/2006/main" count="636" uniqueCount="182">
  <si>
    <t xml:space="preserve"> </t>
  </si>
  <si>
    <t>RTO</t>
  </si>
  <si>
    <t>Notes:</t>
  </si>
  <si>
    <t xml:space="preserve">Installed Reserve Margin (IRM) </t>
  </si>
  <si>
    <t>Forecast Pool Requirement (FPR)</t>
  </si>
  <si>
    <t>Preliminary Forecast Peak Load</t>
  </si>
  <si>
    <t>Locational Deliverability Area</t>
  </si>
  <si>
    <t>MAAC</t>
  </si>
  <si>
    <t>EMAAC</t>
  </si>
  <si>
    <t>SWMAAC</t>
  </si>
  <si>
    <t>PS</t>
  </si>
  <si>
    <t>PS NORTH</t>
  </si>
  <si>
    <t>DPL SOUTH</t>
  </si>
  <si>
    <t>PEPCO</t>
  </si>
  <si>
    <t>ATSI</t>
  </si>
  <si>
    <t>ATSI-Cleveland</t>
  </si>
  <si>
    <t>COMED</t>
  </si>
  <si>
    <t>BGE</t>
  </si>
  <si>
    <t>PL</t>
  </si>
  <si>
    <t>DAYTON</t>
  </si>
  <si>
    <t>DEOK</t>
  </si>
  <si>
    <t>CETO</t>
  </si>
  <si>
    <t>NA</t>
  </si>
  <si>
    <t>CETL</t>
  </si>
  <si>
    <t>Reliability Requirement</t>
  </si>
  <si>
    <t>Total Peak Load of FRR Entities</t>
  </si>
  <si>
    <t>Preliminary FRR Obligation</t>
  </si>
  <si>
    <t>Reliability Requirement adjusted for FRR</t>
  </si>
  <si>
    <t>Gross CONE, $/MW-Day (UCAP Price)</t>
  </si>
  <si>
    <t>Net CONE, $/MW-Day (UCAP Price)</t>
  </si>
  <si>
    <t>EE Addback (UCAP)</t>
  </si>
  <si>
    <t>Variable Resource Requirement Curve:</t>
  </si>
  <si>
    <t>Point (a) UCAP Price, $/MW-Day</t>
  </si>
  <si>
    <t>Point (b) UCAP Price, $/MW-Day</t>
  </si>
  <si>
    <t>Point (c) UCAP Price, $/MW-Day</t>
  </si>
  <si>
    <t>Point (a) UCAP Level, MW</t>
  </si>
  <si>
    <t>Point (b) UCAP Level, MW</t>
  </si>
  <si>
    <t>Point (c) UCAP Level, MW</t>
  </si>
  <si>
    <t>Nominated PRD Value, MW</t>
  </si>
  <si>
    <t>VRR Curve adjusted for PRD:</t>
  </si>
  <si>
    <t>Point (a1) UCAP Price, $/MW-Day</t>
  </si>
  <si>
    <t>Point (b1) UCAP Price, $/MW-Day</t>
  </si>
  <si>
    <t>Point (prd1) UCAP Price, $/MW-Day</t>
  </si>
  <si>
    <t>Point (prd2) UCAP Price, $/MW-Day</t>
  </si>
  <si>
    <t>Point (a1) UCAP Level, MW</t>
  </si>
  <si>
    <t>Point (b1) UCAP Level, MW</t>
  </si>
  <si>
    <t>Point (prd1) UCAP Level, MW</t>
  </si>
  <si>
    <t>Point (prd2) UCAP Level, MW</t>
  </si>
  <si>
    <t>Pre-Auction Credit Rate, $/MW</t>
  </si>
  <si>
    <t>FRR Load Requirement (% Obligation):</t>
  </si>
  <si>
    <t>Minimum Internal Resource Requirement</t>
  </si>
  <si>
    <t>LDA CETO/CETL Data; Zonal Peak Loads, Base Zonal FRR Scaling Factors, and FRR load.</t>
  </si>
  <si>
    <t>LDA/Zone</t>
  </si>
  <si>
    <t>CETL to CETO Ratio %</t>
  </si>
  <si>
    <t>Preliminary Zonal Peak Load Forecast</t>
  </si>
  <si>
    <t>Base Zonal FRR Scaling Factor</t>
  </si>
  <si>
    <t xml:space="preserve">FRR Portion of the Preliminary Peak Load Forecast       </t>
  </si>
  <si>
    <t>Preliminary Zonal Peak Load Forecast less FRR load</t>
  </si>
  <si>
    <t>AE</t>
  </si>
  <si>
    <t>&gt;115%</t>
  </si>
  <si>
    <t>AEP</t>
  </si>
  <si>
    <t>*</t>
  </si>
  <si>
    <t>APS</t>
  </si>
  <si>
    <t>ATSI-CLEVELAND</t>
  </si>
  <si>
    <t>DLCO</t>
  </si>
  <si>
    <t>DOM</t>
  </si>
  <si>
    <t>DPL</t>
  </si>
  <si>
    <t>EKPC</t>
  </si>
  <si>
    <t>JCPL</t>
  </si>
  <si>
    <t>METED</t>
  </si>
  <si>
    <t>OVEC</t>
  </si>
  <si>
    <t>PECO</t>
  </si>
  <si>
    <t>PENLC</t>
  </si>
  <si>
    <t>PL (incl. UGI)</t>
  </si>
  <si>
    <t>RECO</t>
  </si>
  <si>
    <t xml:space="preserve">  </t>
  </si>
  <si>
    <t>Western MAAC</t>
  </si>
  <si>
    <t>Western PJM</t>
  </si>
  <si>
    <t>* LDA has adequate internal resources to meet the reliability criterion.</t>
  </si>
  <si>
    <t>Limiting conditions at the CETL for modeled LDAs:</t>
  </si>
  <si>
    <t xml:space="preserve">LDA      </t>
  </si>
  <si>
    <t>Violation</t>
  </si>
  <si>
    <t>Limiting Facility</t>
  </si>
  <si>
    <t>PSNORTH</t>
  </si>
  <si>
    <t>DPLSOUTH</t>
  </si>
  <si>
    <t>ICAP to UCAP Conversion Factor:</t>
  </si>
  <si>
    <t>CONE Area 1: AE, DPL, JCPL, PECO, PS, RECO</t>
  </si>
  <si>
    <t>CONE Area 2: BGE, PEPCO</t>
  </si>
  <si>
    <t>CONE Area 4: MetEd, Penelec, PPL</t>
  </si>
  <si>
    <t>Zone/LDA</t>
  </si>
  <si>
    <t>Escalation</t>
  </si>
  <si>
    <t>Gross CONE, $/MW-Day, UCAP Price</t>
  </si>
  <si>
    <t>Net CONE,         $/MW-Day,    ICAP Price</t>
  </si>
  <si>
    <t>Net CONE,   $/MW-Day,  UCAP Price</t>
  </si>
  <si>
    <t>LDA Modeled with VRR Curve</t>
  </si>
  <si>
    <t>CONE Area 1</t>
  </si>
  <si>
    <t>PE</t>
  </si>
  <si>
    <t>PSEG</t>
  </si>
  <si>
    <t>PS, PSEG NORTH</t>
  </si>
  <si>
    <t>CONE Area 2</t>
  </si>
  <si>
    <t>CONE Area 4</t>
  </si>
  <si>
    <t>PENELEC</t>
  </si>
  <si>
    <t>PPL</t>
  </si>
  <si>
    <t>CONE Area 3</t>
  </si>
  <si>
    <t>ATSI, ATSI CLEVELAND</t>
  </si>
  <si>
    <t>Upgrade ID</t>
  </si>
  <si>
    <t>Description</t>
  </si>
  <si>
    <t>Transmission Owner</t>
  </si>
  <si>
    <t>Dominion</t>
  </si>
  <si>
    <t>None</t>
  </si>
  <si>
    <t>CETL (Capacity Emergency Transfer Limit)</t>
  </si>
  <si>
    <t>CETO (Capacity Emergency Transfer Objective)</t>
  </si>
  <si>
    <t>CONE Area 5</t>
  </si>
  <si>
    <t>CONE Area 3: AEP, APS, ATSI, Dayton, DEOK, Dominion, Duquesne (DLCo), EKPC, OVEC</t>
  </si>
  <si>
    <t>CONE Area 5: ComEd</t>
  </si>
  <si>
    <t>CONE Area 5 based on asset life factor of CONE Area 3. 25/26: 1.0069; 27/28: 1.0376; 28/29: 1.0581; 29/30: 1.0818</t>
  </si>
  <si>
    <t>UCAP Price = ICAP Price / Pool-Wide Average Accredited UCAP Factor</t>
  </si>
  <si>
    <t>Reference Resource Accredited UCAP Factor</t>
  </si>
  <si>
    <t>Based on reference resource AUCAPF</t>
  </si>
  <si>
    <t>2023 Zonal W/N Coincident Peak Loads</t>
  </si>
  <si>
    <t>Pool-Wide Accredited UCAP Factor</t>
  </si>
  <si>
    <t>2024 Load Report with adjustments for load served outside PJM.</t>
  </si>
  <si>
    <t>New Key Transmission Upgrades included for 2026/2027 model</t>
  </si>
  <si>
    <t>b3718.3</t>
  </si>
  <si>
    <t>Construct a new 500 kV transmission line for ~ 3.5 miles along with substation upgrades at Wishing Star and Mars. New right-of-way will be needed and will share same structures with the line. New conductor to have a minimum summer normal rating of 4357 MVA.</t>
  </si>
  <si>
    <t>b3718.1</t>
  </si>
  <si>
    <t>Install one 500/230kV 1440MVA transformer at a new substation called Wishing Star. Cut and extend 500 kV Line #546 (Brambleton-Mosby) and 500 kV Line #590 (Brambleton-Mosby) to the proposed Wishing Star substation. Lines to terminate in a 500 kV breaker and a half configuration.</t>
  </si>
  <si>
    <t>s2738</t>
  </si>
  <si>
    <t>*Obtain land and build a new 500/230kV Finneywood switching station at the intersection of 500kV Line #556 (Clover-Rawlings) and 230kV Line #235 (Cloud – Farmville).</t>
  </si>
  <si>
    <t>* Cut and terminate 500kV Line #556 into Finneywood 500/230kV switching station. Cut and terminate 230kV Line #235 into Finneywood 500/230kV switching station. In the new Finneywood switching station, install two 840 MVA 500/230kV transformers, a 230kV breaker and half bus with 12 breakers and a 500kV ring bus with 6 breakers.</t>
  </si>
  <si>
    <t>* Construct Butler Farm 230kV substation with four 230kV breaker ring bus to terminate two 230kV lines. Construct one new 230kV transmission line for approximately 20 miles from Clover Sub to Butler Farm Substation. Construct one new 230kV transmission line for approximately 10 miles from Finneywood Sub to Butler Farm Substation.</t>
  </si>
  <si>
    <t xml:space="preserve">*  New right-of-way will be needed for both transmission lines. New conductor to have a minimum summer normal rating of 1573 MVA.  </t>
  </si>
  <si>
    <t>b3211</t>
  </si>
  <si>
    <t>Rebuild the 1.3 mile section of 500 kV Line No.569 (Loudoun - Morrisville) with single-circuit 500 kV structures at the current 500 kV standard. This will increase the rating of the line to 3424 MVA.</t>
  </si>
  <si>
    <t>b2443.6</t>
  </si>
  <si>
    <t>Install a second 500/230 kV transformer at Possum Point substation and replace bus work and associated equipment as needed.</t>
  </si>
  <si>
    <t>b3020</t>
  </si>
  <si>
    <t>Rebuild 500kV Line #574 Ladysmith to Elmont - 26.2 miles long</t>
  </si>
  <si>
    <t>b3326.0</t>
  </si>
  <si>
    <t>Rebuild the 13707 Vienna-Nelson 138 kV line</t>
  </si>
  <si>
    <t>Key Transmission Upgrades included for 2025/2026 model but not included for 2026/2027 model</t>
  </si>
  <si>
    <t>RPM CONE and E&amp;AS Values for 2026/2027 Base Residual Auction</t>
  </si>
  <si>
    <t>2026/2027 BRA CONE: Levelized Revenue Requirement,     $/MW-Year *</t>
  </si>
  <si>
    <t>2026/2027 BRA CONE: Levelized Revenue Requirement, $/MW-Year</t>
  </si>
  <si>
    <t>Forward Net E&amp;AS Revenue Offset, $/MW-Year</t>
  </si>
  <si>
    <t>Reactive Services Offset,          $/MW-Year        per Tariff</t>
  </si>
  <si>
    <t>Total Net E&amp;AS Revenue Offset, $/MW-Year</t>
  </si>
  <si>
    <t>* The 2026/2027 BRA CONE values are based on PJM’s Quadrennial Review filing (Docket No. ER22-2984) which was FERC approved on February 14, 2023.</t>
  </si>
  <si>
    <t>2026-2027 RPM Base Residual Auction Planning Parameters</t>
  </si>
  <si>
    <t>endorsed at the July 24, 2024 MRC meeting https://www.pjm.com/-/media/committees-groups/committees/mrc/2024/20240724/20240724-item-05---irm-fpr-and-elcc-for-26-27-bra---presentation.ashx</t>
  </si>
  <si>
    <t>endorsed at the July 24, 2024 MRC meeting.</t>
  </si>
  <si>
    <t>Participant-Funded ICTRs Awarded*</t>
  </si>
  <si>
    <t>* - Participant Funded ICTRs will be updated on final Planning Parameters posting after the completion of the 26/27 BRA</t>
  </si>
  <si>
    <t>Mean Voltage</t>
  </si>
  <si>
    <t>Mean Thermal</t>
  </si>
  <si>
    <t>Discrete Thermal</t>
  </si>
  <si>
    <t>Mean/Discrete Voltage</t>
  </si>
  <si>
    <t>Mean/Discrete thermal</t>
  </si>
  <si>
    <t>Discrete Voltage</t>
  </si>
  <si>
    <t>&gt;2,367.9</t>
  </si>
  <si>
    <t>&gt;2,293.1</t>
  </si>
  <si>
    <t>&gt;2,171.2</t>
  </si>
  <si>
    <t>&gt;1,805.5</t>
  </si>
  <si>
    <t>&gt;1,031.6</t>
  </si>
  <si>
    <t>&gt;1,745.7</t>
  </si>
  <si>
    <t>&gt;3,348.8</t>
  </si>
  <si>
    <t>&gt;368.0</t>
  </si>
  <si>
    <t>Voltage collapse and low voltage in Dominion 500 kV transmission systems</t>
  </si>
  <si>
    <t xml:space="preserve">Low voltage at Brister 500 kV and srounding buses for the loss of Mt. Storm - Bismark 500 kV or Bismark - Doubs 500 kV
</t>
  </si>
  <si>
    <t>Voltage collapse due to the loss of Brighton - Conastone 500 kV line</t>
  </si>
  <si>
    <t>Brunswick - Meadow Road 230 kV ckt Z2331 for the loss of Metuchen -Pierson Ave - Meadow Rd- Deans 230 kV ckt s2219
Roseland - Williams PIPE 230 kV for the loss of Roseland - Cedar Grove 230 kV
Peach Bottom - Limerick 500 kV for the loss of Keeney - Rock Springs 500 kV</t>
  </si>
  <si>
    <t>Roseland - Williams PIPE   230 kV for the loss of Roseland - Cedar Grove 230 kV 
Stanley Terrance - McCarther  230kV   for the loss of WEST ORANGE - ORANGE HEIGHTS 230 kV
Kitattiny - Bush 230 kVline for the loss of Portland - Martins Creek 230 kV</t>
  </si>
  <si>
    <t>Silver Run - Cedar Creek 230 kV line for the loss of Silver Run - Cartanza 230 kV line</t>
  </si>
  <si>
    <t>Voltage collapse for the loss of Mt. Storm - Bismark 500 kV or Bismark - Doubs 500 kV circuit</t>
  </si>
  <si>
    <t>Sporn - Muskingum River 345 kV line for the loss of Muskingum River - Waterford 345 kV line</t>
  </si>
  <si>
    <t>Conastone - Peach Bottom 500 kV pre-contingency</t>
  </si>
  <si>
    <t>Dumont - Stillwell 345 kV for the loss of Dumont - Wilton 765 kV line
Olive - University Park 345 kV for the loss of Dumont - Wilton 765 kV line</t>
  </si>
  <si>
    <t>Voltage collapse for the loss of Conastone - Brighton 500 kV</t>
  </si>
  <si>
    <t xml:space="preserve">Wescosville 500/138 kV transformer pre-contingency
Loudoun - Morrisville 500 kV line for the loss of Brister - Ox 500 kV line  </t>
  </si>
  <si>
    <t>Low voltage on Overlook 138 kV for the loss of Greene 345/138 KV transformer, or loss of Greene - Knollwood 138 kV or Sugar - Foster 345 kV line</t>
  </si>
  <si>
    <t>Low voltage on Bismark 500 kV for the loss of Bedington - Black Oak 500 kV</t>
  </si>
  <si>
    <t>Smithburg - East Windsor 230 kV for the loss of Deans - Smithburg 500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</si>
</sst>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164" formatCode="#,##0.0"/>
    <numFmt numFmtId="165" formatCode="&quot;$&quot;#,##0.00"/>
    <numFmt numFmtId="166" formatCode="0.0%"/>
    <numFmt numFmtId="167" formatCode="0.0000"/>
    <numFmt numFmtId="168" formatCode="0.0"/>
    <numFmt numFmtId="169" formatCode="0.00000"/>
    <numFmt numFmtId="170" formatCode="0.000"/>
    <numFmt numFmtId="171" formatCode="&quot;$&quot;#,##0"/>
  </numFmts>
  <fonts count="19" x14ac:knownFonts="1">
    <font>
      <sz val="11"/>
      <color theme="1"/>
      <name val="Calibri"/>
      <family val="2"/>
      <scheme val="minor"/>
    </font>
    <font>
      <sz val="11"/>
      <color theme="1"/>
      <name val="Calibri"/>
      <family val="2"/>
      <scheme val="minor"/>
    </font>
    <font>
      <b/>
      <sz val="14"/>
      <name val="Arial"/>
      <family val="2"/>
    </font>
    <font>
      <b/>
      <sz val="14"/>
      <color rgb="FFFF0000"/>
      <name val="Arial"/>
      <family val="2"/>
    </font>
    <font>
      <b/>
      <sz val="12"/>
      <name val="Arial"/>
      <family val="2"/>
    </font>
    <font>
      <b/>
      <sz val="12"/>
      <color rgb="FFFF0000"/>
      <name val="Arial"/>
      <family val="2"/>
    </font>
    <font>
      <sz val="12"/>
      <name val="Arial"/>
      <family val="2"/>
    </font>
    <font>
      <sz val="12"/>
      <color theme="1"/>
      <name val="Arial"/>
      <family val="2"/>
    </font>
    <font>
      <b/>
      <sz val="10"/>
      <name val="Arial"/>
      <family val="2"/>
    </font>
    <font>
      <sz val="10"/>
      <name val="Arial"/>
      <family val="2"/>
    </font>
    <font>
      <b/>
      <sz val="12"/>
      <color theme="1"/>
      <name val="Arial"/>
      <family val="2"/>
    </font>
    <font>
      <sz val="11"/>
      <name val="Arial"/>
      <family val="2"/>
    </font>
    <font>
      <sz val="10"/>
      <color rgb="FFFF0000"/>
      <name val="Arial"/>
      <family val="2"/>
    </font>
    <font>
      <b/>
      <sz val="10"/>
      <color rgb="FFFF0000"/>
      <name val="Arial"/>
      <family val="2"/>
    </font>
    <font>
      <sz val="9"/>
      <color rgb="FFFF0000"/>
      <name val="Arial"/>
      <family val="2"/>
    </font>
    <font>
      <b/>
      <sz val="11"/>
      <name val="Arial"/>
      <family val="2"/>
    </font>
    <font>
      <sz val="10"/>
      <color theme="1"/>
      <name val="Arial"/>
      <family val="2"/>
    </font>
    <font>
      <sz val="10"/>
      <color rgb="FF000000"/>
      <name val="Arial"/>
      <family val="2"/>
    </font>
    <font>
      <sz val="11"/>
      <color rgb="FF000000"/>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EEE4EC"/>
        <bgColor indexed="64"/>
      </patternFill>
    </fill>
    <fill>
      <patternFill patternType="solid">
        <fgColor rgb="FFE4DFE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8">
    <xf numFmtId="0" fontId="0" fillId="0" borderId="0"/>
    <xf numFmtId="9" fontId="1" fillId="0" borderId="0" applyFont="0" applyFill="0" applyBorder="0" applyAlignment="0" applyProtection="0"/>
    <xf numFmtId="0" fontId="9" fillId="0" borderId="0">
      <alignment wrapText="1"/>
    </xf>
    <xf numFmtId="0" fontId="16" fillId="0" borderId="0"/>
    <xf numFmtId="0" fontId="9" fillId="0" borderId="0"/>
    <xf numFmtId="0" fontId="9" fillId="0" borderId="0">
      <alignment wrapText="1"/>
    </xf>
    <xf numFmtId="0" fontId="1" fillId="0" borderId="0"/>
    <xf numFmtId="0" fontId="9" fillId="0" borderId="0"/>
  </cellStyleXfs>
  <cellXfs count="245">
    <xf numFmtId="0" fontId="0" fillId="0" borderId="0" xfId="0"/>
    <xf numFmtId="0" fontId="2" fillId="0" borderId="0" xfId="0" applyFont="1" applyAlignment="1">
      <alignment vertical="center"/>
    </xf>
    <xf numFmtId="0" fontId="2" fillId="0" borderId="0" xfId="0" applyFont="1" applyAlignment="1">
      <alignment horizontal="left" vertical="center"/>
    </xf>
    <xf numFmtId="14" fontId="2" fillId="0" borderId="0" xfId="0" applyNumberFormat="1"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xf>
    <xf numFmtId="164" fontId="5" fillId="0" borderId="0" xfId="0" applyNumberFormat="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1" fontId="5" fillId="0" borderId="0" xfId="0" applyNumberFormat="1" applyFont="1" applyAlignment="1">
      <alignment horizontal="left" vertical="center"/>
    </xf>
    <xf numFmtId="165" fontId="5" fillId="0" borderId="0" xfId="0" applyNumberFormat="1" applyFont="1" applyAlignment="1">
      <alignment horizontal="left" vertical="center"/>
    </xf>
    <xf numFmtId="0" fontId="2" fillId="0" borderId="2" xfId="0" applyFont="1" applyBorder="1" applyAlignment="1">
      <alignment horizontal="center"/>
    </xf>
    <xf numFmtId="165" fontId="6" fillId="0" borderId="1" xfId="0" applyNumberFormat="1" applyFont="1" applyBorder="1" applyAlignment="1">
      <alignment horizontal="center" vertical="center"/>
    </xf>
    <xf numFmtId="0" fontId="8" fillId="0" borderId="3" xfId="0" applyFont="1" applyBorder="1" applyAlignment="1">
      <alignment horizontal="center" vertical="center" wrapText="1"/>
    </xf>
    <xf numFmtId="0" fontId="4" fillId="0" borderId="4" xfId="0" applyFont="1" applyBorder="1" applyAlignment="1">
      <alignment horizontal="center" vertical="center"/>
    </xf>
    <xf numFmtId="0" fontId="6" fillId="0" borderId="5" xfId="0" applyFont="1" applyBorder="1" applyAlignment="1">
      <alignment horizontal="left" vertical="center" wrapText="1"/>
    </xf>
    <xf numFmtId="164" fontId="6" fillId="0" borderId="1" xfId="0" applyNumberFormat="1" applyFont="1" applyBorder="1" applyAlignment="1">
      <alignment horizontal="right" vertical="center" wrapText="1"/>
    </xf>
    <xf numFmtId="164" fontId="7"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165" fontId="6"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165" fontId="4" fillId="0" borderId="1" xfId="0" applyNumberFormat="1" applyFont="1" applyBorder="1" applyAlignment="1">
      <alignment horizontal="right" vertical="center" wrapText="1"/>
    </xf>
    <xf numFmtId="0" fontId="6" fillId="2" borderId="8" xfId="0" applyFont="1" applyFill="1" applyBorder="1" applyAlignment="1">
      <alignment horizontal="left" vertical="center" wrapText="1"/>
    </xf>
    <xf numFmtId="165" fontId="6" fillId="2" borderId="9" xfId="0" applyNumberFormat="1" applyFont="1" applyFill="1" applyBorder="1" applyAlignment="1">
      <alignment horizontal="right" vertical="center" wrapText="1"/>
    </xf>
    <xf numFmtId="165" fontId="6" fillId="2" borderId="10" xfId="0" applyNumberFormat="1" applyFont="1" applyFill="1" applyBorder="1" applyAlignment="1">
      <alignment horizontal="right" vertical="center" wrapText="1"/>
    </xf>
    <xf numFmtId="0" fontId="6" fillId="2" borderId="5" xfId="0" applyFont="1" applyFill="1" applyBorder="1" applyAlignment="1">
      <alignment horizontal="left" vertical="center" wrapText="1"/>
    </xf>
    <xf numFmtId="165" fontId="6" fillId="2" borderId="1" xfId="0" applyNumberFormat="1" applyFont="1" applyFill="1" applyBorder="1" applyAlignment="1">
      <alignment horizontal="right" vertical="center" wrapText="1"/>
    </xf>
    <xf numFmtId="165" fontId="6" fillId="2" borderId="11" xfId="0" applyNumberFormat="1" applyFont="1" applyFill="1" applyBorder="1" applyAlignment="1">
      <alignment horizontal="right" vertical="center" wrapText="1"/>
    </xf>
    <xf numFmtId="0" fontId="6" fillId="2" borderId="12" xfId="0" applyFont="1" applyFill="1" applyBorder="1" applyAlignment="1">
      <alignment horizontal="left" vertical="center" wrapText="1"/>
    </xf>
    <xf numFmtId="0" fontId="4" fillId="0" borderId="3" xfId="0" applyFont="1" applyBorder="1" applyAlignment="1">
      <alignment horizontal="left" vertical="center" wrapText="1"/>
    </xf>
    <xf numFmtId="165" fontId="7" fillId="0" borderId="4" xfId="0" applyNumberFormat="1" applyFont="1" applyBorder="1" applyAlignment="1">
      <alignment horizontal="right" vertical="center"/>
    </xf>
    <xf numFmtId="166" fontId="6" fillId="0" borderId="1" xfId="0" applyNumberFormat="1" applyFont="1" applyBorder="1" applyAlignment="1">
      <alignment horizontal="right" vertical="center" wrapText="1"/>
    </xf>
    <xf numFmtId="166" fontId="6" fillId="0" borderId="1" xfId="1" applyNumberFormat="1" applyFont="1" applyFill="1" applyBorder="1" applyAlignment="1">
      <alignment horizontal="right" vertical="center"/>
    </xf>
    <xf numFmtId="166" fontId="6" fillId="0" borderId="1" xfId="1" applyNumberFormat="1" applyFont="1" applyBorder="1" applyAlignment="1">
      <alignment horizontal="right" vertical="center"/>
    </xf>
    <xf numFmtId="164" fontId="0" fillId="0" borderId="0" xfId="0" applyNumberFormat="1" applyAlignment="1">
      <alignment horizontal="left"/>
    </xf>
    <xf numFmtId="0" fontId="9" fillId="0" borderId="0" xfId="0" applyFont="1"/>
    <xf numFmtId="0" fontId="4" fillId="0" borderId="1" xfId="0" applyFont="1" applyBorder="1" applyAlignment="1">
      <alignment horizontal="right" vertical="center" wrapText="1"/>
    </xf>
    <xf numFmtId="0" fontId="4" fillId="0" borderId="1" xfId="0" applyFont="1" applyBorder="1" applyAlignment="1">
      <alignment horizontal="center" vertical="center" wrapText="1"/>
    </xf>
    <xf numFmtId="0" fontId="9" fillId="0" borderId="0" xfId="0" applyFont="1" applyAlignment="1">
      <alignment vertical="center"/>
    </xf>
    <xf numFmtId="0" fontId="6" fillId="0" borderId="1" xfId="0" applyFont="1" applyBorder="1" applyAlignment="1">
      <alignment horizontal="right" vertical="center" wrapText="1"/>
    </xf>
    <xf numFmtId="168" fontId="7" fillId="0" borderId="1" xfId="0" applyNumberFormat="1" applyFont="1" applyBorder="1" applyAlignment="1">
      <alignment horizontal="right" vertical="center" wrapText="1"/>
    </xf>
    <xf numFmtId="0" fontId="6" fillId="0" borderId="1" xfId="0" applyFont="1" applyBorder="1" applyAlignment="1">
      <alignment horizontal="right" vertical="center"/>
    </xf>
    <xf numFmtId="169" fontId="7" fillId="0" borderId="1" xfId="1" applyNumberFormat="1" applyFont="1" applyBorder="1" applyAlignment="1">
      <alignment horizontal="right" vertical="center"/>
    </xf>
    <xf numFmtId="164" fontId="6" fillId="0" borderId="1" xfId="1" applyNumberFormat="1" applyFont="1" applyBorder="1" applyAlignment="1">
      <alignment horizontal="right" vertical="center"/>
    </xf>
    <xf numFmtId="169" fontId="6" fillId="0" borderId="1" xfId="1" applyNumberFormat="1" applyFont="1" applyBorder="1" applyAlignment="1">
      <alignment horizontal="right" vertical="center"/>
    </xf>
    <xf numFmtId="168" fontId="6" fillId="0" borderId="1" xfId="1" applyNumberFormat="1" applyFont="1" applyBorder="1" applyAlignment="1">
      <alignment horizontal="right" vertical="center"/>
    </xf>
    <xf numFmtId="0" fontId="6" fillId="0" borderId="0" xfId="0" applyFont="1"/>
    <xf numFmtId="0" fontId="2" fillId="0" borderId="0" xfId="0" applyFont="1"/>
    <xf numFmtId="10" fontId="4" fillId="3" borderId="1" xfId="1" applyNumberFormat="1" applyFont="1" applyFill="1" applyBorder="1" applyAlignment="1">
      <alignment vertical="center"/>
    </xf>
    <xf numFmtId="0" fontId="0" fillId="0" borderId="0" xfId="0" applyAlignment="1">
      <alignment wrapText="1"/>
    </xf>
    <xf numFmtId="0" fontId="13" fillId="0" borderId="0" xfId="0" applyFont="1" applyAlignment="1">
      <alignment horizontal="center" vertical="center"/>
    </xf>
    <xf numFmtId="8" fontId="0" fillId="0" borderId="0" xfId="0" applyNumberFormat="1"/>
    <xf numFmtId="0" fontId="14" fillId="0" borderId="0" xfId="0" applyFont="1" applyAlignment="1">
      <alignment horizontal="center" vertical="center"/>
    </xf>
    <xf numFmtId="0" fontId="13" fillId="0" borderId="0" xfId="0" applyFont="1" applyAlignment="1">
      <alignment horizontal="left"/>
    </xf>
    <xf numFmtId="0" fontId="4" fillId="4" borderId="21" xfId="0" applyFont="1" applyFill="1" applyBorder="1" applyAlignment="1">
      <alignmen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4" borderId="8" xfId="0" applyFont="1" applyFill="1" applyBorder="1" applyAlignment="1">
      <alignment wrapText="1"/>
    </xf>
    <xf numFmtId="6" fontId="6" fillId="0" borderId="9" xfId="0" applyNumberFormat="1" applyFont="1" applyBorder="1" applyAlignment="1">
      <alignment horizontal="center" vertical="center" wrapText="1"/>
    </xf>
    <xf numFmtId="170" fontId="6" fillId="0" borderId="9" xfId="0" applyNumberFormat="1" applyFont="1" applyBorder="1" applyAlignment="1">
      <alignment horizontal="center" vertical="center" wrapText="1"/>
    </xf>
    <xf numFmtId="165" fontId="6" fillId="0" borderId="9" xfId="0" applyNumberFormat="1" applyFont="1" applyBorder="1" applyAlignment="1">
      <alignment horizontal="center" vertical="center" wrapText="1"/>
    </xf>
    <xf numFmtId="0" fontId="6" fillId="0" borderId="9" xfId="0" applyFont="1" applyBorder="1" applyAlignment="1">
      <alignment vertical="center" wrapText="1"/>
    </xf>
    <xf numFmtId="0" fontId="4" fillId="0" borderId="9" xfId="0" applyFont="1" applyBorder="1" applyAlignment="1">
      <alignment vertical="center" wrapText="1"/>
    </xf>
    <xf numFmtId="0" fontId="0" fillId="0" borderId="10" xfId="0" applyBorder="1" applyAlignment="1">
      <alignment horizontal="center"/>
    </xf>
    <xf numFmtId="0" fontId="6" fillId="4" borderId="5" xfId="0" applyFont="1" applyFill="1" applyBorder="1" applyAlignment="1">
      <alignment horizontal="left" vertical="center" wrapText="1"/>
    </xf>
    <xf numFmtId="6"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71" fontId="6" fillId="0" borderId="1" xfId="0" applyNumberFormat="1" applyFont="1" applyBorder="1" applyAlignment="1">
      <alignment horizontal="center"/>
    </xf>
    <xf numFmtId="171" fontId="6" fillId="0" borderId="1" xfId="0" applyNumberFormat="1" applyFont="1" applyBorder="1" applyAlignment="1">
      <alignment horizontal="center" vertical="center" wrapText="1"/>
    </xf>
    <xf numFmtId="0" fontId="0" fillId="0" borderId="11" xfId="0" applyBorder="1" applyAlignment="1">
      <alignment horizontal="center"/>
    </xf>
    <xf numFmtId="0" fontId="6" fillId="0" borderId="11" xfId="0" applyFont="1" applyBorder="1" applyAlignment="1">
      <alignment horizontal="center"/>
    </xf>
    <xf numFmtId="0" fontId="6" fillId="0" borderId="11" xfId="0" applyFont="1" applyBorder="1" applyAlignment="1">
      <alignment horizontal="center" vertical="center"/>
    </xf>
    <xf numFmtId="0" fontId="4" fillId="4" borderId="12" xfId="0" applyFont="1" applyFill="1" applyBorder="1" applyAlignment="1">
      <alignment horizontal="left" vertical="center" wrapText="1"/>
    </xf>
    <xf numFmtId="6" fontId="6" fillId="0" borderId="13" xfId="0" applyNumberFormat="1" applyFont="1" applyBorder="1" applyAlignment="1">
      <alignment horizontal="center" vertical="center" wrapText="1"/>
    </xf>
    <xf numFmtId="165" fontId="6" fillId="0" borderId="13" xfId="0" applyNumberFormat="1" applyFont="1" applyBorder="1" applyAlignment="1">
      <alignment horizontal="center" vertical="center" wrapText="1"/>
    </xf>
    <xf numFmtId="171" fontId="6" fillId="0" borderId="13" xfId="0" applyNumberFormat="1" applyFont="1" applyBorder="1" applyAlignment="1">
      <alignment horizontal="center" vertical="center" wrapText="1"/>
    </xf>
    <xf numFmtId="0" fontId="6" fillId="0" borderId="14" xfId="0" applyFont="1" applyBorder="1" applyAlignment="1">
      <alignment horizontal="center" vertical="center"/>
    </xf>
    <xf numFmtId="171" fontId="6" fillId="0" borderId="9"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0" fontId="6" fillId="4" borderId="5" xfId="0" applyFont="1" applyFill="1" applyBorder="1" applyAlignment="1">
      <alignment wrapText="1"/>
    </xf>
    <xf numFmtId="0" fontId="4" fillId="4" borderId="21" xfId="0" applyFont="1" applyFill="1" applyBorder="1" applyAlignment="1">
      <alignment horizontal="left" vertical="center" wrapText="1"/>
    </xf>
    <xf numFmtId="6" fontId="6" fillId="0" borderId="22" xfId="0" applyNumberFormat="1" applyFont="1" applyBorder="1" applyAlignment="1">
      <alignment horizontal="center" vertical="center" wrapText="1"/>
    </xf>
    <xf numFmtId="165" fontId="6" fillId="0" borderId="22" xfId="0" applyNumberFormat="1" applyFont="1" applyBorder="1" applyAlignment="1">
      <alignment horizontal="center" vertical="center" wrapText="1"/>
    </xf>
    <xf numFmtId="171" fontId="6" fillId="0" borderId="22" xfId="0" applyNumberFormat="1" applyFont="1" applyBorder="1" applyAlignment="1">
      <alignment horizontal="center"/>
    </xf>
    <xf numFmtId="171" fontId="6" fillId="0" borderId="22" xfId="0" applyNumberFormat="1" applyFont="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0" xfId="0" applyFont="1" applyAlignment="1">
      <alignment vertical="center" wrapText="1"/>
    </xf>
    <xf numFmtId="171" fontId="6" fillId="0" borderId="0" xfId="0" applyNumberFormat="1" applyFont="1" applyAlignment="1">
      <alignment vertical="center" wrapText="1"/>
    </xf>
    <xf numFmtId="0" fontId="6" fillId="5" borderId="5" xfId="0" applyFont="1" applyFill="1" applyBorder="1" applyAlignment="1">
      <alignment horizontal="left" vertical="center" wrapText="1"/>
    </xf>
    <xf numFmtId="165" fontId="6" fillId="5" borderId="1" xfId="0" applyNumberFormat="1" applyFont="1" applyFill="1" applyBorder="1" applyAlignment="1">
      <alignment horizontal="right" vertical="center" wrapText="1"/>
    </xf>
    <xf numFmtId="164" fontId="6" fillId="5" borderId="1" xfId="0" applyNumberFormat="1" applyFont="1" applyFill="1" applyBorder="1" applyAlignment="1">
      <alignment horizontal="right" vertical="center" wrapText="1"/>
    </xf>
    <xf numFmtId="0" fontId="6" fillId="5" borderId="12" xfId="0" applyFont="1" applyFill="1" applyBorder="1" applyAlignment="1">
      <alignment horizontal="left" vertical="center" wrapText="1"/>
    </xf>
    <xf numFmtId="164" fontId="6" fillId="5" borderId="13" xfId="0" applyNumberFormat="1" applyFont="1" applyFill="1" applyBorder="1" applyAlignment="1">
      <alignment horizontal="right" vertical="center" wrapText="1"/>
    </xf>
    <xf numFmtId="165" fontId="6" fillId="2" borderId="13" xfId="0" applyNumberFormat="1" applyFont="1" applyFill="1" applyBorder="1" applyAlignment="1">
      <alignment horizontal="right" vertical="center" wrapText="1"/>
    </xf>
    <xf numFmtId="165" fontId="6" fillId="2" borderId="14" xfId="0" applyNumberFormat="1" applyFont="1" applyFill="1" applyBorder="1" applyAlignment="1">
      <alignment horizontal="right" vertical="center" wrapText="1"/>
    </xf>
    <xf numFmtId="0" fontId="6" fillId="8" borderId="8" xfId="0" applyFont="1" applyFill="1" applyBorder="1" applyAlignment="1">
      <alignment horizontal="left" vertical="center" wrapText="1"/>
    </xf>
    <xf numFmtId="164" fontId="6" fillId="8" borderId="9" xfId="0" applyNumberFormat="1" applyFont="1" applyFill="1" applyBorder="1" applyAlignment="1">
      <alignment horizontal="right" vertical="center" wrapText="1"/>
    </xf>
    <xf numFmtId="0" fontId="6" fillId="8" borderId="5" xfId="0" applyFont="1" applyFill="1" applyBorder="1" applyAlignment="1">
      <alignment horizontal="left" vertical="center" wrapText="1"/>
    </xf>
    <xf numFmtId="164" fontId="6" fillId="8" borderId="1" xfId="0" applyNumberFormat="1" applyFont="1" applyFill="1" applyBorder="1" applyAlignment="1">
      <alignment horizontal="right" vertical="center" wrapText="1"/>
    </xf>
    <xf numFmtId="0" fontId="6" fillId="8" borderId="12" xfId="0" applyFont="1" applyFill="1" applyBorder="1" applyAlignment="1">
      <alignment horizontal="left" vertical="center" wrapText="1"/>
    </xf>
    <xf numFmtId="164" fontId="6" fillId="8" borderId="13" xfId="0" applyNumberFormat="1" applyFont="1" applyFill="1" applyBorder="1" applyAlignment="1">
      <alignment horizontal="right" vertical="center" wrapText="1"/>
    </xf>
    <xf numFmtId="0" fontId="15" fillId="0" borderId="21" xfId="2" applyFont="1" applyBorder="1" applyAlignment="1">
      <alignment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wrapText="1"/>
    </xf>
    <xf numFmtId="0" fontId="9" fillId="0" borderId="1" xfId="3" applyFont="1" applyBorder="1" applyAlignment="1">
      <alignment vertical="center" wrapText="1"/>
    </xf>
    <xf numFmtId="0" fontId="9" fillId="0" borderId="11" xfId="3" applyFont="1" applyBorder="1" applyAlignment="1">
      <alignment horizontal="center" vertical="center"/>
    </xf>
    <xf numFmtId="0" fontId="9" fillId="0" borderId="5" xfId="3" applyFont="1" applyBorder="1" applyAlignment="1">
      <alignment vertical="center"/>
    </xf>
    <xf numFmtId="0" fontId="15" fillId="0" borderId="5" xfId="2" applyFont="1" applyBorder="1" applyAlignment="1">
      <alignment vertical="center"/>
    </xf>
    <xf numFmtId="0" fontId="15" fillId="0" borderId="11" xfId="2" applyFont="1" applyBorder="1" applyAlignment="1">
      <alignment horizontal="center" vertical="center" wrapText="1"/>
    </xf>
    <xf numFmtId="0" fontId="5" fillId="0" borderId="0" xfId="0" applyFont="1" applyAlignment="1">
      <alignment horizontal="left" vertical="center" wrapText="1"/>
    </xf>
    <xf numFmtId="164" fontId="9" fillId="0" borderId="0" xfId="0" applyNumberFormat="1" applyFont="1" applyAlignment="1">
      <alignment vertical="center"/>
    </xf>
    <xf numFmtId="164" fontId="0" fillId="0" borderId="0" xfId="0" applyNumberFormat="1"/>
    <xf numFmtId="166" fontId="6" fillId="9" borderId="2" xfId="0" applyNumberFormat="1" applyFont="1" applyFill="1" applyBorder="1" applyAlignment="1">
      <alignment horizontal="right" vertical="center"/>
    </xf>
    <xf numFmtId="10" fontId="6" fillId="9" borderId="2" xfId="0" applyNumberFormat="1" applyFont="1" applyFill="1" applyBorder="1" applyAlignment="1">
      <alignment horizontal="right" vertical="center"/>
    </xf>
    <xf numFmtId="167" fontId="6" fillId="9" borderId="2" xfId="0" applyNumberFormat="1" applyFont="1" applyFill="1" applyBorder="1" applyAlignment="1">
      <alignment horizontal="right" vertical="center"/>
    </xf>
    <xf numFmtId="164" fontId="10" fillId="9" borderId="1" xfId="0" applyNumberFormat="1" applyFont="1" applyFill="1" applyBorder="1" applyAlignment="1">
      <alignment horizontal="right" vertical="center" wrapText="1"/>
    </xf>
    <xf numFmtId="164" fontId="7" fillId="9" borderId="6" xfId="1" applyNumberFormat="1" applyFont="1" applyFill="1" applyBorder="1" applyAlignment="1">
      <alignment horizontal="right" vertical="center"/>
    </xf>
    <xf numFmtId="164" fontId="6" fillId="9" borderId="1" xfId="1" applyNumberFormat="1" applyFont="1" applyFill="1" applyBorder="1" applyAlignment="1">
      <alignment horizontal="right" vertical="center"/>
    </xf>
    <xf numFmtId="164" fontId="7" fillId="9" borderId="1" xfId="1" applyNumberFormat="1" applyFont="1" applyFill="1" applyBorder="1" applyAlignment="1">
      <alignment horizontal="right" vertical="center"/>
    </xf>
    <xf numFmtId="164" fontId="7" fillId="9" borderId="2" xfId="0" applyNumberFormat="1" applyFont="1" applyFill="1" applyBorder="1" applyAlignment="1">
      <alignment horizontal="right" vertical="center"/>
    </xf>
    <xf numFmtId="164" fontId="4" fillId="9" borderId="7" xfId="0" applyNumberFormat="1" applyFont="1" applyFill="1" applyBorder="1" applyAlignment="1">
      <alignment horizontal="right" vertical="center" wrapText="1"/>
    </xf>
    <xf numFmtId="164" fontId="6" fillId="9" borderId="4" xfId="1" applyNumberFormat="1" applyFont="1" applyFill="1" applyBorder="1" applyAlignment="1">
      <alignment horizontal="right" vertical="center"/>
    </xf>
    <xf numFmtId="164" fontId="7" fillId="9" borderId="1" xfId="0" applyNumberFormat="1" applyFont="1" applyFill="1" applyBorder="1" applyAlignment="1">
      <alignment horizontal="right" vertical="center" wrapText="1"/>
    </xf>
    <xf numFmtId="164" fontId="6" fillId="9" borderId="1" xfId="0" applyNumberFormat="1" applyFont="1" applyFill="1" applyBorder="1" applyAlignment="1">
      <alignment horizontal="right" vertical="center" wrapText="1"/>
    </xf>
    <xf numFmtId="0" fontId="2" fillId="10" borderId="0" xfId="0" applyFont="1" applyFill="1"/>
    <xf numFmtId="0" fontId="6" fillId="11" borderId="0" xfId="0" applyFont="1" applyFill="1" applyAlignment="1">
      <alignment horizontal="left" vertical="center"/>
    </xf>
    <xf numFmtId="0" fontId="9" fillId="11" borderId="0" xfId="0" applyFont="1" applyFill="1" applyAlignment="1">
      <alignment horizontal="center"/>
    </xf>
    <xf numFmtId="0" fontId="6" fillId="9" borderId="1" xfId="0" applyFont="1" applyFill="1" applyBorder="1" applyAlignment="1">
      <alignment horizontal="right" vertical="center" wrapText="1"/>
    </xf>
    <xf numFmtId="164" fontId="6" fillId="9" borderId="1" xfId="0" applyNumberFormat="1" applyFont="1" applyFill="1" applyBorder="1" applyAlignment="1">
      <alignment horizontal="right" vertical="center"/>
    </xf>
    <xf numFmtId="9" fontId="6" fillId="9" borderId="1" xfId="1" applyFont="1" applyFill="1" applyBorder="1" applyAlignment="1">
      <alignment horizontal="right" vertical="center" wrapText="1"/>
    </xf>
    <xf numFmtId="164" fontId="4" fillId="9" borderId="1" xfId="0" applyNumberFormat="1" applyFont="1" applyFill="1" applyBorder="1" applyAlignment="1">
      <alignment horizontal="right" vertical="center"/>
    </xf>
    <xf numFmtId="0" fontId="6" fillId="9" borderId="5" xfId="0" applyFont="1" applyFill="1" applyBorder="1" applyAlignment="1">
      <alignment horizontal="left" vertical="center" wrapText="1"/>
    </xf>
    <xf numFmtId="1" fontId="6" fillId="9" borderId="5" xfId="0" applyNumberFormat="1" applyFont="1" applyFill="1" applyBorder="1" applyAlignment="1">
      <alignment horizontal="left" vertical="center" wrapText="1"/>
    </xf>
    <xf numFmtId="1" fontId="6" fillId="9" borderId="5" xfId="0" applyNumberFormat="1" applyFont="1" applyFill="1" applyBorder="1" applyAlignment="1">
      <alignment horizontal="left" vertical="center"/>
    </xf>
    <xf numFmtId="0" fontId="6"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 fontId="6" fillId="9" borderId="6" xfId="0" applyNumberFormat="1" applyFont="1" applyFill="1" applyBorder="1" applyAlignment="1">
      <alignment horizontal="left" vertical="center"/>
    </xf>
    <xf numFmtId="0" fontId="0" fillId="0" borderId="0" xfId="0" applyAlignment="1">
      <alignment horizontal="center"/>
    </xf>
    <xf numFmtId="0" fontId="6" fillId="4" borderId="31" xfId="0" applyFont="1" applyFill="1" applyBorder="1" applyAlignment="1">
      <alignment horizontal="left" vertical="center" wrapText="1"/>
    </xf>
    <xf numFmtId="6" fontId="6" fillId="0" borderId="17" xfId="0" applyNumberFormat="1" applyFont="1" applyBorder="1" applyAlignment="1">
      <alignment horizontal="center" vertical="center" wrapText="1"/>
    </xf>
    <xf numFmtId="171" fontId="6" fillId="0" borderId="17" xfId="0" applyNumberFormat="1" applyFont="1" applyBorder="1" applyAlignment="1">
      <alignment horizontal="center"/>
    </xf>
    <xf numFmtId="165" fontId="6" fillId="0" borderId="4" xfId="0" applyNumberFormat="1" applyFont="1" applyBorder="1" applyAlignment="1">
      <alignment horizontal="center" vertical="center" wrapText="1"/>
    </xf>
    <xf numFmtId="0" fontId="4" fillId="0" borderId="17" xfId="0" applyFont="1" applyBorder="1" applyAlignment="1">
      <alignment horizontal="center" vertical="center"/>
    </xf>
    <xf numFmtId="0" fontId="0" fillId="0" borderId="24" xfId="0" applyBorder="1"/>
    <xf numFmtId="165" fontId="6" fillId="2" borderId="32" xfId="0" applyNumberFormat="1" applyFont="1" applyFill="1" applyBorder="1" applyAlignment="1">
      <alignment horizontal="right" vertical="center" wrapText="1"/>
    </xf>
    <xf numFmtId="165" fontId="6" fillId="2" borderId="2" xfId="0" applyNumberFormat="1" applyFont="1" applyFill="1" applyBorder="1" applyAlignment="1">
      <alignment horizontal="right" vertical="center" wrapText="1"/>
    </xf>
    <xf numFmtId="165" fontId="6" fillId="2" borderId="33" xfId="0" applyNumberFormat="1" applyFont="1" applyFill="1" applyBorder="1" applyAlignment="1">
      <alignment horizontal="right" vertical="center" wrapText="1"/>
    </xf>
    <xf numFmtId="164" fontId="6" fillId="8" borderId="32" xfId="0" applyNumberFormat="1" applyFont="1" applyFill="1" applyBorder="1" applyAlignment="1">
      <alignment horizontal="right" vertical="center" wrapText="1"/>
    </xf>
    <xf numFmtId="164" fontId="6" fillId="8" borderId="2" xfId="0" applyNumberFormat="1" applyFont="1" applyFill="1" applyBorder="1" applyAlignment="1">
      <alignment horizontal="right" vertical="center" wrapText="1"/>
    </xf>
    <xf numFmtId="164" fontId="6" fillId="8" borderId="33" xfId="0" applyNumberFormat="1" applyFont="1" applyFill="1" applyBorder="1" applyAlignment="1">
      <alignment horizontal="right" vertical="center" wrapText="1"/>
    </xf>
    <xf numFmtId="165" fontId="7" fillId="0" borderId="18" xfId="0" applyNumberFormat="1" applyFont="1" applyBorder="1" applyAlignment="1">
      <alignment horizontal="right" vertical="center"/>
    </xf>
    <xf numFmtId="166" fontId="6" fillId="0" borderId="2" xfId="1" applyNumberFormat="1" applyFont="1" applyBorder="1" applyAlignment="1">
      <alignment horizontal="right" vertical="center"/>
    </xf>
    <xf numFmtId="164" fontId="6" fillId="8" borderId="10" xfId="0" applyNumberFormat="1" applyFont="1" applyFill="1" applyBorder="1" applyAlignment="1">
      <alignment horizontal="right" vertical="center" wrapText="1"/>
    </xf>
    <xf numFmtId="164" fontId="6" fillId="8" borderId="11" xfId="0" applyNumberFormat="1" applyFont="1" applyFill="1" applyBorder="1" applyAlignment="1">
      <alignment horizontal="right" vertical="center" wrapText="1"/>
    </xf>
    <xf numFmtId="164" fontId="6" fillId="8" borderId="14" xfId="0" applyNumberFormat="1" applyFont="1" applyFill="1" applyBorder="1" applyAlignment="1">
      <alignment horizontal="right" vertical="center" wrapText="1"/>
    </xf>
    <xf numFmtId="0" fontId="9" fillId="0" borderId="0" xfId="0" applyFont="1" applyAlignment="1">
      <alignment vertical="center" wrapText="1"/>
    </xf>
    <xf numFmtId="0" fontId="6" fillId="0" borderId="1" xfId="0" applyFont="1" applyBorder="1" applyAlignment="1">
      <alignment horizontal="left" vertical="center"/>
    </xf>
    <xf numFmtId="0" fontId="15" fillId="0" borderId="7" xfId="2" applyFont="1" applyBorder="1" applyAlignment="1">
      <alignment horizontal="center" vertical="center"/>
    </xf>
    <xf numFmtId="0" fontId="17" fillId="12" borderId="34" xfId="0" applyFont="1" applyFill="1" applyBorder="1" applyAlignment="1">
      <alignment horizontal="center" vertical="center"/>
    </xf>
    <xf numFmtId="0" fontId="17" fillId="0" borderId="35" xfId="0" applyFont="1" applyBorder="1" applyAlignment="1">
      <alignment horizontal="left" vertical="center" wrapText="1"/>
    </xf>
    <xf numFmtId="0" fontId="18" fillId="0" borderId="35" xfId="0" applyFont="1" applyBorder="1" applyAlignment="1">
      <alignment horizontal="center" vertical="center" wrapText="1"/>
    </xf>
    <xf numFmtId="0" fontId="17" fillId="12" borderId="35" xfId="0" applyFont="1" applyFill="1" applyBorder="1" applyAlignment="1">
      <alignment horizontal="center" vertical="center"/>
    </xf>
    <xf numFmtId="0" fontId="17" fillId="0" borderId="26" xfId="0" applyFont="1" applyBorder="1" applyAlignment="1">
      <alignment horizontal="left" vertical="center" wrapText="1"/>
    </xf>
    <xf numFmtId="0" fontId="18" fillId="0" borderId="36" xfId="0" applyFont="1" applyBorder="1" applyAlignment="1">
      <alignment horizontal="center" vertical="center" wrapText="1"/>
    </xf>
    <xf numFmtId="0" fontId="17" fillId="0" borderId="0" xfId="0" applyFont="1" applyAlignment="1">
      <alignment horizontal="left" vertical="center" wrapText="1"/>
    </xf>
    <xf numFmtId="0" fontId="0" fillId="0" borderId="37" xfId="0" applyBorder="1" applyAlignment="1">
      <alignment horizontal="center"/>
    </xf>
    <xf numFmtId="0" fontId="17" fillId="0" borderId="36" xfId="0" applyFont="1" applyBorder="1" applyAlignment="1">
      <alignment horizontal="center" vertical="center"/>
    </xf>
    <xf numFmtId="0" fontId="17" fillId="0" borderId="38" xfId="0" applyFont="1" applyBorder="1" applyAlignment="1">
      <alignment horizontal="left" vertical="center" wrapText="1"/>
    </xf>
    <xf numFmtId="8" fontId="0" fillId="0" borderId="0" xfId="0" applyNumberFormat="1" applyAlignment="1">
      <alignment wrapText="1"/>
    </xf>
    <xf numFmtId="165" fontId="0" fillId="0" borderId="0" xfId="0" applyNumberFormat="1"/>
    <xf numFmtId="0" fontId="4" fillId="0" borderId="1" xfId="0" applyFont="1" applyBorder="1" applyAlignment="1">
      <alignment horizontal="center" vertical="center"/>
    </xf>
    <xf numFmtId="168" fontId="7" fillId="0" borderId="1" xfId="0" applyNumberFormat="1" applyFont="1" applyBorder="1" applyAlignment="1">
      <alignment horizontal="right"/>
    </xf>
    <xf numFmtId="0" fontId="6" fillId="5" borderId="8" xfId="0" applyFont="1" applyFill="1" applyBorder="1" applyAlignment="1">
      <alignment horizontal="left" vertical="center" wrapText="1"/>
    </xf>
    <xf numFmtId="165" fontId="6" fillId="5" borderId="9" xfId="0" applyNumberFormat="1" applyFont="1" applyFill="1" applyBorder="1" applyAlignment="1">
      <alignment horizontal="right" vertical="center" wrapText="1"/>
    </xf>
    <xf numFmtId="0" fontId="4" fillId="7" borderId="31" xfId="0" applyFont="1" applyFill="1" applyBorder="1" applyAlignment="1">
      <alignment horizontal="left" vertical="center" wrapText="1"/>
    </xf>
    <xf numFmtId="164" fontId="6" fillId="6" borderId="17" xfId="0" applyNumberFormat="1" applyFont="1" applyFill="1" applyBorder="1" applyAlignment="1">
      <alignment horizontal="right" vertical="center" wrapText="1"/>
    </xf>
    <xf numFmtId="0" fontId="0" fillId="0" borderId="29" xfId="0" applyBorder="1"/>
    <xf numFmtId="0" fontId="0" fillId="0" borderId="40" xfId="0" applyBorder="1"/>
    <xf numFmtId="166" fontId="6" fillId="14" borderId="1" xfId="0" applyNumberFormat="1" applyFont="1" applyFill="1" applyBorder="1" applyAlignment="1">
      <alignment horizontal="right" vertical="center" wrapText="1"/>
    </xf>
    <xf numFmtId="168" fontId="6" fillId="14" borderId="1" xfId="0" applyNumberFormat="1" applyFont="1" applyFill="1" applyBorder="1" applyAlignment="1">
      <alignment horizontal="right" vertical="center"/>
    </xf>
    <xf numFmtId="0" fontId="0" fillId="14" borderId="1" xfId="0" applyFill="1" applyBorder="1"/>
    <xf numFmtId="0" fontId="4" fillId="0" borderId="2" xfId="0" applyFont="1" applyBorder="1" applyAlignment="1">
      <alignment horizontal="left" vertical="center"/>
    </xf>
    <xf numFmtId="166" fontId="6" fillId="0" borderId="20" xfId="0" applyNumberFormat="1" applyFont="1" applyBorder="1" applyAlignment="1">
      <alignment horizontal="right" vertical="center" wrapText="1"/>
    </xf>
    <xf numFmtId="166" fontId="6" fillId="0" borderId="20" xfId="1" applyNumberFormat="1" applyFont="1" applyFill="1" applyBorder="1" applyAlignment="1">
      <alignment horizontal="right" vertical="center"/>
    </xf>
    <xf numFmtId="166" fontId="6" fillId="0" borderId="20" xfId="1" applyNumberFormat="1" applyFont="1" applyBorder="1" applyAlignment="1">
      <alignment horizontal="right" vertical="center"/>
    </xf>
    <xf numFmtId="166" fontId="6" fillId="0" borderId="6" xfId="1" applyNumberFormat="1" applyFont="1" applyBorder="1" applyAlignment="1">
      <alignment horizontal="right" vertical="center"/>
    </xf>
    <xf numFmtId="0" fontId="6" fillId="0" borderId="24" xfId="0" applyFont="1" applyBorder="1" applyAlignment="1">
      <alignment horizontal="left" vertical="center"/>
    </xf>
    <xf numFmtId="0" fontId="4" fillId="0" borderId="0" xfId="0" applyFont="1" applyAlignment="1">
      <alignment horizontal="left" vertical="center"/>
    </xf>
    <xf numFmtId="164" fontId="6" fillId="8" borderId="7" xfId="0" applyNumberFormat="1" applyFont="1" applyFill="1" applyBorder="1" applyAlignment="1">
      <alignment horizontal="right" vertical="center" wrapText="1"/>
    </xf>
    <xf numFmtId="164" fontId="6" fillId="8" borderId="15" xfId="0" applyNumberFormat="1" applyFont="1" applyFill="1" applyBorder="1" applyAlignment="1">
      <alignment horizontal="right" vertical="center" wrapText="1"/>
    </xf>
    <xf numFmtId="164" fontId="6" fillId="8" borderId="41" xfId="0" applyNumberFormat="1" applyFont="1" applyFill="1" applyBorder="1" applyAlignment="1">
      <alignment horizontal="right" vertical="center" wrapText="1"/>
    </xf>
    <xf numFmtId="165" fontId="6" fillId="5" borderId="10" xfId="0" applyNumberFormat="1" applyFont="1" applyFill="1" applyBorder="1" applyAlignment="1">
      <alignment horizontal="right" vertical="center" wrapText="1"/>
    </xf>
    <xf numFmtId="165" fontId="6" fillId="5" borderId="11" xfId="0" applyNumberFormat="1" applyFont="1" applyFill="1" applyBorder="1" applyAlignment="1">
      <alignment horizontal="right" vertical="center" wrapText="1"/>
    </xf>
    <xf numFmtId="164" fontId="6" fillId="5" borderId="11" xfId="0" applyNumberFormat="1" applyFont="1" applyFill="1" applyBorder="1" applyAlignment="1">
      <alignment horizontal="right" vertical="center" wrapText="1"/>
    </xf>
    <xf numFmtId="164" fontId="6" fillId="5" borderId="14" xfId="0" applyNumberFormat="1" applyFont="1" applyFill="1" applyBorder="1" applyAlignment="1">
      <alignment horizontal="right" vertical="center" wrapText="1"/>
    </xf>
    <xf numFmtId="165" fontId="6" fillId="2" borderId="7" xfId="0" applyNumberFormat="1" applyFont="1" applyFill="1" applyBorder="1" applyAlignment="1">
      <alignment horizontal="right" vertical="center" wrapText="1"/>
    </xf>
    <xf numFmtId="165" fontId="6" fillId="2" borderId="15" xfId="0" applyNumberFormat="1" applyFont="1" applyFill="1" applyBorder="1" applyAlignment="1">
      <alignment horizontal="right" vertical="center" wrapText="1"/>
    </xf>
    <xf numFmtId="165" fontId="6" fillId="2" borderId="41" xfId="0" applyNumberFormat="1" applyFont="1" applyFill="1" applyBorder="1" applyAlignment="1">
      <alignment horizontal="right" vertical="center" wrapText="1"/>
    </xf>
    <xf numFmtId="164" fontId="6" fillId="0" borderId="2" xfId="0" applyNumberFormat="1" applyFont="1" applyBorder="1" applyAlignment="1">
      <alignment horizontal="center" vertical="center"/>
    </xf>
    <xf numFmtId="164" fontId="6" fillId="0" borderId="6" xfId="0" applyNumberFormat="1" applyFont="1" applyBorder="1" applyAlignment="1">
      <alignment horizontal="center" vertical="center"/>
    </xf>
    <xf numFmtId="164" fontId="6" fillId="0" borderId="2"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164" fontId="6" fillId="0" borderId="20" xfId="0" applyNumberFormat="1" applyFont="1" applyBorder="1" applyAlignment="1">
      <alignment horizontal="center" vertical="center"/>
    </xf>
    <xf numFmtId="164" fontId="6" fillId="0" borderId="2" xfId="0" quotePrefix="1" applyNumberFormat="1" applyFont="1" applyBorder="1" applyAlignment="1">
      <alignment horizontal="center" vertical="center" wrapText="1"/>
    </xf>
    <xf numFmtId="164" fontId="6" fillId="0" borderId="2" xfId="0" applyNumberFormat="1" applyFont="1" applyBorder="1" applyAlignment="1">
      <alignment horizontal="center" vertical="top" wrapText="1"/>
    </xf>
    <xf numFmtId="164" fontId="6" fillId="0" borderId="20" xfId="0" applyNumberFormat="1" applyFont="1" applyBorder="1" applyAlignment="1">
      <alignment horizontal="center" vertical="top"/>
    </xf>
    <xf numFmtId="164" fontId="6" fillId="0" borderId="6" xfId="0" applyNumberFormat="1" applyFont="1" applyBorder="1" applyAlignment="1">
      <alignment horizontal="center" vertical="top"/>
    </xf>
    <xf numFmtId="0" fontId="12" fillId="0" borderId="18" xfId="0" applyFont="1" applyBorder="1" applyAlignment="1">
      <alignment horizontal="left"/>
    </xf>
    <xf numFmtId="0" fontId="12" fillId="0" borderId="19" xfId="0" applyFont="1" applyBorder="1" applyAlignment="1">
      <alignment horizontal="left"/>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9" xfId="0" applyFont="1" applyBorder="1" applyAlignment="1">
      <alignment horizontal="left" vertical="center" wrapText="1"/>
    </xf>
    <xf numFmtId="164" fontId="11" fillId="0" borderId="7" xfId="1" applyNumberFormat="1" applyFont="1" applyBorder="1" applyAlignment="1">
      <alignment horizontal="center" vertical="center" wrapText="1"/>
    </xf>
    <xf numFmtId="164" fontId="11" fillId="0" borderId="17"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0" fontId="6" fillId="13" borderId="25" xfId="0" applyFont="1" applyFill="1" applyBorder="1" applyAlignment="1">
      <alignment horizontal="left" vertical="center" wrapText="1"/>
    </xf>
    <xf numFmtId="0" fontId="6" fillId="13" borderId="26" xfId="0" applyFont="1" applyFill="1" applyBorder="1" applyAlignment="1">
      <alignment horizontal="left" vertical="center" wrapText="1"/>
    </xf>
    <xf numFmtId="0" fontId="6" fillId="13" borderId="27" xfId="0" applyFont="1" applyFill="1" applyBorder="1" applyAlignment="1">
      <alignment horizontal="left" vertical="center" wrapText="1"/>
    </xf>
    <xf numFmtId="0" fontId="6" fillId="0" borderId="1" xfId="0" applyFont="1" applyBorder="1" applyAlignment="1">
      <alignment vertical="center"/>
    </xf>
    <xf numFmtId="0" fontId="2" fillId="10" borderId="28" xfId="2" applyFont="1" applyFill="1" applyBorder="1" applyAlignment="1">
      <alignment horizontal="center" vertical="center"/>
    </xf>
    <xf numFmtId="0" fontId="2" fillId="10" borderId="29" xfId="2" applyFont="1" applyFill="1" applyBorder="1" applyAlignment="1">
      <alignment horizontal="center" vertical="center"/>
    </xf>
    <xf numFmtId="0" fontId="2" fillId="10" borderId="30" xfId="2" applyFont="1" applyFill="1" applyBorder="1" applyAlignment="1">
      <alignment horizontal="center" vertical="center"/>
    </xf>
    <xf numFmtId="0" fontId="17" fillId="12" borderId="37" xfId="0" applyFont="1" applyFill="1" applyBorder="1" applyAlignment="1">
      <alignment horizontal="center" vertical="center"/>
    </xf>
    <xf numFmtId="0" fontId="17" fillId="0" borderId="34" xfId="0" applyFont="1" applyBorder="1" applyAlignment="1">
      <alignment horizontal="center" vertical="center"/>
    </xf>
    <xf numFmtId="0" fontId="17" fillId="0" borderId="37" xfId="0" applyFont="1" applyBorder="1" applyAlignment="1">
      <alignment horizontal="center" vertical="center"/>
    </xf>
    <xf numFmtId="0" fontId="2" fillId="10" borderId="25" xfId="5" applyFont="1" applyFill="1" applyBorder="1" applyAlignment="1">
      <alignment horizontal="center" vertical="center"/>
    </xf>
    <xf numFmtId="0" fontId="2" fillId="10" borderId="26" xfId="5" applyFont="1" applyFill="1" applyBorder="1" applyAlignment="1">
      <alignment horizontal="center" vertical="center"/>
    </xf>
    <xf numFmtId="0" fontId="2" fillId="10" borderId="27" xfId="5" applyFont="1" applyFill="1" applyBorder="1" applyAlignment="1">
      <alignment horizontal="center" vertical="center"/>
    </xf>
  </cellXfs>
  <cellStyles count="8">
    <cellStyle name="Normal" xfId="0" builtinId="0"/>
    <cellStyle name="Normal 10 2" xfId="4" xr:uid="{00000000-0005-0000-0000-000001000000}"/>
    <cellStyle name="Normal 2 2" xfId="2" xr:uid="{00000000-0005-0000-0000-000002000000}"/>
    <cellStyle name="Normal 2 2 2" xfId="5" xr:uid="{00000000-0005-0000-0000-000003000000}"/>
    <cellStyle name="Normal 3 7" xfId="3" xr:uid="{00000000-0005-0000-0000-000004000000}"/>
    <cellStyle name="Normal 4 3" xfId="7" xr:uid="{00000000-0005-0000-0000-000005000000}"/>
    <cellStyle name="Normal 5" xfId="6" xr:uid="{00000000-0005-0000-0000-000006000000}"/>
    <cellStyle name="Percent" xfId="1" builtinId="5"/>
  </cellStyles>
  <dxfs count="1">
    <dxf>
      <font>
        <b/>
        <i val="0"/>
      </font>
    </dxf>
  </dxfs>
  <tableStyles count="0" defaultTableStyle="TableStyleMedium2" defaultPivotStyle="PivotStyleLight16"/>
  <colors>
    <mruColors>
      <color rgb="FFE4DFEC"/>
      <color rgb="FFEEE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chut/AppData/Roaming/OpenText/OTEdit/EC_cera/c259906459/2026-2027_RPM_BRA_Planning_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Parameters"/>
      <sheetName val="Net CONE"/>
      <sheetName val="Key Transmission Upgrades"/>
      <sheetName val="Backup-Load-FRR"/>
      <sheetName val="MOI Parameters"/>
      <sheetName val="EE Data-not for posting"/>
      <sheetName val="Backup-TableB10"/>
      <sheetName val="Backup-Load Bubbles"/>
      <sheetName val="CETOs"/>
      <sheetName val="Remove Model LDA Check"/>
      <sheetName val="CETO_CETL check"/>
      <sheetName val="Check Before Posting"/>
    </sheetNames>
    <sheetDataSet>
      <sheetData sheetId="0">
        <row r="1">
          <cell r="A1" t="str">
            <v>2026-2027 RPM Base Residual Auction Planning Parameters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7"/>
  <sheetViews>
    <sheetView tabSelected="1" view="pageLayout" zoomScaleNormal="70" workbookViewId="0"/>
  </sheetViews>
  <sheetFormatPr defaultRowHeight="14.4" x14ac:dyDescent="0.3"/>
  <cols>
    <col min="1" max="1" width="60.88671875" customWidth="1"/>
    <col min="2" max="10" width="16.88671875" customWidth="1"/>
    <col min="11" max="11" width="19.109375" bestFit="1" customWidth="1"/>
    <col min="12" max="15" width="16.88671875" customWidth="1"/>
    <col min="16" max="18" width="17" customWidth="1"/>
  </cols>
  <sheetData>
    <row r="1" spans="1:19" ht="17.399999999999999" x14ac:dyDescent="0.3">
      <c r="A1" s="1" t="s">
        <v>148</v>
      </c>
      <c r="B1" s="1"/>
      <c r="C1" s="2"/>
      <c r="D1" s="3">
        <v>45530</v>
      </c>
      <c r="E1" s="4"/>
      <c r="F1" s="4" t="s">
        <v>0</v>
      </c>
      <c r="G1" s="142"/>
      <c r="H1" s="5"/>
      <c r="I1" s="6" t="s">
        <v>0</v>
      </c>
      <c r="J1" s="7" t="s">
        <v>0</v>
      </c>
    </row>
    <row r="2" spans="1:19" ht="15.6" x14ac:dyDescent="0.3">
      <c r="A2" s="8" t="s">
        <v>0</v>
      </c>
      <c r="B2" s="9"/>
      <c r="C2" s="9"/>
      <c r="D2" s="9"/>
      <c r="E2" s="9"/>
      <c r="F2" s="9"/>
      <c r="G2" s="9"/>
      <c r="H2" s="9"/>
      <c r="I2" s="7" t="s">
        <v>0</v>
      </c>
      <c r="J2" s="10" t="s">
        <v>0</v>
      </c>
      <c r="K2" s="9" t="s">
        <v>0</v>
      </c>
      <c r="L2" s="9"/>
      <c r="M2" s="11" t="s">
        <v>0</v>
      </c>
      <c r="N2" s="9"/>
    </row>
    <row r="3" spans="1:19" ht="17.399999999999999" x14ac:dyDescent="0.3">
      <c r="A3" s="161" t="s">
        <v>0</v>
      </c>
      <c r="B3" s="12" t="s">
        <v>1</v>
      </c>
      <c r="C3" s="215" t="s">
        <v>2</v>
      </c>
      <c r="D3" s="215"/>
      <c r="E3" s="215"/>
      <c r="F3" s="215"/>
      <c r="G3" s="215"/>
      <c r="H3" s="215"/>
      <c r="I3" s="215"/>
      <c r="J3" s="215"/>
      <c r="K3" s="215"/>
      <c r="L3" s="215"/>
      <c r="M3" s="215"/>
      <c r="N3" s="215"/>
      <c r="O3" s="215"/>
      <c r="P3" s="215"/>
      <c r="Q3" s="215"/>
      <c r="R3" s="215"/>
    </row>
    <row r="4" spans="1:19" ht="15" customHeight="1" x14ac:dyDescent="0.3">
      <c r="A4" s="161" t="s">
        <v>3</v>
      </c>
      <c r="B4" s="117">
        <v>0.186</v>
      </c>
      <c r="C4" s="221" t="s">
        <v>149</v>
      </c>
      <c r="D4" s="221"/>
      <c r="E4" s="221"/>
      <c r="F4" s="221"/>
      <c r="G4" s="221"/>
      <c r="H4" s="221"/>
      <c r="I4" s="221"/>
      <c r="J4" s="221"/>
      <c r="K4" s="221"/>
      <c r="L4" s="221"/>
      <c r="M4" s="221"/>
      <c r="N4" s="221"/>
      <c r="O4" s="221"/>
      <c r="P4" s="221"/>
      <c r="Q4" s="221"/>
      <c r="R4" s="221"/>
    </row>
    <row r="5" spans="1:19" ht="15" customHeight="1" x14ac:dyDescent="0.3">
      <c r="A5" s="161" t="s">
        <v>120</v>
      </c>
      <c r="B5" s="118">
        <v>0.78979999999999995</v>
      </c>
      <c r="C5" s="221" t="s">
        <v>150</v>
      </c>
      <c r="D5" s="221"/>
      <c r="E5" s="221"/>
      <c r="F5" s="221"/>
      <c r="G5" s="221"/>
      <c r="H5" s="221"/>
      <c r="I5" s="221"/>
      <c r="J5" s="221"/>
      <c r="K5" s="221"/>
      <c r="L5" s="221"/>
      <c r="M5" s="221"/>
      <c r="N5" s="221"/>
      <c r="O5" s="221"/>
      <c r="P5" s="221"/>
      <c r="Q5" s="221"/>
      <c r="R5" s="221"/>
    </row>
    <row r="6" spans="1:19" ht="15" customHeight="1" x14ac:dyDescent="0.3">
      <c r="A6" s="161" t="s">
        <v>4</v>
      </c>
      <c r="B6" s="119">
        <v>0.93669999999999998</v>
      </c>
      <c r="C6" s="221" t="s">
        <v>150</v>
      </c>
      <c r="D6" s="221"/>
      <c r="E6" s="221"/>
      <c r="F6" s="221"/>
      <c r="G6" s="221"/>
      <c r="H6" s="221"/>
      <c r="I6" s="221"/>
      <c r="J6" s="221"/>
      <c r="K6" s="221"/>
      <c r="L6" s="221"/>
      <c r="M6" s="221"/>
      <c r="N6" s="221"/>
      <c r="O6" s="221"/>
      <c r="P6" s="221"/>
      <c r="Q6" s="221"/>
      <c r="R6" s="221"/>
    </row>
    <row r="7" spans="1:19" ht="15" customHeight="1" x14ac:dyDescent="0.3">
      <c r="A7" s="161" t="s">
        <v>5</v>
      </c>
      <c r="B7" s="124">
        <f>F48</f>
        <v>157196.97871794872</v>
      </c>
      <c r="C7" s="222" t="s">
        <v>121</v>
      </c>
      <c r="D7" s="222"/>
      <c r="E7" s="222"/>
      <c r="F7" s="222"/>
      <c r="G7" s="222"/>
      <c r="H7" s="222"/>
      <c r="I7" s="222"/>
      <c r="J7" s="222"/>
      <c r="K7" s="222"/>
      <c r="L7" s="222"/>
      <c r="M7" s="222"/>
      <c r="N7" s="222"/>
      <c r="O7" s="222"/>
      <c r="P7" s="222"/>
      <c r="Q7" s="222"/>
      <c r="R7" s="222"/>
    </row>
    <row r="8" spans="1:19" ht="15.75" customHeight="1" x14ac:dyDescent="0.3">
      <c r="A8" s="161" t="s">
        <v>0</v>
      </c>
      <c r="B8" s="13" t="s">
        <v>0</v>
      </c>
      <c r="C8" s="223" t="s">
        <v>6</v>
      </c>
      <c r="D8" s="223"/>
      <c r="E8" s="223"/>
      <c r="F8" s="223"/>
      <c r="G8" s="223"/>
      <c r="H8" s="223"/>
      <c r="I8" s="223"/>
      <c r="J8" s="223"/>
      <c r="K8" s="223"/>
      <c r="L8" s="223"/>
      <c r="M8" s="223"/>
      <c r="N8" s="223"/>
      <c r="O8" s="223"/>
      <c r="P8" s="223"/>
      <c r="Q8" s="223"/>
      <c r="R8" s="223"/>
    </row>
    <row r="9" spans="1:19" ht="15.6" x14ac:dyDescent="0.3">
      <c r="A9" s="14" t="s">
        <v>0</v>
      </c>
      <c r="B9" s="15" t="s">
        <v>1</v>
      </c>
      <c r="C9" s="15" t="s">
        <v>7</v>
      </c>
      <c r="D9" s="15" t="s">
        <v>8</v>
      </c>
      <c r="E9" s="15" t="s">
        <v>9</v>
      </c>
      <c r="F9" s="15" t="s">
        <v>10</v>
      </c>
      <c r="G9" s="15" t="s">
        <v>11</v>
      </c>
      <c r="H9" s="15" t="s">
        <v>12</v>
      </c>
      <c r="I9" s="15" t="s">
        <v>13</v>
      </c>
      <c r="J9" s="15" t="s">
        <v>14</v>
      </c>
      <c r="K9" s="15" t="s">
        <v>15</v>
      </c>
      <c r="L9" s="15" t="s">
        <v>16</v>
      </c>
      <c r="M9" s="15" t="s">
        <v>17</v>
      </c>
      <c r="N9" s="15" t="s">
        <v>18</v>
      </c>
      <c r="O9" s="15" t="s">
        <v>19</v>
      </c>
      <c r="P9" s="15" t="s">
        <v>20</v>
      </c>
      <c r="Q9" s="147" t="s">
        <v>65</v>
      </c>
      <c r="R9" s="175" t="s">
        <v>68</v>
      </c>
    </row>
    <row r="10" spans="1:19" ht="15" x14ac:dyDescent="0.3">
      <c r="A10" s="136" t="s">
        <v>21</v>
      </c>
      <c r="B10" s="17" t="s">
        <v>22</v>
      </c>
      <c r="C10" s="18">
        <v>-745</v>
      </c>
      <c r="D10" s="18">
        <v>5756</v>
      </c>
      <c r="E10" s="18">
        <v>6882</v>
      </c>
      <c r="F10" s="18">
        <v>6458</v>
      </c>
      <c r="G10" s="18">
        <v>2918</v>
      </c>
      <c r="H10" s="18">
        <v>1646</v>
      </c>
      <c r="I10" s="18">
        <v>4385</v>
      </c>
      <c r="J10" s="18">
        <v>3481</v>
      </c>
      <c r="K10" s="18">
        <v>3328</v>
      </c>
      <c r="L10" s="18">
        <v>-1477</v>
      </c>
      <c r="M10" s="18">
        <v>4654</v>
      </c>
      <c r="N10" s="18">
        <v>-120</v>
      </c>
      <c r="O10" s="18">
        <v>2565</v>
      </c>
      <c r="P10" s="18">
        <v>2826</v>
      </c>
      <c r="Q10" s="18">
        <v>5813</v>
      </c>
      <c r="R10" s="18">
        <v>3812</v>
      </c>
    </row>
    <row r="11" spans="1:19" ht="15" x14ac:dyDescent="0.3">
      <c r="A11" s="136" t="s">
        <v>23</v>
      </c>
      <c r="B11" s="17" t="s">
        <v>22</v>
      </c>
      <c r="C11" s="18">
        <v>3023</v>
      </c>
      <c r="D11" s="18">
        <v>7645</v>
      </c>
      <c r="E11" s="18">
        <v>7286</v>
      </c>
      <c r="F11" s="18">
        <v>8839</v>
      </c>
      <c r="G11" s="18">
        <v>4126</v>
      </c>
      <c r="H11" s="18">
        <v>1846</v>
      </c>
      <c r="I11" s="18">
        <v>6096</v>
      </c>
      <c r="J11" s="18">
        <v>9209</v>
      </c>
      <c r="K11" s="18">
        <v>4955</v>
      </c>
      <c r="L11" s="18">
        <v>6012</v>
      </c>
      <c r="M11" s="18">
        <v>5720</v>
      </c>
      <c r="N11" s="18">
        <v>4356</v>
      </c>
      <c r="O11" s="18">
        <v>4568</v>
      </c>
      <c r="P11" s="18">
        <v>5524</v>
      </c>
      <c r="Q11" s="18">
        <v>6610</v>
      </c>
      <c r="R11" s="18">
        <v>4098</v>
      </c>
    </row>
    <row r="12" spans="1:19" ht="15" x14ac:dyDescent="0.3">
      <c r="A12" s="137" t="s">
        <v>24</v>
      </c>
      <c r="B12" s="17">
        <f>ROUND((B7*B6),1)</f>
        <v>147246.39999999999</v>
      </c>
      <c r="C12" s="18">
        <v>53166.7</v>
      </c>
      <c r="D12" s="18">
        <v>30999.7</v>
      </c>
      <c r="E12" s="18">
        <v>13457.5999999999</v>
      </c>
      <c r="F12" s="18">
        <v>10718</v>
      </c>
      <c r="G12" s="18">
        <v>5390</v>
      </c>
      <c r="H12" s="18">
        <v>2645.2</v>
      </c>
      <c r="I12" s="18">
        <v>6474.7999999999902</v>
      </c>
      <c r="J12" s="18">
        <v>11963.9</v>
      </c>
      <c r="K12" s="18">
        <v>5066.8999999999996</v>
      </c>
      <c r="L12" s="18">
        <v>21094.8999999999</v>
      </c>
      <c r="M12" s="18">
        <v>6952.7999999999902</v>
      </c>
      <c r="N12" s="18">
        <v>8663.7000000000007</v>
      </c>
      <c r="O12" s="18">
        <v>3475.4</v>
      </c>
      <c r="P12" s="18">
        <v>5636.8</v>
      </c>
      <c r="Q12" s="18">
        <v>26664.799999999901</v>
      </c>
      <c r="R12" s="18">
        <v>6376.8</v>
      </c>
    </row>
    <row r="13" spans="1:19" ht="15" x14ac:dyDescent="0.3">
      <c r="A13" s="136" t="s">
        <v>25</v>
      </c>
      <c r="B13" s="19">
        <v>0</v>
      </c>
      <c r="C13" s="20">
        <v>0</v>
      </c>
      <c r="D13" s="20">
        <v>0</v>
      </c>
      <c r="E13" s="20">
        <v>0</v>
      </c>
      <c r="F13" s="20">
        <v>0</v>
      </c>
      <c r="G13" s="20">
        <v>0</v>
      </c>
      <c r="H13" s="20">
        <v>0</v>
      </c>
      <c r="I13" s="20">
        <v>0</v>
      </c>
      <c r="J13" s="20">
        <v>0</v>
      </c>
      <c r="K13" s="20">
        <v>0</v>
      </c>
      <c r="L13" s="19">
        <v>0</v>
      </c>
      <c r="M13" s="20">
        <v>0</v>
      </c>
      <c r="N13" s="20">
        <v>0</v>
      </c>
      <c r="O13" s="20">
        <v>0</v>
      </c>
      <c r="P13" s="19">
        <v>0</v>
      </c>
      <c r="Q13" s="19">
        <v>0</v>
      </c>
      <c r="R13" s="19">
        <v>0</v>
      </c>
    </row>
    <row r="14" spans="1:19" ht="15" x14ac:dyDescent="0.3">
      <c r="A14" s="136" t="s">
        <v>26</v>
      </c>
      <c r="B14" s="19">
        <v>0</v>
      </c>
      <c r="C14" s="20">
        <v>0</v>
      </c>
      <c r="D14" s="20">
        <v>0</v>
      </c>
      <c r="E14" s="20">
        <v>0</v>
      </c>
      <c r="F14" s="20">
        <v>0</v>
      </c>
      <c r="G14" s="20">
        <v>0</v>
      </c>
      <c r="H14" s="20">
        <v>0</v>
      </c>
      <c r="I14" s="20">
        <v>0</v>
      </c>
      <c r="J14" s="20">
        <v>0</v>
      </c>
      <c r="K14" s="20">
        <v>0</v>
      </c>
      <c r="L14" s="19">
        <v>0</v>
      </c>
      <c r="M14" s="20">
        <v>0</v>
      </c>
      <c r="N14" s="20">
        <v>0</v>
      </c>
      <c r="O14" s="20">
        <v>0</v>
      </c>
      <c r="P14" s="19">
        <v>0</v>
      </c>
      <c r="Q14" s="19">
        <v>0</v>
      </c>
      <c r="R14" s="19">
        <v>0</v>
      </c>
      <c r="S14" s="116"/>
    </row>
    <row r="15" spans="1:19" ht="15.6" x14ac:dyDescent="0.3">
      <c r="A15" s="138" t="s">
        <v>27</v>
      </c>
      <c r="B15" s="21">
        <v>147246.39999999999</v>
      </c>
      <c r="C15" s="21">
        <v>53166.7</v>
      </c>
      <c r="D15" s="21">
        <v>30999.7</v>
      </c>
      <c r="E15" s="21">
        <v>13457.5999999999</v>
      </c>
      <c r="F15" s="21">
        <v>10718</v>
      </c>
      <c r="G15" s="21">
        <v>5390</v>
      </c>
      <c r="H15" s="21">
        <v>2645.2</v>
      </c>
      <c r="I15" s="21">
        <v>6474.7999999999902</v>
      </c>
      <c r="J15" s="21">
        <v>11963.9</v>
      </c>
      <c r="K15" s="21">
        <v>5066.8999999999996</v>
      </c>
      <c r="L15" s="21">
        <v>21094.8999999999</v>
      </c>
      <c r="M15" s="21">
        <v>6952.7999999999902</v>
      </c>
      <c r="N15" s="21">
        <v>8663.7000000000007</v>
      </c>
      <c r="O15" s="21">
        <v>3475.4</v>
      </c>
      <c r="P15" s="21">
        <v>5636.8</v>
      </c>
      <c r="Q15" s="21">
        <v>26664.799999999901</v>
      </c>
      <c r="R15" s="21">
        <v>6376.8</v>
      </c>
    </row>
    <row r="16" spans="1:19" ht="15" x14ac:dyDescent="0.3">
      <c r="A16" s="139" t="s">
        <v>28</v>
      </c>
      <c r="B16" s="23">
        <f>'Net CONE'!E41</f>
        <v>695.83</v>
      </c>
      <c r="C16" s="23">
        <f>'Net CONE'!E28</f>
        <v>694.35</v>
      </c>
      <c r="D16" s="23">
        <f>'Net CONE'!E19</f>
        <v>696.17</v>
      </c>
      <c r="E16" s="23">
        <f>'Net CONE'!E23</f>
        <v>678.26</v>
      </c>
      <c r="F16" s="23">
        <f>'Net CONE'!E17</f>
        <v>696.17</v>
      </c>
      <c r="G16" s="23">
        <f>'Net CONE'!E17</f>
        <v>696.17</v>
      </c>
      <c r="H16" s="23">
        <f>'Net CONE'!E14</f>
        <v>696.17</v>
      </c>
      <c r="I16" s="23">
        <f>'Net CONE'!E22</f>
        <v>678.26</v>
      </c>
      <c r="J16" s="23">
        <f>'Net CONE'!E32</f>
        <v>694.77</v>
      </c>
      <c r="K16" s="23">
        <f>'Net CONE'!E32</f>
        <v>694.77</v>
      </c>
      <c r="L16" s="23">
        <f>'Net CONE'!E40</f>
        <v>708.51</v>
      </c>
      <c r="M16" s="23">
        <f>'Net CONE'!E21</f>
        <v>678.26</v>
      </c>
      <c r="N16" s="23">
        <f>'Net CONE'!E27</f>
        <v>701.44</v>
      </c>
      <c r="O16" s="23">
        <f>'Net CONE'!E33</f>
        <v>694.77</v>
      </c>
      <c r="P16" s="23">
        <f>'Net CONE'!E34</f>
        <v>694.77</v>
      </c>
      <c r="Q16" s="23">
        <f>'Net CONE'!E36</f>
        <v>694.77</v>
      </c>
      <c r="R16" s="23">
        <v>696.17</v>
      </c>
    </row>
    <row r="17" spans="1:18" ht="15.6" x14ac:dyDescent="0.3">
      <c r="A17" s="140" t="s">
        <v>29</v>
      </c>
      <c r="B17" s="25">
        <f>'Net CONE'!J41</f>
        <v>0</v>
      </c>
      <c r="C17" s="25">
        <f>'Net CONE'!J28</f>
        <v>145.69</v>
      </c>
      <c r="D17" s="25">
        <f>'Net CONE'!J19</f>
        <v>230.18</v>
      </c>
      <c r="E17" s="25">
        <f>'Net CONE'!J23</f>
        <v>0</v>
      </c>
      <c r="F17" s="25">
        <f>'Net CONE'!J17</f>
        <v>297.12</v>
      </c>
      <c r="G17" s="25">
        <f>'Net CONE'!J17</f>
        <v>297.12</v>
      </c>
      <c r="H17" s="25">
        <f>'Net CONE'!J14</f>
        <v>117.24</v>
      </c>
      <c r="I17" s="25">
        <f>'Net CONE'!J22</f>
        <v>0</v>
      </c>
      <c r="J17" s="25">
        <f>'Net CONE'!J32</f>
        <v>14.72</v>
      </c>
      <c r="K17" s="25">
        <f>'Net CONE'!J32</f>
        <v>14.72</v>
      </c>
      <c r="L17" s="25">
        <f>'Net CONE'!J40</f>
        <v>224.26</v>
      </c>
      <c r="M17" s="25">
        <f>'Net CONE'!J21</f>
        <v>0</v>
      </c>
      <c r="N17" s="25">
        <f>'Net CONE'!J27</f>
        <v>149.86000000000001</v>
      </c>
      <c r="O17" s="25">
        <f>'Net CONE'!J33</f>
        <v>0</v>
      </c>
      <c r="P17" s="25">
        <f>'Net CONE'!J34</f>
        <v>0</v>
      </c>
      <c r="Q17" s="25">
        <f>'Net CONE'!J36</f>
        <v>0</v>
      </c>
      <c r="R17" s="25">
        <f>'Net CONE'!J15</f>
        <v>265.2</v>
      </c>
    </row>
    <row r="18" spans="1:18" ht="15.6" x14ac:dyDescent="0.3">
      <c r="A18" s="141" t="s">
        <v>30</v>
      </c>
      <c r="B18" s="17">
        <v>0</v>
      </c>
      <c r="C18" s="17">
        <v>0</v>
      </c>
      <c r="D18" s="17">
        <v>0</v>
      </c>
      <c r="E18" s="17">
        <v>0</v>
      </c>
      <c r="F18" s="17">
        <v>0</v>
      </c>
      <c r="G18" s="17">
        <v>0</v>
      </c>
      <c r="H18" s="17">
        <v>0</v>
      </c>
      <c r="I18" s="17">
        <v>0</v>
      </c>
      <c r="J18" s="17">
        <v>0</v>
      </c>
      <c r="K18" s="17">
        <v>0</v>
      </c>
      <c r="L18" s="17">
        <v>0</v>
      </c>
      <c r="M18" s="17">
        <v>0</v>
      </c>
      <c r="N18" s="17">
        <v>0</v>
      </c>
      <c r="O18" s="17">
        <v>0</v>
      </c>
      <c r="P18" s="17">
        <v>0</v>
      </c>
      <c r="Q18" s="176">
        <v>0</v>
      </c>
      <c r="R18" s="176">
        <v>0</v>
      </c>
    </row>
    <row r="19" spans="1:18" ht="16.2" thickBot="1" x14ac:dyDescent="0.35">
      <c r="A19" s="224" t="s">
        <v>31</v>
      </c>
      <c r="B19" s="225"/>
      <c r="C19" s="225"/>
      <c r="D19" s="225"/>
      <c r="E19" s="225"/>
      <c r="F19" s="225"/>
      <c r="G19" s="225"/>
      <c r="H19" s="225"/>
      <c r="I19" s="225"/>
      <c r="J19" s="225"/>
      <c r="K19" s="225"/>
      <c r="L19" s="225"/>
      <c r="M19" s="225"/>
      <c r="N19" s="225"/>
      <c r="O19" s="225"/>
      <c r="P19" s="225"/>
      <c r="Q19" s="225"/>
      <c r="R19" s="148"/>
    </row>
    <row r="20" spans="1:18" ht="15" x14ac:dyDescent="0.3">
      <c r="A20" s="177" t="s">
        <v>32</v>
      </c>
      <c r="B20" s="178">
        <f>ROUND(MAX(B16,1.75*B17),2)</f>
        <v>695.83</v>
      </c>
      <c r="C20" s="178">
        <f>ROUND(MAX(C16,1.75*C17),2)</f>
        <v>694.35</v>
      </c>
      <c r="D20" s="178">
        <f t="shared" ref="D20:R20" si="0">ROUND(MAX(D16,1.75*D17),2)</f>
        <v>696.17</v>
      </c>
      <c r="E20" s="178">
        <f t="shared" si="0"/>
        <v>678.26</v>
      </c>
      <c r="F20" s="178">
        <f t="shared" si="0"/>
        <v>696.17</v>
      </c>
      <c r="G20" s="178">
        <f t="shared" si="0"/>
        <v>696.17</v>
      </c>
      <c r="H20" s="178">
        <f t="shared" si="0"/>
        <v>696.17</v>
      </c>
      <c r="I20" s="178">
        <f t="shared" si="0"/>
        <v>678.26</v>
      </c>
      <c r="J20" s="178">
        <f t="shared" si="0"/>
        <v>694.77</v>
      </c>
      <c r="K20" s="178">
        <f t="shared" si="0"/>
        <v>694.77</v>
      </c>
      <c r="L20" s="178">
        <f t="shared" si="0"/>
        <v>708.51</v>
      </c>
      <c r="M20" s="178">
        <f>ROUND(MAX(M16,1.75*M17),2)</f>
        <v>678.26</v>
      </c>
      <c r="N20" s="178">
        <f t="shared" si="0"/>
        <v>701.44</v>
      </c>
      <c r="O20" s="178">
        <f t="shared" si="0"/>
        <v>694.77</v>
      </c>
      <c r="P20" s="178">
        <f t="shared" si="0"/>
        <v>694.77</v>
      </c>
      <c r="Q20" s="178">
        <f t="shared" si="0"/>
        <v>694.77</v>
      </c>
      <c r="R20" s="196">
        <f t="shared" si="0"/>
        <v>696.17</v>
      </c>
    </row>
    <row r="21" spans="1:18" ht="15" x14ac:dyDescent="0.3">
      <c r="A21" s="93" t="s">
        <v>33</v>
      </c>
      <c r="B21" s="94">
        <f>ROUND(B$17*0.75,2)</f>
        <v>0</v>
      </c>
      <c r="C21" s="94">
        <f t="shared" ref="C21:R21" si="1">ROUND(C$17*0.75,2)</f>
        <v>109.27</v>
      </c>
      <c r="D21" s="94">
        <f t="shared" si="1"/>
        <v>172.64</v>
      </c>
      <c r="E21" s="94">
        <f t="shared" si="1"/>
        <v>0</v>
      </c>
      <c r="F21" s="94">
        <f t="shared" si="1"/>
        <v>222.84</v>
      </c>
      <c r="G21" s="94">
        <f t="shared" si="1"/>
        <v>222.84</v>
      </c>
      <c r="H21" s="94">
        <f t="shared" si="1"/>
        <v>87.93</v>
      </c>
      <c r="I21" s="94">
        <f t="shared" si="1"/>
        <v>0</v>
      </c>
      <c r="J21" s="94">
        <f t="shared" si="1"/>
        <v>11.04</v>
      </c>
      <c r="K21" s="94">
        <f t="shared" si="1"/>
        <v>11.04</v>
      </c>
      <c r="L21" s="94">
        <f t="shared" si="1"/>
        <v>168.2</v>
      </c>
      <c r="M21" s="94">
        <f>ROUND(M$17*0.75,2)</f>
        <v>0</v>
      </c>
      <c r="N21" s="94">
        <f t="shared" si="1"/>
        <v>112.4</v>
      </c>
      <c r="O21" s="94">
        <f t="shared" si="1"/>
        <v>0</v>
      </c>
      <c r="P21" s="94">
        <f t="shared" si="1"/>
        <v>0</v>
      </c>
      <c r="Q21" s="94">
        <f t="shared" si="1"/>
        <v>0</v>
      </c>
      <c r="R21" s="197">
        <f t="shared" si="1"/>
        <v>198.9</v>
      </c>
    </row>
    <row r="22" spans="1:18" ht="15" x14ac:dyDescent="0.3">
      <c r="A22" s="93" t="s">
        <v>34</v>
      </c>
      <c r="B22" s="94">
        <v>0</v>
      </c>
      <c r="C22" s="94">
        <v>0</v>
      </c>
      <c r="D22" s="94">
        <v>0</v>
      </c>
      <c r="E22" s="94">
        <v>0</v>
      </c>
      <c r="F22" s="94">
        <v>0</v>
      </c>
      <c r="G22" s="94">
        <v>0</v>
      </c>
      <c r="H22" s="94">
        <v>0</v>
      </c>
      <c r="I22" s="94">
        <v>0</v>
      </c>
      <c r="J22" s="94">
        <v>0</v>
      </c>
      <c r="K22" s="94">
        <v>0</v>
      </c>
      <c r="L22" s="94">
        <v>0</v>
      </c>
      <c r="M22" s="94">
        <v>0</v>
      </c>
      <c r="N22" s="94">
        <v>0</v>
      </c>
      <c r="O22" s="94">
        <v>0</v>
      </c>
      <c r="P22" s="94">
        <v>0</v>
      </c>
      <c r="Q22" s="94">
        <v>0</v>
      </c>
      <c r="R22" s="197">
        <v>0</v>
      </c>
    </row>
    <row r="23" spans="1:18" ht="15" x14ac:dyDescent="0.3">
      <c r="A23" s="93" t="s">
        <v>35</v>
      </c>
      <c r="B23" s="95">
        <f>ROUND(B$15*0.99,1)+B$18</f>
        <v>145773.9</v>
      </c>
      <c r="C23" s="95">
        <f t="shared" ref="C23:R23" si="2">ROUND(C$15*0.99,1)+C$18</f>
        <v>52635</v>
      </c>
      <c r="D23" s="95">
        <f t="shared" si="2"/>
        <v>30689.7</v>
      </c>
      <c r="E23" s="95">
        <f t="shared" si="2"/>
        <v>13323</v>
      </c>
      <c r="F23" s="95">
        <f t="shared" si="2"/>
        <v>10610.8</v>
      </c>
      <c r="G23" s="95">
        <f t="shared" si="2"/>
        <v>5336.1</v>
      </c>
      <c r="H23" s="95">
        <f t="shared" si="2"/>
        <v>2618.6999999999998</v>
      </c>
      <c r="I23" s="95">
        <f t="shared" si="2"/>
        <v>6410.1</v>
      </c>
      <c r="J23" s="95">
        <f t="shared" si="2"/>
        <v>11844.3</v>
      </c>
      <c r="K23" s="95">
        <f t="shared" si="2"/>
        <v>5016.2</v>
      </c>
      <c r="L23" s="95">
        <f t="shared" si="2"/>
        <v>20884</v>
      </c>
      <c r="M23" s="95">
        <f t="shared" si="2"/>
        <v>6883.3</v>
      </c>
      <c r="N23" s="95">
        <f t="shared" si="2"/>
        <v>8577.1</v>
      </c>
      <c r="O23" s="95">
        <f t="shared" si="2"/>
        <v>3440.6</v>
      </c>
      <c r="P23" s="95">
        <f t="shared" si="2"/>
        <v>5580.4</v>
      </c>
      <c r="Q23" s="95">
        <f t="shared" si="2"/>
        <v>26398.2</v>
      </c>
      <c r="R23" s="198">
        <f t="shared" si="2"/>
        <v>6313</v>
      </c>
    </row>
    <row r="24" spans="1:18" ht="15" x14ac:dyDescent="0.3">
      <c r="A24" s="93" t="s">
        <v>36</v>
      </c>
      <c r="B24" s="95">
        <f>ROUND(B$15*1.015,1)+B$18</f>
        <v>149455.1</v>
      </c>
      <c r="C24" s="95">
        <f t="shared" ref="C24:R24" si="3">ROUND(C$15*1.015,1)+C$18</f>
        <v>53964.2</v>
      </c>
      <c r="D24" s="95">
        <f t="shared" si="3"/>
        <v>31464.7</v>
      </c>
      <c r="E24" s="95">
        <f t="shared" si="3"/>
        <v>13659.5</v>
      </c>
      <c r="F24" s="95">
        <f t="shared" si="3"/>
        <v>10878.8</v>
      </c>
      <c r="G24" s="95">
        <f t="shared" si="3"/>
        <v>5470.9</v>
      </c>
      <c r="H24" s="95">
        <f t="shared" si="3"/>
        <v>2684.9</v>
      </c>
      <c r="I24" s="95">
        <f t="shared" si="3"/>
        <v>6571.9</v>
      </c>
      <c r="J24" s="95">
        <f t="shared" si="3"/>
        <v>12143.4</v>
      </c>
      <c r="K24" s="95">
        <f t="shared" si="3"/>
        <v>5142.8999999999996</v>
      </c>
      <c r="L24" s="95">
        <f t="shared" si="3"/>
        <v>21411.3</v>
      </c>
      <c r="M24" s="95">
        <f t="shared" si="3"/>
        <v>7057.1</v>
      </c>
      <c r="N24" s="95">
        <f t="shared" si="3"/>
        <v>8793.7000000000007</v>
      </c>
      <c r="O24" s="95">
        <f t="shared" si="3"/>
        <v>3527.5</v>
      </c>
      <c r="P24" s="95">
        <f t="shared" si="3"/>
        <v>5721.4</v>
      </c>
      <c r="Q24" s="95">
        <f t="shared" si="3"/>
        <v>27064.799999999999</v>
      </c>
      <c r="R24" s="198">
        <f t="shared" si="3"/>
        <v>6472.5</v>
      </c>
    </row>
    <row r="25" spans="1:18" ht="15.6" thickBot="1" x14ac:dyDescent="0.35">
      <c r="A25" s="96" t="s">
        <v>37</v>
      </c>
      <c r="B25" s="97">
        <f>ROUND(B$15*1.045,1)+B$18</f>
        <v>153872.5</v>
      </c>
      <c r="C25" s="97">
        <f t="shared" ref="C25:R25" si="4">ROUND(C$15*1.045,1)+C$18</f>
        <v>55559.199999999997</v>
      </c>
      <c r="D25" s="97">
        <f t="shared" si="4"/>
        <v>32394.7</v>
      </c>
      <c r="E25" s="97">
        <f t="shared" si="4"/>
        <v>14063.2</v>
      </c>
      <c r="F25" s="97">
        <f t="shared" si="4"/>
        <v>11200.3</v>
      </c>
      <c r="G25" s="97">
        <f t="shared" si="4"/>
        <v>5632.6</v>
      </c>
      <c r="H25" s="97">
        <f t="shared" si="4"/>
        <v>2764.2</v>
      </c>
      <c r="I25" s="97">
        <f t="shared" si="4"/>
        <v>6766.2</v>
      </c>
      <c r="J25" s="97">
        <f t="shared" si="4"/>
        <v>12502.3</v>
      </c>
      <c r="K25" s="97">
        <f t="shared" si="4"/>
        <v>5294.9</v>
      </c>
      <c r="L25" s="97">
        <f t="shared" si="4"/>
        <v>22044.2</v>
      </c>
      <c r="M25" s="97">
        <f t="shared" si="4"/>
        <v>7265.7</v>
      </c>
      <c r="N25" s="97">
        <f t="shared" si="4"/>
        <v>9053.6</v>
      </c>
      <c r="O25" s="97">
        <f t="shared" si="4"/>
        <v>3631.8</v>
      </c>
      <c r="P25" s="97">
        <f t="shared" si="4"/>
        <v>5890.5</v>
      </c>
      <c r="Q25" s="97">
        <f t="shared" si="4"/>
        <v>27864.7</v>
      </c>
      <c r="R25" s="199">
        <f t="shared" si="4"/>
        <v>6663.8</v>
      </c>
    </row>
    <row r="26" spans="1:18" ht="16.2" thickBot="1" x14ac:dyDescent="0.35">
      <c r="A26" s="179" t="s">
        <v>38</v>
      </c>
      <c r="B26" s="180">
        <f>C26+J26+L26+O26+P26</f>
        <v>165</v>
      </c>
      <c r="C26" s="180">
        <f>D26+E26+N26</f>
        <v>165</v>
      </c>
      <c r="D26" s="180">
        <f>0+H26+R26</f>
        <v>0</v>
      </c>
      <c r="E26" s="180">
        <f>I26+M26</f>
        <v>165</v>
      </c>
      <c r="F26" s="180">
        <v>0</v>
      </c>
      <c r="G26" s="180">
        <v>0</v>
      </c>
      <c r="H26" s="180">
        <v>0</v>
      </c>
      <c r="I26" s="180">
        <v>0</v>
      </c>
      <c r="J26" s="180">
        <v>0</v>
      </c>
      <c r="K26" s="180">
        <v>0</v>
      </c>
      <c r="L26" s="180">
        <v>0</v>
      </c>
      <c r="M26" s="180">
        <v>165</v>
      </c>
      <c r="N26" s="180">
        <v>0</v>
      </c>
      <c r="O26" s="180">
        <v>0</v>
      </c>
      <c r="P26" s="180">
        <v>0</v>
      </c>
      <c r="Q26" s="180">
        <v>0</v>
      </c>
      <c r="R26" s="180">
        <v>0</v>
      </c>
    </row>
    <row r="27" spans="1:18" ht="16.2" thickBot="1" x14ac:dyDescent="0.35">
      <c r="A27" s="226" t="s">
        <v>39</v>
      </c>
      <c r="B27" s="227"/>
      <c r="C27" s="227"/>
      <c r="D27" s="227"/>
      <c r="E27" s="227"/>
      <c r="F27" s="227"/>
      <c r="G27" s="227"/>
      <c r="H27" s="227"/>
      <c r="I27" s="227"/>
      <c r="J27" s="227"/>
      <c r="K27" s="227"/>
      <c r="L27" s="227"/>
      <c r="M27" s="227"/>
      <c r="N27" s="227"/>
      <c r="O27" s="227"/>
      <c r="P27" s="228"/>
      <c r="Q27" s="181"/>
      <c r="R27" s="182"/>
    </row>
    <row r="28" spans="1:18" ht="15" x14ac:dyDescent="0.3">
      <c r="A28" s="26" t="s">
        <v>40</v>
      </c>
      <c r="B28" s="27">
        <f t="shared" ref="B28:E29" si="5">B20</f>
        <v>695.83</v>
      </c>
      <c r="C28" s="27">
        <f t="shared" si="5"/>
        <v>694.35</v>
      </c>
      <c r="D28" s="27"/>
      <c r="E28" s="27">
        <f t="shared" si="5"/>
        <v>678.26</v>
      </c>
      <c r="F28" s="27" t="s">
        <v>0</v>
      </c>
      <c r="G28" s="27" t="s">
        <v>0</v>
      </c>
      <c r="H28" s="27"/>
      <c r="I28" s="27"/>
      <c r="J28" s="27" t="s">
        <v>0</v>
      </c>
      <c r="K28" s="27" t="s">
        <v>0</v>
      </c>
      <c r="L28" s="27" t="s">
        <v>0</v>
      </c>
      <c r="M28" s="27">
        <f>M20</f>
        <v>678.26</v>
      </c>
      <c r="N28" s="27" t="s">
        <v>0</v>
      </c>
      <c r="O28" s="27" t="s">
        <v>0</v>
      </c>
      <c r="P28" s="149" t="s">
        <v>0</v>
      </c>
      <c r="Q28" s="149"/>
      <c r="R28" s="28"/>
    </row>
    <row r="29" spans="1:18" ht="15" x14ac:dyDescent="0.3">
      <c r="A29" s="29" t="s">
        <v>41</v>
      </c>
      <c r="B29" s="30"/>
      <c r="C29" s="30">
        <f t="shared" si="5"/>
        <v>109.27</v>
      </c>
      <c r="D29" s="30"/>
      <c r="E29" s="30"/>
      <c r="F29" s="30" t="s">
        <v>0</v>
      </c>
      <c r="G29" s="30" t="s">
        <v>0</v>
      </c>
      <c r="H29" s="30"/>
      <c r="I29" s="30"/>
      <c r="J29" s="30" t="s">
        <v>0</v>
      </c>
      <c r="K29" s="30" t="s">
        <v>0</v>
      </c>
      <c r="L29" s="30" t="s">
        <v>0</v>
      </c>
      <c r="M29" s="30"/>
      <c r="N29" s="30" t="s">
        <v>0</v>
      </c>
      <c r="O29" s="30" t="s">
        <v>0</v>
      </c>
      <c r="P29" s="150" t="s">
        <v>0</v>
      </c>
      <c r="Q29" s="150"/>
      <c r="R29" s="31"/>
    </row>
    <row r="30" spans="1:18" ht="15" x14ac:dyDescent="0.3">
      <c r="A30" s="29" t="s">
        <v>42</v>
      </c>
      <c r="B30" s="30">
        <v>0.01</v>
      </c>
      <c r="C30" s="30">
        <v>0.01</v>
      </c>
      <c r="D30" s="30"/>
      <c r="E30" s="30">
        <v>0.01</v>
      </c>
      <c r="F30" s="30" t="s">
        <v>0</v>
      </c>
      <c r="G30" s="30" t="s">
        <v>0</v>
      </c>
      <c r="H30" s="30"/>
      <c r="I30" s="30"/>
      <c r="J30" s="30" t="s">
        <v>0</v>
      </c>
      <c r="K30" s="30" t="s">
        <v>0</v>
      </c>
      <c r="L30" s="30" t="s">
        <v>0</v>
      </c>
      <c r="M30" s="30">
        <v>0.01</v>
      </c>
      <c r="N30" s="30" t="s">
        <v>0</v>
      </c>
      <c r="O30" s="30" t="s">
        <v>0</v>
      </c>
      <c r="P30" s="150" t="s">
        <v>0</v>
      </c>
      <c r="Q30" s="150"/>
      <c r="R30" s="31"/>
    </row>
    <row r="31" spans="1:18" ht="15" x14ac:dyDescent="0.3">
      <c r="A31" s="29" t="s">
        <v>43</v>
      </c>
      <c r="B31" s="30">
        <v>0.01</v>
      </c>
      <c r="C31" s="30">
        <v>0.01</v>
      </c>
      <c r="D31" s="30"/>
      <c r="E31" s="30">
        <v>0.01</v>
      </c>
      <c r="F31" s="30" t="s">
        <v>0</v>
      </c>
      <c r="G31" s="30" t="s">
        <v>0</v>
      </c>
      <c r="H31" s="30"/>
      <c r="I31" s="30"/>
      <c r="J31" s="30" t="s">
        <v>0</v>
      </c>
      <c r="K31" s="30" t="s">
        <v>0</v>
      </c>
      <c r="L31" s="30" t="s">
        <v>0</v>
      </c>
      <c r="M31" s="30">
        <v>0.01</v>
      </c>
      <c r="N31" s="30" t="s">
        <v>0</v>
      </c>
      <c r="O31" s="30" t="s">
        <v>0</v>
      </c>
      <c r="P31" s="150" t="s">
        <v>0</v>
      </c>
      <c r="Q31" s="150"/>
      <c r="R31" s="31"/>
    </row>
    <row r="32" spans="1:18" ht="15" x14ac:dyDescent="0.3">
      <c r="A32" s="29" t="s">
        <v>33</v>
      </c>
      <c r="B32" s="200">
        <v>0</v>
      </c>
      <c r="C32" s="200"/>
      <c r="D32" s="200"/>
      <c r="E32" s="200">
        <v>0</v>
      </c>
      <c r="F32" s="200"/>
      <c r="G32" s="200"/>
      <c r="H32" s="200"/>
      <c r="I32" s="200"/>
      <c r="J32" s="200"/>
      <c r="K32" s="200"/>
      <c r="L32" s="200"/>
      <c r="M32" s="200">
        <v>0</v>
      </c>
      <c r="N32" s="200"/>
      <c r="O32" s="200"/>
      <c r="P32" s="201"/>
      <c r="Q32" s="201"/>
      <c r="R32" s="202"/>
    </row>
    <row r="33" spans="1:18" ht="15.6" thickBot="1" x14ac:dyDescent="0.35">
      <c r="A33" s="32" t="s">
        <v>34</v>
      </c>
      <c r="B33" s="98">
        <f>B22</f>
        <v>0</v>
      </c>
      <c r="C33" s="98">
        <f>C22</f>
        <v>0</v>
      </c>
      <c r="D33" s="98"/>
      <c r="E33" s="98">
        <f>E22</f>
        <v>0</v>
      </c>
      <c r="F33" s="98" t="s">
        <v>0</v>
      </c>
      <c r="G33" s="98" t="s">
        <v>0</v>
      </c>
      <c r="H33" s="98"/>
      <c r="I33" s="98"/>
      <c r="J33" s="98" t="s">
        <v>0</v>
      </c>
      <c r="K33" s="98" t="s">
        <v>0</v>
      </c>
      <c r="L33" s="98" t="s">
        <v>0</v>
      </c>
      <c r="M33" s="98">
        <f>M22</f>
        <v>0</v>
      </c>
      <c r="N33" s="98" t="s">
        <v>0</v>
      </c>
      <c r="O33" s="98" t="s">
        <v>0</v>
      </c>
      <c r="P33" s="151" t="s">
        <v>0</v>
      </c>
      <c r="Q33" s="151"/>
      <c r="R33" s="99"/>
    </row>
    <row r="34" spans="1:18" ht="15" x14ac:dyDescent="0.3">
      <c r="A34" s="100" t="s">
        <v>44</v>
      </c>
      <c r="B34" s="101">
        <f>ROUND(B23-B$26*$B$6,1)</f>
        <v>145619.29999999999</v>
      </c>
      <c r="C34" s="101">
        <f>ROUND(C23-C$26*$B$6,1)</f>
        <v>52480.4</v>
      </c>
      <c r="D34" s="101"/>
      <c r="E34" s="101">
        <f>ROUND(E23-E$26*$B$6,1)</f>
        <v>13168.4</v>
      </c>
      <c r="F34" s="101" t="s">
        <v>0</v>
      </c>
      <c r="G34" s="101" t="s">
        <v>0</v>
      </c>
      <c r="H34" s="101"/>
      <c r="I34" s="101"/>
      <c r="J34" s="101" t="s">
        <v>0</v>
      </c>
      <c r="K34" s="101" t="s">
        <v>0</v>
      </c>
      <c r="L34" s="101" t="s">
        <v>0</v>
      </c>
      <c r="M34" s="101">
        <f>ROUND(M23-M$26*$B$6,1)</f>
        <v>6728.7</v>
      </c>
      <c r="N34" s="101" t="s">
        <v>0</v>
      </c>
      <c r="O34" s="101" t="s">
        <v>0</v>
      </c>
      <c r="P34" s="152" t="s">
        <v>0</v>
      </c>
      <c r="Q34" s="152"/>
      <c r="R34" s="157"/>
    </row>
    <row r="35" spans="1:18" ht="15" x14ac:dyDescent="0.3">
      <c r="A35" s="102" t="s">
        <v>45</v>
      </c>
      <c r="B35" s="103"/>
      <c r="C35" s="103">
        <f>ROUND(C24-C$26*$B$6,1)</f>
        <v>53809.599999999999</v>
      </c>
      <c r="D35" s="103"/>
      <c r="E35" s="103"/>
      <c r="F35" s="103" t="s">
        <v>0</v>
      </c>
      <c r="G35" s="103" t="s">
        <v>0</v>
      </c>
      <c r="H35" s="103"/>
      <c r="I35" s="103"/>
      <c r="J35" s="103" t="s">
        <v>0</v>
      </c>
      <c r="K35" s="103" t="s">
        <v>0</v>
      </c>
      <c r="L35" s="103" t="s">
        <v>0</v>
      </c>
      <c r="M35" s="103"/>
      <c r="N35" s="103" t="s">
        <v>0</v>
      </c>
      <c r="O35" s="103" t="s">
        <v>0</v>
      </c>
      <c r="P35" s="153" t="s">
        <v>0</v>
      </c>
      <c r="Q35" s="153"/>
      <c r="R35" s="158"/>
    </row>
    <row r="36" spans="1:18" ht="15" x14ac:dyDescent="0.3">
      <c r="A36" s="102" t="s">
        <v>46</v>
      </c>
      <c r="B36" s="103">
        <f>ROUND(B37-B$26*$B$6,1)</f>
        <v>149300.4</v>
      </c>
      <c r="C36" s="103">
        <f>ROUND(C37-C$26*$B$6,1)</f>
        <v>55404.5</v>
      </c>
      <c r="D36" s="103"/>
      <c r="E36" s="103">
        <f>ROUND(E37-E$26*$B$6,1)</f>
        <v>13504.9</v>
      </c>
      <c r="F36" s="103" t="s">
        <v>0</v>
      </c>
      <c r="G36" s="103" t="s">
        <v>0</v>
      </c>
      <c r="H36" s="103"/>
      <c r="I36" s="103"/>
      <c r="J36" s="103" t="s">
        <v>0</v>
      </c>
      <c r="K36" s="103" t="s">
        <v>0</v>
      </c>
      <c r="L36" s="103" t="s">
        <v>0</v>
      </c>
      <c r="M36" s="103">
        <f>ROUND(M37-M$26*$B$6,1)</f>
        <v>6902.5</v>
      </c>
      <c r="N36" s="103" t="s">
        <v>0</v>
      </c>
      <c r="O36" s="103" t="s">
        <v>0</v>
      </c>
      <c r="P36" s="153" t="s">
        <v>0</v>
      </c>
      <c r="Q36" s="153"/>
      <c r="R36" s="158"/>
    </row>
    <row r="37" spans="1:18" ht="15" x14ac:dyDescent="0.3">
      <c r="A37" s="102" t="s">
        <v>47</v>
      </c>
      <c r="B37" s="103">
        <f>ROUND(B24-B31*(B24-B23)/B20,1)</f>
        <v>149455</v>
      </c>
      <c r="C37" s="103">
        <f>ROUND(C25-C31*(C25-C24)/C21,1)</f>
        <v>55559.1</v>
      </c>
      <c r="D37" s="103"/>
      <c r="E37" s="103">
        <f>ROUND(E24-E31*(E24-E23)/E20,1)</f>
        <v>13659.5</v>
      </c>
      <c r="F37" s="103" t="s">
        <v>0</v>
      </c>
      <c r="G37" s="103" t="s">
        <v>0</v>
      </c>
      <c r="H37" s="103"/>
      <c r="I37" s="103"/>
      <c r="J37" s="103" t="s">
        <v>0</v>
      </c>
      <c r="K37" s="103" t="s">
        <v>0</v>
      </c>
      <c r="L37" s="103" t="s">
        <v>0</v>
      </c>
      <c r="M37" s="103">
        <f>ROUND(M24-M31*(M24-M23)/M20,1)</f>
        <v>7057.1</v>
      </c>
      <c r="N37" s="103" t="s">
        <v>0</v>
      </c>
      <c r="O37" s="103" t="s">
        <v>0</v>
      </c>
      <c r="P37" s="153" t="s">
        <v>0</v>
      </c>
      <c r="Q37" s="153"/>
      <c r="R37" s="158"/>
    </row>
    <row r="38" spans="1:18" ht="15" x14ac:dyDescent="0.3">
      <c r="A38" s="102" t="s">
        <v>36</v>
      </c>
      <c r="B38" s="193">
        <f>B24</f>
        <v>149455.1</v>
      </c>
      <c r="C38" s="193"/>
      <c r="D38" s="193"/>
      <c r="E38" s="193">
        <f>E24</f>
        <v>13659.5</v>
      </c>
      <c r="F38" s="193"/>
      <c r="G38" s="193"/>
      <c r="H38" s="193"/>
      <c r="I38" s="193"/>
      <c r="J38" s="193"/>
      <c r="K38" s="193"/>
      <c r="L38" s="193"/>
      <c r="M38" s="193">
        <f>M24</f>
        <v>7057.1</v>
      </c>
      <c r="N38" s="193"/>
      <c r="O38" s="193"/>
      <c r="P38" s="194"/>
      <c r="Q38" s="194"/>
      <c r="R38" s="195"/>
    </row>
    <row r="39" spans="1:18" ht="15.6" thickBot="1" x14ac:dyDescent="0.35">
      <c r="A39" s="104" t="s">
        <v>37</v>
      </c>
      <c r="B39" s="105">
        <f>B25</f>
        <v>153872.5</v>
      </c>
      <c r="C39" s="105">
        <f>C25</f>
        <v>55559.199999999997</v>
      </c>
      <c r="D39" s="105"/>
      <c r="E39" s="105">
        <f>E25</f>
        <v>14063.2</v>
      </c>
      <c r="F39" s="105" t="s">
        <v>0</v>
      </c>
      <c r="G39" s="105" t="s">
        <v>0</v>
      </c>
      <c r="H39" s="105"/>
      <c r="I39" s="105"/>
      <c r="J39" s="105" t="s">
        <v>0</v>
      </c>
      <c r="K39" s="105" t="s">
        <v>0</v>
      </c>
      <c r="L39" s="105" t="s">
        <v>0</v>
      </c>
      <c r="M39" s="105">
        <f>M25</f>
        <v>7265.7</v>
      </c>
      <c r="N39" s="105" t="s">
        <v>0</v>
      </c>
      <c r="O39" s="105" t="s">
        <v>0</v>
      </c>
      <c r="P39" s="154" t="s">
        <v>0</v>
      </c>
      <c r="Q39" s="154"/>
      <c r="R39" s="159"/>
    </row>
    <row r="40" spans="1:18" ht="15.6" x14ac:dyDescent="0.3">
      <c r="A40" s="33" t="s">
        <v>48</v>
      </c>
      <c r="B40" s="34">
        <f t="shared" ref="B40:R40" si="6">ROUND(MAX(B$17*0.5, 20)*((DATE(LEFT($A$1,4)*1+1,5,31)-(DATE(LEFT($A$1,4)*1,6,1))+1)),2)</f>
        <v>7300</v>
      </c>
      <c r="C40" s="34">
        <f t="shared" si="6"/>
        <v>26588.43</v>
      </c>
      <c r="D40" s="34">
        <f t="shared" si="6"/>
        <v>42007.85</v>
      </c>
      <c r="E40" s="34">
        <f t="shared" si="6"/>
        <v>7300</v>
      </c>
      <c r="F40" s="34">
        <f t="shared" si="6"/>
        <v>54224.4</v>
      </c>
      <c r="G40" s="34">
        <f t="shared" si="6"/>
        <v>54224.4</v>
      </c>
      <c r="H40" s="34">
        <f t="shared" si="6"/>
        <v>21396.3</v>
      </c>
      <c r="I40" s="34">
        <f t="shared" si="6"/>
        <v>7300</v>
      </c>
      <c r="J40" s="34">
        <f t="shared" si="6"/>
        <v>7300</v>
      </c>
      <c r="K40" s="34">
        <f t="shared" si="6"/>
        <v>7300</v>
      </c>
      <c r="L40" s="34">
        <f t="shared" si="6"/>
        <v>40927.449999999997</v>
      </c>
      <c r="M40" s="34">
        <f t="shared" si="6"/>
        <v>7300</v>
      </c>
      <c r="N40" s="34">
        <f t="shared" si="6"/>
        <v>27349.45</v>
      </c>
      <c r="O40" s="34">
        <f t="shared" si="6"/>
        <v>7300</v>
      </c>
      <c r="P40" s="155">
        <f t="shared" si="6"/>
        <v>7300</v>
      </c>
      <c r="Q40" s="155">
        <f t="shared" si="6"/>
        <v>7300</v>
      </c>
      <c r="R40" s="155">
        <f t="shared" si="6"/>
        <v>48399</v>
      </c>
    </row>
    <row r="41" spans="1:18" ht="15" x14ac:dyDescent="0.3">
      <c r="A41" s="16" t="s">
        <v>151</v>
      </c>
      <c r="B41" s="183"/>
      <c r="C41" s="184"/>
      <c r="D41" s="184"/>
      <c r="E41" s="184"/>
      <c r="F41" s="184"/>
      <c r="G41" s="184"/>
      <c r="H41" s="184"/>
      <c r="I41" s="184"/>
      <c r="J41" s="184"/>
      <c r="K41" s="184"/>
      <c r="L41" s="184"/>
      <c r="M41" s="184"/>
      <c r="N41" s="184"/>
      <c r="O41" s="184"/>
      <c r="P41" s="184"/>
      <c r="Q41" s="184"/>
      <c r="R41" s="185"/>
    </row>
    <row r="42" spans="1:18" ht="15.6" x14ac:dyDescent="0.3">
      <c r="A42" s="223" t="s">
        <v>49</v>
      </c>
      <c r="B42" s="223"/>
      <c r="C42" s="223"/>
      <c r="D42" s="223"/>
      <c r="E42" s="223"/>
      <c r="F42" s="223"/>
      <c r="G42" s="223"/>
      <c r="H42" s="223"/>
      <c r="I42" s="223"/>
      <c r="J42" s="223"/>
      <c r="K42" s="223"/>
      <c r="L42" s="223"/>
      <c r="M42" s="223"/>
      <c r="N42" s="223"/>
      <c r="O42" s="223"/>
      <c r="P42" s="223"/>
      <c r="Q42" s="223"/>
      <c r="R42" s="223"/>
    </row>
    <row r="43" spans="1:18" ht="15" x14ac:dyDescent="0.3">
      <c r="A43" s="16" t="s">
        <v>50</v>
      </c>
      <c r="B43" s="35" t="s">
        <v>22</v>
      </c>
      <c r="C43" s="36">
        <f>MIN(ROUND((C12-C11)/(F76*$B$6),3),100%)</f>
        <v>0.97499999999999998</v>
      </c>
      <c r="D43" s="37">
        <f>ROUND((D12-D11)/(F73*$B$6),3)</f>
        <v>0.83299999999999996</v>
      </c>
      <c r="E43" s="37">
        <f>ROUND((E12-E11)/(F74*$B$6),3)</f>
        <v>0.54300000000000004</v>
      </c>
      <c r="F43" s="37">
        <f>ROUND((F12-F11)/(F70*$B$6),3)</f>
        <v>0.20799999999999999</v>
      </c>
      <c r="G43" s="35" t="s">
        <v>22</v>
      </c>
      <c r="H43" s="35" t="s">
        <v>22</v>
      </c>
      <c r="I43" s="35" t="s">
        <v>22</v>
      </c>
      <c r="J43" s="37">
        <f>ROUND((J12-J11)/(F52*$B$6),3)</f>
        <v>0.245</v>
      </c>
      <c r="K43" s="35" t="s">
        <v>22</v>
      </c>
      <c r="L43" s="37">
        <f>ROUND((L12-L11)/(F55*$B$6),3)</f>
        <v>0.85599999999999998</v>
      </c>
      <c r="M43" s="37">
        <f>ROUND((M12-M11)/(F54*$B$6),3)</f>
        <v>0.20899999999999999</v>
      </c>
      <c r="N43" s="35" t="s">
        <v>22</v>
      </c>
      <c r="O43" s="35" t="s">
        <v>22</v>
      </c>
      <c r="P43" s="156">
        <f>ROUND((P12-P11)/(F57*$B$6),3)</f>
        <v>2.4E-2</v>
      </c>
      <c r="Q43" s="156">
        <f>ROUND((Q12-Q11)/(F59*$B$6),3)</f>
        <v>0.85899999999999999</v>
      </c>
      <c r="R43" s="37">
        <f>ROUND((R12-R11)/(F63*$B$6),3)</f>
        <v>0.42399999999999999</v>
      </c>
    </row>
    <row r="44" spans="1:18" ht="15.6" x14ac:dyDescent="0.3">
      <c r="A44" s="186" t="s">
        <v>152</v>
      </c>
      <c r="B44" s="187"/>
      <c r="C44" s="188"/>
      <c r="D44" s="189"/>
      <c r="E44" s="189"/>
      <c r="F44" s="189"/>
      <c r="G44" s="187"/>
      <c r="H44" s="187"/>
      <c r="I44" s="187"/>
      <c r="J44" s="189"/>
      <c r="K44" s="187"/>
      <c r="L44" s="189"/>
      <c r="M44" s="189"/>
      <c r="N44" s="187"/>
      <c r="O44" s="187"/>
      <c r="P44" s="189"/>
      <c r="Q44" s="189"/>
      <c r="R44" s="190"/>
    </row>
    <row r="45" spans="1:18" ht="15.6" x14ac:dyDescent="0.3">
      <c r="A45" s="191" t="s">
        <v>0</v>
      </c>
      <c r="B45" s="192"/>
      <c r="C45" s="192"/>
      <c r="D45" s="192"/>
      <c r="E45" s="192"/>
      <c r="F45" s="192"/>
      <c r="G45" s="192"/>
      <c r="H45" s="192"/>
      <c r="I45" s="192"/>
      <c r="J45" s="192"/>
      <c r="K45" s="192"/>
      <c r="L45" s="192"/>
      <c r="M45" s="192"/>
      <c r="N45" s="192"/>
    </row>
    <row r="46" spans="1:18" ht="15.6" x14ac:dyDescent="0.3">
      <c r="A46" s="215" t="s">
        <v>51</v>
      </c>
      <c r="B46" s="215"/>
      <c r="C46" s="215"/>
      <c r="D46" s="215"/>
      <c r="E46" s="215"/>
      <c r="F46" s="215"/>
      <c r="G46" s="215"/>
      <c r="H46" s="215"/>
      <c r="I46" s="215"/>
      <c r="J46" s="38" t="s">
        <v>0</v>
      </c>
      <c r="K46" s="39" t="s">
        <v>0</v>
      </c>
      <c r="M46" s="39" t="s">
        <v>0</v>
      </c>
    </row>
    <row r="47" spans="1:18" ht="78" x14ac:dyDescent="0.3">
      <c r="A47" s="40" t="s">
        <v>52</v>
      </c>
      <c r="B47" s="41" t="s">
        <v>111</v>
      </c>
      <c r="C47" s="41" t="s">
        <v>110</v>
      </c>
      <c r="D47" s="41" t="s">
        <v>53</v>
      </c>
      <c r="E47" s="41" t="s">
        <v>119</v>
      </c>
      <c r="F47" s="41" t="s">
        <v>54</v>
      </c>
      <c r="G47" s="41" t="s">
        <v>55</v>
      </c>
      <c r="H47" s="41" t="s">
        <v>56</v>
      </c>
      <c r="I47" s="41" t="s">
        <v>57</v>
      </c>
      <c r="J47" s="24" t="s">
        <v>52</v>
      </c>
      <c r="K47" t="s">
        <v>0</v>
      </c>
      <c r="O47" s="42" t="s">
        <v>0</v>
      </c>
      <c r="P47" s="42" t="s">
        <v>0</v>
      </c>
    </row>
    <row r="48" spans="1:18" ht="15.6" x14ac:dyDescent="0.3">
      <c r="A48" s="43" t="s">
        <v>1</v>
      </c>
      <c r="B48" s="132" t="s">
        <v>22</v>
      </c>
      <c r="C48" s="128" t="s">
        <v>22</v>
      </c>
      <c r="D48" s="128" t="s">
        <v>22</v>
      </c>
      <c r="E48" s="125">
        <v>148659.40000000002</v>
      </c>
      <c r="F48" s="120">
        <v>157196.97871794872</v>
      </c>
      <c r="G48" s="44" t="s">
        <v>22</v>
      </c>
      <c r="H48" s="120">
        <f>H49+H50+H51+H52+H54+H55+H56+H57+H58+H59+H60+H62+H63+H64+H66+H67+H68+H69+H70+H72</f>
        <v>0</v>
      </c>
      <c r="I48" s="21">
        <f>I49+I50+I51+I52+I54+I55+I56+I57+I58+I59+I60+I62+I63+I64+I65+I66+I67+I68+I69+I70+I72</f>
        <v>157196.97871794872</v>
      </c>
      <c r="J48" s="22" t="s">
        <v>1</v>
      </c>
      <c r="K48" t="s">
        <v>0</v>
      </c>
      <c r="L48" s="42" t="s">
        <v>0</v>
      </c>
      <c r="M48" s="42" t="s">
        <v>0</v>
      </c>
      <c r="N48" s="42" t="s">
        <v>0</v>
      </c>
      <c r="P48" s="42" t="s">
        <v>0</v>
      </c>
    </row>
    <row r="49" spans="1:16" ht="15" x14ac:dyDescent="0.3">
      <c r="A49" s="45" t="s">
        <v>58</v>
      </c>
      <c r="B49" s="133">
        <v>2059</v>
      </c>
      <c r="C49" s="133" t="s">
        <v>159</v>
      </c>
      <c r="D49" s="128" t="s">
        <v>59</v>
      </c>
      <c r="E49" s="123">
        <v>2310</v>
      </c>
      <c r="F49" s="121">
        <v>2357</v>
      </c>
      <c r="G49" s="46">
        <f>F49/E49</f>
        <v>1.0203463203463203</v>
      </c>
      <c r="H49" s="127">
        <v>0</v>
      </c>
      <c r="I49" s="47">
        <f>F49-H49</f>
        <v>2357</v>
      </c>
      <c r="J49" s="161" t="s">
        <v>58</v>
      </c>
      <c r="K49" t="s">
        <v>0</v>
      </c>
      <c r="L49" s="160"/>
      <c r="M49" s="160"/>
      <c r="N49" s="42" t="s">
        <v>0</v>
      </c>
      <c r="P49" s="42" t="s">
        <v>0</v>
      </c>
    </row>
    <row r="50" spans="1:16" ht="15" x14ac:dyDescent="0.3">
      <c r="A50" s="45" t="s">
        <v>60</v>
      </c>
      <c r="B50" s="133">
        <v>-1586</v>
      </c>
      <c r="C50" s="133" t="s">
        <v>61</v>
      </c>
      <c r="D50" s="128" t="s">
        <v>61</v>
      </c>
      <c r="E50" s="123">
        <v>21723</v>
      </c>
      <c r="F50" s="121">
        <v>24038</v>
      </c>
      <c r="G50" s="46">
        <f>F50/E50</f>
        <v>1.1065690742530958</v>
      </c>
      <c r="H50" s="127">
        <v>0</v>
      </c>
      <c r="I50" s="47">
        <f>F50-H50</f>
        <v>24038</v>
      </c>
      <c r="J50" s="161" t="s">
        <v>60</v>
      </c>
      <c r="K50" t="s">
        <v>0</v>
      </c>
      <c r="L50" s="160"/>
      <c r="M50" s="160"/>
      <c r="N50" s="42" t="s">
        <v>0</v>
      </c>
      <c r="P50" s="42" t="s">
        <v>0</v>
      </c>
    </row>
    <row r="51" spans="1:16" ht="15" x14ac:dyDescent="0.3">
      <c r="A51" s="45" t="s">
        <v>62</v>
      </c>
      <c r="B51" s="133">
        <v>1994</v>
      </c>
      <c r="C51" s="133" t="s">
        <v>160</v>
      </c>
      <c r="D51" s="128" t="s">
        <v>59</v>
      </c>
      <c r="E51" s="126">
        <v>8452.2000000000007</v>
      </c>
      <c r="F51" s="121">
        <v>9209</v>
      </c>
      <c r="G51" s="48">
        <f>F51/E51</f>
        <v>1.0895388182958281</v>
      </c>
      <c r="H51" s="128">
        <v>0</v>
      </c>
      <c r="I51" s="47">
        <f>F51-H51</f>
        <v>9209</v>
      </c>
      <c r="J51" s="161" t="s">
        <v>62</v>
      </c>
      <c r="K51" t="s">
        <v>0</v>
      </c>
      <c r="L51" s="160"/>
      <c r="M51" s="160"/>
      <c r="N51" s="42" t="s">
        <v>0</v>
      </c>
      <c r="O51" s="42" t="s">
        <v>0</v>
      </c>
      <c r="P51" s="42" t="s">
        <v>0</v>
      </c>
    </row>
    <row r="52" spans="1:16" ht="15" x14ac:dyDescent="0.3">
      <c r="A52" s="45" t="s">
        <v>14</v>
      </c>
      <c r="B52" s="133">
        <v>3481</v>
      </c>
      <c r="C52" s="133">
        <v>9209</v>
      </c>
      <c r="D52" s="134">
        <v>2.6455041654696925</v>
      </c>
      <c r="E52" s="122">
        <v>11550</v>
      </c>
      <c r="F52" s="121">
        <v>11998</v>
      </c>
      <c r="G52" s="48">
        <f>F52/E52</f>
        <v>1.0387878787878788</v>
      </c>
      <c r="H52" s="128">
        <v>0</v>
      </c>
      <c r="I52" s="47">
        <f>F52-H52</f>
        <v>11998</v>
      </c>
      <c r="J52" s="161" t="s">
        <v>14</v>
      </c>
      <c r="K52" t="s">
        <v>0</v>
      </c>
      <c r="L52" s="160"/>
      <c r="M52" s="160"/>
      <c r="N52" s="42" t="s">
        <v>0</v>
      </c>
      <c r="O52" s="42" t="s">
        <v>0</v>
      </c>
      <c r="P52" s="42" t="s">
        <v>0</v>
      </c>
    </row>
    <row r="53" spans="1:16" ht="15" x14ac:dyDescent="0.3">
      <c r="A53" s="45" t="s">
        <v>63</v>
      </c>
      <c r="B53" s="133">
        <v>3328</v>
      </c>
      <c r="C53" s="133">
        <v>4955</v>
      </c>
      <c r="D53" s="134">
        <v>1.4888822115384615</v>
      </c>
      <c r="E53" s="122" t="s">
        <v>22</v>
      </c>
      <c r="F53" s="121">
        <v>4019.3300000000004</v>
      </c>
      <c r="G53" s="48" t="s">
        <v>22</v>
      </c>
      <c r="H53" s="128">
        <v>0</v>
      </c>
      <c r="I53" s="47" t="s">
        <v>22</v>
      </c>
      <c r="J53" s="161" t="s">
        <v>63</v>
      </c>
      <c r="K53" t="s">
        <v>0</v>
      </c>
      <c r="L53" s="42" t="s">
        <v>0</v>
      </c>
      <c r="M53" s="42" t="s">
        <v>0</v>
      </c>
      <c r="N53" s="42" t="s">
        <v>0</v>
      </c>
      <c r="O53" s="42" t="s">
        <v>0</v>
      </c>
      <c r="P53" s="42" t="s">
        <v>0</v>
      </c>
    </row>
    <row r="54" spans="1:16" ht="15" x14ac:dyDescent="0.3">
      <c r="A54" s="45" t="s">
        <v>17</v>
      </c>
      <c r="B54" s="133">
        <v>4654</v>
      </c>
      <c r="C54" s="133">
        <v>5720</v>
      </c>
      <c r="D54" s="134">
        <v>1.229050279329609</v>
      </c>
      <c r="E54" s="123">
        <v>6200</v>
      </c>
      <c r="F54" s="121">
        <v>6285</v>
      </c>
      <c r="G54" s="46">
        <f t="shared" ref="G54:G60" si="7">F54/E54</f>
        <v>1.0137096774193548</v>
      </c>
      <c r="H54" s="128">
        <v>0</v>
      </c>
      <c r="I54" s="47">
        <f t="shared" ref="I54:I72" si="8">F54-H54</f>
        <v>6285</v>
      </c>
      <c r="J54" s="161" t="s">
        <v>17</v>
      </c>
      <c r="K54" t="s">
        <v>0</v>
      </c>
      <c r="L54" s="42"/>
      <c r="M54" s="42" t="s">
        <v>0</v>
      </c>
      <c r="N54" s="42" t="s">
        <v>0</v>
      </c>
      <c r="O54" s="42" t="s">
        <v>0</v>
      </c>
      <c r="P54" s="42" t="s">
        <v>0</v>
      </c>
    </row>
    <row r="55" spans="1:16" ht="15" x14ac:dyDescent="0.3">
      <c r="A55" s="45" t="s">
        <v>16</v>
      </c>
      <c r="B55" s="133">
        <v>-1477</v>
      </c>
      <c r="C55" s="133">
        <v>6012</v>
      </c>
      <c r="D55" s="128" t="s">
        <v>61</v>
      </c>
      <c r="E55" s="123">
        <v>18720</v>
      </c>
      <c r="F55" s="121">
        <v>18807</v>
      </c>
      <c r="G55" s="46">
        <f t="shared" si="7"/>
        <v>1.004647435897436</v>
      </c>
      <c r="H55" s="128">
        <v>0</v>
      </c>
      <c r="I55" s="47">
        <f t="shared" si="8"/>
        <v>18807</v>
      </c>
      <c r="J55" s="161" t="s">
        <v>16</v>
      </c>
      <c r="K55" t="s">
        <v>0</v>
      </c>
      <c r="L55" s="42" t="s">
        <v>0</v>
      </c>
      <c r="M55" s="42" t="s">
        <v>0</v>
      </c>
      <c r="N55" s="42" t="s">
        <v>0</v>
      </c>
      <c r="O55" s="42" t="s">
        <v>0</v>
      </c>
      <c r="P55" s="42" t="s">
        <v>0</v>
      </c>
    </row>
    <row r="56" spans="1:16" ht="15" x14ac:dyDescent="0.3">
      <c r="A56" s="45" t="s">
        <v>19</v>
      </c>
      <c r="B56" s="133">
        <v>2565</v>
      </c>
      <c r="C56" s="133">
        <v>4568</v>
      </c>
      <c r="D56" s="134">
        <v>1.7808966861598441</v>
      </c>
      <c r="E56" s="122">
        <v>3140</v>
      </c>
      <c r="F56" s="121">
        <v>3148</v>
      </c>
      <c r="G56" s="48">
        <f t="shared" si="7"/>
        <v>1.0025477707006369</v>
      </c>
      <c r="H56" s="128">
        <v>0</v>
      </c>
      <c r="I56" s="47">
        <f t="shared" si="8"/>
        <v>3148</v>
      </c>
      <c r="J56" s="161" t="s">
        <v>19</v>
      </c>
      <c r="K56" t="s">
        <v>0</v>
      </c>
      <c r="L56" s="42" t="s">
        <v>0</v>
      </c>
      <c r="M56" s="42" t="s">
        <v>0</v>
      </c>
      <c r="N56" s="42" t="s">
        <v>0</v>
      </c>
      <c r="O56" s="42" t="s">
        <v>0</v>
      </c>
      <c r="P56" s="42" t="s">
        <v>0</v>
      </c>
    </row>
    <row r="57" spans="1:16" ht="15" x14ac:dyDescent="0.3">
      <c r="A57" s="45" t="s">
        <v>20</v>
      </c>
      <c r="B57" s="133">
        <v>2826</v>
      </c>
      <c r="C57" s="133">
        <v>5524</v>
      </c>
      <c r="D57" s="134">
        <v>1.9547062986553432</v>
      </c>
      <c r="E57" s="122">
        <v>5030</v>
      </c>
      <c r="F57" s="121">
        <v>5094</v>
      </c>
      <c r="G57" s="48">
        <f t="shared" si="7"/>
        <v>1.0127236580516898</v>
      </c>
      <c r="H57" s="127">
        <v>0</v>
      </c>
      <c r="I57" s="47">
        <f t="shared" si="8"/>
        <v>5094</v>
      </c>
      <c r="J57" s="161" t="s">
        <v>20</v>
      </c>
      <c r="K57" t="s">
        <v>0</v>
      </c>
      <c r="L57" s="115"/>
      <c r="N57" s="42" t="s">
        <v>0</v>
      </c>
      <c r="O57" s="42" t="s">
        <v>0</v>
      </c>
      <c r="P57" s="42" t="s">
        <v>0</v>
      </c>
    </row>
    <row r="58" spans="1:16" ht="15" x14ac:dyDescent="0.3">
      <c r="A58" s="45" t="s">
        <v>64</v>
      </c>
      <c r="B58" s="133">
        <v>1888</v>
      </c>
      <c r="C58" s="133" t="s">
        <v>161</v>
      </c>
      <c r="D58" s="128" t="s">
        <v>59</v>
      </c>
      <c r="E58" s="122">
        <v>2620</v>
      </c>
      <c r="F58" s="121">
        <v>2634</v>
      </c>
      <c r="G58" s="48">
        <f t="shared" si="7"/>
        <v>1.0053435114503817</v>
      </c>
      <c r="H58" s="127">
        <v>0</v>
      </c>
      <c r="I58" s="47">
        <f t="shared" si="8"/>
        <v>2634</v>
      </c>
      <c r="J58" s="161" t="s">
        <v>64</v>
      </c>
      <c r="K58" t="s">
        <v>0</v>
      </c>
      <c r="L58" s="42" t="s">
        <v>0</v>
      </c>
      <c r="N58" s="42" t="s">
        <v>0</v>
      </c>
      <c r="O58" s="42" t="s">
        <v>0</v>
      </c>
      <c r="P58" s="42" t="s">
        <v>0</v>
      </c>
    </row>
    <row r="59" spans="1:16" ht="15" x14ac:dyDescent="0.3">
      <c r="A59" s="45" t="s">
        <v>65</v>
      </c>
      <c r="B59" s="133">
        <v>5813</v>
      </c>
      <c r="C59" s="133">
        <v>6610</v>
      </c>
      <c r="D59" s="134">
        <v>1.1371064854636159</v>
      </c>
      <c r="E59" s="122">
        <v>21200</v>
      </c>
      <c r="F59" s="121">
        <v>24915</v>
      </c>
      <c r="G59" s="48">
        <f t="shared" si="7"/>
        <v>1.1752358490566037</v>
      </c>
      <c r="H59" s="127">
        <v>0</v>
      </c>
      <c r="I59" s="47">
        <f t="shared" si="8"/>
        <v>24915</v>
      </c>
      <c r="J59" s="161" t="s">
        <v>65</v>
      </c>
      <c r="K59" t="s">
        <v>0</v>
      </c>
      <c r="L59" s="42" t="s">
        <v>0</v>
      </c>
      <c r="N59" s="42" t="s">
        <v>0</v>
      </c>
      <c r="O59" s="42" t="s">
        <v>0</v>
      </c>
      <c r="P59" s="42" t="s">
        <v>0</v>
      </c>
    </row>
    <row r="60" spans="1:16" ht="15" x14ac:dyDescent="0.3">
      <c r="A60" s="45" t="s">
        <v>66</v>
      </c>
      <c r="B60" s="133">
        <v>1570</v>
      </c>
      <c r="C60" s="133" t="s">
        <v>162</v>
      </c>
      <c r="D60" s="128" t="s">
        <v>59</v>
      </c>
      <c r="E60" s="122">
        <v>3660</v>
      </c>
      <c r="F60" s="121">
        <v>3654</v>
      </c>
      <c r="G60" s="48">
        <f t="shared" si="7"/>
        <v>0.99836065573770494</v>
      </c>
      <c r="H60" s="127">
        <v>0</v>
      </c>
      <c r="I60" s="47">
        <f t="shared" si="8"/>
        <v>3654</v>
      </c>
      <c r="J60" s="161" t="s">
        <v>66</v>
      </c>
      <c r="K60" t="s">
        <v>0</v>
      </c>
      <c r="L60" s="42" t="s">
        <v>0</v>
      </c>
      <c r="M60" s="42" t="s">
        <v>0</v>
      </c>
      <c r="P60" s="42" t="s">
        <v>0</v>
      </c>
    </row>
    <row r="61" spans="1:16" ht="15" x14ac:dyDescent="0.3">
      <c r="A61" s="45" t="s">
        <v>12</v>
      </c>
      <c r="B61" s="133">
        <v>1646</v>
      </c>
      <c r="C61" s="133">
        <v>1846</v>
      </c>
      <c r="D61" s="134">
        <v>1.1215066828675577</v>
      </c>
      <c r="E61" s="122" t="s">
        <v>22</v>
      </c>
      <c r="F61" s="121">
        <v>2225.2860000000001</v>
      </c>
      <c r="G61" s="48" t="s">
        <v>22</v>
      </c>
      <c r="H61" s="127">
        <v>0</v>
      </c>
      <c r="I61" s="47">
        <f t="shared" si="8"/>
        <v>2225.2860000000001</v>
      </c>
      <c r="J61" s="161" t="s">
        <v>12</v>
      </c>
      <c r="K61" t="s">
        <v>0</v>
      </c>
      <c r="L61" s="42" t="s">
        <v>0</v>
      </c>
      <c r="M61" s="42" t="s">
        <v>0</v>
      </c>
      <c r="P61" s="42" t="s">
        <v>0</v>
      </c>
    </row>
    <row r="62" spans="1:16" ht="15" x14ac:dyDescent="0.3">
      <c r="A62" s="45" t="s">
        <v>67</v>
      </c>
      <c r="B62" s="133">
        <v>897</v>
      </c>
      <c r="C62" s="133" t="s">
        <v>163</v>
      </c>
      <c r="D62" s="128" t="s">
        <v>59</v>
      </c>
      <c r="E62" s="122">
        <v>1950</v>
      </c>
      <c r="F62" s="121">
        <v>2385.9787179487175</v>
      </c>
      <c r="G62" s="48">
        <f t="shared" ref="G62:G70" si="9">F62/E62</f>
        <v>1.2235788297172911</v>
      </c>
      <c r="H62" s="127">
        <v>0</v>
      </c>
      <c r="I62" s="47">
        <f t="shared" si="8"/>
        <v>2385.9787179487175</v>
      </c>
      <c r="J62" s="161" t="s">
        <v>67</v>
      </c>
      <c r="K62" t="s">
        <v>0</v>
      </c>
      <c r="L62" s="42" t="s">
        <v>0</v>
      </c>
      <c r="M62" s="42" t="s">
        <v>0</v>
      </c>
      <c r="P62" s="42" t="s">
        <v>0</v>
      </c>
    </row>
    <row r="63" spans="1:16" ht="15.6" x14ac:dyDescent="0.3">
      <c r="A63" s="45" t="s">
        <v>68</v>
      </c>
      <c r="B63" s="133">
        <v>3812</v>
      </c>
      <c r="C63" s="135">
        <v>4098</v>
      </c>
      <c r="D63" s="134">
        <v>1.0750262329485833</v>
      </c>
      <c r="E63" s="122">
        <v>5730</v>
      </c>
      <c r="F63" s="121">
        <v>5742</v>
      </c>
      <c r="G63" s="48">
        <f t="shared" si="9"/>
        <v>1.0020942408376963</v>
      </c>
      <c r="H63" s="128">
        <v>0</v>
      </c>
      <c r="I63" s="47">
        <f t="shared" si="8"/>
        <v>5742</v>
      </c>
      <c r="J63" s="161" t="s">
        <v>68</v>
      </c>
      <c r="K63" t="s">
        <v>0</v>
      </c>
      <c r="L63" s="42" t="s">
        <v>0</v>
      </c>
      <c r="M63" s="42" t="s">
        <v>0</v>
      </c>
      <c r="N63" s="42" t="s">
        <v>0</v>
      </c>
      <c r="P63" s="42" t="s">
        <v>0</v>
      </c>
    </row>
    <row r="64" spans="1:16" ht="15" x14ac:dyDescent="0.3">
      <c r="A64" s="45" t="s">
        <v>69</v>
      </c>
      <c r="B64" s="133">
        <v>1518</v>
      </c>
      <c r="C64" s="133" t="s">
        <v>164</v>
      </c>
      <c r="D64" s="128" t="s">
        <v>59</v>
      </c>
      <c r="E64" s="122">
        <v>2900</v>
      </c>
      <c r="F64" s="121">
        <v>3019</v>
      </c>
      <c r="G64" s="48">
        <f t="shared" si="9"/>
        <v>1.0410344827586206</v>
      </c>
      <c r="H64" s="128">
        <v>0</v>
      </c>
      <c r="I64" s="47">
        <f t="shared" si="8"/>
        <v>3019</v>
      </c>
      <c r="J64" s="161" t="s">
        <v>69</v>
      </c>
      <c r="K64" t="s">
        <v>0</v>
      </c>
      <c r="L64" s="42" t="s">
        <v>0</v>
      </c>
      <c r="M64" s="42" t="s">
        <v>0</v>
      </c>
      <c r="N64" s="42" t="s">
        <v>0</v>
      </c>
      <c r="P64" s="42" t="s">
        <v>0</v>
      </c>
    </row>
    <row r="65" spans="1:16" ht="15" x14ac:dyDescent="0.3">
      <c r="A65" s="45" t="s">
        <v>70</v>
      </c>
      <c r="B65" s="133" t="s">
        <v>22</v>
      </c>
      <c r="C65" s="133" t="s">
        <v>22</v>
      </c>
      <c r="D65" s="128" t="s">
        <v>22</v>
      </c>
      <c r="E65" s="122">
        <v>60</v>
      </c>
      <c r="F65" s="121">
        <v>60</v>
      </c>
      <c r="G65" s="48">
        <f t="shared" si="9"/>
        <v>1</v>
      </c>
      <c r="H65" s="128">
        <v>0</v>
      </c>
      <c r="I65" s="47">
        <f t="shared" si="8"/>
        <v>60</v>
      </c>
      <c r="J65" s="161" t="s">
        <v>70</v>
      </c>
      <c r="K65" t="s">
        <v>0</v>
      </c>
      <c r="L65" s="42" t="s">
        <v>0</v>
      </c>
      <c r="M65" s="42" t="s">
        <v>0</v>
      </c>
      <c r="N65" s="42" t="s">
        <v>0</v>
      </c>
      <c r="P65" s="42" t="s">
        <v>0</v>
      </c>
    </row>
    <row r="66" spans="1:16" ht="15" x14ac:dyDescent="0.3">
      <c r="A66" s="45" t="s">
        <v>71</v>
      </c>
      <c r="B66" s="133">
        <v>2912</v>
      </c>
      <c r="C66" s="133" t="s">
        <v>165</v>
      </c>
      <c r="D66" s="128" t="s">
        <v>59</v>
      </c>
      <c r="E66" s="122">
        <v>8030</v>
      </c>
      <c r="F66" s="121">
        <v>8146</v>
      </c>
      <c r="G66" s="48">
        <f t="shared" si="9"/>
        <v>1.0144458281444584</v>
      </c>
      <c r="H66" s="128">
        <v>0</v>
      </c>
      <c r="I66" s="47">
        <f t="shared" si="8"/>
        <v>8146</v>
      </c>
      <c r="J66" s="161" t="s">
        <v>71</v>
      </c>
      <c r="K66" t="s">
        <v>0</v>
      </c>
      <c r="L66" s="42" t="s">
        <v>0</v>
      </c>
      <c r="M66" s="42" t="s">
        <v>0</v>
      </c>
      <c r="N66" s="42" t="s">
        <v>0</v>
      </c>
      <c r="P66" s="42" t="s">
        <v>0</v>
      </c>
    </row>
    <row r="67" spans="1:16" ht="15" x14ac:dyDescent="0.3">
      <c r="A67" s="45" t="s">
        <v>72</v>
      </c>
      <c r="B67" s="133">
        <v>320</v>
      </c>
      <c r="C67" s="133" t="s">
        <v>166</v>
      </c>
      <c r="D67" s="128" t="s">
        <v>59</v>
      </c>
      <c r="E67" s="122">
        <v>2730</v>
      </c>
      <c r="F67" s="121">
        <v>2755</v>
      </c>
      <c r="G67" s="48">
        <f t="shared" si="9"/>
        <v>1.0091575091575091</v>
      </c>
      <c r="H67" s="128">
        <v>0</v>
      </c>
      <c r="I67" s="47">
        <f t="shared" si="8"/>
        <v>2755</v>
      </c>
      <c r="J67" s="161" t="s">
        <v>72</v>
      </c>
      <c r="K67" t="s">
        <v>0</v>
      </c>
      <c r="L67" s="42" t="s">
        <v>0</v>
      </c>
      <c r="M67" s="42" t="s">
        <v>0</v>
      </c>
      <c r="N67" s="42" t="s">
        <v>0</v>
      </c>
      <c r="P67" s="42" t="s">
        <v>0</v>
      </c>
    </row>
    <row r="68" spans="1:16" ht="15" x14ac:dyDescent="0.3">
      <c r="A68" s="45" t="s">
        <v>13</v>
      </c>
      <c r="B68" s="133">
        <v>4385</v>
      </c>
      <c r="C68" s="133">
        <v>6096</v>
      </c>
      <c r="D68" s="134">
        <v>1.3901938426453819</v>
      </c>
      <c r="E68" s="122">
        <v>5810</v>
      </c>
      <c r="F68" s="121">
        <v>5851</v>
      </c>
      <c r="G68" s="48">
        <f t="shared" si="9"/>
        <v>1.0070567986230636</v>
      </c>
      <c r="H68" s="128">
        <v>0</v>
      </c>
      <c r="I68" s="47">
        <f t="shared" si="8"/>
        <v>5851</v>
      </c>
      <c r="J68" s="161" t="s">
        <v>13</v>
      </c>
      <c r="K68" t="s">
        <v>0</v>
      </c>
      <c r="L68" s="42" t="s">
        <v>0</v>
      </c>
      <c r="M68" s="42" t="s">
        <v>0</v>
      </c>
      <c r="N68" s="42" t="s">
        <v>0</v>
      </c>
      <c r="P68" s="42" t="s">
        <v>0</v>
      </c>
    </row>
    <row r="69" spans="1:16" ht="15" x14ac:dyDescent="0.3">
      <c r="A69" s="45" t="s">
        <v>73</v>
      </c>
      <c r="B69" s="133">
        <v>-120</v>
      </c>
      <c r="C69" s="133" t="s">
        <v>61</v>
      </c>
      <c r="D69" s="128" t="s">
        <v>61</v>
      </c>
      <c r="E69" s="122">
        <v>7034.2</v>
      </c>
      <c r="F69" s="121">
        <v>7074</v>
      </c>
      <c r="G69" s="48">
        <f t="shared" si="9"/>
        <v>1.0056580705695033</v>
      </c>
      <c r="H69" s="128">
        <v>0</v>
      </c>
      <c r="I69" s="47">
        <f t="shared" si="8"/>
        <v>7074</v>
      </c>
      <c r="J69" s="161" t="s">
        <v>73</v>
      </c>
      <c r="K69" t="s">
        <v>0</v>
      </c>
      <c r="L69" s="42" t="s">
        <v>0</v>
      </c>
      <c r="M69" s="42" t="s">
        <v>0</v>
      </c>
      <c r="N69" s="42" t="s">
        <v>0</v>
      </c>
      <c r="P69" s="42" t="s">
        <v>0</v>
      </c>
    </row>
    <row r="70" spans="1:16" ht="15" x14ac:dyDescent="0.3">
      <c r="A70" s="45" t="s">
        <v>10</v>
      </c>
      <c r="B70" s="133">
        <v>6458</v>
      </c>
      <c r="C70" s="133">
        <v>8839</v>
      </c>
      <c r="D70" s="134">
        <v>1.3686899969030659</v>
      </c>
      <c r="E70" s="122">
        <v>9420</v>
      </c>
      <c r="F70" s="121">
        <v>9638</v>
      </c>
      <c r="G70" s="48">
        <f t="shared" si="9"/>
        <v>1.0231422505307857</v>
      </c>
      <c r="H70" s="128">
        <v>0</v>
      </c>
      <c r="I70" s="47">
        <f t="shared" si="8"/>
        <v>9638</v>
      </c>
      <c r="J70" s="161" t="s">
        <v>10</v>
      </c>
      <c r="K70" t="s">
        <v>0</v>
      </c>
      <c r="L70" s="42" t="s">
        <v>0</v>
      </c>
      <c r="M70" s="42" t="s">
        <v>0</v>
      </c>
      <c r="N70" s="42" t="s">
        <v>0</v>
      </c>
      <c r="P70" s="42" t="s">
        <v>0</v>
      </c>
    </row>
    <row r="71" spans="1:16" ht="15" x14ac:dyDescent="0.3">
      <c r="A71" s="45" t="s">
        <v>11</v>
      </c>
      <c r="B71" s="133">
        <v>2918</v>
      </c>
      <c r="C71" s="133">
        <v>4126</v>
      </c>
      <c r="D71" s="134">
        <v>1.4139821795750513</v>
      </c>
      <c r="E71" s="122" t="s">
        <v>22</v>
      </c>
      <c r="F71" s="121">
        <v>4905.7420000000002</v>
      </c>
      <c r="G71" s="48" t="s">
        <v>22</v>
      </c>
      <c r="H71" s="128">
        <v>0</v>
      </c>
      <c r="I71" s="47">
        <f t="shared" si="8"/>
        <v>4905.7420000000002</v>
      </c>
      <c r="J71" s="161" t="s">
        <v>11</v>
      </c>
      <c r="K71" t="s">
        <v>0</v>
      </c>
      <c r="L71" s="42" t="s">
        <v>0</v>
      </c>
      <c r="M71" s="42" t="s">
        <v>0</v>
      </c>
      <c r="N71" s="42" t="s">
        <v>0</v>
      </c>
      <c r="P71" s="42" t="s">
        <v>0</v>
      </c>
    </row>
    <row r="72" spans="1:16" ht="15" x14ac:dyDescent="0.3">
      <c r="A72" s="45" t="s">
        <v>74</v>
      </c>
      <c r="B72" s="133" t="s">
        <v>22</v>
      </c>
      <c r="C72" s="133" t="s">
        <v>22</v>
      </c>
      <c r="D72" s="128" t="s">
        <v>22</v>
      </c>
      <c r="E72" s="122">
        <v>390</v>
      </c>
      <c r="F72" s="121">
        <v>387</v>
      </c>
      <c r="G72" s="48">
        <f>F72/E72</f>
        <v>0.99230769230769234</v>
      </c>
      <c r="H72" s="128">
        <v>0</v>
      </c>
      <c r="I72" s="47">
        <f t="shared" si="8"/>
        <v>387</v>
      </c>
      <c r="J72" s="161" t="s">
        <v>74</v>
      </c>
      <c r="K72" t="s">
        <v>75</v>
      </c>
      <c r="L72" s="42" t="s">
        <v>0</v>
      </c>
      <c r="M72" s="42" t="s">
        <v>0</v>
      </c>
      <c r="N72" s="42" t="s">
        <v>0</v>
      </c>
      <c r="P72" s="42" t="s">
        <v>0</v>
      </c>
    </row>
    <row r="73" spans="1:16" ht="15" x14ac:dyDescent="0.3">
      <c r="A73" s="45" t="s">
        <v>8</v>
      </c>
      <c r="B73" s="133">
        <v>5756</v>
      </c>
      <c r="C73" s="133">
        <v>7645</v>
      </c>
      <c r="D73" s="134">
        <v>1.3281792911744268</v>
      </c>
      <c r="E73" s="122" t="s">
        <v>22</v>
      </c>
      <c r="F73" s="122">
        <v>29924</v>
      </c>
      <c r="G73" s="49" t="s">
        <v>22</v>
      </c>
      <c r="H73" s="122">
        <f>H49+H60+H63+H66+H70+H72</f>
        <v>0</v>
      </c>
      <c r="I73" s="229" t="s">
        <v>0</v>
      </c>
      <c r="J73" s="161" t="s">
        <v>8</v>
      </c>
      <c r="K73" t="s">
        <v>0</v>
      </c>
      <c r="L73" s="42" t="s">
        <v>0</v>
      </c>
      <c r="M73" s="42" t="s">
        <v>0</v>
      </c>
      <c r="N73" s="42" t="s">
        <v>0</v>
      </c>
      <c r="P73" s="42" t="s">
        <v>0</v>
      </c>
    </row>
    <row r="74" spans="1:16" ht="15" x14ac:dyDescent="0.3">
      <c r="A74" s="45" t="s">
        <v>9</v>
      </c>
      <c r="B74" s="133">
        <v>6882</v>
      </c>
      <c r="C74" s="133">
        <v>7286</v>
      </c>
      <c r="D74" s="134">
        <v>1.0587038651554781</v>
      </c>
      <c r="E74" s="123" t="s">
        <v>22</v>
      </c>
      <c r="F74" s="123">
        <v>12136</v>
      </c>
      <c r="G74" s="49" t="s">
        <v>22</v>
      </c>
      <c r="H74" s="122">
        <f>H54+H68</f>
        <v>0</v>
      </c>
      <c r="I74" s="230"/>
      <c r="J74" s="161" t="s">
        <v>9</v>
      </c>
      <c r="K74" t="s">
        <v>0</v>
      </c>
      <c r="L74" s="42" t="s">
        <v>0</v>
      </c>
      <c r="M74" s="42" t="s">
        <v>0</v>
      </c>
      <c r="N74" s="42" t="s">
        <v>0</v>
      </c>
      <c r="P74" s="42" t="s">
        <v>0</v>
      </c>
    </row>
    <row r="75" spans="1:16" ht="15.6" x14ac:dyDescent="0.3">
      <c r="A75" s="45" t="s">
        <v>76</v>
      </c>
      <c r="B75" s="133">
        <v>-7296</v>
      </c>
      <c r="C75" s="133" t="s">
        <v>61</v>
      </c>
      <c r="D75" s="128" t="s">
        <v>61</v>
      </c>
      <c r="E75" s="123" t="s">
        <v>22</v>
      </c>
      <c r="F75" s="123">
        <v>12848</v>
      </c>
      <c r="G75" s="49" t="s">
        <v>22</v>
      </c>
      <c r="H75" s="122">
        <f>H64+H67+H69</f>
        <v>0</v>
      </c>
      <c r="I75" s="230"/>
      <c r="J75" s="161" t="s">
        <v>76</v>
      </c>
      <c r="K75" t="s">
        <v>0</v>
      </c>
      <c r="L75" s="42" t="s">
        <v>0</v>
      </c>
      <c r="M75" s="42" t="s">
        <v>0</v>
      </c>
      <c r="N75" s="42" t="s">
        <v>0</v>
      </c>
      <c r="P75" s="50"/>
    </row>
    <row r="76" spans="1:16" ht="15.6" x14ac:dyDescent="0.3">
      <c r="A76" s="45" t="s">
        <v>7</v>
      </c>
      <c r="B76" s="133">
        <v>-745</v>
      </c>
      <c r="C76" s="133">
        <v>3023</v>
      </c>
      <c r="D76" s="128" t="s">
        <v>61</v>
      </c>
      <c r="E76" s="123" t="s">
        <v>22</v>
      </c>
      <c r="F76" s="123">
        <v>54908</v>
      </c>
      <c r="G76" s="49" t="s">
        <v>22</v>
      </c>
      <c r="H76" s="122">
        <f>H73+H74+H75</f>
        <v>0</v>
      </c>
      <c r="I76" s="230"/>
      <c r="J76" s="161" t="s">
        <v>7</v>
      </c>
      <c r="K76" t="s">
        <v>0</v>
      </c>
      <c r="O76" s="50"/>
      <c r="P76" s="50"/>
    </row>
    <row r="77" spans="1:16" ht="15.6" x14ac:dyDescent="0.3">
      <c r="A77" s="45" t="s">
        <v>77</v>
      </c>
      <c r="B77" s="133">
        <v>-1346</v>
      </c>
      <c r="C77" s="133" t="s">
        <v>61</v>
      </c>
      <c r="D77" s="128" t="s">
        <v>61</v>
      </c>
      <c r="E77" s="122" t="s">
        <v>22</v>
      </c>
      <c r="F77" s="122">
        <v>77373.978717948718</v>
      </c>
      <c r="G77" s="49" t="s">
        <v>22</v>
      </c>
      <c r="H77" s="122">
        <f>H50+H51+H52+H55+H56+H57+H58+H62</f>
        <v>0</v>
      </c>
      <c r="I77" s="231"/>
      <c r="J77" s="161" t="s">
        <v>77</v>
      </c>
      <c r="K77" t="s">
        <v>0</v>
      </c>
      <c r="O77" s="50"/>
      <c r="P77" s="50"/>
    </row>
    <row r="78" spans="1:16" ht="15.6" x14ac:dyDescent="0.3">
      <c r="A78" s="219" t="s">
        <v>78</v>
      </c>
      <c r="B78" s="220"/>
      <c r="C78" s="220"/>
      <c r="D78" s="220"/>
      <c r="E78" s="220"/>
      <c r="F78" s="220"/>
      <c r="G78" s="220"/>
      <c r="H78" s="220"/>
      <c r="I78" s="220"/>
      <c r="J78" s="220"/>
      <c r="K78" t="s">
        <v>0</v>
      </c>
      <c r="O78" s="50"/>
      <c r="P78" s="50"/>
    </row>
    <row r="79" spans="1:16" ht="15.6" x14ac:dyDescent="0.3">
      <c r="A79" s="213" t="s">
        <v>0</v>
      </c>
      <c r="B79" s="214"/>
      <c r="C79" s="214"/>
      <c r="D79" s="214"/>
      <c r="E79" s="214"/>
      <c r="F79" s="214"/>
      <c r="G79" s="214"/>
      <c r="H79" s="214"/>
      <c r="I79" s="214"/>
      <c r="J79" s="214"/>
      <c r="K79" t="s">
        <v>0</v>
      </c>
      <c r="O79" s="50"/>
      <c r="P79" s="50"/>
    </row>
    <row r="80" spans="1:16" ht="15.6" x14ac:dyDescent="0.3">
      <c r="A80" s="215" t="s">
        <v>79</v>
      </c>
      <c r="B80" s="215"/>
      <c r="C80" s="215"/>
      <c r="D80" s="215"/>
      <c r="E80" s="215"/>
      <c r="F80" s="215"/>
      <c r="G80" s="215"/>
      <c r="H80" s="215"/>
      <c r="I80" s="215"/>
      <c r="J80" s="215"/>
      <c r="K80" t="s">
        <v>0</v>
      </c>
    </row>
    <row r="81" spans="1:11" ht="15.6" x14ac:dyDescent="0.3">
      <c r="A81" s="40" t="s">
        <v>80</v>
      </c>
      <c r="B81" s="216" t="s">
        <v>81</v>
      </c>
      <c r="C81" s="217"/>
      <c r="D81" s="216" t="s">
        <v>82</v>
      </c>
      <c r="E81" s="218"/>
      <c r="F81" s="218"/>
      <c r="G81" s="218"/>
      <c r="H81" s="218"/>
      <c r="I81" s="218"/>
      <c r="J81" s="217"/>
      <c r="K81" t="s">
        <v>0</v>
      </c>
    </row>
    <row r="82" spans="1:11" ht="39.9" customHeight="1" x14ac:dyDescent="0.3">
      <c r="A82" s="45" t="s">
        <v>7</v>
      </c>
      <c r="B82" s="203" t="s">
        <v>153</v>
      </c>
      <c r="C82" s="204"/>
      <c r="D82" s="205" t="s">
        <v>167</v>
      </c>
      <c r="E82" s="206"/>
      <c r="F82" s="206"/>
      <c r="G82" s="206"/>
      <c r="H82" s="206"/>
      <c r="I82" s="206"/>
      <c r="J82" s="207"/>
      <c r="K82" t="s">
        <v>0</v>
      </c>
    </row>
    <row r="83" spans="1:11" ht="39.9" customHeight="1" x14ac:dyDescent="0.3">
      <c r="A83" s="45" t="s">
        <v>8</v>
      </c>
      <c r="B83" s="203" t="s">
        <v>153</v>
      </c>
      <c r="C83" s="204"/>
      <c r="D83" s="210" t="s">
        <v>168</v>
      </c>
      <c r="E83" s="211"/>
      <c r="F83" s="211"/>
      <c r="G83" s="211"/>
      <c r="H83" s="211"/>
      <c r="I83" s="211"/>
      <c r="J83" s="212"/>
      <c r="K83" t="s">
        <v>0</v>
      </c>
    </row>
    <row r="84" spans="1:11" ht="39.9" customHeight="1" x14ac:dyDescent="0.3">
      <c r="A84" s="45" t="s">
        <v>9</v>
      </c>
      <c r="B84" s="203" t="s">
        <v>153</v>
      </c>
      <c r="C84" s="204"/>
      <c r="D84" s="205" t="s">
        <v>169</v>
      </c>
      <c r="E84" s="206"/>
      <c r="F84" s="206"/>
      <c r="G84" s="206"/>
      <c r="H84" s="206"/>
      <c r="I84" s="206"/>
      <c r="J84" s="207"/>
      <c r="K84" t="s">
        <v>0</v>
      </c>
    </row>
    <row r="85" spans="1:11" ht="80.099999999999994" customHeight="1" x14ac:dyDescent="0.3">
      <c r="A85" s="45" t="s">
        <v>10</v>
      </c>
      <c r="B85" s="203" t="s">
        <v>154</v>
      </c>
      <c r="C85" s="204"/>
      <c r="D85" s="205" t="s">
        <v>170</v>
      </c>
      <c r="E85" s="206"/>
      <c r="F85" s="206"/>
      <c r="G85" s="206"/>
      <c r="H85" s="206"/>
      <c r="I85" s="206"/>
      <c r="J85" s="207"/>
      <c r="K85" t="s">
        <v>0</v>
      </c>
    </row>
    <row r="86" spans="1:11" ht="51.75" customHeight="1" x14ac:dyDescent="0.3">
      <c r="A86" s="45" t="s">
        <v>83</v>
      </c>
      <c r="B86" s="203" t="s">
        <v>155</v>
      </c>
      <c r="C86" s="204"/>
      <c r="D86" s="209" t="s">
        <v>171</v>
      </c>
      <c r="E86" s="206"/>
      <c r="F86" s="206"/>
      <c r="G86" s="206"/>
      <c r="H86" s="206"/>
      <c r="I86" s="206"/>
      <c r="J86" s="207"/>
      <c r="K86" t="s">
        <v>0</v>
      </c>
    </row>
    <row r="87" spans="1:11" ht="39.9" customHeight="1" x14ac:dyDescent="0.3">
      <c r="A87" s="45" t="s">
        <v>84</v>
      </c>
      <c r="B87" s="203" t="s">
        <v>154</v>
      </c>
      <c r="C87" s="204"/>
      <c r="D87" s="205" t="s">
        <v>172</v>
      </c>
      <c r="E87" s="206"/>
      <c r="F87" s="206"/>
      <c r="G87" s="206"/>
      <c r="H87" s="206"/>
      <c r="I87" s="206"/>
      <c r="J87" s="207"/>
      <c r="K87" t="s">
        <v>0</v>
      </c>
    </row>
    <row r="88" spans="1:11" ht="39.9" customHeight="1" x14ac:dyDescent="0.3">
      <c r="A88" s="45" t="s">
        <v>13</v>
      </c>
      <c r="B88" s="203" t="s">
        <v>156</v>
      </c>
      <c r="C88" s="204"/>
      <c r="D88" s="205" t="s">
        <v>173</v>
      </c>
      <c r="E88" s="206"/>
      <c r="F88" s="206"/>
      <c r="G88" s="206"/>
      <c r="H88" s="206"/>
      <c r="I88" s="206"/>
      <c r="J88" s="207"/>
      <c r="K88" t="s">
        <v>0</v>
      </c>
    </row>
    <row r="89" spans="1:11" ht="39.9" customHeight="1" x14ac:dyDescent="0.3">
      <c r="A89" s="45" t="s">
        <v>14</v>
      </c>
      <c r="B89" s="203" t="s">
        <v>154</v>
      </c>
      <c r="C89" s="204"/>
      <c r="D89" s="205" t="s">
        <v>174</v>
      </c>
      <c r="E89" s="208"/>
      <c r="F89" s="208"/>
      <c r="G89" s="208"/>
      <c r="H89" s="208"/>
      <c r="I89" s="208"/>
      <c r="J89" s="204"/>
      <c r="K89" t="s">
        <v>0</v>
      </c>
    </row>
    <row r="90" spans="1:11" ht="39.9" customHeight="1" x14ac:dyDescent="0.3">
      <c r="A90" s="45" t="s">
        <v>63</v>
      </c>
      <c r="B90" s="203" t="s">
        <v>157</v>
      </c>
      <c r="C90" s="204"/>
      <c r="D90" s="205" t="s">
        <v>175</v>
      </c>
      <c r="E90" s="208"/>
      <c r="F90" s="208"/>
      <c r="G90" s="208"/>
      <c r="H90" s="208"/>
      <c r="I90" s="208"/>
      <c r="J90" s="204"/>
      <c r="K90" t="s">
        <v>0</v>
      </c>
    </row>
    <row r="91" spans="1:11" ht="39.9" customHeight="1" x14ac:dyDescent="0.3">
      <c r="A91" s="45" t="s">
        <v>16</v>
      </c>
      <c r="B91" s="203" t="s">
        <v>154</v>
      </c>
      <c r="C91" s="204"/>
      <c r="D91" s="205" t="s">
        <v>176</v>
      </c>
      <c r="E91" s="208"/>
      <c r="F91" s="208"/>
      <c r="G91" s="208"/>
      <c r="H91" s="208"/>
      <c r="I91" s="208"/>
      <c r="J91" s="204"/>
      <c r="K91" t="s">
        <v>0</v>
      </c>
    </row>
    <row r="92" spans="1:11" ht="39.9" customHeight="1" x14ac:dyDescent="0.3">
      <c r="A92" s="45" t="s">
        <v>17</v>
      </c>
      <c r="B92" s="203" t="s">
        <v>156</v>
      </c>
      <c r="C92" s="204"/>
      <c r="D92" s="203" t="s">
        <v>177</v>
      </c>
      <c r="E92" s="208"/>
      <c r="F92" s="208"/>
      <c r="G92" s="208"/>
      <c r="H92" s="208"/>
      <c r="I92" s="208"/>
      <c r="J92" s="204"/>
      <c r="K92" t="s">
        <v>0</v>
      </c>
    </row>
    <row r="93" spans="1:11" ht="39.9" customHeight="1" x14ac:dyDescent="0.3">
      <c r="A93" s="45" t="s">
        <v>18</v>
      </c>
      <c r="B93" s="203" t="s">
        <v>154</v>
      </c>
      <c r="C93" s="204"/>
      <c r="D93" s="205" t="s">
        <v>178</v>
      </c>
      <c r="E93" s="206"/>
      <c r="F93" s="206"/>
      <c r="G93" s="206"/>
      <c r="H93" s="206"/>
      <c r="I93" s="206"/>
      <c r="J93" s="207"/>
      <c r="K93" t="s">
        <v>0</v>
      </c>
    </row>
    <row r="94" spans="1:11" ht="39.9" customHeight="1" x14ac:dyDescent="0.3">
      <c r="A94" s="45" t="s">
        <v>19</v>
      </c>
      <c r="B94" s="203" t="s">
        <v>156</v>
      </c>
      <c r="C94" s="204"/>
      <c r="D94" s="205" t="s">
        <v>179</v>
      </c>
      <c r="E94" s="206"/>
      <c r="F94" s="206"/>
      <c r="G94" s="206"/>
      <c r="H94" s="206"/>
      <c r="I94" s="206"/>
      <c r="J94" s="207"/>
      <c r="K94" t="s">
        <v>0</v>
      </c>
    </row>
    <row r="95" spans="1:11" ht="39.9" customHeight="1" x14ac:dyDescent="0.3">
      <c r="A95" s="45" t="s">
        <v>20</v>
      </c>
      <c r="B95" s="203" t="s">
        <v>154</v>
      </c>
      <c r="C95" s="204"/>
      <c r="D95" s="205" t="s">
        <v>175</v>
      </c>
      <c r="E95" s="206"/>
      <c r="F95" s="206"/>
      <c r="G95" s="206"/>
      <c r="H95" s="206"/>
      <c r="I95" s="206"/>
      <c r="J95" s="207"/>
      <c r="K95" t="s">
        <v>0</v>
      </c>
    </row>
    <row r="96" spans="1:11" ht="39.9" customHeight="1" x14ac:dyDescent="0.3">
      <c r="A96" s="45" t="s">
        <v>65</v>
      </c>
      <c r="B96" s="203" t="s">
        <v>158</v>
      </c>
      <c r="C96" s="204"/>
      <c r="D96" s="205" t="s">
        <v>180</v>
      </c>
      <c r="E96" s="206"/>
      <c r="F96" s="206"/>
      <c r="G96" s="206"/>
      <c r="H96" s="206"/>
      <c r="I96" s="206"/>
      <c r="J96" s="207"/>
    </row>
    <row r="97" spans="1:10" ht="37.5" customHeight="1" x14ac:dyDescent="0.3">
      <c r="A97" s="45" t="s">
        <v>68</v>
      </c>
      <c r="B97" s="203" t="s">
        <v>155</v>
      </c>
      <c r="C97" s="204"/>
      <c r="D97" s="205" t="s">
        <v>181</v>
      </c>
      <c r="E97" s="206"/>
      <c r="F97" s="206"/>
      <c r="G97" s="206"/>
      <c r="H97" s="206"/>
      <c r="I97" s="206"/>
      <c r="J97" s="207"/>
    </row>
  </sheetData>
  <mergeCells count="48">
    <mergeCell ref="A78:J78"/>
    <mergeCell ref="C3:R3"/>
    <mergeCell ref="C4:R4"/>
    <mergeCell ref="C5:R5"/>
    <mergeCell ref="C6:R6"/>
    <mergeCell ref="C7:R7"/>
    <mergeCell ref="C8:R8"/>
    <mergeCell ref="A19:Q19"/>
    <mergeCell ref="A27:P27"/>
    <mergeCell ref="A42:R42"/>
    <mergeCell ref="A46:I46"/>
    <mergeCell ref="I73:I77"/>
    <mergeCell ref="A79:J79"/>
    <mergeCell ref="A80:J80"/>
    <mergeCell ref="B81:C81"/>
    <mergeCell ref="D81:J81"/>
    <mergeCell ref="B82:C82"/>
    <mergeCell ref="D82:J82"/>
    <mergeCell ref="B83:C83"/>
    <mergeCell ref="D83:J83"/>
    <mergeCell ref="B84:C84"/>
    <mergeCell ref="D84:J84"/>
    <mergeCell ref="B85:C85"/>
    <mergeCell ref="D85:J85"/>
    <mergeCell ref="B86:C86"/>
    <mergeCell ref="D86:J86"/>
    <mergeCell ref="B87:C87"/>
    <mergeCell ref="D87:J87"/>
    <mergeCell ref="B88:C88"/>
    <mergeCell ref="D88:J88"/>
    <mergeCell ref="B89:C89"/>
    <mergeCell ref="D89:J89"/>
    <mergeCell ref="B90:C90"/>
    <mergeCell ref="D90:J90"/>
    <mergeCell ref="B91:C91"/>
    <mergeCell ref="D91:J91"/>
    <mergeCell ref="B92:C92"/>
    <mergeCell ref="D92:J92"/>
    <mergeCell ref="B93:C93"/>
    <mergeCell ref="D93:J93"/>
    <mergeCell ref="B94:C94"/>
    <mergeCell ref="D94:J94"/>
    <mergeCell ref="B95:C95"/>
    <mergeCell ref="D95:J95"/>
    <mergeCell ref="B96:C96"/>
    <mergeCell ref="D96:J96"/>
    <mergeCell ref="B97:C97"/>
    <mergeCell ref="D97:J97"/>
  </mergeCells>
  <conditionalFormatting sqref="C49:C77">
    <cfRule type="expression" dxfId="0" priority="1">
      <formula>COUNTIF($C$9:$P$9,"="&amp;A49)</formula>
    </cfRule>
  </conditionalFormatting>
  <pageMargins left="0.7" right="0.7" top="0.875" bottom="0.75" header="0.3" footer="0.3"/>
  <pageSetup paperSize="119" scale="57" fitToHeight="0" orientation="landscape" r:id="rId1"/>
  <headerFooter>
    <oddHeader>&amp;R&amp;"Times New Roman,Bold"&amp;10KyPSC Case No. 2024-00197
KSES-DR-01-024 Attachment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5"/>
  <sheetViews>
    <sheetView view="pageLayout" zoomScaleNormal="90" workbookViewId="0"/>
  </sheetViews>
  <sheetFormatPr defaultRowHeight="14.4" x14ac:dyDescent="0.3"/>
  <cols>
    <col min="1" max="4" width="21.88671875" customWidth="1"/>
    <col min="5" max="10" width="18.88671875" customWidth="1"/>
    <col min="11" max="11" width="27.109375" customWidth="1"/>
    <col min="13" max="13" width="12" bestFit="1" customWidth="1"/>
  </cols>
  <sheetData>
    <row r="1" spans="1:13" ht="17.399999999999999" x14ac:dyDescent="0.3">
      <c r="A1" s="129" t="s">
        <v>141</v>
      </c>
      <c r="B1" s="129"/>
      <c r="C1" s="129"/>
      <c r="D1" s="129"/>
      <c r="E1" s="51"/>
      <c r="F1" s="51"/>
      <c r="G1" s="51"/>
      <c r="H1" s="51"/>
      <c r="I1" s="51"/>
      <c r="J1" s="51"/>
      <c r="K1" s="51"/>
    </row>
    <row r="2" spans="1:13" ht="15.6" x14ac:dyDescent="0.3">
      <c r="A2" s="235" t="s">
        <v>85</v>
      </c>
      <c r="B2" s="235"/>
      <c r="C2" s="235"/>
      <c r="D2" s="235"/>
      <c r="E2" s="235"/>
      <c r="F2" s="235"/>
      <c r="G2" s="235"/>
      <c r="H2" s="235"/>
      <c r="I2" s="114"/>
      <c r="J2" s="39" t="s">
        <v>0</v>
      </c>
      <c r="K2" s="39" t="s">
        <v>0</v>
      </c>
    </row>
    <row r="3" spans="1:13" ht="15.6" x14ac:dyDescent="0.3">
      <c r="A3" s="235" t="s">
        <v>116</v>
      </c>
      <c r="B3" s="235"/>
      <c r="C3" s="235"/>
      <c r="D3" s="235"/>
      <c r="E3" s="235"/>
      <c r="F3" s="235"/>
      <c r="G3" s="235"/>
      <c r="H3" s="235"/>
      <c r="I3" s="114" t="s">
        <v>0</v>
      </c>
      <c r="J3" s="39" t="s">
        <v>0</v>
      </c>
      <c r="K3" s="39" t="s">
        <v>0</v>
      </c>
      <c r="L3" s="39" t="s">
        <v>0</v>
      </c>
      <c r="M3" s="39" t="s">
        <v>0</v>
      </c>
    </row>
    <row r="4" spans="1:13" ht="15.6" x14ac:dyDescent="0.3">
      <c r="A4" s="235" t="s">
        <v>117</v>
      </c>
      <c r="B4" s="235"/>
      <c r="C4" s="235"/>
      <c r="D4" s="235"/>
      <c r="E4" s="235"/>
      <c r="F4" s="235"/>
      <c r="G4" s="235"/>
      <c r="H4" s="52">
        <v>0.78</v>
      </c>
      <c r="I4" s="130" t="s">
        <v>118</v>
      </c>
      <c r="J4" s="131"/>
      <c r="K4" s="131"/>
      <c r="L4" s="39" t="s">
        <v>0</v>
      </c>
      <c r="M4" s="39" t="s">
        <v>0</v>
      </c>
    </row>
    <row r="5" spans="1:13" ht="15" x14ac:dyDescent="0.3">
      <c r="A5" s="221" t="s">
        <v>86</v>
      </c>
      <c r="B5" s="221"/>
      <c r="C5" s="221"/>
      <c r="D5" s="221"/>
      <c r="E5" s="221"/>
      <c r="F5" s="221"/>
      <c r="G5" s="221"/>
      <c r="H5" s="221"/>
      <c r="J5" s="53"/>
      <c r="K5" s="54" t="s">
        <v>0</v>
      </c>
    </row>
    <row r="6" spans="1:13" ht="15" x14ac:dyDescent="0.3">
      <c r="A6" s="221" t="s">
        <v>87</v>
      </c>
      <c r="B6" s="221"/>
      <c r="C6" s="221"/>
      <c r="D6" s="221"/>
      <c r="E6" s="221"/>
      <c r="F6" s="221"/>
      <c r="G6" s="221"/>
      <c r="H6" s="221"/>
      <c r="I6" s="53"/>
      <c r="J6" s="53"/>
    </row>
    <row r="7" spans="1:13" ht="15" x14ac:dyDescent="0.3">
      <c r="A7" s="221" t="s">
        <v>113</v>
      </c>
      <c r="B7" s="221"/>
      <c r="C7" s="221"/>
      <c r="D7" s="221"/>
      <c r="E7" s="221"/>
      <c r="F7" s="221"/>
      <c r="G7" s="221"/>
      <c r="H7" s="221"/>
      <c r="I7" s="53"/>
      <c r="J7" s="53"/>
    </row>
    <row r="8" spans="1:13" ht="15" x14ac:dyDescent="0.3">
      <c r="A8" s="221" t="s">
        <v>88</v>
      </c>
      <c r="B8" s="221"/>
      <c r="C8" s="221"/>
      <c r="D8" s="221"/>
      <c r="E8" s="221"/>
      <c r="F8" s="221"/>
      <c r="G8" s="221"/>
      <c r="H8" s="221"/>
      <c r="I8" s="173"/>
      <c r="J8" s="173"/>
      <c r="K8" s="55" t="s">
        <v>0</v>
      </c>
    </row>
    <row r="9" spans="1:13" ht="15" x14ac:dyDescent="0.3">
      <c r="A9" s="221" t="s">
        <v>114</v>
      </c>
      <c r="B9" s="221"/>
      <c r="C9" s="221"/>
      <c r="D9" s="221"/>
      <c r="E9" s="221"/>
      <c r="F9" s="221"/>
      <c r="G9" s="221"/>
      <c r="H9" s="221"/>
      <c r="I9" s="53"/>
      <c r="J9" s="53"/>
      <c r="K9" s="55"/>
    </row>
    <row r="10" spans="1:13" ht="15" thickBot="1" x14ac:dyDescent="0.35">
      <c r="E10" s="56" t="s">
        <v>0</v>
      </c>
      <c r="H10" s="57" t="s">
        <v>0</v>
      </c>
    </row>
    <row r="11" spans="1:13" ht="75.599999999999994" thickBot="1" x14ac:dyDescent="0.35">
      <c r="A11" s="58" t="s">
        <v>89</v>
      </c>
      <c r="B11" s="59" t="s">
        <v>142</v>
      </c>
      <c r="C11" s="59" t="s">
        <v>90</v>
      </c>
      <c r="D11" s="59" t="s">
        <v>143</v>
      </c>
      <c r="E11" s="59" t="s">
        <v>91</v>
      </c>
      <c r="F11" s="59" t="s">
        <v>144</v>
      </c>
      <c r="G11" s="59" t="s">
        <v>145</v>
      </c>
      <c r="H11" s="59" t="s">
        <v>146</v>
      </c>
      <c r="I11" s="59" t="s">
        <v>92</v>
      </c>
      <c r="J11" s="59" t="s">
        <v>93</v>
      </c>
      <c r="K11" s="60" t="s">
        <v>94</v>
      </c>
    </row>
    <row r="12" spans="1:13" ht="15.6" x14ac:dyDescent="0.3">
      <c r="A12" s="61" t="s">
        <v>95</v>
      </c>
      <c r="B12" s="62">
        <v>198200</v>
      </c>
      <c r="C12" s="63">
        <v>1</v>
      </c>
      <c r="D12" s="62">
        <f>B12*C12</f>
        <v>198200</v>
      </c>
      <c r="E12" s="64">
        <v>696.17</v>
      </c>
      <c r="F12" s="65"/>
      <c r="G12" s="65"/>
      <c r="H12" s="65"/>
      <c r="I12" s="65"/>
      <c r="J12" s="66"/>
      <c r="K12" s="67"/>
    </row>
    <row r="13" spans="1:13" ht="15.6" x14ac:dyDescent="0.3">
      <c r="A13" s="68" t="s">
        <v>58</v>
      </c>
      <c r="B13" s="69" t="s">
        <v>0</v>
      </c>
      <c r="C13" s="69"/>
      <c r="D13" s="69"/>
      <c r="E13" s="70">
        <v>696.17</v>
      </c>
      <c r="F13" s="71">
        <v>116325.50000000001</v>
      </c>
      <c r="G13" s="72">
        <v>2546</v>
      </c>
      <c r="H13" s="71">
        <f>F13+G13</f>
        <v>118871.50000000001</v>
      </c>
      <c r="I13" s="70">
        <f>MAX(($D$12-H13)/((DATE(LEFT('Planning Parameters'!$A$1,4)*1+1,5,31)-(DATE(LEFT('Planning Parameters'!$A$1,4)*1,6,1))+1)),0)</f>
        <v>217.33835616438353</v>
      </c>
      <c r="J13" s="70">
        <f>MAX(ROUND(I13/$H$4,2),0)</f>
        <v>278.64</v>
      </c>
      <c r="K13" s="73"/>
      <c r="M13" s="174"/>
    </row>
    <row r="14" spans="1:13" ht="15.6" x14ac:dyDescent="0.3">
      <c r="A14" s="68" t="s">
        <v>66</v>
      </c>
      <c r="B14" s="69" t="s">
        <v>0</v>
      </c>
      <c r="C14" s="69"/>
      <c r="D14" s="69"/>
      <c r="E14" s="70">
        <v>696.17</v>
      </c>
      <c r="F14" s="71">
        <v>162276.56666666665</v>
      </c>
      <c r="G14" s="72">
        <v>2546</v>
      </c>
      <c r="H14" s="71">
        <f t="shared" ref="H14:H18" si="0">F14+G14</f>
        <v>164822.56666666665</v>
      </c>
      <c r="I14" s="70">
        <f>MAX(($D$12-H14)/((DATE(LEFT('Planning Parameters'!$A$1,4)*1+1,5,31)-(DATE(LEFT('Planning Parameters'!$A$1,4)*1,6,1))+1)),0)</f>
        <v>91.445022831050267</v>
      </c>
      <c r="J14" s="70">
        <f t="shared" ref="J14:J18" si="1">MAX(ROUND(I14/$H$4,2),0)</f>
        <v>117.24</v>
      </c>
      <c r="K14" s="74" t="s">
        <v>12</v>
      </c>
      <c r="M14" s="174"/>
    </row>
    <row r="15" spans="1:13" ht="15.6" x14ac:dyDescent="0.3">
      <c r="A15" s="68" t="s">
        <v>68</v>
      </c>
      <c r="B15" s="69" t="s">
        <v>0</v>
      </c>
      <c r="C15" s="69"/>
      <c r="D15" s="69"/>
      <c r="E15" s="70">
        <v>696.17</v>
      </c>
      <c r="F15" s="71">
        <v>120151.91666666667</v>
      </c>
      <c r="G15" s="72">
        <v>2546</v>
      </c>
      <c r="H15" s="71">
        <f t="shared" si="0"/>
        <v>122697.91666666667</v>
      </c>
      <c r="I15" s="70">
        <f>MAX(($D$12-H15)/((DATE(LEFT('Planning Parameters'!$A$1,4)*1+1,5,31)-(DATE(LEFT('Planning Parameters'!$A$1,4)*1,6,1))+1)),0)</f>
        <v>206.85502283105021</v>
      </c>
      <c r="J15" s="70">
        <f t="shared" si="1"/>
        <v>265.2</v>
      </c>
      <c r="K15" s="74" t="s">
        <v>68</v>
      </c>
      <c r="M15" s="174"/>
    </row>
    <row r="16" spans="1:13" ht="15.6" x14ac:dyDescent="0.3">
      <c r="A16" s="68" t="s">
        <v>96</v>
      </c>
      <c r="B16" s="69" t="s">
        <v>0</v>
      </c>
      <c r="C16" s="69"/>
      <c r="D16" s="69"/>
      <c r="E16" s="70">
        <v>696.17</v>
      </c>
      <c r="F16" s="71">
        <v>142766.1</v>
      </c>
      <c r="G16" s="72">
        <v>2546</v>
      </c>
      <c r="H16" s="71">
        <f t="shared" si="0"/>
        <v>145312.1</v>
      </c>
      <c r="I16" s="70">
        <f>MAX(($D$12-H16)/((DATE(LEFT('Planning Parameters'!$A$1,4)*1+1,5,31)-(DATE(LEFT('Planning Parameters'!$A$1,4)*1,6,1))+1)),0)</f>
        <v>144.89835616438356</v>
      </c>
      <c r="J16" s="70">
        <f t="shared" si="1"/>
        <v>185.77</v>
      </c>
      <c r="K16" s="73"/>
      <c r="M16" s="174"/>
    </row>
    <row r="17" spans="1:13" ht="15.6" x14ac:dyDescent="0.3">
      <c r="A17" s="68" t="s">
        <v>97</v>
      </c>
      <c r="B17" s="69" t="s">
        <v>0</v>
      </c>
      <c r="C17" s="69"/>
      <c r="D17" s="69"/>
      <c r="E17" s="70">
        <v>696.17</v>
      </c>
      <c r="F17" s="71">
        <v>111063.41666666667</v>
      </c>
      <c r="G17" s="72">
        <v>2546</v>
      </c>
      <c r="H17" s="71">
        <f t="shared" si="0"/>
        <v>113609.41666666667</v>
      </c>
      <c r="I17" s="70">
        <f>MAX(($D$12-H17)/((DATE(LEFT('Planning Parameters'!$A$1,4)*1+1,5,31)-(DATE(LEFT('Planning Parameters'!$A$1,4)*1,6,1))+1)),0)</f>
        <v>231.75502283105021</v>
      </c>
      <c r="J17" s="70">
        <f t="shared" si="1"/>
        <v>297.12</v>
      </c>
      <c r="K17" s="75" t="s">
        <v>98</v>
      </c>
      <c r="M17" s="174"/>
    </row>
    <row r="18" spans="1:13" ht="15.6" x14ac:dyDescent="0.3">
      <c r="A18" s="68" t="s">
        <v>74</v>
      </c>
      <c r="B18" s="69" t="s">
        <v>0</v>
      </c>
      <c r="C18" s="69"/>
      <c r="D18" s="69"/>
      <c r="E18" s="70">
        <v>696.17</v>
      </c>
      <c r="F18" s="71">
        <v>128149.06666666669</v>
      </c>
      <c r="G18" s="72">
        <v>2546</v>
      </c>
      <c r="H18" s="71">
        <f t="shared" si="0"/>
        <v>130695.06666666669</v>
      </c>
      <c r="I18" s="70">
        <f>MAX(($D$12-H18)/((DATE(LEFT('Planning Parameters'!$A$1,4)*1+1,5,31)-(DATE(LEFT('Planning Parameters'!$A$1,4)*1,6,1))+1)),0)</f>
        <v>184.94502283105015</v>
      </c>
      <c r="J18" s="70">
        <f t="shared" si="1"/>
        <v>237.11</v>
      </c>
      <c r="K18" s="73"/>
      <c r="M18" s="174"/>
    </row>
    <row r="19" spans="1:13" ht="16.2" thickBot="1" x14ac:dyDescent="0.35">
      <c r="A19" s="76" t="s">
        <v>8</v>
      </c>
      <c r="B19" s="77" t="s">
        <v>0</v>
      </c>
      <c r="C19" s="77"/>
      <c r="D19" s="77"/>
      <c r="E19" s="78">
        <v>696.17</v>
      </c>
      <c r="F19" s="79"/>
      <c r="G19" s="79" t="s">
        <v>0</v>
      </c>
      <c r="H19" s="79"/>
      <c r="I19" s="78">
        <f>ROUND(J19*$H$4,2)</f>
        <v>179.54</v>
      </c>
      <c r="J19" s="78">
        <f>ROUND(AVERAGE(J13:J18),2)</f>
        <v>230.18</v>
      </c>
      <c r="K19" s="80" t="s">
        <v>8</v>
      </c>
      <c r="M19" s="174"/>
    </row>
    <row r="20" spans="1:13" ht="15.6" x14ac:dyDescent="0.3">
      <c r="A20" s="61" t="s">
        <v>99</v>
      </c>
      <c r="B20" s="62">
        <v>193100</v>
      </c>
      <c r="C20" s="63">
        <v>1</v>
      </c>
      <c r="D20" s="62">
        <f>B20*C20</f>
        <v>193100</v>
      </c>
      <c r="E20" s="64">
        <v>678.26</v>
      </c>
      <c r="F20" s="81"/>
      <c r="G20" s="81"/>
      <c r="H20" s="81"/>
      <c r="I20" s="64"/>
      <c r="J20" s="82" t="s">
        <v>0</v>
      </c>
      <c r="K20" s="67"/>
      <c r="M20" s="174"/>
    </row>
    <row r="21" spans="1:13" ht="15.6" x14ac:dyDescent="0.3">
      <c r="A21" s="68" t="s">
        <v>17</v>
      </c>
      <c r="B21" s="69" t="s">
        <v>0</v>
      </c>
      <c r="C21" s="69"/>
      <c r="D21" s="69"/>
      <c r="E21" s="70">
        <v>678.26</v>
      </c>
      <c r="F21" s="71">
        <v>259578.26666666666</v>
      </c>
      <c r="G21" s="72">
        <v>2546</v>
      </c>
      <c r="H21" s="71">
        <f>F21+G21</f>
        <v>262124.26666666666</v>
      </c>
      <c r="I21" s="70">
        <f>MAX(($D$20-H21)/((DATE(LEFT('Planning Parameters'!$A$1,4)*1+1,5,31)-(DATE(LEFT('Planning Parameters'!$A$1,4)*1,6,1))+1)),0)</f>
        <v>0</v>
      </c>
      <c r="J21" s="70">
        <f>MAX(ROUND(I21/$H$4,2),0)</f>
        <v>0</v>
      </c>
      <c r="K21" s="75" t="s">
        <v>17</v>
      </c>
      <c r="M21" s="174"/>
    </row>
    <row r="22" spans="1:13" ht="15.6" x14ac:dyDescent="0.3">
      <c r="A22" s="68" t="s">
        <v>13</v>
      </c>
      <c r="B22" s="69"/>
      <c r="C22" s="69"/>
      <c r="D22" s="69"/>
      <c r="E22" s="70">
        <v>678.26</v>
      </c>
      <c r="F22" s="71">
        <v>192413.4</v>
      </c>
      <c r="G22" s="72">
        <v>2546</v>
      </c>
      <c r="H22" s="71">
        <f>F22+G22</f>
        <v>194959.4</v>
      </c>
      <c r="I22" s="70">
        <f>MAX(($D$20-H22)/((DATE(LEFT('[1]Planning Parameters'!$A$1,4)*1+1,5,31)-(DATE(LEFT('[1]Planning Parameters'!$A$1,4)*1,6,1))+1)),0)</f>
        <v>0</v>
      </c>
      <c r="J22" s="70">
        <f>MAX(ROUND(I22/$H$4,2),0)</f>
        <v>0</v>
      </c>
      <c r="K22" s="75" t="s">
        <v>13</v>
      </c>
      <c r="M22" s="174"/>
    </row>
    <row r="23" spans="1:13" ht="16.2" thickBot="1" x14ac:dyDescent="0.35">
      <c r="A23" s="76" t="s">
        <v>9</v>
      </c>
      <c r="B23" s="77"/>
      <c r="C23" s="77"/>
      <c r="D23" s="77"/>
      <c r="E23" s="78">
        <v>678.26</v>
      </c>
      <c r="F23" s="79"/>
      <c r="G23" s="79" t="s">
        <v>0</v>
      </c>
      <c r="H23" s="79"/>
      <c r="I23" s="78">
        <f>ROUND(J23*$H$4,2)</f>
        <v>0</v>
      </c>
      <c r="J23" s="78">
        <f>ROUND(AVERAGE(J21:J22),2)</f>
        <v>0</v>
      </c>
      <c r="K23" s="80" t="s">
        <v>9</v>
      </c>
      <c r="M23" s="174"/>
    </row>
    <row r="24" spans="1:13" ht="15.6" x14ac:dyDescent="0.3">
      <c r="A24" s="61" t="s">
        <v>100</v>
      </c>
      <c r="B24" s="62">
        <v>199700</v>
      </c>
      <c r="C24" s="63">
        <v>1</v>
      </c>
      <c r="D24" s="62">
        <f>B24*C24</f>
        <v>199700</v>
      </c>
      <c r="E24" s="64">
        <v>701.44</v>
      </c>
      <c r="F24" s="81"/>
      <c r="G24" s="81" t="s">
        <v>0</v>
      </c>
      <c r="H24" s="81"/>
      <c r="I24" s="64"/>
      <c r="J24" s="82"/>
      <c r="K24" s="67"/>
      <c r="M24" s="174"/>
    </row>
    <row r="25" spans="1:13" ht="15.6" x14ac:dyDescent="0.3">
      <c r="A25" s="68" t="s">
        <v>69</v>
      </c>
      <c r="B25" s="69" t="s">
        <v>0</v>
      </c>
      <c r="C25" s="69"/>
      <c r="D25" s="69"/>
      <c r="E25" s="70">
        <v>701.44</v>
      </c>
      <c r="F25" s="71">
        <v>176765.84999999998</v>
      </c>
      <c r="G25" s="72">
        <v>2546</v>
      </c>
      <c r="H25" s="71">
        <f>F25+G25</f>
        <v>179311.84999999998</v>
      </c>
      <c r="I25" s="70">
        <f>MAX(($D$24-H25)/((DATE(LEFT('Planning Parameters'!$A$1,4)*1+1,5,31)-(DATE(LEFT('Planning Parameters'!$A$1,4)*1,6,1))+1)),0)</f>
        <v>55.857945205479517</v>
      </c>
      <c r="J25" s="70">
        <f>MAX(ROUND(I25/$H$4,2),0)</f>
        <v>71.61</v>
      </c>
      <c r="K25" s="73"/>
      <c r="M25" s="174"/>
    </row>
    <row r="26" spans="1:13" ht="15.6" x14ac:dyDescent="0.3">
      <c r="A26" s="68" t="s">
        <v>101</v>
      </c>
      <c r="B26" s="69"/>
      <c r="C26" s="69"/>
      <c r="D26" s="69"/>
      <c r="E26" s="70">
        <v>701.44</v>
      </c>
      <c r="F26" s="71">
        <v>237313.26666666666</v>
      </c>
      <c r="G26" s="72">
        <v>2546</v>
      </c>
      <c r="H26" s="71">
        <f>F26+G26</f>
        <v>239859.26666666666</v>
      </c>
      <c r="I26" s="70">
        <f>MAX(($D$24-H26)/((DATE(LEFT('Planning Parameters'!$A$1,4)*1+1,5,31)-(DATE(LEFT('Planning Parameters'!$A$1,4)*1,6,1))+1)),0)</f>
        <v>0</v>
      </c>
      <c r="J26" s="70">
        <f t="shared" ref="J26:J27" si="2">MAX(ROUND(I26/$H$4,2),0)</f>
        <v>0</v>
      </c>
      <c r="K26" s="73"/>
      <c r="M26" s="174"/>
    </row>
    <row r="27" spans="1:13" ht="15.6" x14ac:dyDescent="0.3">
      <c r="A27" s="68" t="s">
        <v>102</v>
      </c>
      <c r="B27" s="69"/>
      <c r="C27" s="69"/>
      <c r="D27" s="69"/>
      <c r="E27" s="70">
        <v>701.44</v>
      </c>
      <c r="F27" s="71">
        <v>154487.46666666667</v>
      </c>
      <c r="G27" s="72">
        <v>2546</v>
      </c>
      <c r="H27" s="71">
        <f>F27+G27</f>
        <v>157033.46666666667</v>
      </c>
      <c r="I27" s="70">
        <f>MAX(($D$24-H27)/((DATE(LEFT('Planning Parameters'!$A$1,4)*1+1,5,31)-(DATE(LEFT('Planning Parameters'!$A$1,4)*1,6,1))+1)),0)</f>
        <v>116.8946118721461</v>
      </c>
      <c r="J27" s="70">
        <f t="shared" si="2"/>
        <v>149.86000000000001</v>
      </c>
      <c r="K27" s="75" t="s">
        <v>102</v>
      </c>
      <c r="M27" s="174"/>
    </row>
    <row r="28" spans="1:13" ht="16.2" thickBot="1" x14ac:dyDescent="0.35">
      <c r="A28" s="76" t="s">
        <v>7</v>
      </c>
      <c r="B28" s="77" t="s">
        <v>0</v>
      </c>
      <c r="C28" s="77"/>
      <c r="D28" s="77"/>
      <c r="E28" s="78">
        <v>694.35</v>
      </c>
      <c r="F28" s="79"/>
      <c r="G28" s="79" t="s">
        <v>0</v>
      </c>
      <c r="H28" s="79"/>
      <c r="I28" s="78">
        <f>ROUND(J28*$H$4,2)</f>
        <v>113.64</v>
      </c>
      <c r="J28" s="78">
        <f>ROUND(AVERAGE(J13,J14,J15,J16,J17,J18,J21,J22,J25,J26,J27),2)</f>
        <v>145.69</v>
      </c>
      <c r="K28" s="80" t="s">
        <v>7</v>
      </c>
      <c r="M28" s="174"/>
    </row>
    <row r="29" spans="1:13" ht="15.6" x14ac:dyDescent="0.3">
      <c r="A29" s="61" t="s">
        <v>103</v>
      </c>
      <c r="B29" s="62">
        <v>197800</v>
      </c>
      <c r="C29" s="63">
        <v>1</v>
      </c>
      <c r="D29" s="62">
        <f>B29*C29</f>
        <v>197800</v>
      </c>
      <c r="E29" s="64">
        <v>694.77</v>
      </c>
      <c r="F29" s="81"/>
      <c r="G29" s="81" t="s">
        <v>0</v>
      </c>
      <c r="H29" s="81"/>
      <c r="I29" s="64"/>
      <c r="J29" s="82"/>
      <c r="K29" s="67"/>
      <c r="M29" s="174"/>
    </row>
    <row r="30" spans="1:13" ht="15.6" x14ac:dyDescent="0.3">
      <c r="A30" s="83" t="s">
        <v>60</v>
      </c>
      <c r="B30" s="69"/>
      <c r="C30" s="69"/>
      <c r="D30" s="69"/>
      <c r="E30" s="70">
        <v>694.77</v>
      </c>
      <c r="F30" s="71">
        <v>212735.38333333336</v>
      </c>
      <c r="G30" s="72">
        <v>2546</v>
      </c>
      <c r="H30" s="71">
        <f t="shared" ref="H30:H38" si="3">F30+G30</f>
        <v>215281.38333333336</v>
      </c>
      <c r="I30" s="70">
        <f>MAX(($D$29-H30)/((DATE(LEFT('Planning Parameters'!$A$1,4)*1+1,5,31)-(DATE(LEFT('Planning Parameters'!$A$1,4)*1,6,1))+1)),0)</f>
        <v>0</v>
      </c>
      <c r="J30" s="70">
        <f>MAX(ROUND(I30/$H$4,2),0)</f>
        <v>0</v>
      </c>
      <c r="K30" s="73"/>
      <c r="M30" s="174"/>
    </row>
    <row r="31" spans="1:13" ht="15.6" x14ac:dyDescent="0.3">
      <c r="A31" s="83" t="s">
        <v>62</v>
      </c>
      <c r="B31" s="69"/>
      <c r="C31" s="69"/>
      <c r="D31" s="69"/>
      <c r="E31" s="70">
        <v>694.77</v>
      </c>
      <c r="F31" s="71">
        <v>250057.85</v>
      </c>
      <c r="G31" s="72">
        <v>2546</v>
      </c>
      <c r="H31" s="71">
        <f t="shared" si="3"/>
        <v>252603.85</v>
      </c>
      <c r="I31" s="70">
        <f>MAX(($D$29-H31)/((DATE(LEFT('Planning Parameters'!$A$1,4)*1+1,5,31)-(DATE(LEFT('Planning Parameters'!$A$1,4)*1,6,1))+1)),0)</f>
        <v>0</v>
      </c>
      <c r="J31" s="70">
        <f t="shared" ref="J31:J37" si="4">MAX(ROUND(I31/$H$4,2),0)</f>
        <v>0</v>
      </c>
      <c r="K31" s="73"/>
      <c r="M31" s="174"/>
    </row>
    <row r="32" spans="1:13" ht="15.6" x14ac:dyDescent="0.3">
      <c r="A32" s="68" t="s">
        <v>14</v>
      </c>
      <c r="B32" s="69" t="s">
        <v>0</v>
      </c>
      <c r="C32" s="69"/>
      <c r="D32" s="69"/>
      <c r="E32" s="70">
        <v>694.77</v>
      </c>
      <c r="F32" s="71">
        <v>191062.89999999997</v>
      </c>
      <c r="G32" s="72">
        <v>2546</v>
      </c>
      <c r="H32" s="71">
        <f t="shared" si="3"/>
        <v>193608.89999999997</v>
      </c>
      <c r="I32" s="70">
        <f>MAX(($D$29-H32)/((DATE(LEFT('Planning Parameters'!$A$1,4)*1+1,5,31)-(DATE(LEFT('Planning Parameters'!$A$1,4)*1,6,1))+1)),0)</f>
        <v>11.482465753424753</v>
      </c>
      <c r="J32" s="70">
        <f t="shared" si="4"/>
        <v>14.72</v>
      </c>
      <c r="K32" s="75" t="s">
        <v>104</v>
      </c>
      <c r="M32" s="174"/>
    </row>
    <row r="33" spans="1:13" ht="15.6" x14ac:dyDescent="0.3">
      <c r="A33" s="68" t="s">
        <v>19</v>
      </c>
      <c r="B33" s="69"/>
      <c r="C33" s="69"/>
      <c r="D33" s="69"/>
      <c r="E33" s="70">
        <v>694.77</v>
      </c>
      <c r="F33" s="71">
        <v>209777.66666666669</v>
      </c>
      <c r="G33" s="72">
        <v>2546</v>
      </c>
      <c r="H33" s="71">
        <f t="shared" si="3"/>
        <v>212323.66666666669</v>
      </c>
      <c r="I33" s="70">
        <f>MAX(($D$29-H33)/((DATE(LEFT('Planning Parameters'!$A$1,4)*1+1,5,31)-(DATE(LEFT('Planning Parameters'!$A$1,4)*1,6,1))+1)),0)</f>
        <v>0</v>
      </c>
      <c r="J33" s="70">
        <f t="shared" si="4"/>
        <v>0</v>
      </c>
      <c r="K33" s="74" t="s">
        <v>19</v>
      </c>
      <c r="M33" s="174"/>
    </row>
    <row r="34" spans="1:13" ht="15.6" x14ac:dyDescent="0.3">
      <c r="A34" s="68" t="s">
        <v>20</v>
      </c>
      <c r="B34" s="69"/>
      <c r="C34" s="69"/>
      <c r="D34" s="69"/>
      <c r="E34" s="70">
        <v>694.77</v>
      </c>
      <c r="F34" s="71">
        <v>199262.01666666666</v>
      </c>
      <c r="G34" s="72">
        <v>2546</v>
      </c>
      <c r="H34" s="71">
        <f t="shared" si="3"/>
        <v>201808.01666666666</v>
      </c>
      <c r="I34" s="70">
        <f>MAX(($D$29-H34)/((DATE(LEFT('Planning Parameters'!$A$1,4)*1+1,5,31)-(DATE(LEFT('Planning Parameters'!$A$1,4)*1,6,1))+1)),0)</f>
        <v>0</v>
      </c>
      <c r="J34" s="70">
        <f t="shared" si="4"/>
        <v>0</v>
      </c>
      <c r="K34" s="74" t="s">
        <v>20</v>
      </c>
      <c r="M34" s="174"/>
    </row>
    <row r="35" spans="1:13" ht="15.6" x14ac:dyDescent="0.3">
      <c r="A35" s="68" t="s">
        <v>64</v>
      </c>
      <c r="B35" s="69"/>
      <c r="C35" s="69"/>
      <c r="D35" s="69"/>
      <c r="E35" s="70">
        <v>694.77</v>
      </c>
      <c r="F35" s="71">
        <v>179620.15</v>
      </c>
      <c r="G35" s="72">
        <v>2546</v>
      </c>
      <c r="H35" s="71">
        <f t="shared" si="3"/>
        <v>182166.15</v>
      </c>
      <c r="I35" s="70">
        <f>MAX(($D$29-H35)/((DATE(LEFT('Planning Parameters'!$A$1,4)*1+1,5,31)-(DATE(LEFT('Planning Parameters'!$A$1,4)*1,6,1))+1)),0)</f>
        <v>42.832465753424671</v>
      </c>
      <c r="J35" s="70">
        <f t="shared" si="4"/>
        <v>54.91</v>
      </c>
      <c r="K35" s="73"/>
      <c r="M35" s="174"/>
    </row>
    <row r="36" spans="1:13" ht="15.6" x14ac:dyDescent="0.3">
      <c r="A36" s="68" t="s">
        <v>65</v>
      </c>
      <c r="B36" s="69"/>
      <c r="C36" s="69"/>
      <c r="D36" s="69"/>
      <c r="E36" s="70">
        <v>694.77</v>
      </c>
      <c r="F36" s="71">
        <v>233182.68333333335</v>
      </c>
      <c r="G36" s="72">
        <v>2546</v>
      </c>
      <c r="H36" s="71">
        <f t="shared" si="3"/>
        <v>235728.68333333335</v>
      </c>
      <c r="I36" s="70">
        <f>MAX(($D$29-H36)/((DATE(LEFT('Planning Parameters'!$A$1,4)*1+1,5,31)-(DATE(LEFT('Planning Parameters'!$A$1,4)*1,6,1))+1)),0)</f>
        <v>0</v>
      </c>
      <c r="J36" s="70">
        <f t="shared" si="4"/>
        <v>0</v>
      </c>
      <c r="K36" s="74" t="s">
        <v>65</v>
      </c>
      <c r="M36" s="174"/>
    </row>
    <row r="37" spans="1:13" ht="15.6" x14ac:dyDescent="0.3">
      <c r="A37" s="68" t="s">
        <v>67</v>
      </c>
      <c r="B37" s="69"/>
      <c r="C37" s="69"/>
      <c r="D37" s="69"/>
      <c r="E37" s="70">
        <v>694.77</v>
      </c>
      <c r="F37" s="71">
        <v>191229.58333333331</v>
      </c>
      <c r="G37" s="72">
        <v>2546</v>
      </c>
      <c r="H37" s="71">
        <f t="shared" si="3"/>
        <v>193775.58333333331</v>
      </c>
      <c r="I37" s="70">
        <f>MAX(($D$29-H37)/((DATE(LEFT('Planning Parameters'!$A$1,4)*1+1,5,31)-(DATE(LEFT('Planning Parameters'!$A$1,4)*1,6,1))+1)),0)</f>
        <v>11.025799086758044</v>
      </c>
      <c r="J37" s="70">
        <f t="shared" si="4"/>
        <v>14.14</v>
      </c>
      <c r="K37" s="73"/>
      <c r="M37" s="174"/>
    </row>
    <row r="38" spans="1:13" ht="16.2" thickBot="1" x14ac:dyDescent="0.35">
      <c r="A38" s="68" t="s">
        <v>70</v>
      </c>
      <c r="B38" s="69"/>
      <c r="C38" s="69"/>
      <c r="D38" s="69"/>
      <c r="E38" s="70">
        <v>694.77</v>
      </c>
      <c r="F38" s="71">
        <v>200719.58333333331</v>
      </c>
      <c r="G38" s="72">
        <v>2546</v>
      </c>
      <c r="H38" s="71">
        <f t="shared" si="3"/>
        <v>203265.58333333331</v>
      </c>
      <c r="I38" s="70">
        <f>MAX(($D$29-H38)/((DATE(LEFT('Planning Parameters'!$A$1,4)*1+1,5,31)-(DATE(LEFT('Planning Parameters'!$A$1,4)*1,6,1))+1)),0)</f>
        <v>0</v>
      </c>
      <c r="J38" s="70">
        <f>MAX(ROUND(I38/$H$4,2),0)</f>
        <v>0</v>
      </c>
      <c r="K38" s="73"/>
      <c r="M38" s="174"/>
    </row>
    <row r="39" spans="1:13" ht="15.6" x14ac:dyDescent="0.3">
      <c r="A39" s="61" t="s">
        <v>112</v>
      </c>
      <c r="B39" s="62">
        <v>201714</v>
      </c>
      <c r="C39" s="63" t="s">
        <v>22</v>
      </c>
      <c r="D39" s="62">
        <v>201714</v>
      </c>
      <c r="E39" s="64">
        <v>708.51</v>
      </c>
      <c r="F39" s="81"/>
      <c r="G39" s="81"/>
      <c r="H39" s="81"/>
      <c r="I39" s="64"/>
      <c r="J39" s="82"/>
      <c r="K39" s="67"/>
      <c r="M39" s="174"/>
    </row>
    <row r="40" spans="1:13" ht="16.2" thickBot="1" x14ac:dyDescent="0.35">
      <c r="A40" s="143" t="s">
        <v>16</v>
      </c>
      <c r="B40" s="144"/>
      <c r="C40" s="144"/>
      <c r="D40" s="144"/>
      <c r="E40" s="146">
        <v>708.51</v>
      </c>
      <c r="F40" s="145">
        <v>135322.53333333333</v>
      </c>
      <c r="G40" s="72">
        <v>2546</v>
      </c>
      <c r="H40" s="71">
        <f t="shared" ref="H40" si="5">F40+G40</f>
        <v>137868.53333333333</v>
      </c>
      <c r="I40" s="70">
        <f>MAX(($D$39-H40)/((DATE(LEFT('Planning Parameters'!$A$1,4)*1+1,5,31)-(DATE(LEFT('Planning Parameters'!$A$1,4)*1,6,1))+1)),0)</f>
        <v>174.9190867579909</v>
      </c>
      <c r="J40" s="70">
        <f>MAX(ROUND(I40/$H$4,2),0)</f>
        <v>224.26</v>
      </c>
      <c r="K40" s="74" t="s">
        <v>16</v>
      </c>
      <c r="M40" s="174"/>
    </row>
    <row r="41" spans="1:13" ht="16.2" thickBot="1" x14ac:dyDescent="0.35">
      <c r="A41" s="84" t="s">
        <v>1</v>
      </c>
      <c r="B41" s="85">
        <f>AVERAGE(B12,B20,B24,B29,B39)</f>
        <v>198102.8</v>
      </c>
      <c r="C41" s="85"/>
      <c r="D41" s="85">
        <f>AVERAGE(D12,D20,D24,D29,D39)</f>
        <v>198102.8</v>
      </c>
      <c r="E41" s="86">
        <v>695.83</v>
      </c>
      <c r="F41" s="87">
        <v>196315.25</v>
      </c>
      <c r="G41" s="88">
        <f>G32</f>
        <v>2546</v>
      </c>
      <c r="H41" s="87">
        <f>F41+G41</f>
        <v>198861.25</v>
      </c>
      <c r="I41" s="86">
        <f>MAX(($D$41-H41)/((DATE(LEFT('Planning Parameters'!$A$1,4)*1+1,5,31)-(DATE(LEFT('Planning Parameters'!$A$1,4)*1,6,1))+1)),0)</f>
        <v>0</v>
      </c>
      <c r="J41" s="86">
        <f>MAX(ROUND(I41/$H$4,2),0)</f>
        <v>0</v>
      </c>
      <c r="K41" s="89" t="s">
        <v>1</v>
      </c>
      <c r="M41" s="174"/>
    </row>
    <row r="42" spans="1:13" ht="15" x14ac:dyDescent="0.3">
      <c r="A42" s="90" t="s">
        <v>0</v>
      </c>
      <c r="B42" s="91"/>
      <c r="C42" s="91"/>
      <c r="D42" s="91"/>
      <c r="E42" s="91"/>
      <c r="F42" s="92"/>
      <c r="G42" s="91"/>
      <c r="H42" s="91"/>
      <c r="I42" s="91"/>
      <c r="J42" s="91"/>
      <c r="K42" s="91"/>
    </row>
    <row r="43" spans="1:13" x14ac:dyDescent="0.3">
      <c r="E43" s="55"/>
      <c r="F43" s="55"/>
      <c r="H43" s="174"/>
    </row>
    <row r="44" spans="1:13" ht="15" thickBot="1" x14ac:dyDescent="0.35">
      <c r="A44" t="s">
        <v>115</v>
      </c>
    </row>
    <row r="45" spans="1:13" ht="15.6" thickBot="1" x14ac:dyDescent="0.35">
      <c r="A45" s="232" t="s">
        <v>147</v>
      </c>
      <c r="B45" s="233"/>
      <c r="C45" s="233"/>
      <c r="D45" s="233"/>
      <c r="E45" s="233"/>
      <c r="F45" s="233"/>
      <c r="G45" s="233"/>
      <c r="H45" s="233"/>
      <c r="I45" s="233"/>
      <c r="J45" s="234"/>
    </row>
  </sheetData>
  <mergeCells count="9">
    <mergeCell ref="A8:H8"/>
    <mergeCell ref="A9:H9"/>
    <mergeCell ref="A45:J45"/>
    <mergeCell ref="A2:H2"/>
    <mergeCell ref="A3:H3"/>
    <mergeCell ref="A4:G4"/>
    <mergeCell ref="A5:H5"/>
    <mergeCell ref="A6:H6"/>
    <mergeCell ref="A7:H7"/>
  </mergeCells>
  <pageMargins left="0.7" right="0.7" top="0.875" bottom="0.75" header="0.3" footer="0.3"/>
  <pageSetup scale="49" fitToHeight="0" orientation="landscape" r:id="rId1"/>
  <headerFooter>
    <oddHeader>&amp;R&amp;"Times New Roman,Bold"&amp;10KyPSC Case No. 2024-00197
KSES-DR-01-024 Attachment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7"/>
  <sheetViews>
    <sheetView view="pageLayout" zoomScaleNormal="100" workbookViewId="0">
      <selection sqref="A1:C1"/>
    </sheetView>
  </sheetViews>
  <sheetFormatPr defaultRowHeight="14.4" x14ac:dyDescent="0.3"/>
  <cols>
    <col min="1" max="1" width="12.88671875" customWidth="1"/>
    <col min="2" max="2" width="100.88671875" customWidth="1"/>
    <col min="3" max="3" width="15.88671875" customWidth="1"/>
  </cols>
  <sheetData>
    <row r="1" spans="1:3" ht="17.399999999999999" x14ac:dyDescent="0.3">
      <c r="A1" s="236" t="s">
        <v>122</v>
      </c>
      <c r="B1" s="237"/>
      <c r="C1" s="238"/>
    </row>
    <row r="2" spans="1:3" ht="28.2" thickBot="1" x14ac:dyDescent="0.35">
      <c r="A2" s="112" t="s">
        <v>105</v>
      </c>
      <c r="B2" s="162" t="s">
        <v>106</v>
      </c>
      <c r="C2" s="113" t="s">
        <v>107</v>
      </c>
    </row>
    <row r="3" spans="1:3" ht="40.200000000000003" thickBot="1" x14ac:dyDescent="0.35">
      <c r="A3" s="163" t="s">
        <v>123</v>
      </c>
      <c r="B3" s="164" t="s">
        <v>124</v>
      </c>
      <c r="C3" s="165" t="s">
        <v>108</v>
      </c>
    </row>
    <row r="4" spans="1:3" ht="40.200000000000003" thickBot="1" x14ac:dyDescent="0.35">
      <c r="A4" s="166" t="s">
        <v>125</v>
      </c>
      <c r="B4" s="167" t="s">
        <v>126</v>
      </c>
      <c r="C4" s="168" t="s">
        <v>108</v>
      </c>
    </row>
    <row r="5" spans="1:3" ht="26.4" x14ac:dyDescent="0.3">
      <c r="A5" s="239" t="s">
        <v>127</v>
      </c>
      <c r="B5" s="169" t="s">
        <v>128</v>
      </c>
      <c r="C5" s="240" t="s">
        <v>108</v>
      </c>
    </row>
    <row r="6" spans="1:3" ht="39.6" x14ac:dyDescent="0.3">
      <c r="A6" s="239"/>
      <c r="B6" s="169" t="s">
        <v>129</v>
      </c>
      <c r="C6" s="241"/>
    </row>
    <row r="7" spans="1:3" ht="39.6" x14ac:dyDescent="0.3">
      <c r="A7" s="239"/>
      <c r="B7" s="169" t="s">
        <v>130</v>
      </c>
      <c r="C7" s="241"/>
    </row>
    <row r="8" spans="1:3" ht="27" thickBot="1" x14ac:dyDescent="0.35">
      <c r="A8" s="239"/>
      <c r="B8" s="169" t="s">
        <v>131</v>
      </c>
      <c r="C8" s="241"/>
    </row>
    <row r="9" spans="1:3" ht="27" thickBot="1" x14ac:dyDescent="0.35">
      <c r="A9" s="166" t="s">
        <v>132</v>
      </c>
      <c r="B9" s="167" t="s">
        <v>133</v>
      </c>
      <c r="C9" s="165" t="s">
        <v>108</v>
      </c>
    </row>
    <row r="10" spans="1:3" x14ac:dyDescent="0.3">
      <c r="A10" s="170" t="s">
        <v>134</v>
      </c>
      <c r="B10" t="s">
        <v>135</v>
      </c>
      <c r="C10" s="170" t="s">
        <v>108</v>
      </c>
    </row>
    <row r="11" spans="1:3" x14ac:dyDescent="0.3">
      <c r="A11" s="170" t="s">
        <v>136</v>
      </c>
      <c r="B11" t="s">
        <v>137</v>
      </c>
      <c r="C11" s="170" t="s">
        <v>108</v>
      </c>
    </row>
    <row r="12" spans="1:3" ht="15" thickBot="1" x14ac:dyDescent="0.35">
      <c r="A12" s="171" t="s">
        <v>138</v>
      </c>
      <c r="B12" s="172" t="s">
        <v>139</v>
      </c>
      <c r="C12" s="171" t="s">
        <v>66</v>
      </c>
    </row>
    <row r="13" spans="1:3" x14ac:dyDescent="0.3">
      <c r="C13" s="142"/>
    </row>
    <row r="14" spans="1:3" ht="15" thickBot="1" x14ac:dyDescent="0.35">
      <c r="C14" s="142"/>
    </row>
    <row r="15" spans="1:3" ht="18" thickBot="1" x14ac:dyDescent="0.35">
      <c r="A15" s="242" t="s">
        <v>140</v>
      </c>
      <c r="B15" s="243"/>
      <c r="C15" s="244"/>
    </row>
    <row r="16" spans="1:3" ht="28.2" thickBot="1" x14ac:dyDescent="0.35">
      <c r="A16" s="106" t="s">
        <v>105</v>
      </c>
      <c r="B16" s="107" t="s">
        <v>106</v>
      </c>
      <c r="C16" s="108" t="s">
        <v>107</v>
      </c>
    </row>
    <row r="17" spans="1:3" x14ac:dyDescent="0.3">
      <c r="A17" s="111" t="s">
        <v>109</v>
      </c>
      <c r="B17" s="109"/>
      <c r="C17" s="110"/>
    </row>
  </sheetData>
  <mergeCells count="4">
    <mergeCell ref="A1:C1"/>
    <mergeCell ref="A5:A8"/>
    <mergeCell ref="C5:C8"/>
    <mergeCell ref="A15:C15"/>
  </mergeCells>
  <pageMargins left="0.7" right="0.7" top="0.875" bottom="0.75" header="0.3" footer="0.3"/>
  <pageSetup scale="94" orientation="landscape" r:id="rId1"/>
  <headerFooter>
    <oddHeader>&amp;R&amp;"Times New Roman,Bold"&amp;10KyPSC Case No. 2024-00197
KSES-DR-01-024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itness xmlns="2612a682-5ffb-4b9c-9555-01761893517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3060D5A96BD740BA2F82E2316E89F5" ma:contentTypeVersion="4" ma:contentTypeDescription="Create a new document." ma:contentTypeScope="" ma:versionID="34f472decaa46aa871c69b497b5c8bf5">
  <xsd:schema xmlns:xsd="http://www.w3.org/2001/XMLSchema" xmlns:xs="http://www.w3.org/2001/XMLSchema" xmlns:p="http://schemas.microsoft.com/office/2006/metadata/properties" xmlns:ns2="2612a682-5ffb-4b9c-9555-017618935178" xmlns:ns3="3c9d8c27-8a6d-4d9e-a15e-ef5d28c114af" targetNamespace="http://schemas.microsoft.com/office/2006/metadata/properties" ma:root="true" ma:fieldsID="147db5eb7ec7a17abbdcc7f7c35c2451" ns2:_="" ns3:_="">
    <xsd:import namespace="2612a682-5ffb-4b9c-9555-017618935178"/>
    <xsd:import namespace="3c9d8c27-8a6d-4d9e-a15e-ef5d28c114af"/>
    <xsd:element name="properties">
      <xsd:complexType>
        <xsd:sequence>
          <xsd:element name="documentManagement">
            <xsd:complexType>
              <xsd:all>
                <xsd:element ref="ns2:Witnes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2a682-5ffb-4b9c-9555-017618935178"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d8c27-8a6d-4d9e-a15e-ef5d28c114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1DAD7D-E276-4BE8-8F3D-02FC18A911D1}">
  <ds:schemaRefs>
    <ds:schemaRef ds:uri="http://schemas.microsoft.com/sharepoint/v3/contenttype/forms"/>
  </ds:schemaRefs>
</ds:datastoreItem>
</file>

<file path=customXml/itemProps2.xml><?xml version="1.0" encoding="utf-8"?>
<ds:datastoreItem xmlns:ds="http://schemas.openxmlformats.org/officeDocument/2006/customXml" ds:itemID="{9BAC622A-A224-461A-BC14-0276A24E6200}">
  <ds:schemaRefs>
    <ds:schemaRef ds:uri="http://purl.org/dc/terms/"/>
    <ds:schemaRef ds:uri="http://schemas.microsoft.com/office/2006/documentManagement/types"/>
    <ds:schemaRef ds:uri="3c9d8c27-8a6d-4d9e-a15e-ef5d28c114af"/>
    <ds:schemaRef ds:uri="2612a682-5ffb-4b9c-9555-017618935178"/>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9AC1000A-DFBA-473F-9960-BDE8D75DD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2a682-5ffb-4b9c-9555-017618935178"/>
    <ds:schemaRef ds:uri="3c9d8c27-8a6d-4d9e-a15e-ef5d28c11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Planning Parameters</vt:lpstr>
      <vt:lpstr>Net CONE</vt:lpstr>
      <vt:lpstr>Key Transmission Upgrades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Marzewski, Skyler</dc:creator>
  <cp:lastModifiedBy>Sunderman, Minna</cp:lastModifiedBy>
  <cp:lastPrinted>2024-09-03T21:35:14Z</cp:lastPrinted>
  <dcterms:created xsi:type="dcterms:W3CDTF">2021-08-09T11:52:54Z</dcterms:created>
  <dcterms:modified xsi:type="dcterms:W3CDTF">2024-09-03T21:35:21Z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0x010100FC3060D5A96BD740BA2F82E2316E89F5</vt:lpwstr>
  </property>
</Properties>
</file>