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City of Morehead UPB/"/>
    </mc:Choice>
  </mc:AlternateContent>
  <xr:revisionPtr revIDLastSave="194" documentId="8_{D9044DF6-9598-4150-A8E8-3516724973B0}" xr6:coauthVersionLast="47" xr6:coauthVersionMax="47" xr10:uidLastSave="{181CA3A5-25C1-4B1E-8EF6-117654B7E398}"/>
  <bookViews>
    <workbookView xWindow="-98" yWindow="-98" windowWidth="20715" windowHeight="13155" firstSheet="9" activeTab="11" xr2:uid="{00000000-000D-0000-FFFF-FFFF00000000}"/>
  </bookViews>
  <sheets>
    <sheet name="Water and Shared Trial Balance" sheetId="39" r:id="rId1"/>
    <sheet name="Matrix" sheetId="33" r:id="rId2"/>
    <sheet name="Depreciation 1" sheetId="17" r:id="rId3"/>
    <sheet name="Depreciation 2" sheetId="40" r:id="rId4"/>
    <sheet name="Debt Service 1" sheetId="38" r:id="rId5"/>
    <sheet name="Debt Service 2" sheetId="41" r:id="rId6"/>
    <sheet name="DS Allocation 1" sheetId="37" r:id="rId7"/>
    <sheet name="DS Allocation 2" sheetId="42" r:id="rId8"/>
    <sheet name="System Information " sheetId="18" r:id="rId9"/>
    <sheet name="Wholesale Factors" sheetId="19" r:id="rId10"/>
    <sheet name="Rate Computation 1" sheetId="16" r:id="rId11"/>
    <sheet name="Rate Computation 2" sheetId="43" r:id="rId12"/>
    <sheet name="Analysis" sheetId="44" r:id="rId13"/>
  </sheets>
  <externalReferences>
    <externalReference r:id="rId14"/>
    <externalReference r:id="rId15"/>
    <externalReference r:id="rId16"/>
  </externalReferences>
  <definedNames>
    <definedName name="_xlnm.Print_Area" localSheetId="4">'Debt Service 1'!$A$1:$U$25</definedName>
    <definedName name="_xlnm.Print_Area" localSheetId="5">'Debt Service 2'!$A$1:$U$25</definedName>
    <definedName name="_xlnm.Print_Area" localSheetId="2">'Depreciation 1'!$A$1:$K$34</definedName>
    <definedName name="_xlnm.Print_Area" localSheetId="3">'Depreciation 2'!$A$1:$K$34</definedName>
    <definedName name="_xlnm.Print_Area" localSheetId="6">'DS Allocation 1'!$A$1:$I$22</definedName>
    <definedName name="_xlnm.Print_Area" localSheetId="7">'DS Allocation 2'!$A$1:$I$22</definedName>
    <definedName name="_xlnm.Print_Area" localSheetId="1">Matrix!$A$1:$P$74</definedName>
    <definedName name="_xlnm.Print_Area" localSheetId="10">'Rate Computation 1'!$A$1:$K$56</definedName>
    <definedName name="_xlnm.Print_Area" localSheetId="11">'Rate Computation 2'!$A$1:$K$55</definedName>
    <definedName name="_xlnm.Print_Area" localSheetId="8">'System Information '!$A$1:$J$44</definedName>
    <definedName name="_xlnm.Print_Area" localSheetId="0">'Water and Shared Trial Balance'!$A$1:$H$67</definedName>
    <definedName name="_xlnm.Print_Area" localSheetId="9">'Wholesale Factors'!$A$1:$K$46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40" l="1"/>
  <c r="G27" i="40"/>
  <c r="F27" i="40"/>
  <c r="E27" i="40"/>
  <c r="C27" i="40"/>
  <c r="G26" i="40"/>
  <c r="F26" i="40"/>
  <c r="E26" i="40"/>
  <c r="C26" i="40"/>
  <c r="G25" i="40"/>
  <c r="F25" i="40"/>
  <c r="E25" i="40"/>
  <c r="C25" i="40"/>
  <c r="G24" i="40"/>
  <c r="F24" i="40"/>
  <c r="E24" i="40"/>
  <c r="C24" i="40"/>
  <c r="G23" i="40"/>
  <c r="F23" i="40"/>
  <c r="E23" i="40"/>
  <c r="C23" i="40"/>
  <c r="G22" i="40"/>
  <c r="F22" i="40"/>
  <c r="E22" i="40"/>
  <c r="C22" i="40"/>
  <c r="H21" i="40"/>
  <c r="G21" i="40"/>
  <c r="F21" i="40"/>
  <c r="E21" i="40"/>
  <c r="C21" i="40"/>
  <c r="H20" i="40"/>
  <c r="G20" i="40"/>
  <c r="F20" i="40"/>
  <c r="E20" i="40"/>
  <c r="C20" i="40"/>
  <c r="I19" i="40"/>
  <c r="H19" i="40"/>
  <c r="G19" i="40"/>
  <c r="E19" i="40"/>
  <c r="C19" i="40"/>
  <c r="I18" i="40"/>
  <c r="H18" i="40"/>
  <c r="G18" i="40"/>
  <c r="E18" i="40"/>
  <c r="C18" i="40"/>
  <c r="I17" i="40"/>
  <c r="H17" i="40"/>
  <c r="F17" i="40"/>
  <c r="E17" i="40"/>
  <c r="C17" i="40"/>
  <c r="I16" i="40"/>
  <c r="H16" i="40"/>
  <c r="G16" i="40"/>
  <c r="E16" i="40"/>
  <c r="C16" i="40"/>
  <c r="I15" i="40"/>
  <c r="H15" i="40"/>
  <c r="G15" i="40"/>
  <c r="F15" i="40"/>
  <c r="C15" i="40"/>
  <c r="I14" i="40"/>
  <c r="H14" i="40"/>
  <c r="G14" i="40"/>
  <c r="F14" i="40"/>
  <c r="C14" i="40"/>
  <c r="I13" i="40"/>
  <c r="H13" i="40"/>
  <c r="G13" i="40"/>
  <c r="F13" i="40"/>
  <c r="C13" i="40"/>
  <c r="I12" i="40"/>
  <c r="H12" i="40"/>
  <c r="G12" i="40"/>
  <c r="F12" i="40"/>
  <c r="C12" i="40"/>
  <c r="I11" i="40"/>
  <c r="H11" i="40"/>
  <c r="G11" i="40"/>
  <c r="F11" i="40"/>
  <c r="C11" i="40"/>
  <c r="I10" i="40"/>
  <c r="H10" i="40"/>
  <c r="G10" i="40"/>
  <c r="F10" i="40"/>
  <c r="C10" i="40"/>
  <c r="D35" i="17"/>
  <c r="D27" i="17"/>
  <c r="I27" i="17" s="1"/>
  <c r="I27" i="40" s="1"/>
  <c r="D26" i="17"/>
  <c r="D26" i="40" s="1"/>
  <c r="D25" i="17"/>
  <c r="D25" i="40" s="1"/>
  <c r="D24" i="17"/>
  <c r="D24" i="40" s="1"/>
  <c r="D23" i="17"/>
  <c r="I23" i="17" s="1"/>
  <c r="I23" i="40" s="1"/>
  <c r="D22" i="17"/>
  <c r="H22" i="17" s="1"/>
  <c r="D21" i="17"/>
  <c r="D21" i="40" s="1"/>
  <c r="D20" i="17"/>
  <c r="I20" i="17" s="1"/>
  <c r="I20" i="40" s="1"/>
  <c r="D19" i="17"/>
  <c r="D19" i="40" s="1"/>
  <c r="D18" i="17"/>
  <c r="D18" i="40" s="1"/>
  <c r="D17" i="17"/>
  <c r="G17" i="17" s="1"/>
  <c r="D16" i="17"/>
  <c r="F16" i="17" s="1"/>
  <c r="F16" i="40" s="1"/>
  <c r="D15" i="17"/>
  <c r="E15" i="17" s="1"/>
  <c r="E15" i="40" s="1"/>
  <c r="D14" i="17"/>
  <c r="E14" i="17" s="1"/>
  <c r="E14" i="40" s="1"/>
  <c r="D13" i="17"/>
  <c r="D13" i="40" s="1"/>
  <c r="D12" i="17"/>
  <c r="E12" i="17" s="1"/>
  <c r="E12" i="40" s="1"/>
  <c r="D11" i="17"/>
  <c r="D11" i="40" s="1"/>
  <c r="D10" i="17"/>
  <c r="D10" i="40" s="1"/>
  <c r="F18" i="17" l="1"/>
  <c r="F18" i="40" s="1"/>
  <c r="D15" i="40"/>
  <c r="H22" i="40"/>
  <c r="G17" i="40"/>
  <c r="G28" i="40" s="1"/>
  <c r="G28" i="17"/>
  <c r="F19" i="17"/>
  <c r="F19" i="40" s="1"/>
  <c r="H25" i="17"/>
  <c r="H25" i="40" s="1"/>
  <c r="D14" i="40"/>
  <c r="D22" i="40"/>
  <c r="I24" i="17"/>
  <c r="I24" i="40" s="1"/>
  <c r="D23" i="40"/>
  <c r="I21" i="17"/>
  <c r="I21" i="40" s="1"/>
  <c r="I25" i="17"/>
  <c r="I25" i="40" s="1"/>
  <c r="D28" i="17"/>
  <c r="I22" i="17"/>
  <c r="I22" i="40" s="1"/>
  <c r="H26" i="17"/>
  <c r="H26" i="40" s="1"/>
  <c r="D12" i="40"/>
  <c r="D20" i="40"/>
  <c r="E10" i="17"/>
  <c r="I26" i="17"/>
  <c r="I26" i="40" s="1"/>
  <c r="D27" i="40"/>
  <c r="H23" i="17"/>
  <c r="H23" i="40" s="1"/>
  <c r="H27" i="17"/>
  <c r="H27" i="40" s="1"/>
  <c r="D17" i="40"/>
  <c r="H24" i="17"/>
  <c r="H24" i="40" s="1"/>
  <c r="D16" i="40"/>
  <c r="L19" i="41"/>
  <c r="K19" i="41"/>
  <c r="J19" i="41"/>
  <c r="I19" i="41"/>
  <c r="H19" i="41"/>
  <c r="G19" i="41"/>
  <c r="F28" i="40" l="1"/>
  <c r="D28" i="40"/>
  <c r="I28" i="40"/>
  <c r="F28" i="17"/>
  <c r="H28" i="17"/>
  <c r="E10" i="40"/>
  <c r="H28" i="40"/>
  <c r="I28" i="17"/>
  <c r="B31" i="44"/>
  <c r="F41" i="18"/>
  <c r="F37" i="18"/>
  <c r="B37" i="39" l="1"/>
  <c r="B33" i="39" l="1"/>
  <c r="B18" i="39"/>
  <c r="B27" i="39"/>
  <c r="B14" i="39"/>
  <c r="B8" i="39"/>
  <c r="B17" i="39"/>
  <c r="B32" i="39"/>
  <c r="B20" i="39"/>
  <c r="B10" i="39"/>
  <c r="B28" i="39"/>
  <c r="B9" i="39"/>
  <c r="B24" i="39"/>
  <c r="B12" i="39"/>
  <c r="B36" i="39"/>
  <c r="B29" i="39"/>
  <c r="B19" i="39"/>
  <c r="B35" i="39"/>
  <c r="B21" i="39"/>
  <c r="B11" i="39"/>
  <c r="B13" i="39"/>
  <c r="B25" i="39"/>
  <c r="B26" i="39"/>
  <c r="B31" i="39"/>
  <c r="B15" i="39"/>
  <c r="B23" i="39"/>
  <c r="B7" i="39"/>
  <c r="B6" i="39"/>
  <c r="B16" i="39"/>
  <c r="B22" i="39"/>
  <c r="B30" i="39"/>
  <c r="B34" i="39"/>
  <c r="B68" i="39" l="1"/>
  <c r="B30" i="44" l="1"/>
  <c r="B29" i="44"/>
  <c r="B11" i="44"/>
  <c r="B10" i="44"/>
  <c r="E30" i="44" l="1"/>
  <c r="E29" i="44"/>
  <c r="C30" i="44"/>
  <c r="C29" i="44"/>
  <c r="F26" i="44"/>
  <c r="D26" i="44"/>
  <c r="B26" i="44"/>
  <c r="F7" i="44"/>
  <c r="D7" i="44"/>
  <c r="B7" i="44"/>
  <c r="O26" i="38"/>
  <c r="G30" i="40" l="1"/>
  <c r="F30" i="40"/>
  <c r="E30" i="40"/>
  <c r="D30" i="40"/>
  <c r="M26" i="38"/>
  <c r="Y22" i="41"/>
  <c r="X22" i="41"/>
  <c r="W22" i="41"/>
  <c r="V22" i="41"/>
  <c r="L22" i="41"/>
  <c r="K22" i="41"/>
  <c r="J22" i="41"/>
  <c r="I22" i="41"/>
  <c r="H22" i="41"/>
  <c r="G22" i="41"/>
  <c r="B22" i="41"/>
  <c r="Y21" i="41"/>
  <c r="X21" i="41"/>
  <c r="W21" i="41"/>
  <c r="V21" i="41"/>
  <c r="L21" i="41"/>
  <c r="K21" i="41"/>
  <c r="J21" i="41"/>
  <c r="I21" i="41"/>
  <c r="H21" i="41"/>
  <c r="G21" i="41"/>
  <c r="B21" i="41"/>
  <c r="Y20" i="41"/>
  <c r="X20" i="41"/>
  <c r="W20" i="41"/>
  <c r="V20" i="41"/>
  <c r="L20" i="41"/>
  <c r="K20" i="41"/>
  <c r="J20" i="41"/>
  <c r="I20" i="41"/>
  <c r="H20" i="41"/>
  <c r="G20" i="41"/>
  <c r="B20" i="41"/>
  <c r="Y19" i="41"/>
  <c r="X19" i="41"/>
  <c r="W19" i="41"/>
  <c r="V19" i="41"/>
  <c r="B19" i="41"/>
  <c r="Y18" i="41"/>
  <c r="X18" i="41"/>
  <c r="W18" i="41"/>
  <c r="V18" i="41"/>
  <c r="L18" i="41"/>
  <c r="K18" i="41"/>
  <c r="J18" i="41"/>
  <c r="I18" i="41"/>
  <c r="H18" i="41"/>
  <c r="G18" i="41"/>
  <c r="B18" i="41"/>
  <c r="Y17" i="41"/>
  <c r="X17" i="41"/>
  <c r="W17" i="41"/>
  <c r="V17" i="41"/>
  <c r="L17" i="41"/>
  <c r="K17" i="41"/>
  <c r="J17" i="41"/>
  <c r="I17" i="41"/>
  <c r="H17" i="41"/>
  <c r="G17" i="41"/>
  <c r="B17" i="41"/>
  <c r="Y16" i="41"/>
  <c r="X16" i="41"/>
  <c r="W16" i="41"/>
  <c r="V16" i="41"/>
  <c r="L16" i="41"/>
  <c r="K16" i="41"/>
  <c r="J16" i="41"/>
  <c r="I16" i="41"/>
  <c r="H16" i="41"/>
  <c r="G16" i="41"/>
  <c r="B16" i="41"/>
  <c r="Y15" i="41"/>
  <c r="X15" i="41"/>
  <c r="W15" i="41"/>
  <c r="V15" i="41"/>
  <c r="L15" i="41"/>
  <c r="K15" i="41"/>
  <c r="J15" i="41"/>
  <c r="I15" i="41"/>
  <c r="H15" i="41"/>
  <c r="G15" i="41"/>
  <c r="B15" i="41"/>
  <c r="Y14" i="41"/>
  <c r="X14" i="41"/>
  <c r="W14" i="41"/>
  <c r="V14" i="41"/>
  <c r="L14" i="41"/>
  <c r="K14" i="41"/>
  <c r="J14" i="41"/>
  <c r="I14" i="41"/>
  <c r="H14" i="41"/>
  <c r="G14" i="41"/>
  <c r="B14" i="41"/>
  <c r="Y13" i="41"/>
  <c r="X13" i="41"/>
  <c r="W13" i="41"/>
  <c r="V13" i="41"/>
  <c r="L13" i="41"/>
  <c r="K13" i="41"/>
  <c r="J13" i="41"/>
  <c r="I13" i="41"/>
  <c r="H13" i="41"/>
  <c r="G13" i="41"/>
  <c r="B13" i="41"/>
  <c r="Y12" i="41"/>
  <c r="X12" i="41"/>
  <c r="W12" i="41"/>
  <c r="V12" i="41"/>
  <c r="L12" i="41"/>
  <c r="K12" i="41"/>
  <c r="J12" i="41"/>
  <c r="I12" i="41"/>
  <c r="H12" i="41"/>
  <c r="G12" i="41"/>
  <c r="B12" i="41"/>
  <c r="L30" i="40" l="1"/>
  <c r="M30" i="40" s="1"/>
  <c r="M15" i="41"/>
  <c r="N15" i="41" s="1"/>
  <c r="O15" i="41" s="1"/>
  <c r="M18" i="41"/>
  <c r="N18" i="41" s="1"/>
  <c r="O18" i="41" s="1"/>
  <c r="M13" i="41"/>
  <c r="M21" i="41"/>
  <c r="N21" i="41" s="1"/>
  <c r="O21" i="41" s="1"/>
  <c r="M16" i="41"/>
  <c r="N16" i="41" s="1"/>
  <c r="O16" i="41" s="1"/>
  <c r="M14" i="41"/>
  <c r="N14" i="41" s="1"/>
  <c r="O14" i="41" s="1"/>
  <c r="M22" i="41"/>
  <c r="N22" i="41" s="1"/>
  <c r="O22" i="41" s="1"/>
  <c r="M19" i="41"/>
  <c r="N19" i="41" s="1"/>
  <c r="O19" i="41" s="1"/>
  <c r="M17" i="41"/>
  <c r="N17" i="41" s="1"/>
  <c r="O17" i="41" s="1"/>
  <c r="M12" i="41"/>
  <c r="N12" i="41" s="1"/>
  <c r="M20" i="41"/>
  <c r="N20" i="41" s="1"/>
  <c r="O20" i="41" s="1"/>
  <c r="G23" i="41"/>
  <c r="G26" i="41" s="1"/>
  <c r="K23" i="41"/>
  <c r="K26" i="41" s="1"/>
  <c r="L23" i="41"/>
  <c r="L26" i="41" s="1"/>
  <c r="J23" i="41"/>
  <c r="J26" i="41" s="1"/>
  <c r="H23" i="41"/>
  <c r="H26" i="41" s="1"/>
  <c r="I23" i="41"/>
  <c r="I26" i="41" s="1"/>
  <c r="M26" i="41" l="1"/>
  <c r="T17" i="41"/>
  <c r="S17" i="41"/>
  <c r="R17" i="41"/>
  <c r="Q17" i="41"/>
  <c r="E15" i="42" s="1"/>
  <c r="T21" i="41"/>
  <c r="S21" i="41"/>
  <c r="R21" i="41"/>
  <c r="Q21" i="41"/>
  <c r="E19" i="42" s="1"/>
  <c r="S20" i="41"/>
  <c r="R20" i="41"/>
  <c r="Q20" i="41"/>
  <c r="E18" i="42" s="1"/>
  <c r="T20" i="41"/>
  <c r="S16" i="41"/>
  <c r="R16" i="41"/>
  <c r="Q16" i="41"/>
  <c r="E14" i="42" s="1"/>
  <c r="T16" i="41"/>
  <c r="Q15" i="41"/>
  <c r="E13" i="42" s="1"/>
  <c r="T15" i="41"/>
  <c r="S15" i="41"/>
  <c r="R15" i="41"/>
  <c r="Q19" i="41"/>
  <c r="E17" i="42" s="1"/>
  <c r="T19" i="41"/>
  <c r="S19" i="41"/>
  <c r="R19" i="41"/>
  <c r="N13" i="41"/>
  <c r="N23" i="41" s="1"/>
  <c r="T22" i="41"/>
  <c r="R22" i="41"/>
  <c r="S22" i="41"/>
  <c r="Q22" i="41"/>
  <c r="E20" i="42" s="1"/>
  <c r="M23" i="41"/>
  <c r="T14" i="41"/>
  <c r="R14" i="41"/>
  <c r="S14" i="41"/>
  <c r="Q14" i="41"/>
  <c r="E12" i="42" s="1"/>
  <c r="T18" i="41"/>
  <c r="R18" i="41"/>
  <c r="S18" i="41"/>
  <c r="Q18" i="41"/>
  <c r="E16" i="42" s="1"/>
  <c r="O12" i="41"/>
  <c r="N26" i="41" l="1"/>
  <c r="N27" i="41" s="1"/>
  <c r="M27" i="41"/>
  <c r="H19" i="42"/>
  <c r="F19" i="42"/>
  <c r="G19" i="42"/>
  <c r="H20" i="42"/>
  <c r="F20" i="42"/>
  <c r="G20" i="42"/>
  <c r="G17" i="42"/>
  <c r="F17" i="42"/>
  <c r="H17" i="42"/>
  <c r="H18" i="42"/>
  <c r="F18" i="42"/>
  <c r="G18" i="42"/>
  <c r="O13" i="41"/>
  <c r="O23" i="41" s="1"/>
  <c r="R12" i="41"/>
  <c r="Q12" i="41"/>
  <c r="E10" i="42" s="1"/>
  <c r="S12" i="41"/>
  <c r="T12" i="41"/>
  <c r="O26" i="41" l="1"/>
  <c r="O27" i="41" s="1"/>
  <c r="F21" i="42"/>
  <c r="E39" i="43" s="1"/>
  <c r="G21" i="42"/>
  <c r="E40" i="43" s="1"/>
  <c r="H21" i="42"/>
  <c r="E41" i="43" s="1"/>
  <c r="T13" i="41"/>
  <c r="T23" i="41" s="1"/>
  <c r="S13" i="41"/>
  <c r="S23" i="41" s="1"/>
  <c r="R13" i="41"/>
  <c r="R23" i="41" s="1"/>
  <c r="Q13" i="41"/>
  <c r="E42" i="43" l="1"/>
  <c r="Q23" i="41"/>
  <c r="E11" i="42"/>
  <c r="E21" i="42" s="1"/>
  <c r="H23" i="42"/>
  <c r="L30" i="17"/>
  <c r="M30" i="17" s="1"/>
  <c r="Y22" i="38"/>
  <c r="Y21" i="38"/>
  <c r="Y20" i="38"/>
  <c r="Y19" i="38"/>
  <c r="Y18" i="38"/>
  <c r="Y17" i="38"/>
  <c r="Y16" i="38"/>
  <c r="Y15" i="38"/>
  <c r="Y14" i="38"/>
  <c r="Y13" i="38"/>
  <c r="Y12" i="38"/>
  <c r="L22" i="38"/>
  <c r="L21" i="38"/>
  <c r="L20" i="38"/>
  <c r="L18" i="38"/>
  <c r="L17" i="38"/>
  <c r="L16" i="38"/>
  <c r="L15" i="38"/>
  <c r="L14" i="38"/>
  <c r="L13" i="38"/>
  <c r="L12" i="38"/>
  <c r="E23" i="42" l="1"/>
  <c r="Q26" i="41"/>
  <c r="Q27" i="41" s="1"/>
  <c r="I14" i="19"/>
  <c r="H45" i="43" s="1"/>
  <c r="E25" i="42" l="1"/>
  <c r="H25" i="42"/>
  <c r="G41" i="18"/>
  <c r="E73" i="33"/>
  <c r="E72" i="33"/>
  <c r="E53" i="33"/>
  <c r="L77" i="33"/>
  <c r="E77" i="33"/>
  <c r="D77" i="33"/>
  <c r="C77" i="33"/>
  <c r="E76" i="33"/>
  <c r="C76" i="33"/>
  <c r="L75" i="33"/>
  <c r="E75" i="33"/>
  <c r="D75" i="33"/>
  <c r="C75" i="33"/>
  <c r="L74" i="33"/>
  <c r="C74" i="33"/>
  <c r="O73" i="33"/>
  <c r="N73" i="33"/>
  <c r="M73" i="33"/>
  <c r="L73" i="33"/>
  <c r="C73" i="33"/>
  <c r="O72" i="33"/>
  <c r="N72" i="33"/>
  <c r="M72" i="33"/>
  <c r="L72" i="33"/>
  <c r="C72" i="33"/>
  <c r="O71" i="33"/>
  <c r="N71" i="33"/>
  <c r="M71" i="33"/>
  <c r="L71" i="33"/>
  <c r="E71" i="33"/>
  <c r="D71" i="33"/>
  <c r="C71" i="33"/>
  <c r="O70" i="33"/>
  <c r="N70" i="33"/>
  <c r="M70" i="33"/>
  <c r="L70" i="33"/>
  <c r="E70" i="33"/>
  <c r="D70" i="33"/>
  <c r="C70" i="33"/>
  <c r="O69" i="33"/>
  <c r="N69" i="33"/>
  <c r="M69" i="33"/>
  <c r="L69" i="33"/>
  <c r="E69" i="33"/>
  <c r="D69" i="33"/>
  <c r="C69" i="33"/>
  <c r="O68" i="33"/>
  <c r="N68" i="33"/>
  <c r="M68" i="33"/>
  <c r="L68" i="33"/>
  <c r="E68" i="33"/>
  <c r="C68" i="33"/>
  <c r="O67" i="33"/>
  <c r="N67" i="33"/>
  <c r="M67" i="33"/>
  <c r="L67" i="33"/>
  <c r="E67" i="33"/>
  <c r="D67" i="33"/>
  <c r="C67" i="33"/>
  <c r="O66" i="33"/>
  <c r="N66" i="33"/>
  <c r="M66" i="33"/>
  <c r="L66" i="33"/>
  <c r="E66" i="33"/>
  <c r="D66" i="33"/>
  <c r="C66" i="33"/>
  <c r="O65" i="33"/>
  <c r="N65" i="33"/>
  <c r="M65" i="33"/>
  <c r="L65" i="33"/>
  <c r="E65" i="33"/>
  <c r="D65" i="33"/>
  <c r="C65" i="33"/>
  <c r="O64" i="33"/>
  <c r="N64" i="33"/>
  <c r="M64" i="33"/>
  <c r="L64" i="33"/>
  <c r="E64" i="33"/>
  <c r="C64" i="33"/>
  <c r="O63" i="33"/>
  <c r="N63" i="33"/>
  <c r="M63" i="33"/>
  <c r="L63" i="33"/>
  <c r="E63" i="33"/>
  <c r="D63" i="33"/>
  <c r="C63" i="33"/>
  <c r="O62" i="33"/>
  <c r="N62" i="33"/>
  <c r="M62" i="33"/>
  <c r="L62" i="33"/>
  <c r="E62" i="33"/>
  <c r="D62" i="33"/>
  <c r="C62" i="33"/>
  <c r="O61" i="33"/>
  <c r="N61" i="33"/>
  <c r="M61" i="33"/>
  <c r="L61" i="33"/>
  <c r="E61" i="33"/>
  <c r="D61" i="33"/>
  <c r="C61" i="33"/>
  <c r="O60" i="33"/>
  <c r="N60" i="33"/>
  <c r="M60" i="33"/>
  <c r="L60" i="33"/>
  <c r="E60" i="33"/>
  <c r="D60" i="33"/>
  <c r="C60" i="33"/>
  <c r="O59" i="33"/>
  <c r="N59" i="33"/>
  <c r="M59" i="33"/>
  <c r="L59" i="33"/>
  <c r="E59" i="33"/>
  <c r="D59" i="33"/>
  <c r="C59" i="33"/>
  <c r="O58" i="33"/>
  <c r="N58" i="33"/>
  <c r="M58" i="33"/>
  <c r="L58" i="33"/>
  <c r="E58" i="33"/>
  <c r="D58" i="33"/>
  <c r="C58" i="33"/>
  <c r="O57" i="33"/>
  <c r="N57" i="33"/>
  <c r="M57" i="33"/>
  <c r="L57" i="33"/>
  <c r="E57" i="33"/>
  <c r="D57" i="33"/>
  <c r="C57" i="33"/>
  <c r="O56" i="33"/>
  <c r="N56" i="33"/>
  <c r="M56" i="33"/>
  <c r="L56" i="33"/>
  <c r="E56" i="33"/>
  <c r="D56" i="33"/>
  <c r="C56" i="33"/>
  <c r="O55" i="33"/>
  <c r="N55" i="33"/>
  <c r="M55" i="33"/>
  <c r="L55" i="33"/>
  <c r="E55" i="33"/>
  <c r="D55" i="33"/>
  <c r="C55" i="33"/>
  <c r="O54" i="33"/>
  <c r="N54" i="33"/>
  <c r="M54" i="33"/>
  <c r="L54" i="33"/>
  <c r="E54" i="33"/>
  <c r="D54" i="33"/>
  <c r="C54" i="33"/>
  <c r="O53" i="33"/>
  <c r="N53" i="33"/>
  <c r="M53" i="33"/>
  <c r="L53" i="33"/>
  <c r="C53" i="33"/>
  <c r="O52" i="33"/>
  <c r="N52" i="33"/>
  <c r="M52" i="33"/>
  <c r="L52" i="33"/>
  <c r="E52" i="33"/>
  <c r="D52" i="33"/>
  <c r="C52" i="33"/>
  <c r="O51" i="33"/>
  <c r="N51" i="33"/>
  <c r="M51" i="33"/>
  <c r="L51" i="33"/>
  <c r="E51" i="33"/>
  <c r="D51" i="33"/>
  <c r="C51" i="33"/>
  <c r="O50" i="33"/>
  <c r="N50" i="33"/>
  <c r="M50" i="33"/>
  <c r="L50" i="33"/>
  <c r="E50" i="33"/>
  <c r="C50" i="33"/>
  <c r="O49" i="33"/>
  <c r="N49" i="33"/>
  <c r="M49" i="33"/>
  <c r="L49" i="33"/>
  <c r="E49" i="33"/>
  <c r="D49" i="33"/>
  <c r="C49" i="33"/>
  <c r="O48" i="33"/>
  <c r="N48" i="33"/>
  <c r="M48" i="33"/>
  <c r="L48" i="33"/>
  <c r="E48" i="33"/>
  <c r="D48" i="33"/>
  <c r="C48" i="33"/>
  <c r="O47" i="33"/>
  <c r="N47" i="33"/>
  <c r="M47" i="33"/>
  <c r="L47" i="33"/>
  <c r="E47" i="33"/>
  <c r="D47" i="33"/>
  <c r="C47" i="33"/>
  <c r="O46" i="33"/>
  <c r="N46" i="33"/>
  <c r="M46" i="33"/>
  <c r="L46" i="33"/>
  <c r="E46" i="33"/>
  <c r="D46" i="33"/>
  <c r="C46" i="33"/>
  <c r="O45" i="33"/>
  <c r="N45" i="33"/>
  <c r="M45" i="33"/>
  <c r="L45" i="33"/>
  <c r="E45" i="33"/>
  <c r="D45" i="33"/>
  <c r="C45" i="33"/>
  <c r="O44" i="33"/>
  <c r="N44" i="33"/>
  <c r="M44" i="33"/>
  <c r="L44" i="33"/>
  <c r="E44" i="33"/>
  <c r="D44" i="33"/>
  <c r="C44" i="33"/>
  <c r="O43" i="33"/>
  <c r="N43" i="33"/>
  <c r="M43" i="33"/>
  <c r="L43" i="33"/>
  <c r="E43" i="33"/>
  <c r="D43" i="33"/>
  <c r="C43" i="33"/>
  <c r="O42" i="33"/>
  <c r="N42" i="33"/>
  <c r="M42" i="33"/>
  <c r="L42" i="33"/>
  <c r="E42" i="33"/>
  <c r="D42" i="33"/>
  <c r="C42" i="33"/>
  <c r="O41" i="33"/>
  <c r="N41" i="33"/>
  <c r="M41" i="33"/>
  <c r="L41" i="33"/>
  <c r="E41" i="33"/>
  <c r="D41" i="33"/>
  <c r="C41" i="33"/>
  <c r="O40" i="33"/>
  <c r="N40" i="33"/>
  <c r="M40" i="33"/>
  <c r="L40" i="33"/>
  <c r="E40" i="33"/>
  <c r="D40" i="33"/>
  <c r="C40" i="33"/>
  <c r="O39" i="33"/>
  <c r="N39" i="33"/>
  <c r="M39" i="33"/>
  <c r="L39" i="33"/>
  <c r="E39" i="33"/>
  <c r="D39" i="33"/>
  <c r="C39" i="33"/>
  <c r="O38" i="33"/>
  <c r="N38" i="33"/>
  <c r="M38" i="33"/>
  <c r="L38" i="33"/>
  <c r="E38" i="33"/>
  <c r="D38" i="33"/>
  <c r="C38" i="33"/>
  <c r="O37" i="33"/>
  <c r="N37" i="33"/>
  <c r="M37" i="33"/>
  <c r="L37" i="33"/>
  <c r="E37" i="33"/>
  <c r="D37" i="33"/>
  <c r="C37" i="33"/>
  <c r="O36" i="33"/>
  <c r="N36" i="33"/>
  <c r="M36" i="33"/>
  <c r="L36" i="33"/>
  <c r="E36" i="33"/>
  <c r="D36" i="33"/>
  <c r="C36" i="33"/>
  <c r="O35" i="33"/>
  <c r="N35" i="33"/>
  <c r="M35" i="33"/>
  <c r="L35" i="33"/>
  <c r="E35" i="33"/>
  <c r="D35" i="33"/>
  <c r="C35" i="33"/>
  <c r="O34" i="33"/>
  <c r="N34" i="33"/>
  <c r="M34" i="33"/>
  <c r="L34" i="33"/>
  <c r="E34" i="33"/>
  <c r="D34" i="33"/>
  <c r="C34" i="33"/>
  <c r="O33" i="33"/>
  <c r="N33" i="33"/>
  <c r="M33" i="33"/>
  <c r="L33" i="33"/>
  <c r="E33" i="33"/>
  <c r="C33" i="33"/>
  <c r="O32" i="33"/>
  <c r="N32" i="33"/>
  <c r="M32" i="33"/>
  <c r="L32" i="33"/>
  <c r="E32" i="33"/>
  <c r="D32" i="33"/>
  <c r="C32" i="33"/>
  <c r="O31" i="33"/>
  <c r="N31" i="33"/>
  <c r="M31" i="33"/>
  <c r="L31" i="33"/>
  <c r="E31" i="33"/>
  <c r="D31" i="33"/>
  <c r="C31" i="33"/>
  <c r="O30" i="33"/>
  <c r="N30" i="33"/>
  <c r="M30" i="33"/>
  <c r="L30" i="33"/>
  <c r="E30" i="33"/>
  <c r="D30" i="33"/>
  <c r="C30" i="33"/>
  <c r="O29" i="33"/>
  <c r="N29" i="33"/>
  <c r="M29" i="33"/>
  <c r="L29" i="33"/>
  <c r="E29" i="33"/>
  <c r="D29" i="33"/>
  <c r="C29" i="33"/>
  <c r="O28" i="33"/>
  <c r="N28" i="33"/>
  <c r="M28" i="33"/>
  <c r="L28" i="33"/>
  <c r="E28" i="33"/>
  <c r="D28" i="33"/>
  <c r="C28" i="33"/>
  <c r="O27" i="33"/>
  <c r="N27" i="33"/>
  <c r="M27" i="33"/>
  <c r="L27" i="33"/>
  <c r="E27" i="33"/>
  <c r="C27" i="33"/>
  <c r="O26" i="33"/>
  <c r="N26" i="33"/>
  <c r="M26" i="33"/>
  <c r="L26" i="33"/>
  <c r="E26" i="33"/>
  <c r="D26" i="33"/>
  <c r="C26" i="33"/>
  <c r="O25" i="33"/>
  <c r="N25" i="33"/>
  <c r="M25" i="33"/>
  <c r="L25" i="33"/>
  <c r="E25" i="33"/>
  <c r="D25" i="33"/>
  <c r="C25" i="33"/>
  <c r="O24" i="33"/>
  <c r="N24" i="33"/>
  <c r="M24" i="33"/>
  <c r="L24" i="33"/>
  <c r="E24" i="33"/>
  <c r="D24" i="33"/>
  <c r="C24" i="33"/>
  <c r="O23" i="33"/>
  <c r="N23" i="33"/>
  <c r="M23" i="33"/>
  <c r="L23" i="33"/>
  <c r="E23" i="33"/>
  <c r="D23" i="33"/>
  <c r="C23" i="33"/>
  <c r="O22" i="33"/>
  <c r="N22" i="33"/>
  <c r="M22" i="33"/>
  <c r="L22" i="33"/>
  <c r="E22" i="33"/>
  <c r="D22" i="33"/>
  <c r="C22" i="33"/>
  <c r="O21" i="33"/>
  <c r="N21" i="33"/>
  <c r="M21" i="33"/>
  <c r="L21" i="33"/>
  <c r="E21" i="33"/>
  <c r="D21" i="33"/>
  <c r="C21" i="33"/>
  <c r="O20" i="33"/>
  <c r="N20" i="33"/>
  <c r="M20" i="33"/>
  <c r="L20" i="33"/>
  <c r="E20" i="33"/>
  <c r="D20" i="33"/>
  <c r="C20" i="33"/>
  <c r="O19" i="33"/>
  <c r="N19" i="33"/>
  <c r="M19" i="33"/>
  <c r="L19" i="33"/>
  <c r="E19" i="33"/>
  <c r="D19" i="33"/>
  <c r="C19" i="33"/>
  <c r="O18" i="33"/>
  <c r="N18" i="33"/>
  <c r="M18" i="33"/>
  <c r="L18" i="33"/>
  <c r="E18" i="33"/>
  <c r="D18" i="33"/>
  <c r="C18" i="33"/>
  <c r="O17" i="33"/>
  <c r="N17" i="33"/>
  <c r="M17" i="33"/>
  <c r="L17" i="33"/>
  <c r="E17" i="33"/>
  <c r="D17" i="33"/>
  <c r="C17" i="33"/>
  <c r="O16" i="33"/>
  <c r="N16" i="33"/>
  <c r="M16" i="33"/>
  <c r="L16" i="33"/>
  <c r="E16" i="33"/>
  <c r="D16" i="33"/>
  <c r="C16" i="33"/>
  <c r="O15" i="33"/>
  <c r="N15" i="33"/>
  <c r="M15" i="33"/>
  <c r="L15" i="33"/>
  <c r="E15" i="33"/>
  <c r="D15" i="33"/>
  <c r="C15" i="33"/>
  <c r="O14" i="33"/>
  <c r="N14" i="33"/>
  <c r="M14" i="33"/>
  <c r="L14" i="33"/>
  <c r="E14" i="33"/>
  <c r="D14" i="33"/>
  <c r="C14" i="33"/>
  <c r="O13" i="33"/>
  <c r="N13" i="33"/>
  <c r="M13" i="33"/>
  <c r="L13" i="33"/>
  <c r="E13" i="33"/>
  <c r="D13" i="33"/>
  <c r="C13" i="33"/>
  <c r="O12" i="33"/>
  <c r="N12" i="33"/>
  <c r="M12" i="33"/>
  <c r="L12" i="33"/>
  <c r="E12" i="33"/>
  <c r="D12" i="33"/>
  <c r="C12" i="33"/>
  <c r="O11" i="33"/>
  <c r="N11" i="33"/>
  <c r="M11" i="33"/>
  <c r="L11" i="33"/>
  <c r="E11" i="33"/>
  <c r="D11" i="33"/>
  <c r="C11" i="33"/>
  <c r="O10" i="33"/>
  <c r="N10" i="33"/>
  <c r="M10" i="33"/>
  <c r="L10" i="33"/>
  <c r="E10" i="33"/>
  <c r="C10" i="33"/>
  <c r="O9" i="33"/>
  <c r="N9" i="33"/>
  <c r="M9" i="33"/>
  <c r="L9" i="33"/>
  <c r="E9" i="33"/>
  <c r="D9" i="33"/>
  <c r="C9" i="33"/>
  <c r="E23" i="16" l="1"/>
  <c r="E23" i="43"/>
  <c r="E17" i="16"/>
  <c r="E17" i="43"/>
  <c r="E15" i="16"/>
  <c r="E15" i="43"/>
  <c r="E29" i="16"/>
  <c r="E29" i="43"/>
  <c r="H29" i="43" s="1"/>
  <c r="I29" i="43" s="1"/>
  <c r="E28" i="43"/>
  <c r="E25" i="16"/>
  <c r="E25" i="43"/>
  <c r="E12" i="16"/>
  <c r="E12" i="43"/>
  <c r="E11" i="16"/>
  <c r="E11" i="43"/>
  <c r="E26" i="16"/>
  <c r="E26" i="43"/>
  <c r="E19" i="16"/>
  <c r="E19" i="43"/>
  <c r="E18" i="16"/>
  <c r="E18" i="43"/>
  <c r="E14" i="16"/>
  <c r="E14" i="43"/>
  <c r="E20" i="16"/>
  <c r="E20" i="43"/>
  <c r="E22" i="16"/>
  <c r="E22" i="43"/>
  <c r="E28" i="16"/>
  <c r="Q16" i="18"/>
  <c r="Q17" i="18" s="1"/>
  <c r="P16" i="18"/>
  <c r="P17" i="18" s="1"/>
  <c r="O16" i="18"/>
  <c r="O17" i="18" s="1"/>
  <c r="N16" i="18"/>
  <c r="N17" i="18" s="1"/>
  <c r="M16" i="18"/>
  <c r="M17" i="18" s="1"/>
  <c r="E25" i="18"/>
  <c r="F25" i="18" s="1"/>
  <c r="E24" i="18"/>
  <c r="F24" i="18" s="1"/>
  <c r="E23" i="18"/>
  <c r="F23" i="18" s="1"/>
  <c r="E22" i="18"/>
  <c r="F22" i="18" s="1"/>
  <c r="E21" i="18"/>
  <c r="F21" i="18" s="1"/>
  <c r="E20" i="18"/>
  <c r="F20" i="18" s="1"/>
  <c r="L63" i="39"/>
  <c r="K63" i="39"/>
  <c r="J63" i="39"/>
  <c r="I63" i="39"/>
  <c r="L62" i="39"/>
  <c r="K62" i="39"/>
  <c r="J62" i="39"/>
  <c r="I62" i="39"/>
  <c r="L61" i="39"/>
  <c r="K61" i="39"/>
  <c r="J61" i="39"/>
  <c r="I61" i="39"/>
  <c r="L60" i="39"/>
  <c r="K60" i="39"/>
  <c r="J60" i="39"/>
  <c r="I60" i="39"/>
  <c r="L59" i="39"/>
  <c r="K59" i="39"/>
  <c r="J59" i="39"/>
  <c r="I59" i="39"/>
  <c r="L58" i="39"/>
  <c r="K58" i="39"/>
  <c r="J58" i="39"/>
  <c r="I58" i="39"/>
  <c r="L57" i="39"/>
  <c r="K57" i="39"/>
  <c r="J57" i="39"/>
  <c r="I57" i="39"/>
  <c r="L56" i="39"/>
  <c r="K56" i="39"/>
  <c r="J56" i="39"/>
  <c r="I56" i="39"/>
  <c r="L55" i="39"/>
  <c r="K55" i="39"/>
  <c r="J55" i="39"/>
  <c r="I55" i="39"/>
  <c r="L54" i="39"/>
  <c r="K54" i="39"/>
  <c r="J54" i="39"/>
  <c r="I54" i="39"/>
  <c r="L53" i="39"/>
  <c r="K53" i="39"/>
  <c r="J53" i="39"/>
  <c r="I53" i="39"/>
  <c r="L52" i="39"/>
  <c r="K52" i="39"/>
  <c r="J52" i="39"/>
  <c r="I52" i="39"/>
  <c r="L51" i="39"/>
  <c r="K51" i="39"/>
  <c r="J51" i="39"/>
  <c r="I51" i="39"/>
  <c r="L50" i="39"/>
  <c r="K50" i="39"/>
  <c r="J50" i="39"/>
  <c r="I50" i="39"/>
  <c r="L49" i="39"/>
  <c r="K49" i="39"/>
  <c r="J49" i="39"/>
  <c r="I49" i="39"/>
  <c r="L48" i="39"/>
  <c r="K48" i="39"/>
  <c r="J48" i="39"/>
  <c r="I48" i="39"/>
  <c r="L47" i="39"/>
  <c r="K47" i="39"/>
  <c r="J47" i="39"/>
  <c r="I47" i="39"/>
  <c r="L46" i="39"/>
  <c r="K46" i="39"/>
  <c r="J46" i="39"/>
  <c r="I46" i="39"/>
  <c r="L45" i="39"/>
  <c r="K45" i="39"/>
  <c r="J45" i="39"/>
  <c r="I45" i="39"/>
  <c r="L44" i="39"/>
  <c r="K44" i="39"/>
  <c r="J44" i="39"/>
  <c r="I44" i="39"/>
  <c r="L43" i="39"/>
  <c r="K43" i="39"/>
  <c r="J43" i="39"/>
  <c r="I43" i="39"/>
  <c r="L42" i="39"/>
  <c r="K42" i="39"/>
  <c r="J42" i="39"/>
  <c r="I42" i="39"/>
  <c r="L41" i="39"/>
  <c r="K41" i="39"/>
  <c r="J41" i="39"/>
  <c r="I41" i="39"/>
  <c r="L40" i="39"/>
  <c r="K40" i="39"/>
  <c r="J40" i="39"/>
  <c r="I40" i="39"/>
  <c r="L37" i="39"/>
  <c r="K37" i="39"/>
  <c r="J37" i="39"/>
  <c r="I37" i="39"/>
  <c r="L36" i="39"/>
  <c r="K36" i="39"/>
  <c r="J36" i="39"/>
  <c r="I36" i="39"/>
  <c r="L35" i="39"/>
  <c r="K35" i="39"/>
  <c r="J35" i="39"/>
  <c r="I35" i="39"/>
  <c r="L34" i="39"/>
  <c r="K34" i="39"/>
  <c r="J34" i="39"/>
  <c r="I34" i="39"/>
  <c r="L33" i="39"/>
  <c r="K33" i="39"/>
  <c r="J33" i="39"/>
  <c r="I33" i="39"/>
  <c r="L32" i="39"/>
  <c r="K32" i="39"/>
  <c r="J32" i="39"/>
  <c r="I32" i="39"/>
  <c r="L31" i="39"/>
  <c r="K31" i="39"/>
  <c r="J31" i="39"/>
  <c r="I31" i="39"/>
  <c r="L30" i="39"/>
  <c r="K30" i="39"/>
  <c r="J30" i="39"/>
  <c r="I30" i="39"/>
  <c r="L29" i="39"/>
  <c r="K29" i="39"/>
  <c r="J29" i="39"/>
  <c r="I29" i="39"/>
  <c r="L28" i="39"/>
  <c r="K28" i="39"/>
  <c r="J28" i="39"/>
  <c r="I28" i="39"/>
  <c r="L27" i="39"/>
  <c r="K27" i="39"/>
  <c r="J27" i="39"/>
  <c r="I27" i="39"/>
  <c r="L26" i="39"/>
  <c r="K26" i="39"/>
  <c r="J26" i="39"/>
  <c r="I26" i="39"/>
  <c r="L25" i="39"/>
  <c r="K25" i="39"/>
  <c r="J25" i="39"/>
  <c r="I25" i="39"/>
  <c r="L24" i="39"/>
  <c r="K24" i="39"/>
  <c r="J24" i="39"/>
  <c r="I24" i="39"/>
  <c r="L23" i="39"/>
  <c r="K23" i="39"/>
  <c r="J23" i="39"/>
  <c r="I23" i="39"/>
  <c r="L22" i="39"/>
  <c r="K22" i="39"/>
  <c r="J22" i="39"/>
  <c r="I22" i="39"/>
  <c r="L21" i="39"/>
  <c r="G21" i="39" s="1"/>
  <c r="K21" i="39"/>
  <c r="J21" i="39"/>
  <c r="I21" i="39"/>
  <c r="L20" i="39"/>
  <c r="K20" i="39"/>
  <c r="J20" i="39"/>
  <c r="I20" i="39"/>
  <c r="L19" i="39"/>
  <c r="K19" i="39"/>
  <c r="J19" i="39"/>
  <c r="I19" i="39"/>
  <c r="L18" i="39"/>
  <c r="K18" i="39"/>
  <c r="J18" i="39"/>
  <c r="I18" i="39"/>
  <c r="L17" i="39"/>
  <c r="K17" i="39"/>
  <c r="J17" i="39"/>
  <c r="I17" i="39"/>
  <c r="L16" i="39"/>
  <c r="K16" i="39"/>
  <c r="J16" i="39"/>
  <c r="I16" i="39"/>
  <c r="L15" i="39"/>
  <c r="K15" i="39"/>
  <c r="J15" i="39"/>
  <c r="I15" i="39"/>
  <c r="L14" i="39"/>
  <c r="K14" i="39"/>
  <c r="J14" i="39"/>
  <c r="I14" i="39"/>
  <c r="L13" i="39"/>
  <c r="G13" i="39" s="1"/>
  <c r="K13" i="39"/>
  <c r="J13" i="39"/>
  <c r="I13" i="39"/>
  <c r="L12" i="39"/>
  <c r="K12" i="39"/>
  <c r="J12" i="39"/>
  <c r="I12" i="39"/>
  <c r="L11" i="39"/>
  <c r="K11" i="39"/>
  <c r="J11" i="39"/>
  <c r="E11" i="39" s="1"/>
  <c r="I11" i="39"/>
  <c r="L10" i="39"/>
  <c r="K10" i="39"/>
  <c r="J10" i="39"/>
  <c r="I10" i="39"/>
  <c r="L9" i="39"/>
  <c r="K9" i="39"/>
  <c r="J9" i="39"/>
  <c r="I9" i="39"/>
  <c r="L8" i="39"/>
  <c r="K8" i="39"/>
  <c r="J8" i="39"/>
  <c r="I8" i="39"/>
  <c r="L7" i="39"/>
  <c r="K7" i="39"/>
  <c r="J7" i="39"/>
  <c r="I7" i="39"/>
  <c r="L6" i="39"/>
  <c r="K6" i="39"/>
  <c r="J6" i="39"/>
  <c r="I6" i="39"/>
  <c r="B63" i="39"/>
  <c r="G63" i="39" s="1"/>
  <c r="B62" i="39"/>
  <c r="B61" i="39"/>
  <c r="B60" i="39"/>
  <c r="B59" i="39"/>
  <c r="B58" i="39"/>
  <c r="B57" i="39"/>
  <c r="B56" i="39"/>
  <c r="B55" i="39"/>
  <c r="G55" i="39" s="1"/>
  <c r="B54" i="39"/>
  <c r="B53" i="39"/>
  <c r="B52" i="39"/>
  <c r="B51" i="39"/>
  <c r="B50" i="39"/>
  <c r="B49" i="39"/>
  <c r="B48" i="39"/>
  <c r="B47" i="39"/>
  <c r="G47" i="39" s="1"/>
  <c r="B46" i="39"/>
  <c r="B45" i="39"/>
  <c r="B44" i="39"/>
  <c r="B43" i="39"/>
  <c r="B42" i="39"/>
  <c r="B41" i="39"/>
  <c r="B40" i="39"/>
  <c r="G29" i="39"/>
  <c r="A63" i="39"/>
  <c r="A62" i="39"/>
  <c r="A61" i="39"/>
  <c r="A60" i="39"/>
  <c r="A59" i="39"/>
  <c r="A58" i="39"/>
  <c r="A57" i="39"/>
  <c r="A56" i="39"/>
  <c r="A55" i="39"/>
  <c r="A54" i="39"/>
  <c r="A53" i="39"/>
  <c r="A52" i="39"/>
  <c r="A51" i="39"/>
  <c r="A50" i="39"/>
  <c r="A49" i="39"/>
  <c r="A48" i="39"/>
  <c r="A47" i="39"/>
  <c r="A46" i="39"/>
  <c r="A45" i="39"/>
  <c r="A44" i="39"/>
  <c r="A43" i="39"/>
  <c r="A42" i="39"/>
  <c r="A41" i="39"/>
  <c r="A40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10" i="39"/>
  <c r="A9" i="39"/>
  <c r="A8" i="39"/>
  <c r="A7" i="39"/>
  <c r="A6" i="39"/>
  <c r="E30" i="43" l="1"/>
  <c r="E17" i="39"/>
  <c r="E37" i="39"/>
  <c r="G22" i="18"/>
  <c r="H22" i="18" s="1"/>
  <c r="G25" i="18"/>
  <c r="H25" i="18" s="1"/>
  <c r="G21" i="18"/>
  <c r="H21" i="18" s="1"/>
  <c r="G23" i="18"/>
  <c r="H23" i="18" s="1"/>
  <c r="G24" i="18"/>
  <c r="H24" i="18" s="1"/>
  <c r="G15" i="39"/>
  <c r="G23" i="39"/>
  <c r="D41" i="39"/>
  <c r="D49" i="39"/>
  <c r="G57" i="39"/>
  <c r="E18" i="39"/>
  <c r="D51" i="39"/>
  <c r="E13" i="39"/>
  <c r="G37" i="39"/>
  <c r="G43" i="39"/>
  <c r="D13" i="39"/>
  <c r="D21" i="39"/>
  <c r="D29" i="39"/>
  <c r="D37" i="39"/>
  <c r="D55" i="39"/>
  <c r="D47" i="39"/>
  <c r="G45" i="39"/>
  <c r="G53" i="39"/>
  <c r="G8" i="39"/>
  <c r="G16" i="39"/>
  <c r="G24" i="39"/>
  <c r="G32" i="39"/>
  <c r="D27" i="39"/>
  <c r="D35" i="39"/>
  <c r="D61" i="39"/>
  <c r="E40" i="39"/>
  <c r="D10" i="39"/>
  <c r="D18" i="39"/>
  <c r="D26" i="39"/>
  <c r="D34" i="39"/>
  <c r="E21" i="39"/>
  <c r="E29" i="39"/>
  <c r="D15" i="39"/>
  <c r="E27" i="39"/>
  <c r="E15" i="39"/>
  <c r="E47" i="39"/>
  <c r="D17" i="39"/>
  <c r="E7" i="39"/>
  <c r="F7" i="39"/>
  <c r="F47" i="39"/>
  <c r="D7" i="39"/>
  <c r="D11" i="39"/>
  <c r="D19" i="39"/>
  <c r="E19" i="39"/>
  <c r="E35" i="39"/>
  <c r="E31" i="39"/>
  <c r="E10" i="39"/>
  <c r="E26" i="39"/>
  <c r="E34" i="39"/>
  <c r="E52" i="39"/>
  <c r="E60" i="39"/>
  <c r="F10" i="39"/>
  <c r="F18" i="39"/>
  <c r="F26" i="39"/>
  <c r="F34" i="39"/>
  <c r="F44" i="39"/>
  <c r="E9" i="39"/>
  <c r="E25" i="39"/>
  <c r="E33" i="39"/>
  <c r="F59" i="39"/>
  <c r="E46" i="39"/>
  <c r="E54" i="39"/>
  <c r="E62" i="39"/>
  <c r="G10" i="39"/>
  <c r="G18" i="39"/>
  <c r="G26" i="39"/>
  <c r="G7" i="39"/>
  <c r="F15" i="39"/>
  <c r="E42" i="39"/>
  <c r="E50" i="39"/>
  <c r="E58" i="39"/>
  <c r="F46" i="39"/>
  <c r="D23" i="39"/>
  <c r="D40" i="39"/>
  <c r="G34" i="39"/>
  <c r="E23" i="39"/>
  <c r="F23" i="39"/>
  <c r="F31" i="39"/>
  <c r="G31" i="39"/>
  <c r="G51" i="39"/>
  <c r="F60" i="39"/>
  <c r="D9" i="39"/>
  <c r="D33" i="39"/>
  <c r="D31" i="39"/>
  <c r="D43" i="39"/>
  <c r="D25" i="39"/>
  <c r="E43" i="39"/>
  <c r="E51" i="39"/>
  <c r="G59" i="39"/>
  <c r="F43" i="39"/>
  <c r="F51" i="39"/>
  <c r="G6" i="39"/>
  <c r="G14" i="39"/>
  <c r="G22" i="39"/>
  <c r="G30" i="39"/>
  <c r="G48" i="39"/>
  <c r="G56" i="39"/>
  <c r="D60" i="39"/>
  <c r="F55" i="39"/>
  <c r="F62" i="39"/>
  <c r="G44" i="39"/>
  <c r="G9" i="39"/>
  <c r="G17" i="39"/>
  <c r="G25" i="39"/>
  <c r="F58" i="39"/>
  <c r="G54" i="39"/>
  <c r="E55" i="39"/>
  <c r="D63" i="39"/>
  <c r="E63" i="39"/>
  <c r="G12" i="39"/>
  <c r="G20" i="39"/>
  <c r="G28" i="39"/>
  <c r="G36" i="39"/>
  <c r="G33" i="39"/>
  <c r="F48" i="39"/>
  <c r="D44" i="39"/>
  <c r="G52" i="39"/>
  <c r="G60" i="39"/>
  <c r="G50" i="39"/>
  <c r="D56" i="39"/>
  <c r="G40" i="39"/>
  <c r="E48" i="39"/>
  <c r="D52" i="39"/>
  <c r="F56" i="39"/>
  <c r="D59" i="39"/>
  <c r="F40" i="39"/>
  <c r="E56" i="39"/>
  <c r="F42" i="39"/>
  <c r="E44" i="39"/>
  <c r="D48" i="39"/>
  <c r="F52" i="39"/>
  <c r="E59" i="39"/>
  <c r="F11" i="39"/>
  <c r="F19" i="39"/>
  <c r="F27" i="39"/>
  <c r="F35" i="39"/>
  <c r="G11" i="39"/>
  <c r="E14" i="39"/>
  <c r="G19" i="39"/>
  <c r="E22" i="39"/>
  <c r="G27" i="39"/>
  <c r="E30" i="39"/>
  <c r="G35" i="39"/>
  <c r="D14" i="39"/>
  <c r="D22" i="39"/>
  <c r="D30" i="39"/>
  <c r="F14" i="39"/>
  <c r="F22" i="39"/>
  <c r="F30" i="39"/>
  <c r="B38" i="39"/>
  <c r="F6" i="39"/>
  <c r="D6" i="39"/>
  <c r="E6" i="39"/>
  <c r="D42" i="39"/>
  <c r="D46" i="39"/>
  <c r="D50" i="39"/>
  <c r="D54" i="39"/>
  <c r="D58" i="39"/>
  <c r="D62" i="39"/>
  <c r="F63" i="39"/>
  <c r="F50" i="39"/>
  <c r="D53" i="39"/>
  <c r="F54" i="39"/>
  <c r="B64" i="39"/>
  <c r="D8" i="39"/>
  <c r="F9" i="39"/>
  <c r="D12" i="39"/>
  <c r="F13" i="39"/>
  <c r="D16" i="39"/>
  <c r="F17" i="39"/>
  <c r="D20" i="39"/>
  <c r="F21" i="39"/>
  <c r="D24" i="39"/>
  <c r="F25" i="39"/>
  <c r="D28" i="39"/>
  <c r="F29" i="39"/>
  <c r="D32" i="39"/>
  <c r="F33" i="39"/>
  <c r="D36" i="39"/>
  <c r="F37" i="39"/>
  <c r="E41" i="39"/>
  <c r="G42" i="39"/>
  <c r="E45" i="39"/>
  <c r="G46" i="39"/>
  <c r="E49" i="39"/>
  <c r="E53" i="39"/>
  <c r="E57" i="39"/>
  <c r="G58" i="39"/>
  <c r="E61" i="39"/>
  <c r="G62" i="39"/>
  <c r="D45" i="39"/>
  <c r="D57" i="39"/>
  <c r="E8" i="39"/>
  <c r="E12" i="39"/>
  <c r="E16" i="39"/>
  <c r="E20" i="39"/>
  <c r="E24" i="39"/>
  <c r="E28" i="39"/>
  <c r="E32" i="39"/>
  <c r="E36" i="39"/>
  <c r="F41" i="39"/>
  <c r="F45" i="39"/>
  <c r="F49" i="39"/>
  <c r="F53" i="39"/>
  <c r="F57" i="39"/>
  <c r="F61" i="39"/>
  <c r="F8" i="39"/>
  <c r="F12" i="39"/>
  <c r="F16" i="39"/>
  <c r="F20" i="39"/>
  <c r="F24" i="39"/>
  <c r="F28" i="39"/>
  <c r="F32" i="39"/>
  <c r="F36" i="39"/>
  <c r="G41" i="39"/>
  <c r="G49" i="39"/>
  <c r="G61" i="39"/>
  <c r="B66" i="39" l="1"/>
  <c r="B70" i="39" s="1"/>
  <c r="G38" i="39"/>
  <c r="F64" i="39"/>
  <c r="D64" i="39"/>
  <c r="E64" i="39"/>
  <c r="G64" i="39"/>
  <c r="D38" i="39"/>
  <c r="F38" i="39"/>
  <c r="E38" i="39"/>
  <c r="F66" i="39" l="1"/>
  <c r="G66" i="39"/>
  <c r="E66" i="39"/>
  <c r="D66" i="39"/>
  <c r="D70" i="39" l="1"/>
  <c r="F38" i="18"/>
  <c r="I15" i="19" l="1"/>
  <c r="F42" i="18"/>
  <c r="G42" i="18" s="1"/>
  <c r="X22" i="38"/>
  <c r="W22" i="38"/>
  <c r="V22" i="38"/>
  <c r="X21" i="38"/>
  <c r="W21" i="38"/>
  <c r="V21" i="38"/>
  <c r="X20" i="38"/>
  <c r="W20" i="38"/>
  <c r="V20" i="38"/>
  <c r="X19" i="38"/>
  <c r="W19" i="38"/>
  <c r="V19" i="38"/>
  <c r="X18" i="38"/>
  <c r="W18" i="38"/>
  <c r="V18" i="38"/>
  <c r="X17" i="38"/>
  <c r="W17" i="38"/>
  <c r="V17" i="38"/>
  <c r="X16" i="38"/>
  <c r="W16" i="38"/>
  <c r="V16" i="38"/>
  <c r="X15" i="38"/>
  <c r="W15" i="38"/>
  <c r="V15" i="38"/>
  <c r="X14" i="38"/>
  <c r="W14" i="38"/>
  <c r="V14" i="38"/>
  <c r="X13" i="38"/>
  <c r="W13" i="38"/>
  <c r="V13" i="38"/>
  <c r="X12" i="38"/>
  <c r="W12" i="38"/>
  <c r="V12" i="38"/>
  <c r="K22" i="38"/>
  <c r="J22" i="38"/>
  <c r="I22" i="38"/>
  <c r="H22" i="38"/>
  <c r="G22" i="38"/>
  <c r="F22" i="38"/>
  <c r="E22" i="38"/>
  <c r="D22" i="38"/>
  <c r="C22" i="38"/>
  <c r="B22" i="38"/>
  <c r="K21" i="38"/>
  <c r="J21" i="38"/>
  <c r="I21" i="38"/>
  <c r="H21" i="38"/>
  <c r="G21" i="38"/>
  <c r="F21" i="38"/>
  <c r="E21" i="38"/>
  <c r="D21" i="38"/>
  <c r="C21" i="38"/>
  <c r="B21" i="38"/>
  <c r="K20" i="38"/>
  <c r="J20" i="38"/>
  <c r="I20" i="38"/>
  <c r="H20" i="38"/>
  <c r="G20" i="38"/>
  <c r="F20" i="38"/>
  <c r="E20" i="38"/>
  <c r="D20" i="38"/>
  <c r="C20" i="38"/>
  <c r="B20" i="38"/>
  <c r="B19" i="38"/>
  <c r="K18" i="38"/>
  <c r="J18" i="38"/>
  <c r="I18" i="38"/>
  <c r="H18" i="38"/>
  <c r="G18" i="38"/>
  <c r="F18" i="38"/>
  <c r="E18" i="38"/>
  <c r="D18" i="38"/>
  <c r="C18" i="38"/>
  <c r="B18" i="38"/>
  <c r="K17" i="38"/>
  <c r="J17" i="38"/>
  <c r="I17" i="38"/>
  <c r="H17" i="38"/>
  <c r="G17" i="38"/>
  <c r="F17" i="38"/>
  <c r="E17" i="38"/>
  <c r="D17" i="38"/>
  <c r="C17" i="38"/>
  <c r="B17" i="38"/>
  <c r="K16" i="38"/>
  <c r="J16" i="38"/>
  <c r="I16" i="38"/>
  <c r="H16" i="38"/>
  <c r="G16" i="38"/>
  <c r="F16" i="38"/>
  <c r="E16" i="38"/>
  <c r="D16" i="38"/>
  <c r="C16" i="38"/>
  <c r="B16" i="38"/>
  <c r="K15" i="38"/>
  <c r="J15" i="38"/>
  <c r="I15" i="38"/>
  <c r="H15" i="38"/>
  <c r="G15" i="38"/>
  <c r="F15" i="38"/>
  <c r="E15" i="38"/>
  <c r="D15" i="38"/>
  <c r="C15" i="38"/>
  <c r="B15" i="38"/>
  <c r="K14" i="38"/>
  <c r="J14" i="38"/>
  <c r="I14" i="38"/>
  <c r="H14" i="38"/>
  <c r="G14" i="38"/>
  <c r="F14" i="38"/>
  <c r="E14" i="38"/>
  <c r="D14" i="38"/>
  <c r="C14" i="38"/>
  <c r="B14" i="38"/>
  <c r="K13" i="38"/>
  <c r="J13" i="38"/>
  <c r="I13" i="38"/>
  <c r="H13" i="38"/>
  <c r="G13" i="38"/>
  <c r="F13" i="38"/>
  <c r="E13" i="38"/>
  <c r="D13" i="38"/>
  <c r="C13" i="38"/>
  <c r="B13" i="38"/>
  <c r="K12" i="38"/>
  <c r="J12" i="38"/>
  <c r="I12" i="38"/>
  <c r="H12" i="38"/>
  <c r="G12" i="38"/>
  <c r="F12" i="38"/>
  <c r="E12" i="38"/>
  <c r="D12" i="38"/>
  <c r="C12" i="38"/>
  <c r="B12" i="38"/>
  <c r="C13" i="37" l="1"/>
  <c r="C13" i="42"/>
  <c r="C18" i="37"/>
  <c r="C18" i="42"/>
  <c r="C17" i="37"/>
  <c r="C17" i="42"/>
  <c r="C14" i="37"/>
  <c r="C14" i="42"/>
  <c r="C19" i="37"/>
  <c r="C19" i="42"/>
  <c r="C15" i="37"/>
  <c r="C15" i="42"/>
  <c r="C20" i="37"/>
  <c r="C20" i="42"/>
  <c r="C10" i="37"/>
  <c r="C10" i="42"/>
  <c r="C11" i="37"/>
  <c r="C11" i="42"/>
  <c r="C12" i="37"/>
  <c r="C12" i="42"/>
  <c r="C16" i="37"/>
  <c r="C16" i="42"/>
  <c r="M19" i="38"/>
  <c r="N19" i="38" s="1"/>
  <c r="M15" i="38"/>
  <c r="N15" i="38" s="1"/>
  <c r="O15" i="38" s="1"/>
  <c r="C23" i="38"/>
  <c r="M12" i="38"/>
  <c r="M16" i="38"/>
  <c r="M20" i="38"/>
  <c r="M13" i="38"/>
  <c r="M17" i="38"/>
  <c r="M21" i="38"/>
  <c r="M14" i="38"/>
  <c r="M18" i="38"/>
  <c r="M22" i="38"/>
  <c r="K23" i="38"/>
  <c r="K27" i="41" s="1"/>
  <c r="J23" i="38"/>
  <c r="J27" i="41" s="1"/>
  <c r="I23" i="38"/>
  <c r="I27" i="41" s="1"/>
  <c r="H23" i="38"/>
  <c r="H27" i="41" s="1"/>
  <c r="G23" i="38"/>
  <c r="G27" i="41" s="1"/>
  <c r="F23" i="38"/>
  <c r="E23" i="38"/>
  <c r="D23" i="38"/>
  <c r="R16" i="18"/>
  <c r="O19" i="38" l="1"/>
  <c r="R15" i="38"/>
  <c r="Q15" i="38"/>
  <c r="E13" i="37" s="1"/>
  <c r="T15" i="38"/>
  <c r="S15" i="38"/>
  <c r="N20" i="38"/>
  <c r="O20" i="38" s="1"/>
  <c r="N18" i="38"/>
  <c r="O18" i="38" s="1"/>
  <c r="N16" i="38"/>
  <c r="O16" i="38" s="1"/>
  <c r="N21" i="38"/>
  <c r="O21" i="38" s="1"/>
  <c r="N17" i="38"/>
  <c r="N13" i="38"/>
  <c r="O13" i="38" s="1"/>
  <c r="N22" i="38"/>
  <c r="O22" i="38" s="1"/>
  <c r="N14" i="38"/>
  <c r="O14" i="38" s="1"/>
  <c r="N12" i="38"/>
  <c r="O12" i="38" s="1"/>
  <c r="L23" i="38"/>
  <c r="L27" i="41" s="1"/>
  <c r="R17" i="18"/>
  <c r="G20" i="18"/>
  <c r="H20" i="18" s="1"/>
  <c r="G37" i="18"/>
  <c r="G40" i="18"/>
  <c r="I10" i="19" s="1"/>
  <c r="G36" i="18"/>
  <c r="Q19" i="38" l="1"/>
  <c r="E17" i="37" s="1"/>
  <c r="H17" i="37" s="1"/>
  <c r="S19" i="38"/>
  <c r="R19" i="38"/>
  <c r="T19" i="38"/>
  <c r="T22" i="38"/>
  <c r="S22" i="38"/>
  <c r="R22" i="38"/>
  <c r="Q22" i="38"/>
  <c r="E20" i="37" s="1"/>
  <c r="T12" i="38"/>
  <c r="S12" i="38"/>
  <c r="R12" i="38"/>
  <c r="Q12" i="38"/>
  <c r="E10" i="37" s="1"/>
  <c r="T20" i="38"/>
  <c r="S20" i="38"/>
  <c r="R20" i="38"/>
  <c r="Q20" i="38"/>
  <c r="E18" i="37" s="1"/>
  <c r="R13" i="38"/>
  <c r="Q13" i="38"/>
  <c r="E11" i="37" s="1"/>
  <c r="T13" i="38"/>
  <c r="S13" i="38"/>
  <c r="R21" i="38"/>
  <c r="Q21" i="38"/>
  <c r="E19" i="37" s="1"/>
  <c r="S21" i="38"/>
  <c r="T21" i="38"/>
  <c r="T16" i="38"/>
  <c r="S16" i="38"/>
  <c r="R16" i="38"/>
  <c r="Q16" i="38"/>
  <c r="E14" i="37" s="1"/>
  <c r="T18" i="38"/>
  <c r="S18" i="38"/>
  <c r="R18" i="38"/>
  <c r="Q18" i="38"/>
  <c r="E16" i="37" s="1"/>
  <c r="T14" i="38"/>
  <c r="S14" i="38"/>
  <c r="R14" i="38"/>
  <c r="Q14" i="38"/>
  <c r="E12" i="37" s="1"/>
  <c r="O17" i="38"/>
  <c r="M23" i="38"/>
  <c r="M28" i="38" s="1"/>
  <c r="N23" i="38"/>
  <c r="F17" i="37" l="1"/>
  <c r="G17" i="37"/>
  <c r="F18" i="37"/>
  <c r="G18" i="37"/>
  <c r="H18" i="37"/>
  <c r="H19" i="37"/>
  <c r="G19" i="37"/>
  <c r="F19" i="37"/>
  <c r="R17" i="38"/>
  <c r="R23" i="38" s="1"/>
  <c r="Q17" i="38"/>
  <c r="E15" i="37" s="1"/>
  <c r="T17" i="38"/>
  <c r="T23" i="38" s="1"/>
  <c r="S17" i="38"/>
  <c r="S23" i="38" s="1"/>
  <c r="H20" i="37"/>
  <c r="G20" i="37"/>
  <c r="F20" i="37"/>
  <c r="O23" i="38"/>
  <c r="O28" i="38" s="1"/>
  <c r="Q23" i="38" l="1"/>
  <c r="E23" i="37" s="1"/>
  <c r="Q26" i="38" l="1"/>
  <c r="Q28" i="38" s="1"/>
  <c r="F21" i="37"/>
  <c r="E40" i="16" l="1"/>
  <c r="H21" i="37"/>
  <c r="E42" i="16" s="1"/>
  <c r="G21" i="37"/>
  <c r="E21" i="37"/>
  <c r="H23" i="37" l="1"/>
  <c r="H25" i="37" s="1"/>
  <c r="E25" i="37"/>
  <c r="E41" i="16"/>
  <c r="E43" i="16" s="1"/>
  <c r="H29" i="16" l="1"/>
  <c r="E14" i="18" l="1"/>
  <c r="F14" i="18" l="1"/>
  <c r="Y16" i="18"/>
  <c r="Y17" i="18" s="1"/>
  <c r="G13" i="18" s="1"/>
  <c r="X16" i="18"/>
  <c r="W16" i="18"/>
  <c r="W17" i="18" s="1"/>
  <c r="G15" i="18" s="1"/>
  <c r="V16" i="18"/>
  <c r="V17" i="18" s="1"/>
  <c r="G16" i="18" s="1"/>
  <c r="U16" i="18"/>
  <c r="U17" i="18" s="1"/>
  <c r="G17" i="18" s="1"/>
  <c r="T16" i="18"/>
  <c r="S16" i="18"/>
  <c r="S17" i="18" s="1"/>
  <c r="D27" i="18"/>
  <c r="E19" i="18"/>
  <c r="E18" i="18"/>
  <c r="E17" i="18"/>
  <c r="E16" i="18"/>
  <c r="E15" i="18"/>
  <c r="E13" i="18"/>
  <c r="F13" i="18" s="1"/>
  <c r="G18" i="18" l="1"/>
  <c r="T17" i="18"/>
  <c r="X17" i="18"/>
  <c r="G14" i="18" s="1"/>
  <c r="H14" i="18" s="1"/>
  <c r="Z16" i="18"/>
  <c r="Z17" i="18" s="1"/>
  <c r="H16" i="18"/>
  <c r="G19" i="18"/>
  <c r="H19" i="18" s="1"/>
  <c r="E27" i="18"/>
  <c r="G27" i="18" l="1"/>
  <c r="H13" i="18"/>
  <c r="G28" i="19" l="1"/>
  <c r="H15" i="18"/>
  <c r="F16" i="18"/>
  <c r="F15" i="18"/>
  <c r="G34" i="19"/>
  <c r="F19" i="18"/>
  <c r="H18" i="18"/>
  <c r="F18" i="18"/>
  <c r="H17" i="18"/>
  <c r="E40" i="19" l="1"/>
  <c r="H27" i="18"/>
  <c r="I12" i="19" s="1"/>
  <c r="G21" i="19" s="1"/>
  <c r="I9" i="19"/>
  <c r="I11" i="19" s="1"/>
  <c r="I18" i="19" s="1"/>
  <c r="E36" i="19" s="1"/>
  <c r="H46" i="16"/>
  <c r="G42" i="19"/>
  <c r="E38" i="19"/>
  <c r="G44" i="19" l="1"/>
  <c r="I43" i="19" s="1"/>
  <c r="G36" i="19"/>
  <c r="E25" i="19"/>
  <c r="G19" i="19"/>
  <c r="I29" i="16"/>
  <c r="F17" i="18"/>
  <c r="F27" i="18" s="1"/>
  <c r="G41" i="43" l="1"/>
  <c r="H41" i="43" s="1"/>
  <c r="I41" i="43" s="1"/>
  <c r="G34" i="43"/>
  <c r="G35" i="16"/>
  <c r="G42" i="16"/>
  <c r="H42" i="16" s="1"/>
  <c r="I42" i="16" s="1"/>
  <c r="I13" i="19"/>
  <c r="G23" i="19" s="1"/>
  <c r="I22" i="19" s="1"/>
  <c r="I39" i="19" l="1"/>
  <c r="G25" i="19"/>
  <c r="I25" i="19" s="1"/>
  <c r="G39" i="19"/>
  <c r="G28" i="43" l="1"/>
  <c r="H28" i="43" s="1"/>
  <c r="I28" i="43" s="1"/>
  <c r="G26" i="43"/>
  <c r="H26" i="43" s="1"/>
  <c r="I26" i="43" s="1"/>
  <c r="G15" i="43"/>
  <c r="H15" i="43" s="1"/>
  <c r="I15" i="43" s="1"/>
  <c r="G40" i="43"/>
  <c r="H40" i="43" s="1"/>
  <c r="I40" i="43" s="1"/>
  <c r="G23" i="43"/>
  <c r="H23" i="43" s="1"/>
  <c r="I23" i="43" s="1"/>
  <c r="G12" i="43"/>
  <c r="H12" i="43" s="1"/>
  <c r="I12" i="43" s="1"/>
  <c r="G35" i="43"/>
  <c r="G33" i="43"/>
  <c r="G18" i="43"/>
  <c r="H18" i="43" s="1"/>
  <c r="I18" i="43" s="1"/>
  <c r="G41" i="16"/>
  <c r="G34" i="16"/>
  <c r="G26" i="16"/>
  <c r="H26" i="16" s="1"/>
  <c r="I26" i="16" s="1"/>
  <c r="G28" i="16"/>
  <c r="H28" i="16" s="1"/>
  <c r="I28" i="16" s="1"/>
  <c r="G18" i="16"/>
  <c r="H18" i="16" s="1"/>
  <c r="I18" i="16" s="1"/>
  <c r="G23" i="16"/>
  <c r="H23" i="16" s="1"/>
  <c r="I23" i="16" s="1"/>
  <c r="G36" i="16"/>
  <c r="E28" i="19"/>
  <c r="I28" i="19" s="1"/>
  <c r="G32" i="19" s="1"/>
  <c r="I31" i="19" s="1"/>
  <c r="G15" i="16"/>
  <c r="G12" i="16"/>
  <c r="H12" i="16" s="1"/>
  <c r="I12" i="16" s="1"/>
  <c r="I35" i="19" l="1"/>
  <c r="E34" i="19"/>
  <c r="G17" i="43" l="1"/>
  <c r="H17" i="43" s="1"/>
  <c r="I17" i="43" s="1"/>
  <c r="G25" i="43"/>
  <c r="H25" i="43" s="1"/>
  <c r="I25" i="43" s="1"/>
  <c r="G14" i="43"/>
  <c r="H14" i="43" s="1"/>
  <c r="I14" i="43" s="1"/>
  <c r="G39" i="43"/>
  <c r="H39" i="43" s="1"/>
  <c r="H42" i="43" s="1"/>
  <c r="G22" i="43"/>
  <c r="H22" i="43" s="1"/>
  <c r="I22" i="43" s="1"/>
  <c r="G11" i="43"/>
  <c r="H11" i="43" s="1"/>
  <c r="G20" i="43"/>
  <c r="H20" i="43" s="1"/>
  <c r="I20" i="43" s="1"/>
  <c r="G19" i="43"/>
  <c r="H19" i="43" s="1"/>
  <c r="I19" i="43" s="1"/>
  <c r="G32" i="43"/>
  <c r="G14" i="16"/>
  <c r="G17" i="16"/>
  <c r="H17" i="16" s="1"/>
  <c r="I17" i="16" s="1"/>
  <c r="G19" i="16"/>
  <c r="H19" i="16" s="1"/>
  <c r="I19" i="16" s="1"/>
  <c r="G25" i="16"/>
  <c r="H25" i="16" s="1"/>
  <c r="I25" i="16" s="1"/>
  <c r="G40" i="16"/>
  <c r="G22" i="16"/>
  <c r="H22" i="16" s="1"/>
  <c r="I22" i="16" s="1"/>
  <c r="G20" i="16"/>
  <c r="H20" i="16" s="1"/>
  <c r="I20" i="16" s="1"/>
  <c r="G33" i="16"/>
  <c r="G11" i="16"/>
  <c r="H11" i="16" s="1"/>
  <c r="I11" i="16" s="1"/>
  <c r="I39" i="43" l="1"/>
  <c r="I42" i="43" s="1"/>
  <c r="F17" i="44"/>
  <c r="F36" i="44"/>
  <c r="H30" i="43"/>
  <c r="I11" i="43"/>
  <c r="I30" i="43" s="1"/>
  <c r="H15" i="16"/>
  <c r="I15" i="16" s="1"/>
  <c r="H14" i="16"/>
  <c r="I14" i="16" s="1"/>
  <c r="F34" i="44" l="1"/>
  <c r="F15" i="44"/>
  <c r="H30" i="16"/>
  <c r="E30" i="16"/>
  <c r="D15" i="44" l="1"/>
  <c r="B34" i="44"/>
  <c r="D34" i="44"/>
  <c r="E34" i="44" s="1"/>
  <c r="B15" i="44"/>
  <c r="I30" i="16"/>
  <c r="C34" i="44" l="1"/>
  <c r="H41" i="16"/>
  <c r="I41" i="16" s="1"/>
  <c r="H40" i="16" l="1"/>
  <c r="H43" i="16" s="1"/>
  <c r="B17" i="44" l="1"/>
  <c r="D17" i="44"/>
  <c r="D36" i="44"/>
  <c r="B36" i="44"/>
  <c r="I40" i="16"/>
  <c r="I43" i="16" s="1"/>
  <c r="C36" i="44" l="1"/>
  <c r="E36" i="44"/>
  <c r="B28" i="44" l="1"/>
  <c r="B9" i="44"/>
  <c r="B12" i="44" s="1"/>
  <c r="C10" i="44" l="1"/>
  <c r="H50" i="16"/>
  <c r="C9" i="44"/>
  <c r="C11" i="44"/>
  <c r="C12" i="44" l="1"/>
  <c r="G32" i="40" l="1"/>
  <c r="E34" i="43" s="1"/>
  <c r="H34" i="43" s="1"/>
  <c r="I34" i="43" s="1"/>
  <c r="G32" i="17"/>
  <c r="E35" i="16" s="1"/>
  <c r="H35" i="16" s="1"/>
  <c r="I35" i="16" s="1"/>
  <c r="E13" i="17"/>
  <c r="E13" i="40" s="1"/>
  <c r="F32" i="40" l="1"/>
  <c r="E33" i="43" s="1"/>
  <c r="H33" i="43" s="1"/>
  <c r="I33" i="43" s="1"/>
  <c r="F32" i="17"/>
  <c r="E34" i="16" s="1"/>
  <c r="H34" i="16" s="1"/>
  <c r="I34" i="16" s="1"/>
  <c r="E11" i="17"/>
  <c r="E11" i="40" l="1"/>
  <c r="E28" i="40" s="1"/>
  <c r="E32" i="40" s="1"/>
  <c r="E28" i="17"/>
  <c r="E32" i="17" s="1"/>
  <c r="E32" i="43" l="1"/>
  <c r="E33" i="16"/>
  <c r="H33" i="16" l="1"/>
  <c r="I33" i="16" s="1"/>
  <c r="H32" i="43"/>
  <c r="I32" i="43" s="1"/>
  <c r="D32" i="17" l="1"/>
  <c r="I32" i="17"/>
  <c r="H32" i="40"/>
  <c r="E35" i="43" s="1"/>
  <c r="H35" i="43" s="1"/>
  <c r="I35" i="43" s="1"/>
  <c r="D32" i="40"/>
  <c r="H32" i="17"/>
  <c r="E36" i="16" s="1"/>
  <c r="H36" i="16" s="1"/>
  <c r="I36" i="16" s="1"/>
  <c r="E35" i="40" l="1"/>
  <c r="L28" i="40"/>
  <c r="M28" i="40" s="1"/>
  <c r="E35" i="17"/>
  <c r="L28" i="17"/>
  <c r="M28" i="17" s="1"/>
  <c r="I32" i="40"/>
  <c r="E36" i="43" s="1"/>
  <c r="E37" i="16"/>
  <c r="L32" i="17"/>
  <c r="M32" i="17" s="1"/>
  <c r="L32" i="40" l="1"/>
  <c r="M32" i="40" s="1"/>
  <c r="H36" i="43"/>
  <c r="I36" i="43"/>
  <c r="I37" i="43" s="1"/>
  <c r="I43" i="43" s="1"/>
  <c r="E37" i="43"/>
  <c r="E43" i="43" s="1"/>
  <c r="I37" i="16"/>
  <c r="I38" i="16" s="1"/>
  <c r="I44" i="16" s="1"/>
  <c r="H37" i="16"/>
  <c r="E38" i="16"/>
  <c r="E44" i="16" s="1"/>
  <c r="D35" i="44" l="1"/>
  <c r="D16" i="44"/>
  <c r="B35" i="44"/>
  <c r="B37" i="44" s="1"/>
  <c r="B39" i="44" s="1"/>
  <c r="H38" i="16"/>
  <c r="H44" i="16" s="1"/>
  <c r="B16" i="44"/>
  <c r="F35" i="44"/>
  <c r="H37" i="43"/>
  <c r="H43" i="43" s="1"/>
  <c r="H47" i="43" s="1"/>
  <c r="F16" i="44"/>
  <c r="F18" i="44" l="1"/>
  <c r="G16" i="44" s="1"/>
  <c r="H51" i="16"/>
  <c r="H52" i="16" s="1"/>
  <c r="H48" i="16"/>
  <c r="F8" i="44"/>
  <c r="F9" i="44" s="1"/>
  <c r="F27" i="44"/>
  <c r="F28" i="44" s="1"/>
  <c r="E35" i="44"/>
  <c r="E37" i="44" s="1"/>
  <c r="F37" i="44"/>
  <c r="B18" i="44"/>
  <c r="C16" i="44" s="1"/>
  <c r="D18" i="44"/>
  <c r="E16" i="44" s="1"/>
  <c r="D37" i="44"/>
  <c r="C35" i="44"/>
  <c r="C37" i="44" s="1"/>
  <c r="F12" i="44" l="1"/>
  <c r="G9" i="44" s="1"/>
  <c r="F31" i="44"/>
  <c r="F39" i="44" s="1"/>
  <c r="D8" i="44"/>
  <c r="D9" i="44" s="1"/>
  <c r="D27" i="44"/>
  <c r="D28" i="44" s="1"/>
  <c r="E15" i="44"/>
  <c r="E17" i="44"/>
  <c r="C17" i="44"/>
  <c r="C15" i="44"/>
  <c r="B20" i="44"/>
  <c r="G17" i="44"/>
  <c r="G15" i="44"/>
  <c r="D31" i="44" l="1"/>
  <c r="D39" i="44" s="1"/>
  <c r="C28" i="44"/>
  <c r="C31" i="44" s="1"/>
  <c r="D12" i="44"/>
  <c r="E9" i="44" s="1"/>
  <c r="E28" i="44"/>
  <c r="E31" i="44" s="1"/>
  <c r="E39" i="44" s="1"/>
  <c r="F20" i="44"/>
  <c r="G11" i="44"/>
  <c r="G10" i="44"/>
  <c r="C39" i="44" l="1"/>
  <c r="G12" i="44"/>
  <c r="E10" i="44"/>
  <c r="D20" i="44"/>
  <c r="E11" i="44"/>
  <c r="H49" i="43"/>
  <c r="H50" i="43" s="1"/>
  <c r="H51" i="43" s="1"/>
  <c r="E12" i="44" l="1"/>
</calcChain>
</file>

<file path=xl/sharedStrings.xml><?xml version="1.0" encoding="utf-8"?>
<sst xmlns="http://schemas.openxmlformats.org/spreadsheetml/2006/main" count="549" uniqueCount="225">
  <si>
    <t>Total Operating Expenses</t>
  </si>
  <si>
    <t>Depreciation Expense</t>
  </si>
  <si>
    <t>Totals</t>
  </si>
  <si>
    <t>Size</t>
  </si>
  <si>
    <t>Percent</t>
  </si>
  <si>
    <t>Allocation</t>
  </si>
  <si>
    <t>Wholesale</t>
  </si>
  <si>
    <t>Total</t>
  </si>
  <si>
    <t>Factor</t>
  </si>
  <si>
    <t>Retail</t>
  </si>
  <si>
    <t>Salaries &amp; Wages</t>
  </si>
  <si>
    <t>Trans./Distribution</t>
  </si>
  <si>
    <t>PTF</t>
  </si>
  <si>
    <t>Admin &amp; General</t>
  </si>
  <si>
    <t>UF</t>
  </si>
  <si>
    <t>Trans. / Distribution</t>
  </si>
  <si>
    <t>Customer</t>
  </si>
  <si>
    <t>Total Revenue Required</t>
  </si>
  <si>
    <t>Wholesale Gallons Sold (x 1,000)</t>
  </si>
  <si>
    <t>Distribution</t>
  </si>
  <si>
    <t>Schedule of All Mains and Jointly Used Mains</t>
  </si>
  <si>
    <t>Total System</t>
  </si>
  <si>
    <t>Joint Use</t>
  </si>
  <si>
    <t>Main</t>
  </si>
  <si>
    <t>Length</t>
  </si>
  <si>
    <t>Miles of</t>
  </si>
  <si>
    <t>Inch -</t>
  </si>
  <si>
    <t>(feet)</t>
  </si>
  <si>
    <t>Mains</t>
  </si>
  <si>
    <t>Miles</t>
  </si>
  <si>
    <t>Water Purchased, Sold and Used</t>
  </si>
  <si>
    <t>Gallons</t>
  </si>
  <si>
    <t>x 1,000</t>
  </si>
  <si>
    <t>Total Water Sold</t>
  </si>
  <si>
    <t>Line Losses</t>
  </si>
  <si>
    <t>FACTOR</t>
  </si>
  <si>
    <t>Line Loss Percentage</t>
  </si>
  <si>
    <t>Joint Use Inch-miles</t>
  </si>
  <si>
    <t>Total Inch-Miles</t>
  </si>
  <si>
    <t>Water Sold - Wholesale</t>
  </si>
  <si>
    <t>Water Sold - Total</t>
  </si>
  <si>
    <t>Production Multiplier</t>
  </si>
  <si>
    <t>=</t>
  </si>
  <si>
    <t>-</t>
  </si>
  <si>
    <t>Joint Use Pipeline Ratio</t>
  </si>
  <si>
    <t>x</t>
  </si>
  <si>
    <t>Wholesale Production Multiplier</t>
  </si>
  <si>
    <t>-----------------</t>
  </si>
  <si>
    <t>Pipeline Transmission Factor</t>
  </si>
  <si>
    <t>Use Factor</t>
  </si>
  <si>
    <t>Water Production</t>
  </si>
  <si>
    <t>Employee Benefits + Taxes</t>
  </si>
  <si>
    <t>Water Produced</t>
  </si>
  <si>
    <t>Line Loss + Plant Use</t>
  </si>
  <si>
    <t>Joint Share Line Loss + Plant Use</t>
  </si>
  <si>
    <t>+</t>
  </si>
  <si>
    <t>Water</t>
  </si>
  <si>
    <t>Treatment</t>
  </si>
  <si>
    <t>Debt Service &amp; Coverage</t>
  </si>
  <si>
    <t>Table E</t>
  </si>
  <si>
    <t>Table F</t>
  </si>
  <si>
    <t>Insurance</t>
  </si>
  <si>
    <t>Operating Supplies</t>
  </si>
  <si>
    <t>Use of Funds</t>
  </si>
  <si>
    <t>Debt Service</t>
  </si>
  <si>
    <t>6"</t>
  </si>
  <si>
    <t>8"</t>
  </si>
  <si>
    <t>12"</t>
  </si>
  <si>
    <t>16"</t>
  </si>
  <si>
    <t>10"</t>
  </si>
  <si>
    <t>4"</t>
  </si>
  <si>
    <t>General Expenses</t>
  </si>
  <si>
    <t>Production</t>
  </si>
  <si>
    <t>Transmission</t>
  </si>
  <si>
    <t>&amp; Distribution</t>
  </si>
  <si>
    <t>Accounts</t>
  </si>
  <si>
    <t>&amp; General</t>
  </si>
  <si>
    <t>Storage</t>
  </si>
  <si>
    <t>Tanks</t>
  </si>
  <si>
    <t xml:space="preserve">                 -------------------</t>
  </si>
  <si>
    <t xml:space="preserve"> ----------------</t>
  </si>
  <si>
    <t>Storage Tanks</t>
  </si>
  <si>
    <t>&amp; Coverage</t>
  </si>
  <si>
    <t>Water Production Factor</t>
  </si>
  <si>
    <t>WPF</t>
  </si>
  <si>
    <t>Table A</t>
  </si>
  <si>
    <t>Allocation Factors</t>
  </si>
  <si>
    <t>Type</t>
  </si>
  <si>
    <t>Joint Share of Line Loss</t>
  </si>
  <si>
    <t>Pro Forma Totals</t>
  </si>
  <si>
    <t>Amount</t>
  </si>
  <si>
    <t>Administrative</t>
  </si>
  <si>
    <t>Water Treatment Equipment</t>
  </si>
  <si>
    <t>Source of Supply Intakes</t>
  </si>
  <si>
    <t>Transmission &amp;</t>
  </si>
  <si>
    <t>General &amp;</t>
  </si>
  <si>
    <t>Administration</t>
  </si>
  <si>
    <t>Average Annual</t>
  </si>
  <si>
    <t>Issue</t>
  </si>
  <si>
    <t>Ratio of Joint Use pipes to all pipes in the system. (In-miles are used instead of miles to recognize additional first cost and maintenance for larger mains.)</t>
  </si>
  <si>
    <t>Allocation of line loss to Joint Use mains.</t>
  </si>
  <si>
    <t>Total percentage allocation of non-revenue water to Joint Use.</t>
  </si>
  <si>
    <t>Water produced for wholesale customers divided by total water produced.  (Percentage of all water produced that is for wholesale water sales.)</t>
  </si>
  <si>
    <t>Portion of Joint Use pipes allocated to wholesale customers.</t>
  </si>
  <si>
    <t>Allocation for tank expenses and sometimes other costs where water losses and transmission system issues don't apply.</t>
  </si>
  <si>
    <t>Utilities</t>
  </si>
  <si>
    <t>ALLOCATION OF OPERATING EXPENSES</t>
  </si>
  <si>
    <t>Account</t>
  </si>
  <si>
    <t>Description</t>
  </si>
  <si>
    <t>Contractual Services</t>
  </si>
  <si>
    <t>Retail Sales</t>
  </si>
  <si>
    <t>Accounted For But Not Sold Percentage</t>
  </si>
  <si>
    <t xml:space="preserve">Chemicals </t>
  </si>
  <si>
    <t>Check Total</t>
  </si>
  <si>
    <t>3"</t>
  </si>
  <si>
    <t>FY 2023/2024 - 2027/2028</t>
  </si>
  <si>
    <t>FY 2023/2024</t>
  </si>
  <si>
    <t>FY 2024/2025</t>
  </si>
  <si>
    <t>FY 2025/2026</t>
  </si>
  <si>
    <t>FY 2026/2027</t>
  </si>
  <si>
    <t>FY 2027/2028</t>
  </si>
  <si>
    <t>Average</t>
  </si>
  <si>
    <t>Interest</t>
  </si>
  <si>
    <t>Annual</t>
  </si>
  <si>
    <t>Principal</t>
  </si>
  <si>
    <t>&amp; Fees</t>
  </si>
  <si>
    <t>Coverage</t>
  </si>
  <si>
    <t>TOTALS</t>
  </si>
  <si>
    <t>Morehead Utility Plant Board</t>
  </si>
  <si>
    <t>SYSTEM INFORMATION</t>
  </si>
  <si>
    <t>WHOLESALE ALLOCATION FACTORS</t>
  </si>
  <si>
    <t>Sewer</t>
  </si>
  <si>
    <t>Storm</t>
  </si>
  <si>
    <t>Gas</t>
  </si>
  <si>
    <t xml:space="preserve">Adjusted Water Operating Expenses </t>
  </si>
  <si>
    <t>Total Administrative Expenses</t>
  </si>
  <si>
    <t xml:space="preserve"> </t>
  </si>
  <si>
    <t>0.75"</t>
  </si>
  <si>
    <t>1"</t>
  </si>
  <si>
    <t>1.25"</t>
  </si>
  <si>
    <t>1.5"</t>
  </si>
  <si>
    <t>Feet</t>
  </si>
  <si>
    <t>24"</t>
  </si>
  <si>
    <t>Wholesale Sales</t>
  </si>
  <si>
    <t>Water Used at WTP</t>
  </si>
  <si>
    <t>Distribution System Flushing</t>
  </si>
  <si>
    <t>-------------</t>
  </si>
  <si>
    <t>----</t>
  </si>
  <si>
    <t>WWTP expansion and upgrade</t>
  </si>
  <si>
    <t>Gravity and forcemain sewer extension</t>
  </si>
  <si>
    <t>Gravity  and forcemain sewer extension</t>
  </si>
  <si>
    <t>New WTP, Raw Water Line, Storage Tank</t>
  </si>
  <si>
    <t>Right to use water source (Cave Run Lake)</t>
  </si>
  <si>
    <t>WTP and WWTP expansion and system upgrade</t>
  </si>
  <si>
    <t>Fleet vehicles</t>
  </si>
  <si>
    <t>Existing Assets</t>
  </si>
  <si>
    <t>Total Existing Assets</t>
  </si>
  <si>
    <t>New Regional Water Treatment Plant</t>
  </si>
  <si>
    <t>Check Total Existing Assets</t>
  </si>
  <si>
    <t>Table B.1</t>
  </si>
  <si>
    <t>ALLOCATION OF DEPRECIATION EXPENSE (Existing Assets Only)</t>
  </si>
  <si>
    <t>ALLOCATION OF DEPRECIATION EXPENSE (Existing Assets and New Regional Water Treatment Plant)</t>
  </si>
  <si>
    <t>DEBT SERVICE SCHDULE (Existing Assets Only)</t>
  </si>
  <si>
    <t>DEBT SERVICE SCHDULE (Existing Assets and New Regional Water Treatment Plant)</t>
  </si>
  <si>
    <t>FY 2025/2026 - 2027/2028</t>
  </si>
  <si>
    <t>Table B.2</t>
  </si>
  <si>
    <t>Table C.1</t>
  </si>
  <si>
    <t>Table C.2</t>
  </si>
  <si>
    <t>Table D.1</t>
  </si>
  <si>
    <t>Table D.2</t>
  </si>
  <si>
    <t>ALLOCATION OF DEBT SERVICE (Existing Assets Only)</t>
  </si>
  <si>
    <t>ALLOCATION OF DEBT SERVICE (Existing Assets and New Regional Water Treatment Plant)</t>
  </si>
  <si>
    <t>Difference</t>
  </si>
  <si>
    <t>Computed Phase 1 Wholesale Rate per 1,000 Gallons</t>
  </si>
  <si>
    <t>Computed Phase 2 Wholesale Rate per 1,000 Gallons</t>
  </si>
  <si>
    <t>Table G.1</t>
  </si>
  <si>
    <t>Whosale Rate Analysis</t>
  </si>
  <si>
    <t>Revenues</t>
  </si>
  <si>
    <t>Current</t>
  </si>
  <si>
    <t>Phase 1</t>
  </si>
  <si>
    <t>Phase 2</t>
  </si>
  <si>
    <t>Capital Recovery</t>
  </si>
  <si>
    <t>Meter Charges</t>
  </si>
  <si>
    <t>Consumption</t>
  </si>
  <si>
    <t xml:space="preserve">Rate </t>
  </si>
  <si>
    <t>Sales Revenue</t>
  </si>
  <si>
    <t>Total Revenue</t>
  </si>
  <si>
    <t>Expenses</t>
  </si>
  <si>
    <t>Operating Expenses</t>
  </si>
  <si>
    <t>Depreciaton</t>
  </si>
  <si>
    <t>Debt Service and Coverage</t>
  </si>
  <si>
    <t>Total Expenses</t>
  </si>
  <si>
    <t>Percent of 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</si>
  <si>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</si>
  <si>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Revenues and Expenses as a Percent of Total</t>
  </si>
  <si>
    <t>Changes in Revenues and Expenses</t>
  </si>
  <si>
    <t>WHOLESALE RATE COMPUTATION</t>
  </si>
  <si>
    <t>Phase 1 (Existing Assets Only)</t>
  </si>
  <si>
    <t xml:space="preserve">WHOLESALE RATE COMPUTATION </t>
  </si>
  <si>
    <t xml:space="preserve">Phase 2 Rate (Existing Assets and New Regional Water Treatment Plant) </t>
  </si>
  <si>
    <t>Difference in Revenue Required</t>
  </si>
  <si>
    <t>Percent Change in Revenue Required</t>
  </si>
  <si>
    <t>Total Depreciation Expense</t>
  </si>
  <si>
    <t>Total Debt Service &amp; Coverage</t>
  </si>
  <si>
    <t>Previous Revenue</t>
  </si>
  <si>
    <t>As of June 30, 2023 Audit</t>
  </si>
  <si>
    <t>Factor to determine quantity that must be produced to service wholesale sales.  For each gal sold to wholesale customers, 1.1460 gals must be produced.</t>
  </si>
  <si>
    <t>Factor to determine quantity that must be produced to service all sales. (For each gal sold, 1.1787 gals must be produced)</t>
  </si>
  <si>
    <t>Pumping Plant Equipment</t>
  </si>
  <si>
    <t>Pumping Plant Other</t>
  </si>
  <si>
    <t>Pumping Plant Structures</t>
  </si>
  <si>
    <t>Water Treatment Structures</t>
  </si>
  <si>
    <t>Distribution Structures</t>
  </si>
  <si>
    <t>Distribution Tanks</t>
  </si>
  <si>
    <t>Distribution Mains</t>
  </si>
  <si>
    <t>Distribution Replacement</t>
  </si>
  <si>
    <t>Distribution Meters</t>
  </si>
  <si>
    <t>Distribution Hydrants</t>
  </si>
  <si>
    <t>General Communications Equipment</t>
  </si>
  <si>
    <t>General Structures</t>
  </si>
  <si>
    <t>General Office Furniture</t>
  </si>
  <si>
    <t>General Transportation</t>
  </si>
  <si>
    <t>General Power Equipment</t>
  </si>
  <si>
    <t>General Tools, Shop, and Garage</t>
  </si>
  <si>
    <t>Cost of Service Study Updated with Grant Funds   Table G.2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</si>
</sst>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"/>
    <numFmt numFmtId="167" formatCode="0.0%"/>
    <numFmt numFmtId="168" formatCode="_(* #,##0.0_);_(* \(#,##0.0\);_(* &quot;-&quot;??_);_(@_)"/>
    <numFmt numFmtId="169" formatCode="#,##0.0000"/>
    <numFmt numFmtId="170" formatCode="0.0000"/>
    <numFmt numFmtId="171" formatCode="_(* #,##0.0000_);_(* \(#,##0.0000\);_(* &quot;-&quot;??_);_(@_)"/>
    <numFmt numFmtId="172" formatCode="#,##0.0_);\(#,##0.0\)"/>
    <numFmt numFmtId="173" formatCode="_(&quot;$&quot;* #,##0.000_);_(&quot;$&quot;* \(#,##0.000\);_(&quot;$&quot;* &quot;-&quot;??_);_(@_)"/>
  </numFmts>
  <fonts count="29" x14ac:knownFonts="1">
    <font>
      <sz val="12"/>
      <name val="Arial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Arial"/>
      <family val="2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 val="singleAccounting"/>
      <sz val="11"/>
      <name val="Arial"/>
      <family val="2"/>
    </font>
    <font>
      <sz val="14"/>
      <name val="Calibri"/>
      <family val="2"/>
      <scheme val="minor"/>
    </font>
    <font>
      <b/>
      <u val="doubleAccounting"/>
      <sz val="12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6"/>
      <color rgb="FFFF000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u/>
      <sz val="11"/>
      <name val="Calibri"/>
      <family val="2"/>
    </font>
    <font>
      <b/>
      <sz val="11"/>
      <color indexed="12"/>
      <name val="Calibri"/>
      <family val="2"/>
    </font>
    <font>
      <i/>
      <sz val="11"/>
      <name val="Calibri"/>
      <family val="2"/>
    </font>
    <font>
      <sz val="14"/>
      <name val="Calibri"/>
      <family val="2"/>
    </font>
    <font>
      <u/>
      <sz val="11"/>
      <name val="Calibri"/>
      <family val="2"/>
    </font>
    <font>
      <b/>
      <u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3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0" xfId="0" applyFont="1"/>
    <xf numFmtId="0" fontId="5" fillId="0" borderId="5" xfId="0" applyFont="1" applyBorder="1"/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centerContinuous"/>
    </xf>
    <xf numFmtId="3" fontId="5" fillId="0" borderId="0" xfId="0" applyNumberFormat="1" applyFont="1"/>
    <xf numFmtId="0" fontId="9" fillId="0" borderId="0" xfId="0" applyFont="1" applyAlignment="1">
      <alignment horizontal="center"/>
    </xf>
    <xf numFmtId="0" fontId="4" fillId="0" borderId="0" xfId="0" applyFont="1"/>
    <xf numFmtId="4" fontId="5" fillId="0" borderId="0" xfId="0" applyNumberFormat="1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3" fontId="5" fillId="0" borderId="9" xfId="0" applyNumberFormat="1" applyFont="1" applyBorder="1"/>
    <xf numFmtId="3" fontId="4" fillId="0" borderId="0" xfId="0" applyNumberFormat="1" applyFont="1"/>
    <xf numFmtId="0" fontId="5" fillId="0" borderId="10" xfId="0" applyFont="1" applyBorder="1"/>
    <xf numFmtId="3" fontId="5" fillId="0" borderId="3" xfId="0" applyNumberFormat="1" applyFont="1" applyBorder="1"/>
    <xf numFmtId="3" fontId="5" fillId="0" borderId="11" xfId="0" applyNumberFormat="1" applyFont="1" applyBorder="1"/>
    <xf numFmtId="0" fontId="2" fillId="0" borderId="3" xfId="0" applyFont="1" applyBorder="1"/>
    <xf numFmtId="166" fontId="2" fillId="0" borderId="3" xfId="0" applyNumberFormat="1" applyFont="1" applyBorder="1"/>
    <xf numFmtId="0" fontId="0" fillId="0" borderId="11" xfId="0" applyBorder="1"/>
    <xf numFmtId="166" fontId="0" fillId="0" borderId="0" xfId="0" applyNumberFormat="1"/>
    <xf numFmtId="10" fontId="5" fillId="0" borderId="0" xfId="3" applyNumberFormat="1" applyFont="1" applyBorder="1"/>
    <xf numFmtId="165" fontId="5" fillId="0" borderId="0" xfId="1" applyNumberFormat="1" applyFont="1" applyBorder="1" applyAlignment="1"/>
    <xf numFmtId="165" fontId="5" fillId="0" borderId="0" xfId="1" applyNumberFormat="1" applyFont="1"/>
    <xf numFmtId="167" fontId="5" fillId="0" borderId="0" xfId="3" applyNumberFormat="1" applyFont="1"/>
    <xf numFmtId="165" fontId="5" fillId="0" borderId="6" xfId="1" applyNumberFormat="1" applyFont="1" applyBorder="1"/>
    <xf numFmtId="165" fontId="5" fillId="0" borderId="7" xfId="1" applyNumberFormat="1" applyFont="1" applyBorder="1"/>
    <xf numFmtId="165" fontId="5" fillId="0" borderId="8" xfId="1" applyNumberFormat="1" applyFont="1" applyBorder="1"/>
    <xf numFmtId="165" fontId="5" fillId="0" borderId="9" xfId="1" applyNumberFormat="1" applyFont="1" applyBorder="1"/>
    <xf numFmtId="165" fontId="5" fillId="0" borderId="0" xfId="1" applyNumberFormat="1" applyFont="1" applyBorder="1"/>
    <xf numFmtId="165" fontId="5" fillId="0" borderId="11" xfId="1" applyNumberFormat="1" applyFont="1" applyBorder="1"/>
    <xf numFmtId="165" fontId="4" fillId="0" borderId="0" xfId="1" applyNumberFormat="1" applyFont="1" applyBorder="1" applyAlignment="1">
      <alignment horizontal="right"/>
    </xf>
    <xf numFmtId="43" fontId="2" fillId="0" borderId="0" xfId="1" applyFont="1"/>
    <xf numFmtId="0" fontId="5" fillId="0" borderId="0" xfId="0" quotePrefix="1" applyFont="1"/>
    <xf numFmtId="0" fontId="13" fillId="0" borderId="0" xfId="0" applyFont="1" applyAlignment="1">
      <alignment horizontal="centerContinuous"/>
    </xf>
    <xf numFmtId="164" fontId="5" fillId="0" borderId="0" xfId="0" applyNumberFormat="1" applyFont="1"/>
    <xf numFmtId="165" fontId="5" fillId="0" borderId="5" xfId="1" applyNumberFormat="1" applyFont="1" applyBorder="1"/>
    <xf numFmtId="165" fontId="4" fillId="0" borderId="0" xfId="1" applyNumberFormat="1" applyFont="1" applyBorder="1"/>
    <xf numFmtId="165" fontId="5" fillId="0" borderId="10" xfId="1" applyNumberFormat="1" applyFont="1" applyBorder="1"/>
    <xf numFmtId="165" fontId="5" fillId="0" borderId="3" xfId="1" applyNumberFormat="1" applyFont="1" applyBorder="1"/>
    <xf numFmtId="171" fontId="5" fillId="0" borderId="0" xfId="1" applyNumberFormat="1" applyFont="1" applyBorder="1"/>
    <xf numFmtId="171" fontId="5" fillId="0" borderId="0" xfId="1" applyNumberFormat="1" applyFont="1" applyBorder="1" applyAlignment="1"/>
    <xf numFmtId="0" fontId="9" fillId="0" borderId="9" xfId="0" applyFont="1" applyBorder="1" applyAlignment="1">
      <alignment horizontal="center"/>
    </xf>
    <xf numFmtId="165" fontId="5" fillId="0" borderId="9" xfId="1" applyNumberFormat="1" applyFont="1" applyBorder="1" applyAlignment="1"/>
    <xf numFmtId="4" fontId="5" fillId="0" borderId="9" xfId="0" applyNumberFormat="1" applyFont="1" applyBorder="1"/>
    <xf numFmtId="0" fontId="5" fillId="0" borderId="3" xfId="0" applyFont="1" applyBorder="1"/>
    <xf numFmtId="0" fontId="10" fillId="0" borderId="0" xfId="0" applyFont="1"/>
    <xf numFmtId="3" fontId="11" fillId="0" borderId="0" xfId="0" applyNumberFormat="1" applyFont="1"/>
    <xf numFmtId="164" fontId="5" fillId="0" borderId="0" xfId="2" applyNumberFormat="1" applyFont="1" applyBorder="1" applyAlignment="1"/>
    <xf numFmtId="0" fontId="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3" fontId="4" fillId="0" borderId="3" xfId="0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6" xfId="0" applyFont="1" applyBorder="1"/>
    <xf numFmtId="3" fontId="17" fillId="0" borderId="8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0" fontId="18" fillId="0" borderId="0" xfId="0" applyFont="1"/>
    <xf numFmtId="0" fontId="15" fillId="0" borderId="5" xfId="0" applyFont="1" applyBorder="1"/>
    <xf numFmtId="0" fontId="15" fillId="0" borderId="9" xfId="0" applyFont="1" applyBorder="1"/>
    <xf numFmtId="0" fontId="21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71" fontId="15" fillId="0" borderId="0" xfId="1" applyNumberFormat="1" applyFont="1" applyBorder="1" applyAlignment="1">
      <alignment vertical="center"/>
    </xf>
    <xf numFmtId="43" fontId="15" fillId="0" borderId="0" xfId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70" fontId="15" fillId="0" borderId="0" xfId="0" applyNumberFormat="1" applyFont="1" applyAlignment="1">
      <alignment horizontal="left" vertical="center"/>
    </xf>
    <xf numFmtId="170" fontId="15" fillId="0" borderId="0" xfId="0" applyNumberFormat="1" applyFont="1" applyAlignment="1">
      <alignment vertical="center"/>
    </xf>
    <xf numFmtId="4" fontId="15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9" fontId="15" fillId="0" borderId="0" xfId="0" applyNumberFormat="1" applyFont="1" applyAlignment="1">
      <alignment horizontal="center" vertical="center"/>
    </xf>
    <xf numFmtId="169" fontId="15" fillId="0" borderId="0" xfId="0" applyNumberFormat="1" applyFont="1" applyAlignment="1">
      <alignment vertical="center"/>
    </xf>
    <xf numFmtId="169" fontId="15" fillId="0" borderId="0" xfId="0" applyNumberFormat="1" applyFont="1" applyAlignment="1">
      <alignment horizontal="left" vertical="center"/>
    </xf>
    <xf numFmtId="171" fontId="22" fillId="0" borderId="0" xfId="1" applyNumberFormat="1" applyFont="1" applyBorder="1" applyAlignment="1">
      <alignment vertical="center"/>
    </xf>
    <xf numFmtId="170" fontId="15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71" fontId="16" fillId="0" borderId="0" xfId="1" applyNumberFormat="1" applyFont="1" applyBorder="1" applyAlignment="1">
      <alignment vertical="center"/>
    </xf>
    <xf numFmtId="0" fontId="15" fillId="0" borderId="0" xfId="0" applyFont="1" applyAlignment="1">
      <alignment horizontal="center"/>
    </xf>
    <xf numFmtId="171" fontId="15" fillId="0" borderId="0" xfId="1" applyNumberFormat="1" applyFont="1" applyBorder="1" applyAlignment="1"/>
    <xf numFmtId="0" fontId="15" fillId="0" borderId="10" xfId="0" applyFont="1" applyBorder="1"/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15" fillId="0" borderId="11" xfId="0" applyFont="1" applyBorder="1"/>
    <xf numFmtId="0" fontId="15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wrapText="1"/>
    </xf>
    <xf numFmtId="0" fontId="23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2" fillId="0" borderId="0" xfId="1" applyNumberFormat="1" applyFont="1" applyFill="1" applyBorder="1" applyAlignment="1"/>
    <xf numFmtId="43" fontId="2" fillId="0" borderId="0" xfId="1" applyFont="1" applyFill="1" applyBorder="1" applyAlignment="1"/>
    <xf numFmtId="43" fontId="2" fillId="0" borderId="0" xfId="1" applyFont="1" applyFill="1" applyBorder="1"/>
    <xf numFmtId="43" fontId="2" fillId="0" borderId="0" xfId="0" applyNumberFormat="1" applyFont="1" applyAlignment="1">
      <alignment horizontal="center"/>
    </xf>
    <xf numFmtId="165" fontId="5" fillId="0" borderId="0" xfId="1" applyNumberFormat="1" applyFont="1" applyFill="1" applyBorder="1" applyAlignment="1"/>
    <xf numFmtId="0" fontId="9" fillId="0" borderId="0" xfId="0" applyFont="1" applyAlignment="1">
      <alignment horizontal="right"/>
    </xf>
    <xf numFmtId="164" fontId="5" fillId="0" borderId="0" xfId="2" applyNumberFormat="1" applyFont="1" applyFill="1" applyBorder="1" applyAlignment="1"/>
    <xf numFmtId="0" fontId="6" fillId="0" borderId="0" xfId="0" quotePrefix="1" applyFont="1" applyAlignment="1">
      <alignment horizontal="center"/>
    </xf>
    <xf numFmtId="43" fontId="2" fillId="0" borderId="0" xfId="1" applyFont="1" applyFill="1"/>
    <xf numFmtId="165" fontId="5" fillId="0" borderId="8" xfId="4" quotePrefix="1" applyNumberFormat="1" applyFont="1" applyBorder="1" applyAlignment="1">
      <alignment horizontal="center"/>
    </xf>
    <xf numFmtId="0" fontId="15" fillId="0" borderId="0" xfId="0" applyFont="1" applyAlignment="1">
      <alignment horizontal="centerContinuous"/>
    </xf>
    <xf numFmtId="0" fontId="24" fillId="0" borderId="5" xfId="0" applyFont="1" applyBorder="1"/>
    <xf numFmtId="3" fontId="8" fillId="0" borderId="9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15" fillId="0" borderId="1" xfId="0" applyFont="1" applyBorder="1"/>
    <xf numFmtId="3" fontId="15" fillId="0" borderId="0" xfId="0" applyNumberFormat="1" applyFont="1"/>
    <xf numFmtId="0" fontId="15" fillId="0" borderId="2" xfId="0" applyFont="1" applyBorder="1" applyAlignment="1">
      <alignment horizontal="centerContinuous"/>
    </xf>
    <xf numFmtId="0" fontId="25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165" fontId="15" fillId="0" borderId="0" xfId="1" applyNumberFormat="1" applyFont="1" applyBorder="1" applyAlignment="1"/>
    <xf numFmtId="43" fontId="15" fillId="0" borderId="0" xfId="1" applyFont="1" applyBorder="1" applyAlignment="1"/>
    <xf numFmtId="43" fontId="15" fillId="0" borderId="0" xfId="1" applyFont="1" applyBorder="1"/>
    <xf numFmtId="43" fontId="15" fillId="0" borderId="2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168" fontId="15" fillId="0" borderId="2" xfId="1" applyNumberFormat="1" applyFont="1" applyBorder="1"/>
    <xf numFmtId="168" fontId="15" fillId="0" borderId="0" xfId="1" applyNumberFormat="1" applyFont="1" applyBorder="1" applyAlignment="1"/>
    <xf numFmtId="165" fontId="5" fillId="0" borderId="9" xfId="1" applyNumberFormat="1" applyFont="1" applyFill="1" applyBorder="1" applyAlignment="1"/>
    <xf numFmtId="165" fontId="5" fillId="0" borderId="0" xfId="0" applyNumberFormat="1" applyFont="1"/>
    <xf numFmtId="0" fontId="13" fillId="0" borderId="9" xfId="0" applyFont="1" applyBorder="1" applyAlignment="1">
      <alignment horizontal="centerContinuous"/>
    </xf>
    <xf numFmtId="165" fontId="4" fillId="0" borderId="0" xfId="1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5" fillId="0" borderId="0" xfId="1" applyNumberFormat="1" applyFont="1" applyFill="1" applyBorder="1"/>
    <xf numFmtId="168" fontId="15" fillId="0" borderId="12" xfId="1" applyNumberFormat="1" applyFont="1" applyBorder="1"/>
    <xf numFmtId="10" fontId="15" fillId="0" borderId="0" xfId="0" applyNumberFormat="1" applyFont="1" applyAlignment="1">
      <alignment vertical="center"/>
    </xf>
    <xf numFmtId="37" fontId="5" fillId="0" borderId="5" xfId="4" applyNumberFormat="1" applyFont="1" applyBorder="1"/>
    <xf numFmtId="37" fontId="5" fillId="0" borderId="0" xfId="4" applyNumberFormat="1" applyFont="1" applyBorder="1"/>
    <xf numFmtId="9" fontId="5" fillId="0" borderId="0" xfId="3" applyFont="1" applyBorder="1" applyAlignment="1">
      <alignment horizontal="right"/>
    </xf>
    <xf numFmtId="9" fontId="4" fillId="0" borderId="0" xfId="3" applyFont="1" applyBorder="1" applyAlignment="1">
      <alignment horizontal="right"/>
    </xf>
    <xf numFmtId="9" fontId="4" fillId="0" borderId="9" xfId="3" applyFont="1" applyBorder="1" applyAlignment="1">
      <alignment horizontal="right"/>
    </xf>
    <xf numFmtId="37" fontId="4" fillId="0" borderId="10" xfId="4" applyNumberFormat="1" applyFont="1" applyBorder="1" applyAlignment="1">
      <alignment horizontal="right"/>
    </xf>
    <xf numFmtId="37" fontId="4" fillId="0" borderId="3" xfId="4" applyNumberFormat="1" applyFont="1" applyBorder="1" applyAlignment="1">
      <alignment horizontal="right"/>
    </xf>
    <xf numFmtId="9" fontId="4" fillId="0" borderId="3" xfId="3" applyFont="1" applyBorder="1" applyAlignment="1">
      <alignment horizontal="right"/>
    </xf>
    <xf numFmtId="9" fontId="4" fillId="0" borderId="3" xfId="3" applyFont="1" applyFill="1" applyBorder="1" applyAlignment="1">
      <alignment horizontal="right"/>
    </xf>
    <xf numFmtId="9" fontId="4" fillId="0" borderId="11" xfId="3" applyFont="1" applyFill="1" applyBorder="1" applyAlignment="1">
      <alignment horizontal="right"/>
    </xf>
    <xf numFmtId="165" fontId="5" fillId="0" borderId="0" xfId="4" applyNumberFormat="1" applyFont="1" applyFill="1" applyBorder="1"/>
    <xf numFmtId="165" fontId="5" fillId="0" borderId="6" xfId="4" applyNumberFormat="1" applyFont="1" applyFill="1" applyBorder="1"/>
    <xf numFmtId="165" fontId="5" fillId="0" borderId="7" xfId="1" applyNumberFormat="1" applyFont="1" applyFill="1" applyBorder="1"/>
    <xf numFmtId="165" fontId="4" fillId="0" borderId="0" xfId="1" applyNumberFormat="1" applyFont="1" applyFill="1" applyBorder="1" applyAlignment="1">
      <alignment horizontal="centerContinuous"/>
    </xf>
    <xf numFmtId="165" fontId="26" fillId="0" borderId="0" xfId="1" applyNumberFormat="1" applyFont="1" applyFill="1" applyBorder="1" applyAlignment="1">
      <alignment horizontal="centerContinuous"/>
    </xf>
    <xf numFmtId="165" fontId="5" fillId="0" borderId="5" xfId="4" applyNumberFormat="1" applyFont="1" applyFill="1" applyBorder="1" applyAlignment="1">
      <alignment horizontal="centerContinuous"/>
    </xf>
    <xf numFmtId="165" fontId="5" fillId="0" borderId="0" xfId="1" applyNumberFormat="1" applyFont="1" applyFill="1" applyBorder="1" applyAlignment="1">
      <alignment horizontal="centerContinuous"/>
    </xf>
    <xf numFmtId="165" fontId="5" fillId="0" borderId="13" xfId="4" applyNumberFormat="1" applyFont="1" applyFill="1" applyBorder="1" applyAlignment="1">
      <alignment horizontal="left"/>
    </xf>
    <xf numFmtId="165" fontId="5" fillId="0" borderId="6" xfId="1" applyNumberFormat="1" applyFont="1" applyFill="1" applyBorder="1" applyAlignment="1">
      <alignment horizontal="left"/>
    </xf>
    <xf numFmtId="165" fontId="5" fillId="0" borderId="7" xfId="1" applyNumberFormat="1" applyFont="1" applyFill="1" applyBorder="1" applyAlignment="1">
      <alignment horizontal="left"/>
    </xf>
    <xf numFmtId="165" fontId="5" fillId="0" borderId="8" xfId="1" applyNumberFormat="1" applyFont="1" applyFill="1" applyBorder="1" applyAlignment="1">
      <alignment horizontal="left"/>
    </xf>
    <xf numFmtId="165" fontId="5" fillId="0" borderId="14" xfId="4" applyNumberFormat="1" applyFont="1" applyFill="1" applyBorder="1"/>
    <xf numFmtId="165" fontId="4" fillId="0" borderId="10" xfId="1" applyNumberFormat="1" applyFont="1" applyFill="1" applyBorder="1" applyAlignment="1">
      <alignment horizontal="center" vertical="center"/>
    </xf>
    <xf numFmtId="165" fontId="4" fillId="0" borderId="11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/>
    </xf>
    <xf numFmtId="165" fontId="4" fillId="0" borderId="9" xfId="1" applyNumberFormat="1" applyFont="1" applyFill="1" applyBorder="1" applyAlignment="1">
      <alignment horizontal="center"/>
    </xf>
    <xf numFmtId="165" fontId="4" fillId="0" borderId="5" xfId="1" applyNumberFormat="1" applyFont="1" applyFill="1" applyBorder="1" applyAlignment="1">
      <alignment horizontal="center" vertical="center"/>
    </xf>
    <xf numFmtId="165" fontId="4" fillId="0" borderId="9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165" fontId="5" fillId="0" borderId="14" xfId="1" applyNumberFormat="1" applyFont="1" applyBorder="1"/>
    <xf numFmtId="165" fontId="4" fillId="0" borderId="6" xfId="1" quotePrefix="1" applyNumberFormat="1" applyFont="1" applyFill="1" applyBorder="1" applyAlignment="1">
      <alignment horizontal="left"/>
    </xf>
    <xf numFmtId="165" fontId="4" fillId="0" borderId="7" xfId="1" quotePrefix="1" applyNumberFormat="1" applyFont="1" applyFill="1" applyBorder="1" applyAlignment="1">
      <alignment horizontal="left"/>
    </xf>
    <xf numFmtId="165" fontId="4" fillId="0" borderId="8" xfId="1" quotePrefix="1" applyNumberFormat="1" applyFont="1" applyFill="1" applyBorder="1" applyAlignment="1">
      <alignment horizontal="left"/>
    </xf>
    <xf numFmtId="165" fontId="4" fillId="0" borderId="15" xfId="4" applyNumberFormat="1" applyFont="1" applyFill="1" applyBorder="1" applyAlignment="1">
      <alignment horizontal="right"/>
    </xf>
    <xf numFmtId="165" fontId="4" fillId="0" borderId="10" xfId="1" applyNumberFormat="1" applyFont="1" applyFill="1" applyBorder="1" applyAlignment="1">
      <alignment horizontal="right"/>
    </xf>
    <xf numFmtId="165" fontId="4" fillId="0" borderId="3" xfId="1" applyNumberFormat="1" applyFont="1" applyFill="1" applyBorder="1" applyAlignment="1">
      <alignment horizontal="right"/>
    </xf>
    <xf numFmtId="165" fontId="4" fillId="0" borderId="11" xfId="1" applyNumberFormat="1" applyFont="1" applyFill="1" applyBorder="1" applyAlignment="1">
      <alignment horizontal="right"/>
    </xf>
    <xf numFmtId="165" fontId="4" fillId="0" borderId="5" xfId="4" applyNumberFormat="1" applyFont="1" applyFill="1" applyBorder="1" applyAlignment="1">
      <alignment horizontal="centerContinuous"/>
    </xf>
    <xf numFmtId="165" fontId="26" fillId="0" borderId="5" xfId="4" applyNumberFormat="1" applyFont="1" applyFill="1" applyBorder="1" applyAlignment="1">
      <alignment horizontal="centerContinuous"/>
    </xf>
    <xf numFmtId="9" fontId="5" fillId="0" borderId="9" xfId="3" applyFont="1" applyBorder="1" applyAlignment="1">
      <alignment horizontal="right"/>
    </xf>
    <xf numFmtId="167" fontId="5" fillId="0" borderId="7" xfId="3" applyNumberFormat="1" applyFont="1" applyBorder="1"/>
    <xf numFmtId="167" fontId="5" fillId="0" borderId="8" xfId="3" applyNumberFormat="1" applyFont="1" applyBorder="1"/>
    <xf numFmtId="165" fontId="5" fillId="0" borderId="5" xfId="4" applyNumberFormat="1" applyFont="1" applyFill="1" applyBorder="1"/>
    <xf numFmtId="167" fontId="5" fillId="0" borderId="0" xfId="3" applyNumberFormat="1" applyFont="1" applyBorder="1"/>
    <xf numFmtId="167" fontId="5" fillId="0" borderId="9" xfId="3" applyNumberFormat="1" applyFont="1" applyBorder="1"/>
    <xf numFmtId="165" fontId="4" fillId="0" borderId="0" xfId="1" quotePrefix="1" applyNumberFormat="1" applyFont="1" applyFill="1" applyBorder="1" applyAlignment="1">
      <alignment horizontal="left"/>
    </xf>
    <xf numFmtId="165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4" quotePrefix="1" applyNumberFormat="1" applyFont="1" applyBorder="1" applyAlignment="1">
      <alignment horizontal="left"/>
    </xf>
    <xf numFmtId="43" fontId="5" fillId="0" borderId="0" xfId="1" applyFont="1"/>
    <xf numFmtId="165" fontId="5" fillId="0" borderId="9" xfId="4" quotePrefix="1" applyNumberFormat="1" applyFont="1" applyBorder="1" applyAlignment="1">
      <alignment horizontal="center"/>
    </xf>
    <xf numFmtId="164" fontId="5" fillId="0" borderId="11" xfId="2" applyNumberFormat="1" applyFont="1" applyBorder="1"/>
    <xf numFmtId="164" fontId="5" fillId="0" borderId="3" xfId="2" applyNumberFormat="1" applyFont="1" applyBorder="1"/>
    <xf numFmtId="165" fontId="15" fillId="0" borderId="0" xfId="0" applyNumberFormat="1" applyFont="1"/>
    <xf numFmtId="0" fontId="15" fillId="0" borderId="7" xfId="0" applyFont="1" applyBorder="1"/>
    <xf numFmtId="0" fontId="15" fillId="0" borderId="8" xfId="0" applyFont="1" applyBorder="1"/>
    <xf numFmtId="3" fontId="15" fillId="0" borderId="9" xfId="0" applyNumberFormat="1" applyFont="1" applyBorder="1"/>
    <xf numFmtId="3" fontId="25" fillId="0" borderId="0" xfId="0" applyNumberFormat="1" applyFont="1" applyAlignment="1">
      <alignment horizontal="center"/>
    </xf>
    <xf numFmtId="3" fontId="15" fillId="0" borderId="8" xfId="0" applyNumberFormat="1" applyFont="1" applyBorder="1"/>
    <xf numFmtId="165" fontId="15" fillId="0" borderId="9" xfId="1" applyNumberFormat="1" applyFont="1" applyFill="1" applyBorder="1" applyAlignment="1"/>
    <xf numFmtId="165" fontId="15" fillId="0" borderId="0" xfId="1" applyNumberFormat="1" applyFont="1" applyFill="1" applyBorder="1" applyAlignment="1"/>
    <xf numFmtId="165" fontId="15" fillId="0" borderId="11" xfId="1" applyNumberFormat="1" applyFont="1" applyFill="1" applyBorder="1" applyAlignment="1"/>
    <xf numFmtId="165" fontId="15" fillId="0" borderId="3" xfId="1" applyNumberFormat="1" applyFont="1" applyFill="1" applyBorder="1" applyAlignment="1"/>
    <xf numFmtId="3" fontId="15" fillId="0" borderId="11" xfId="0" applyNumberFormat="1" applyFont="1" applyBorder="1"/>
    <xf numFmtId="3" fontId="16" fillId="0" borderId="0" xfId="0" applyNumberFormat="1" applyFont="1"/>
    <xf numFmtId="3" fontId="15" fillId="0" borderId="3" xfId="0" applyNumberFormat="1" applyFont="1" applyBorder="1"/>
    <xf numFmtId="167" fontId="15" fillId="0" borderId="0" xfId="0" applyNumberFormat="1" applyFont="1"/>
    <xf numFmtId="3" fontId="16" fillId="0" borderId="0" xfId="0" applyNumberFormat="1" applyFont="1" applyAlignment="1">
      <alignment horizontal="centerContinuous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right"/>
    </xf>
    <xf numFmtId="9" fontId="28" fillId="0" borderId="0" xfId="3" applyFont="1" applyFill="1" applyBorder="1"/>
    <xf numFmtId="9" fontId="27" fillId="0" borderId="0" xfId="3" applyFont="1" applyFill="1" applyBorder="1" applyAlignment="1">
      <alignment horizontal="right"/>
    </xf>
    <xf numFmtId="0" fontId="27" fillId="0" borderId="0" xfId="0" applyFont="1" applyAlignment="1">
      <alignment horizontal="right"/>
    </xf>
    <xf numFmtId="165" fontId="16" fillId="0" borderId="0" xfId="1" applyNumberFormat="1" applyFont="1" applyFill="1" applyBorder="1" applyAlignment="1">
      <alignment horizontal="right"/>
    </xf>
    <xf numFmtId="9" fontId="16" fillId="0" borderId="0" xfId="3" applyFont="1" applyFill="1" applyBorder="1" applyAlignment="1">
      <alignment horizontal="right"/>
    </xf>
    <xf numFmtId="0" fontId="28" fillId="0" borderId="0" xfId="0" applyFont="1" applyAlignment="1">
      <alignment wrapText="1"/>
    </xf>
    <xf numFmtId="0" fontId="27" fillId="0" borderId="3" xfId="0" applyFont="1" applyBorder="1" applyAlignment="1">
      <alignment horizontal="right"/>
    </xf>
    <xf numFmtId="165" fontId="16" fillId="0" borderId="3" xfId="1" applyNumberFormat="1" applyFont="1" applyFill="1" applyBorder="1" applyAlignment="1">
      <alignment horizontal="right"/>
    </xf>
    <xf numFmtId="9" fontId="16" fillId="0" borderId="3" xfId="3" applyFont="1" applyFill="1" applyBorder="1" applyAlignment="1">
      <alignment horizontal="right"/>
    </xf>
    <xf numFmtId="0" fontId="28" fillId="0" borderId="0" xfId="0" applyFont="1" applyAlignment="1">
      <alignment horizontal="left" wrapText="1"/>
    </xf>
    <xf numFmtId="43" fontId="28" fillId="0" borderId="0" xfId="0" applyNumberFormat="1" applyFont="1"/>
    <xf numFmtId="43" fontId="28" fillId="0" borderId="0" xfId="0" applyNumberFormat="1" applyFont="1" applyAlignment="1">
      <alignment horizontal="right"/>
    </xf>
    <xf numFmtId="43" fontId="28" fillId="0" borderId="3" xfId="0" applyNumberFormat="1" applyFont="1" applyBorder="1"/>
    <xf numFmtId="43" fontId="28" fillId="0" borderId="3" xfId="0" applyNumberFormat="1" applyFont="1" applyBorder="1" applyAlignment="1">
      <alignment horizontal="right"/>
    </xf>
    <xf numFmtId="0" fontId="27" fillId="0" borderId="0" xfId="0" applyFont="1" applyAlignment="1">
      <alignment horizontal="left" wrapText="1"/>
    </xf>
    <xf numFmtId="43" fontId="28" fillId="0" borderId="0" xfId="1" applyFont="1" applyFill="1" applyBorder="1"/>
    <xf numFmtId="0" fontId="28" fillId="0" borderId="0" xfId="0" applyFont="1" applyAlignment="1">
      <alignment horizontal="center"/>
    </xf>
    <xf numFmtId="9" fontId="28" fillId="0" borderId="0" xfId="3" applyFont="1"/>
    <xf numFmtId="165" fontId="15" fillId="0" borderId="0" xfId="1" applyNumberFormat="1" applyFont="1" applyFill="1"/>
    <xf numFmtId="165" fontId="15" fillId="0" borderId="0" xfId="1" applyNumberFormat="1" applyFont="1" applyFill="1" applyBorder="1"/>
    <xf numFmtId="165" fontId="15" fillId="0" borderId="3" xfId="1" applyNumberFormat="1" applyFont="1" applyFill="1" applyBorder="1"/>
    <xf numFmtId="43" fontId="12" fillId="0" borderId="0" xfId="1" applyFont="1" applyFill="1"/>
    <xf numFmtId="0" fontId="6" fillId="0" borderId="0" xfId="0" applyFont="1" applyAlignment="1">
      <alignment horizontal="center"/>
    </xf>
    <xf numFmtId="43" fontId="6" fillId="0" borderId="0" xfId="1" applyFont="1" applyFill="1"/>
    <xf numFmtId="3" fontId="8" fillId="0" borderId="0" xfId="0" applyNumberFormat="1" applyFont="1" applyAlignment="1">
      <alignment horizontal="centerContinuous" vertical="center"/>
    </xf>
    <xf numFmtId="0" fontId="16" fillId="0" borderId="0" xfId="0" applyFont="1" applyAlignment="1">
      <alignment horizontal="right"/>
    </xf>
    <xf numFmtId="165" fontId="4" fillId="0" borderId="3" xfId="1" applyNumberFormat="1" applyFont="1" applyBorder="1"/>
    <xf numFmtId="43" fontId="15" fillId="0" borderId="3" xfId="1" applyFont="1" applyBorder="1" applyAlignment="1"/>
    <xf numFmtId="43" fontId="15" fillId="0" borderId="16" xfId="1" applyFont="1" applyBorder="1"/>
    <xf numFmtId="43" fontId="2" fillId="0" borderId="0" xfId="0" applyNumberFormat="1" applyFont="1"/>
    <xf numFmtId="43" fontId="12" fillId="0" borderId="3" xfId="1" applyFont="1" applyFill="1" applyBorder="1"/>
    <xf numFmtId="43" fontId="15" fillId="0" borderId="3" xfId="1" applyFont="1" applyBorder="1"/>
    <xf numFmtId="0" fontId="15" fillId="0" borderId="0" xfId="0" quotePrefix="1" applyFont="1"/>
    <xf numFmtId="165" fontId="15" fillId="0" borderId="0" xfId="1" applyNumberFormat="1" applyFont="1" applyBorder="1" applyAlignment="1">
      <alignment vertical="center"/>
    </xf>
    <xf numFmtId="173" fontId="14" fillId="0" borderId="0" xfId="2" applyNumberFormat="1" applyFont="1" applyBorder="1" applyAlignment="1"/>
    <xf numFmtId="165" fontId="5" fillId="0" borderId="5" xfId="1" applyNumberFormat="1" applyFont="1" applyFill="1" applyBorder="1"/>
    <xf numFmtId="0" fontId="5" fillId="0" borderId="9" xfId="0" applyFont="1" applyBorder="1"/>
    <xf numFmtId="165" fontId="4" fillId="0" borderId="5" xfId="1" quotePrefix="1" applyNumberFormat="1" applyFont="1" applyFill="1" applyBorder="1" applyAlignment="1">
      <alignment horizontal="left"/>
    </xf>
    <xf numFmtId="165" fontId="5" fillId="0" borderId="10" xfId="4" applyNumberFormat="1" applyFont="1" applyFill="1" applyBorder="1"/>
    <xf numFmtId="0" fontId="5" fillId="0" borderId="11" xfId="0" applyFont="1" applyBorder="1"/>
    <xf numFmtId="9" fontId="4" fillId="0" borderId="0" xfId="3" applyFont="1" applyFill="1" applyBorder="1" applyAlignment="1">
      <alignment horizontal="right"/>
    </xf>
    <xf numFmtId="165" fontId="5" fillId="0" borderId="3" xfId="4" applyNumberFormat="1" applyFont="1" applyFill="1" applyBorder="1"/>
    <xf numFmtId="0" fontId="15" fillId="0" borderId="14" xfId="0" applyFont="1" applyBorder="1"/>
    <xf numFmtId="0" fontId="15" fillId="0" borderId="14" xfId="0" applyFont="1" applyBorder="1" applyAlignment="1">
      <alignment wrapText="1"/>
    </xf>
    <xf numFmtId="0" fontId="5" fillId="0" borderId="15" xfId="0" applyFont="1" applyBorder="1"/>
    <xf numFmtId="165" fontId="5" fillId="0" borderId="15" xfId="4" quotePrefix="1" applyNumberFormat="1" applyFont="1" applyBorder="1" applyAlignment="1">
      <alignment horizontal="center"/>
    </xf>
    <xf numFmtId="165" fontId="5" fillId="0" borderId="3" xfId="1" applyNumberFormat="1" applyFont="1" applyFill="1" applyBorder="1" applyAlignment="1"/>
    <xf numFmtId="165" fontId="5" fillId="0" borderId="11" xfId="1" applyNumberFormat="1" applyFont="1" applyFill="1" applyBorder="1" applyAlignment="1"/>
    <xf numFmtId="9" fontId="5" fillId="0" borderId="0" xfId="3" applyFont="1"/>
    <xf numFmtId="165" fontId="5" fillId="0" borderId="10" xfId="1" applyNumberFormat="1" applyFont="1" applyFill="1" applyBorder="1" applyAlignment="1"/>
    <xf numFmtId="165" fontId="15" fillId="0" borderId="8" xfId="1" applyNumberFormat="1" applyFont="1" applyFill="1" applyBorder="1" applyAlignment="1"/>
    <xf numFmtId="3" fontId="16" fillId="0" borderId="9" xfId="0" applyNumberFormat="1" applyFont="1" applyBorder="1"/>
    <xf numFmtId="0" fontId="15" fillId="0" borderId="5" xfId="0" applyFont="1" applyBorder="1" applyAlignment="1">
      <alignment wrapText="1"/>
    </xf>
    <xf numFmtId="165" fontId="5" fillId="0" borderId="13" xfId="4" quotePrefix="1" applyNumberFormat="1" applyFont="1" applyBorder="1" applyAlignment="1">
      <alignment horizontal="center"/>
    </xf>
    <xf numFmtId="165" fontId="5" fillId="0" borderId="14" xfId="4" quotePrefix="1" applyNumberFormat="1" applyFont="1" applyBorder="1" applyAlignment="1">
      <alignment horizontal="center"/>
    </xf>
    <xf numFmtId="0" fontId="5" fillId="0" borderId="14" xfId="0" applyFont="1" applyBorder="1"/>
    <xf numFmtId="165" fontId="4" fillId="0" borderId="14" xfId="4" applyNumberFormat="1" applyFont="1" applyFill="1" applyBorder="1" applyAlignment="1">
      <alignment horizontal="center"/>
    </xf>
    <xf numFmtId="165" fontId="5" fillId="0" borderId="8" xfId="1" applyNumberFormat="1" applyFont="1" applyFill="1" applyBorder="1"/>
    <xf numFmtId="165" fontId="4" fillId="0" borderId="9" xfId="1" applyNumberFormat="1" applyFont="1" applyFill="1" applyBorder="1" applyAlignment="1">
      <alignment horizontal="centerContinuous"/>
    </xf>
    <xf numFmtId="165" fontId="26" fillId="0" borderId="9" xfId="1" applyNumberFormat="1" applyFont="1" applyFill="1" applyBorder="1" applyAlignment="1">
      <alignment horizontal="centerContinuous"/>
    </xf>
    <xf numFmtId="165" fontId="5" fillId="0" borderId="9" xfId="1" applyNumberFormat="1" applyFont="1" applyFill="1" applyBorder="1" applyAlignment="1">
      <alignment horizontal="centerContinuous"/>
    </xf>
    <xf numFmtId="165" fontId="5" fillId="0" borderId="10" xfId="4" applyNumberFormat="1" applyFont="1" applyFill="1" applyBorder="1" applyAlignment="1">
      <alignment horizontal="centerContinuous"/>
    </xf>
    <xf numFmtId="165" fontId="5" fillId="0" borderId="3" xfId="1" applyNumberFormat="1" applyFont="1" applyFill="1" applyBorder="1" applyAlignment="1">
      <alignment horizontal="centerContinuous"/>
    </xf>
    <xf numFmtId="165" fontId="5" fillId="0" borderId="11" xfId="1" applyNumberFormat="1" applyFont="1" applyFill="1" applyBorder="1" applyAlignment="1">
      <alignment horizontal="centerContinuous"/>
    </xf>
    <xf numFmtId="9" fontId="5" fillId="0" borderId="0" xfId="3" applyFont="1" applyFill="1"/>
    <xf numFmtId="165" fontId="4" fillId="0" borderId="9" xfId="1" applyNumberFormat="1" applyFont="1" applyBorder="1" applyAlignment="1">
      <alignment horizontal="right"/>
    </xf>
    <xf numFmtId="165" fontId="5" fillId="0" borderId="9" xfId="4" applyNumberFormat="1" applyFont="1" applyFill="1" applyBorder="1"/>
    <xf numFmtId="165" fontId="5" fillId="0" borderId="9" xfId="4" applyNumberFormat="1" applyFont="1" applyBorder="1"/>
    <xf numFmtId="165" fontId="5" fillId="0" borderId="11" xfId="4" applyNumberFormat="1" applyFont="1" applyBorder="1"/>
    <xf numFmtId="44" fontId="15" fillId="0" borderId="0" xfId="2" applyFont="1"/>
    <xf numFmtId="44" fontId="15" fillId="0" borderId="3" xfId="2" applyFont="1" applyBorder="1" applyAlignment="1">
      <alignment horizontal="right"/>
    </xf>
    <xf numFmtId="43" fontId="15" fillId="0" borderId="0" xfId="1" applyFont="1"/>
    <xf numFmtId="168" fontId="15" fillId="0" borderId="0" xfId="1" applyNumberFormat="1" applyFont="1"/>
    <xf numFmtId="173" fontId="15" fillId="0" borderId="3" xfId="2" applyNumberFormat="1" applyFont="1" applyBorder="1"/>
    <xf numFmtId="44" fontId="15" fillId="0" borderId="3" xfId="2" applyFont="1" applyBorder="1"/>
    <xf numFmtId="167" fontId="15" fillId="0" borderId="0" xfId="3" applyNumberFormat="1" applyFont="1"/>
    <xf numFmtId="167" fontId="15" fillId="0" borderId="3" xfId="3" applyNumberFormat="1" applyFont="1" applyBorder="1"/>
    <xf numFmtId="172" fontId="15" fillId="0" borderId="0" xfId="1" applyNumberFormat="1" applyFont="1" applyFill="1" applyAlignment="1">
      <alignment vertical="center"/>
    </xf>
    <xf numFmtId="172" fontId="15" fillId="0" borderId="0" xfId="1" applyNumberFormat="1" applyFont="1" applyFill="1" applyAlignment="1">
      <alignment horizontal="right" vertical="center"/>
    </xf>
    <xf numFmtId="166" fontId="15" fillId="0" borderId="0" xfId="0" applyNumberFormat="1" applyFont="1" applyAlignment="1">
      <alignment vertical="center"/>
    </xf>
    <xf numFmtId="172" fontId="15" fillId="0" borderId="0" xfId="0" applyNumberFormat="1" applyFont="1" applyAlignment="1">
      <alignment vertical="center"/>
    </xf>
    <xf numFmtId="44" fontId="15" fillId="0" borderId="0" xfId="2" applyFont="1" applyFill="1"/>
    <xf numFmtId="44" fontId="15" fillId="0" borderId="3" xfId="2" applyFont="1" applyFill="1" applyBorder="1"/>
    <xf numFmtId="173" fontId="10" fillId="0" borderId="0" xfId="2" applyNumberFormat="1" applyFont="1" applyBorder="1" applyAlignment="1"/>
    <xf numFmtId="0" fontId="11" fillId="0" borderId="0" xfId="0" applyFont="1"/>
    <xf numFmtId="10" fontId="11" fillId="0" borderId="0" xfId="3" applyNumberFormat="1" applyFont="1" applyFill="1" applyBorder="1" applyAlignment="1"/>
    <xf numFmtId="164" fontId="11" fillId="0" borderId="0" xfId="2" applyNumberFormat="1" applyFont="1" applyFill="1" applyBorder="1" applyAlignment="1">
      <alignment horizontal="left"/>
    </xf>
    <xf numFmtId="164" fontId="11" fillId="0" borderId="0" xfId="2" applyNumberFormat="1" applyFont="1" applyFill="1" applyBorder="1" applyAlignment="1"/>
    <xf numFmtId="167" fontId="15" fillId="0" borderId="0" xfId="2" applyNumberFormat="1" applyFont="1"/>
    <xf numFmtId="44" fontId="15" fillId="0" borderId="0" xfId="2" applyFont="1" applyBorder="1" applyAlignment="1">
      <alignment horizontal="right"/>
    </xf>
    <xf numFmtId="167" fontId="15" fillId="0" borderId="0" xfId="3" applyNumberFormat="1" applyFont="1" applyBorder="1"/>
    <xf numFmtId="167" fontId="15" fillId="0" borderId="0" xfId="2" applyNumberFormat="1" applyFont="1" applyBorder="1"/>
    <xf numFmtId="44" fontId="15" fillId="0" borderId="0" xfId="2" applyFont="1" applyBorder="1"/>
    <xf numFmtId="165" fontId="5" fillId="0" borderId="3" xfId="1" applyNumberFormat="1" applyFont="1" applyBorder="1" applyAlignment="1"/>
    <xf numFmtId="10" fontId="15" fillId="0" borderId="0" xfId="3" applyNumberFormat="1" applyFont="1"/>
    <xf numFmtId="172" fontId="15" fillId="0" borderId="3" xfId="1" applyNumberFormat="1" applyFont="1" applyFill="1" applyBorder="1" applyAlignment="1">
      <alignment vertical="center"/>
    </xf>
    <xf numFmtId="3" fontId="8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/>
    </xf>
    <xf numFmtId="165" fontId="4" fillId="0" borderId="11" xfId="1" applyNumberFormat="1" applyFont="1" applyFill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" fontId="17" fillId="0" borderId="7" xfId="0" applyNumberFormat="1" applyFont="1" applyBorder="1" applyAlignment="1">
      <alignment horizontal="center"/>
    </xf>
    <xf numFmtId="3" fontId="19" fillId="0" borderId="5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</cellXfs>
  <cellStyles count="6">
    <cellStyle name="Comma" xfId="1" builtinId="3"/>
    <cellStyle name="Comma 2" xfId="4" xr:uid="{C7F7EE13-2743-4215-A128-6460504B592A}"/>
    <cellStyle name="Currency" xfId="2" builtinId="4"/>
    <cellStyle name="Currency 2" xfId="5" xr:uid="{6B24F497-2B46-4348-B228-7FDE38B0B2E4}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CC"/>
      <color rgb="FFFFFFCC"/>
      <color rgb="FFFFFF99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City%20of%20Morehead%20UPB/Trial%20Balance%20for%20Rate%20Study%20Updated%20with%202023%20Audit%20Results.xlsx" TargetMode="External"/><Relationship Id="rId1" Type="http://schemas.openxmlformats.org/officeDocument/2006/relationships/externalLinkPath" Target="Trial%20Balance%20for%20Rate%20Study%20Updated%20with%202023%20Audit%20Resul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City%20of%20Morehead%20UPB/Depreciation%20for%20Rate%20Study%20Updated%20with%202023%20Audit.xlsx" TargetMode="External"/><Relationship Id="rId1" Type="http://schemas.openxmlformats.org/officeDocument/2006/relationships/externalLinkPath" Target="Depreciation%20for%20Rate%20Study%20Updated%20with%202023%20Audi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City%20of%20Morehead%20UPB/Debt%20Service%20Schedule.xlsx" TargetMode="External"/><Relationship Id="rId1" Type="http://schemas.openxmlformats.org/officeDocument/2006/relationships/externalLinkPath" Target="Debt%20Service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ial Balance"/>
      <sheetName val="Operating Revenues"/>
      <sheetName val="Water Operating Revenues"/>
      <sheetName val="Sewer Operating Revenues"/>
      <sheetName val="Operating Expenses"/>
      <sheetName val="Water Operating Expenses"/>
      <sheetName val="Water Op Ex Matrix"/>
      <sheetName val="Other Income and Expenses"/>
      <sheetName val="Water Other Income and Expense"/>
      <sheetName val="Sewer Operating Expenses"/>
      <sheetName val="Sewer Other Income and Expenses"/>
    </sheetNames>
    <sheetDataSet>
      <sheetData sheetId="0"/>
      <sheetData sheetId="1"/>
      <sheetData sheetId="2"/>
      <sheetData sheetId="3"/>
      <sheetData sheetId="4">
        <row r="24">
          <cell r="A24" t="str">
            <v>6001 Water Department:Water Maintenance System:Salaries - Water Maint</v>
          </cell>
        </row>
        <row r="25">
          <cell r="A25" t="str">
            <v>6010 Water Department:Water Maintenance System:Equipment Repairs</v>
          </cell>
        </row>
        <row r="26">
          <cell r="A26" t="str">
            <v>6011 Water Department:Water Maintenance System:Equipment Fuel</v>
          </cell>
        </row>
        <row r="27">
          <cell r="A27" t="str">
            <v>6016 Water Department:Water Maintenance System:Shop Utilities</v>
          </cell>
        </row>
        <row r="28">
          <cell r="A28" t="str">
            <v>6017 Water Department:Water Maintenance System:Vehicle Expenses</v>
          </cell>
        </row>
        <row r="29">
          <cell r="A29" t="str">
            <v>6019 Water Department:Water Maintenance System:Equipment Expenses</v>
          </cell>
        </row>
        <row r="30">
          <cell r="A30" t="str">
            <v>6020 Water Department:Water Maintenance System:System Repair/Maintenance</v>
          </cell>
        </row>
        <row r="31">
          <cell r="A31" t="str">
            <v>6026 Water Department:Water Maintenance System:Janitor/Shop Supplies</v>
          </cell>
        </row>
        <row r="32">
          <cell r="A32" t="str">
            <v>6027 Water Department:Water Maintenance System:Office Supplies</v>
          </cell>
        </row>
        <row r="33">
          <cell r="A33" t="str">
            <v>6030 Water Department:Water Maintenance System:Computer Expense</v>
          </cell>
        </row>
        <row r="34">
          <cell r="A34" t="str">
            <v>6050 Water Department:Water Maintenance System:Easements</v>
          </cell>
        </row>
        <row r="35">
          <cell r="A35" t="str">
            <v>6070 Water Department:Water Maintenance System:Drug and Alcohol Testing</v>
          </cell>
        </row>
        <row r="36">
          <cell r="A36" t="str">
            <v>6075 Water Department:Water Maintenance System:Employee Training &amp; Travel</v>
          </cell>
        </row>
        <row r="37">
          <cell r="A37" t="str">
            <v>6088 Water Department:Water Maintenance System:Employee Benefits - Maintenance</v>
          </cell>
        </row>
        <row r="38">
          <cell r="A38" t="str">
            <v>6092 Water Department:Water Maintenance System:Uniform Exp - Mtn</v>
          </cell>
        </row>
        <row r="39">
          <cell r="A39" t="str">
            <v>6000 Water Department:Water Treatment Plant:Salaries - WTP</v>
          </cell>
        </row>
        <row r="40">
          <cell r="A40" t="str">
            <v>6012 Water Department:Water Treatment Plant:Equipment Repairs</v>
          </cell>
        </row>
        <row r="41">
          <cell r="A41" t="str">
            <v>6013 Water Department:Water Treatment Plant:Equipment Fuel</v>
          </cell>
        </row>
        <row r="42">
          <cell r="A42" t="str">
            <v>6015 Water Department:Water Treatment Plant:Utilities-WTP</v>
          </cell>
        </row>
        <row r="43">
          <cell r="A43" t="str">
            <v>6018 Water Department:Water Treatment Plant:Vehicle Expenses</v>
          </cell>
        </row>
        <row r="44">
          <cell r="A44" t="str">
            <v>6021 Water Department:Water Treatment Plant:Repairs and Maintenance</v>
          </cell>
        </row>
        <row r="45">
          <cell r="A45" t="str">
            <v>6025 Water Department:Water Treatment Plant:Janitor/Shop Supplies</v>
          </cell>
        </row>
        <row r="46">
          <cell r="A46" t="str">
            <v>6031 Water Department:Water Treatment Plant:Computer Expense</v>
          </cell>
        </row>
        <row r="47">
          <cell r="A47" t="str">
            <v>6035 Water Department:Water Treatment Plant:Chemicals - WTP</v>
          </cell>
        </row>
        <row r="48">
          <cell r="A48" t="str">
            <v>6044 Water Department:Water Treatment Plant:Water Pumps &amp; Tank Repair</v>
          </cell>
        </row>
        <row r="49">
          <cell r="A49" t="str">
            <v>6065 Water Department:Water Treatment Plant:Office Supplies</v>
          </cell>
        </row>
        <row r="50">
          <cell r="A50" t="str">
            <v>6085 Water Department:Water Treatment Plant:Employee Training &amp; Travel</v>
          </cell>
        </row>
        <row r="51">
          <cell r="A51" t="str">
            <v>6086 Water Department:Water Treatment Plant:Water Lab Testing &amp; Supplies</v>
          </cell>
        </row>
        <row r="52">
          <cell r="A52" t="str">
            <v>6087 Water Department:Water Treatment Plant:Dues &amp; Subscriptions WTP</v>
          </cell>
        </row>
        <row r="53">
          <cell r="A53" t="str">
            <v>6093 Water Department:Water Treatment Plant:Uniform Exp - WTP</v>
          </cell>
        </row>
        <row r="54">
          <cell r="A54" t="str">
            <v>6099 Water Department:Water Treatment Plant:Employee Benefits- WTP</v>
          </cell>
        </row>
        <row r="55">
          <cell r="A55" t="str">
            <v>6150 Water Department:Water Treatment Plant:Drug/Alcohol Test  WTP</v>
          </cell>
        </row>
        <row r="110">
          <cell r="A110" t="str">
            <v>8000 Administrative Department:Salaries - Admin</v>
          </cell>
        </row>
        <row r="111">
          <cell r="A111" t="str">
            <v>8015 Administrative Department:Office Utilities</v>
          </cell>
        </row>
        <row r="112">
          <cell r="A112" t="str">
            <v>8018 Administrative Department:Vehicle Expenses</v>
          </cell>
        </row>
        <row r="113">
          <cell r="A113" t="str">
            <v>8020 Administrative Department:Repairs &amp; Maintenance</v>
          </cell>
        </row>
        <row r="114">
          <cell r="A114" t="str">
            <v>8035 Administrative Department:Advertising &amp; Printing</v>
          </cell>
        </row>
        <row r="115">
          <cell r="A115" t="str">
            <v>8040 Administrative Department:Professional Services</v>
          </cell>
        </row>
        <row r="116">
          <cell r="A116" t="str">
            <v>8050 Administrative Department:Easements and Right of Way</v>
          </cell>
        </row>
        <row r="117">
          <cell r="A117" t="str">
            <v>8052 Administrative Department:Janitorial Service</v>
          </cell>
        </row>
        <row r="118">
          <cell r="A118" t="str">
            <v>8055 Administrative Department:Employee Training &amp; Travel</v>
          </cell>
        </row>
        <row r="119">
          <cell r="A119" t="str">
            <v>8055 Administrative Department:Pension Expense</v>
          </cell>
        </row>
        <row r="120">
          <cell r="A120" t="str">
            <v>8065 Administrative Department:General Insurance</v>
          </cell>
        </row>
        <row r="121">
          <cell r="A121" t="str">
            <v>8065 Administrative Department:Workman's Comp Ins</v>
          </cell>
        </row>
        <row r="122">
          <cell r="A122" t="str">
            <v>8070 Administrative Department:Office Supplies</v>
          </cell>
        </row>
        <row r="123">
          <cell r="A123" t="str">
            <v>8071 Administrative Department:Postage</v>
          </cell>
        </row>
        <row r="124">
          <cell r="A124" t="str">
            <v>8072 Administrative Department:Service Contracts</v>
          </cell>
        </row>
        <row r="125">
          <cell r="A125" t="str">
            <v>8073 Administrative Department:Dues &amp; Subscriptions</v>
          </cell>
        </row>
        <row r="126">
          <cell r="A126" t="str">
            <v>8074 Administrative Department:Computer Programming</v>
          </cell>
        </row>
        <row r="127">
          <cell r="A127" t="str">
            <v>8080 Administrative Department:Payroll Taxes</v>
          </cell>
        </row>
        <row r="128">
          <cell r="A128" t="str">
            <v>8087 Administrative Department:Bad Debts</v>
          </cell>
        </row>
        <row r="129">
          <cell r="A129" t="str">
            <v>8088 Administrative Department:Safety Program Expenses</v>
          </cell>
        </row>
        <row r="130">
          <cell r="A130" t="str">
            <v>8090 Administrative Department:Miscellaneous</v>
          </cell>
        </row>
        <row r="131">
          <cell r="A131" t="str">
            <v>8091 Administrative Department:Ceremonies &amp; Award</v>
          </cell>
        </row>
        <row r="132">
          <cell r="A132" t="str">
            <v>8092 Administrative Department:Uniform Expense</v>
          </cell>
        </row>
        <row r="133">
          <cell r="A133" t="str">
            <v>8099 Administrative Department:Employee Benefits</v>
          </cell>
        </row>
        <row r="136">
          <cell r="F136">
            <v>3582834.5559299998</v>
          </cell>
        </row>
      </sheetData>
      <sheetData sheetId="5">
        <row r="6">
          <cell r="B6">
            <v>341780.93</v>
          </cell>
          <cell r="I6">
            <v>0</v>
          </cell>
          <cell r="J6">
            <v>1</v>
          </cell>
          <cell r="K6">
            <v>0</v>
          </cell>
          <cell r="L6">
            <v>0</v>
          </cell>
        </row>
        <row r="7">
          <cell r="B7">
            <v>16665.22</v>
          </cell>
          <cell r="I7">
            <v>0</v>
          </cell>
          <cell r="J7">
            <v>1</v>
          </cell>
          <cell r="K7">
            <v>0</v>
          </cell>
          <cell r="L7">
            <v>0</v>
          </cell>
        </row>
        <row r="8">
          <cell r="B8">
            <v>28872.43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</row>
        <row r="9">
          <cell r="B9">
            <v>14193.07</v>
          </cell>
          <cell r="I9">
            <v>0</v>
          </cell>
          <cell r="J9">
            <v>1</v>
          </cell>
          <cell r="K9">
            <v>0</v>
          </cell>
          <cell r="L9">
            <v>0</v>
          </cell>
        </row>
        <row r="10">
          <cell r="B10">
            <v>38200.269999999997</v>
          </cell>
          <cell r="I10">
            <v>0</v>
          </cell>
          <cell r="J10">
            <v>1</v>
          </cell>
          <cell r="K10">
            <v>0</v>
          </cell>
          <cell r="L10">
            <v>0</v>
          </cell>
        </row>
        <row r="11">
          <cell r="B11">
            <v>2093.88</v>
          </cell>
          <cell r="I11">
            <v>0</v>
          </cell>
          <cell r="J11">
            <v>1</v>
          </cell>
          <cell r="K11">
            <v>0</v>
          </cell>
          <cell r="L11">
            <v>0</v>
          </cell>
        </row>
        <row r="12">
          <cell r="B12">
            <v>128378.27</v>
          </cell>
          <cell r="I12">
            <v>0</v>
          </cell>
          <cell r="J12">
            <v>1</v>
          </cell>
          <cell r="K12">
            <v>0</v>
          </cell>
          <cell r="L12">
            <v>0</v>
          </cell>
        </row>
        <row r="13">
          <cell r="B13">
            <v>6886</v>
          </cell>
          <cell r="I13">
            <v>0</v>
          </cell>
          <cell r="J13">
            <v>1</v>
          </cell>
          <cell r="K13">
            <v>0</v>
          </cell>
          <cell r="L13">
            <v>0</v>
          </cell>
        </row>
        <row r="14">
          <cell r="B14">
            <v>1031.81</v>
          </cell>
          <cell r="I14">
            <v>0</v>
          </cell>
          <cell r="J14">
            <v>1</v>
          </cell>
          <cell r="K14">
            <v>0</v>
          </cell>
          <cell r="L14">
            <v>0</v>
          </cell>
        </row>
        <row r="15">
          <cell r="B15">
            <v>10076.69</v>
          </cell>
          <cell r="I15">
            <v>0</v>
          </cell>
          <cell r="J15">
            <v>1</v>
          </cell>
          <cell r="K15">
            <v>0</v>
          </cell>
          <cell r="L15">
            <v>0</v>
          </cell>
        </row>
        <row r="16">
          <cell r="B16">
            <v>421.9</v>
          </cell>
          <cell r="I16">
            <v>0</v>
          </cell>
          <cell r="J16">
            <v>1</v>
          </cell>
          <cell r="K16">
            <v>0</v>
          </cell>
          <cell r="L16">
            <v>0</v>
          </cell>
        </row>
        <row r="17">
          <cell r="B17">
            <v>0</v>
          </cell>
          <cell r="I17">
            <v>0</v>
          </cell>
          <cell r="J17">
            <v>1</v>
          </cell>
          <cell r="K17">
            <v>0</v>
          </cell>
          <cell r="L17">
            <v>0</v>
          </cell>
        </row>
        <row r="18">
          <cell r="B18">
            <v>11620.92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</row>
        <row r="19">
          <cell r="B19">
            <v>241102.07</v>
          </cell>
          <cell r="I19">
            <v>0</v>
          </cell>
          <cell r="J19">
            <v>1</v>
          </cell>
          <cell r="K19">
            <v>0</v>
          </cell>
          <cell r="L19">
            <v>0</v>
          </cell>
        </row>
        <row r="20">
          <cell r="B20">
            <v>904.84</v>
          </cell>
          <cell r="I20">
            <v>0</v>
          </cell>
          <cell r="J20">
            <v>1</v>
          </cell>
          <cell r="K20">
            <v>0</v>
          </cell>
          <cell r="L20">
            <v>0</v>
          </cell>
        </row>
        <row r="21">
          <cell r="B21">
            <v>566595.88</v>
          </cell>
          <cell r="I21">
            <v>1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6214.72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9832.41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433779.01</v>
          </cell>
          <cell r="I24">
            <v>1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23628.25</v>
          </cell>
          <cell r="I25">
            <v>1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120827.37</v>
          </cell>
          <cell r="I26">
            <v>1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2089.5300000000002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4214.51</v>
          </cell>
          <cell r="I28">
            <v>1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382843.31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3261.32</v>
          </cell>
          <cell r="I30">
            <v>1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406.94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14596.82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46783.96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0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1007.23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380219.56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0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</row>
        <row r="40">
          <cell r="B40">
            <v>286233.34634999995</v>
          </cell>
          <cell r="I40">
            <v>0</v>
          </cell>
          <cell r="J40">
            <v>0</v>
          </cell>
          <cell r="K40">
            <v>0.5</v>
          </cell>
          <cell r="L40">
            <v>0.5</v>
          </cell>
        </row>
        <row r="41">
          <cell r="B41">
            <v>14426.023919999998</v>
          </cell>
          <cell r="I41">
            <v>0</v>
          </cell>
          <cell r="J41">
            <v>0</v>
          </cell>
          <cell r="K41">
            <v>0.5</v>
          </cell>
          <cell r="L41">
            <v>0.5</v>
          </cell>
        </row>
        <row r="42">
          <cell r="B42">
            <v>12541.323200000001</v>
          </cell>
          <cell r="I42">
            <v>0</v>
          </cell>
          <cell r="J42">
            <v>0</v>
          </cell>
          <cell r="K42">
            <v>0.5</v>
          </cell>
          <cell r="L42">
            <v>0.5</v>
          </cell>
        </row>
        <row r="43">
          <cell r="B43">
            <v>3338.8117699999998</v>
          </cell>
          <cell r="I43">
            <v>0</v>
          </cell>
          <cell r="J43">
            <v>0</v>
          </cell>
          <cell r="K43">
            <v>0.5</v>
          </cell>
          <cell r="L43">
            <v>0.5</v>
          </cell>
        </row>
        <row r="44">
          <cell r="B44">
            <v>437.78</v>
          </cell>
          <cell r="I44">
            <v>0</v>
          </cell>
          <cell r="J44">
            <v>0</v>
          </cell>
          <cell r="K44">
            <v>0.5</v>
          </cell>
          <cell r="L44">
            <v>0.5</v>
          </cell>
        </row>
        <row r="45">
          <cell r="B45">
            <v>52595.388930000001</v>
          </cell>
          <cell r="I45">
            <v>0</v>
          </cell>
          <cell r="J45">
            <v>0</v>
          </cell>
          <cell r="K45">
            <v>0.5</v>
          </cell>
          <cell r="L45">
            <v>0.5</v>
          </cell>
        </row>
        <row r="46">
          <cell r="B46">
            <v>225.88208999999998</v>
          </cell>
          <cell r="I46">
            <v>0</v>
          </cell>
          <cell r="J46">
            <v>0</v>
          </cell>
          <cell r="K46">
            <v>0.5</v>
          </cell>
          <cell r="L46">
            <v>0.5</v>
          </cell>
        </row>
        <row r="47">
          <cell r="B47">
            <v>5683.2062699999997</v>
          </cell>
          <cell r="I47">
            <v>0</v>
          </cell>
          <cell r="J47">
            <v>0</v>
          </cell>
          <cell r="K47">
            <v>0.5</v>
          </cell>
          <cell r="L47">
            <v>0.5</v>
          </cell>
        </row>
        <row r="48">
          <cell r="B48">
            <v>13832.44793</v>
          </cell>
          <cell r="I48">
            <v>0</v>
          </cell>
          <cell r="J48">
            <v>0</v>
          </cell>
          <cell r="K48">
            <v>0.5</v>
          </cell>
          <cell r="L48">
            <v>0.5</v>
          </cell>
        </row>
        <row r="49">
          <cell r="B49">
            <v>0</v>
          </cell>
          <cell r="I49">
            <v>0</v>
          </cell>
          <cell r="J49">
            <v>0</v>
          </cell>
          <cell r="K49">
            <v>0.5</v>
          </cell>
          <cell r="L49">
            <v>0.5</v>
          </cell>
        </row>
        <row r="50">
          <cell r="B50">
            <v>80357.488469999997</v>
          </cell>
          <cell r="I50">
            <v>0</v>
          </cell>
          <cell r="J50">
            <v>0</v>
          </cell>
          <cell r="K50">
            <v>0.5</v>
          </cell>
          <cell r="L50">
            <v>0.5</v>
          </cell>
        </row>
        <row r="51">
          <cell r="B51">
            <v>0</v>
          </cell>
          <cell r="I51">
            <v>0</v>
          </cell>
          <cell r="J51">
            <v>0</v>
          </cell>
          <cell r="K51">
            <v>0.5</v>
          </cell>
          <cell r="L51">
            <v>0.5</v>
          </cell>
        </row>
        <row r="52">
          <cell r="B52">
            <v>7734.9241899999997</v>
          </cell>
          <cell r="I52">
            <v>0</v>
          </cell>
          <cell r="J52">
            <v>0</v>
          </cell>
          <cell r="K52">
            <v>0.5</v>
          </cell>
          <cell r="L52">
            <v>0.5</v>
          </cell>
        </row>
        <row r="53">
          <cell r="B53">
            <v>20855.661609999999</v>
          </cell>
          <cell r="I53">
            <v>0</v>
          </cell>
          <cell r="J53">
            <v>0</v>
          </cell>
          <cell r="K53">
            <v>0.5</v>
          </cell>
          <cell r="L53">
            <v>0.5</v>
          </cell>
        </row>
        <row r="54">
          <cell r="B54">
            <v>1712.56232</v>
          </cell>
          <cell r="I54">
            <v>0</v>
          </cell>
          <cell r="J54">
            <v>0</v>
          </cell>
          <cell r="K54">
            <v>0.5</v>
          </cell>
          <cell r="L54">
            <v>0.5</v>
          </cell>
        </row>
        <row r="55">
          <cell r="B55">
            <v>526.57499999999993</v>
          </cell>
          <cell r="I55">
            <v>0</v>
          </cell>
          <cell r="J55">
            <v>0</v>
          </cell>
          <cell r="K55">
            <v>0.5</v>
          </cell>
          <cell r="L55">
            <v>0.5</v>
          </cell>
        </row>
        <row r="56">
          <cell r="B56">
            <v>10097.742620000001</v>
          </cell>
          <cell r="I56">
            <v>0</v>
          </cell>
          <cell r="J56">
            <v>0</v>
          </cell>
          <cell r="K56">
            <v>0.5</v>
          </cell>
          <cell r="L56">
            <v>0.5</v>
          </cell>
        </row>
        <row r="57">
          <cell r="B57">
            <v>2003.05</v>
          </cell>
          <cell r="I57">
            <v>0</v>
          </cell>
          <cell r="J57">
            <v>0</v>
          </cell>
          <cell r="K57">
            <v>0.5</v>
          </cell>
          <cell r="L57">
            <v>0.5</v>
          </cell>
        </row>
        <row r="58">
          <cell r="B58">
            <v>15456</v>
          </cell>
          <cell r="I58">
            <v>0</v>
          </cell>
          <cell r="J58">
            <v>0</v>
          </cell>
          <cell r="K58">
            <v>0.5</v>
          </cell>
          <cell r="L58">
            <v>0.5</v>
          </cell>
        </row>
        <row r="59">
          <cell r="B59">
            <v>2872.2580599999997</v>
          </cell>
          <cell r="I59">
            <v>0</v>
          </cell>
          <cell r="J59">
            <v>0</v>
          </cell>
          <cell r="K59">
            <v>0.5</v>
          </cell>
          <cell r="L59">
            <v>0.5</v>
          </cell>
        </row>
        <row r="60">
          <cell r="B60">
            <v>15707.740509999998</v>
          </cell>
          <cell r="I60">
            <v>0</v>
          </cell>
          <cell r="J60">
            <v>0</v>
          </cell>
          <cell r="K60">
            <v>0.5</v>
          </cell>
          <cell r="L60">
            <v>0.5</v>
          </cell>
        </row>
        <row r="61">
          <cell r="B61">
            <v>6567.4103599999989</v>
          </cell>
          <cell r="I61">
            <v>0</v>
          </cell>
          <cell r="J61">
            <v>0</v>
          </cell>
          <cell r="K61">
            <v>0.5</v>
          </cell>
          <cell r="L61">
            <v>0.5</v>
          </cell>
        </row>
        <row r="62">
          <cell r="B62">
            <v>544.48680999999988</v>
          </cell>
          <cell r="I62">
            <v>0</v>
          </cell>
          <cell r="J62">
            <v>0</v>
          </cell>
          <cell r="K62">
            <v>0.5</v>
          </cell>
          <cell r="L62">
            <v>0.5</v>
          </cell>
        </row>
        <row r="63">
          <cell r="B63">
            <v>190555.32551999998</v>
          </cell>
          <cell r="I63">
            <v>0</v>
          </cell>
          <cell r="J63">
            <v>0</v>
          </cell>
          <cell r="K63">
            <v>0.5</v>
          </cell>
          <cell r="L63">
            <v>0.5</v>
          </cell>
        </row>
      </sheetData>
      <sheetData sheetId="6">
        <row r="6">
          <cell r="A6" t="str">
            <v>Chemicals</v>
          </cell>
          <cell r="B6" t="str">
            <v>6035 Water Department:Water Treatment Plant:Chemicals - WTP</v>
          </cell>
          <cell r="C6">
            <v>382843.31</v>
          </cell>
          <cell r="E6">
            <v>382843.31</v>
          </cell>
          <cell r="F6">
            <v>0</v>
          </cell>
          <cell r="G6">
            <v>0</v>
          </cell>
          <cell r="H6">
            <v>0</v>
          </cell>
        </row>
        <row r="7">
          <cell r="A7" t="str">
            <v>Chemicals Total</v>
          </cell>
          <cell r="C7">
            <v>382843.31</v>
          </cell>
          <cell r="E7">
            <v>382843.31</v>
          </cell>
          <cell r="F7">
            <v>0</v>
          </cell>
          <cell r="G7">
            <v>0</v>
          </cell>
          <cell r="H7">
            <v>0</v>
          </cell>
        </row>
        <row r="8">
          <cell r="A8" t="str">
            <v>Contractual Services</v>
          </cell>
          <cell r="B8" t="str">
            <v>6010 Water Department:Water Maintenance System:Equipment Repairs</v>
          </cell>
          <cell r="C8">
            <v>16665.22</v>
          </cell>
          <cell r="E8">
            <v>0</v>
          </cell>
          <cell r="F8">
            <v>16665.22</v>
          </cell>
          <cell r="G8">
            <v>0</v>
          </cell>
          <cell r="H8">
            <v>0</v>
          </cell>
        </row>
        <row r="9">
          <cell r="A9" t="str">
            <v>Contractual Services</v>
          </cell>
          <cell r="B9" t="str">
            <v>6012 Water Department:Water Treatment Plant:Equipment Repairs</v>
          </cell>
          <cell r="C9">
            <v>6214.72</v>
          </cell>
          <cell r="E9">
            <v>6214.72</v>
          </cell>
          <cell r="F9">
            <v>0</v>
          </cell>
          <cell r="G9">
            <v>0</v>
          </cell>
          <cell r="H9">
            <v>0</v>
          </cell>
        </row>
        <row r="10">
          <cell r="A10" t="str">
            <v>Contractual Services</v>
          </cell>
          <cell r="B10" t="str">
            <v>6020 Water Department:Water Maintenance System:System Repair/Maintenance</v>
          </cell>
          <cell r="C10">
            <v>128378.27</v>
          </cell>
          <cell r="E10">
            <v>0</v>
          </cell>
          <cell r="F10">
            <v>128378.27</v>
          </cell>
          <cell r="G10">
            <v>0</v>
          </cell>
          <cell r="H10">
            <v>0</v>
          </cell>
        </row>
        <row r="11">
          <cell r="A11" t="str">
            <v>Contractual Services</v>
          </cell>
          <cell r="B11" t="str">
            <v>6021 Water Department:Water Treatment Plant:Repairs and Maintenance</v>
          </cell>
          <cell r="C11">
            <v>120827.37</v>
          </cell>
          <cell r="E11">
            <v>120827.37</v>
          </cell>
          <cell r="F11">
            <v>0</v>
          </cell>
          <cell r="G11">
            <v>0</v>
          </cell>
          <cell r="H11">
            <v>0</v>
          </cell>
        </row>
        <row r="12">
          <cell r="A12" t="str">
            <v>Contractual Services</v>
          </cell>
          <cell r="B12" t="str">
            <v>6044 Water Department:Water Treatment Plant:Water Pumps &amp; Tank Repair</v>
          </cell>
          <cell r="C12">
            <v>3261.32</v>
          </cell>
          <cell r="E12">
            <v>3261.32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Contractual Services</v>
          </cell>
          <cell r="B13" t="str">
            <v>6050 Water Department:Water Maintenance System:Easements</v>
          </cell>
          <cell r="C13">
            <v>421.9</v>
          </cell>
          <cell r="E13">
            <v>0</v>
          </cell>
          <cell r="F13">
            <v>421.9</v>
          </cell>
          <cell r="G13">
            <v>0</v>
          </cell>
          <cell r="H13">
            <v>0</v>
          </cell>
        </row>
        <row r="14">
          <cell r="A14" t="str">
            <v>Contractual Services</v>
          </cell>
          <cell r="B14" t="str">
            <v>6085 Water Department:Water Treatment Plant:Employee Training &amp; Travel</v>
          </cell>
          <cell r="C14">
            <v>14596.82</v>
          </cell>
          <cell r="E14">
            <v>14596.82</v>
          </cell>
          <cell r="F14">
            <v>0</v>
          </cell>
          <cell r="G14">
            <v>0</v>
          </cell>
          <cell r="H14">
            <v>0</v>
          </cell>
        </row>
        <row r="15">
          <cell r="A15" t="str">
            <v>Contractual Services</v>
          </cell>
          <cell r="B15" t="str">
            <v>6086 Water Department:Water Treatment Plant:Water Lab Testing &amp; Supplies</v>
          </cell>
          <cell r="C15">
            <v>46783.96</v>
          </cell>
          <cell r="E15">
            <v>46783.96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Contractual Services</v>
          </cell>
          <cell r="B16" t="str">
            <v>8020 Administrative Department:Repairs &amp; Maintenance</v>
          </cell>
          <cell r="C16">
            <v>3338.8117699999998</v>
          </cell>
          <cell r="E16">
            <v>0</v>
          </cell>
          <cell r="F16">
            <v>0</v>
          </cell>
          <cell r="G16">
            <v>1669.4058849999999</v>
          </cell>
          <cell r="H16">
            <v>1669.4058849999999</v>
          </cell>
        </row>
        <row r="17">
          <cell r="A17" t="str">
            <v>Contractual Services</v>
          </cell>
          <cell r="B17" t="str">
            <v>8035 Administrative Department:Advertising &amp; Printing</v>
          </cell>
          <cell r="C17">
            <v>437.78</v>
          </cell>
          <cell r="E17">
            <v>0</v>
          </cell>
          <cell r="F17">
            <v>0</v>
          </cell>
          <cell r="G17">
            <v>218.89</v>
          </cell>
          <cell r="H17">
            <v>218.89</v>
          </cell>
        </row>
        <row r="18">
          <cell r="A18" t="str">
            <v>Contractual Services</v>
          </cell>
          <cell r="B18" t="str">
            <v>8040 Administrative Department:Professional Services</v>
          </cell>
          <cell r="C18">
            <v>52595.388930000001</v>
          </cell>
          <cell r="E18">
            <v>0</v>
          </cell>
          <cell r="F18">
            <v>0</v>
          </cell>
          <cell r="G18">
            <v>26297.694465</v>
          </cell>
          <cell r="H18">
            <v>26297.694465</v>
          </cell>
        </row>
        <row r="19">
          <cell r="A19" t="str">
            <v>Contractual Services</v>
          </cell>
          <cell r="B19" t="str">
            <v>8050 Administrative Department:Easements and Right of Way</v>
          </cell>
          <cell r="C19">
            <v>225.88208999999998</v>
          </cell>
          <cell r="E19">
            <v>0</v>
          </cell>
          <cell r="F19">
            <v>0</v>
          </cell>
          <cell r="G19">
            <v>112.94104499999999</v>
          </cell>
          <cell r="H19">
            <v>112.94104499999999</v>
          </cell>
        </row>
        <row r="20">
          <cell r="A20" t="str">
            <v>Contractual Services</v>
          </cell>
          <cell r="B20" t="str">
            <v>8052 Administrative Department:Janitorial Service</v>
          </cell>
          <cell r="C20">
            <v>5683.2062699999997</v>
          </cell>
          <cell r="E20">
            <v>0</v>
          </cell>
          <cell r="F20">
            <v>0</v>
          </cell>
          <cell r="G20">
            <v>2841.6031349999998</v>
          </cell>
          <cell r="H20">
            <v>2841.6031349999998</v>
          </cell>
        </row>
        <row r="21">
          <cell r="A21" t="str">
            <v>Contractual Services</v>
          </cell>
          <cell r="B21" t="str">
            <v>8055 Administrative Department:Employee Training &amp; Travel</v>
          </cell>
          <cell r="C21">
            <v>13832.44793</v>
          </cell>
          <cell r="E21">
            <v>0</v>
          </cell>
          <cell r="F21">
            <v>0</v>
          </cell>
          <cell r="G21">
            <v>6916.2239650000001</v>
          </cell>
          <cell r="H21">
            <v>6916.2239650000001</v>
          </cell>
        </row>
        <row r="22">
          <cell r="A22" t="str">
            <v>Contractual Services</v>
          </cell>
          <cell r="B22" t="str">
            <v>8072 Administrative Department:Service Contracts</v>
          </cell>
          <cell r="C22">
            <v>1712.56232</v>
          </cell>
          <cell r="E22">
            <v>0</v>
          </cell>
          <cell r="F22">
            <v>0</v>
          </cell>
          <cell r="G22">
            <v>856.28116</v>
          </cell>
          <cell r="H22">
            <v>856.28116</v>
          </cell>
        </row>
        <row r="23">
          <cell r="A23" t="str">
            <v>Contractual Services</v>
          </cell>
          <cell r="B23" t="str">
            <v>8074 Administrative Department:Computer Programming</v>
          </cell>
          <cell r="C23">
            <v>10097.742620000001</v>
          </cell>
          <cell r="E23">
            <v>0</v>
          </cell>
          <cell r="F23">
            <v>0</v>
          </cell>
          <cell r="G23">
            <v>5048.8713100000004</v>
          </cell>
          <cell r="H23">
            <v>5048.8713100000004</v>
          </cell>
        </row>
        <row r="24">
          <cell r="A24" t="str">
            <v>Contractual Services Total</v>
          </cell>
          <cell r="C24">
            <v>425073.40193000017</v>
          </cell>
          <cell r="E24">
            <v>191684.19</v>
          </cell>
          <cell r="F24">
            <v>145465.38999999998</v>
          </cell>
          <cell r="G24">
            <v>43961.910965000003</v>
          </cell>
          <cell r="H24">
            <v>43961.910965000003</v>
          </cell>
        </row>
        <row r="25">
          <cell r="A25" t="str">
            <v>Employee Benefits &amp; Taxes</v>
          </cell>
          <cell r="B25" t="str">
            <v>6088 Water Department:Water Maintenance System:Employee Benefits - Maintenance</v>
          </cell>
          <cell r="C25">
            <v>241102.07</v>
          </cell>
          <cell r="E25">
            <v>0</v>
          </cell>
          <cell r="F25">
            <v>241102.07</v>
          </cell>
          <cell r="G25">
            <v>0</v>
          </cell>
          <cell r="H25">
            <v>0</v>
          </cell>
        </row>
        <row r="26">
          <cell r="A26" t="str">
            <v>Employee Benefits &amp; Taxes</v>
          </cell>
          <cell r="B26" t="str">
            <v>6099 Water Department:Water Treatment Plant:Employee Benefits- WTP</v>
          </cell>
          <cell r="C26">
            <v>380219.56</v>
          </cell>
          <cell r="E26">
            <v>380219.56</v>
          </cell>
          <cell r="F26">
            <v>0</v>
          </cell>
          <cell r="G26">
            <v>0</v>
          </cell>
          <cell r="H26">
            <v>0</v>
          </cell>
        </row>
        <row r="27">
          <cell r="A27" t="str">
            <v>Employee Benefits &amp; Taxes</v>
          </cell>
          <cell r="B27" t="str">
            <v>8055 Administrative Department:Pension Expense</v>
          </cell>
          <cell r="C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Employee Benefits &amp; Taxes</v>
          </cell>
          <cell r="B28" t="str">
            <v>8080 Administrative Department:Payroll Taxes</v>
          </cell>
          <cell r="C28">
            <v>2003.05</v>
          </cell>
          <cell r="E28">
            <v>0</v>
          </cell>
          <cell r="F28">
            <v>0</v>
          </cell>
          <cell r="G28">
            <v>1001.525</v>
          </cell>
          <cell r="H28">
            <v>1001.525</v>
          </cell>
        </row>
        <row r="29">
          <cell r="A29" t="str">
            <v>Employee Benefits &amp; Taxes</v>
          </cell>
          <cell r="B29" t="str">
            <v>8099 Administrative Department:Employee Benefits</v>
          </cell>
          <cell r="C29">
            <v>190555.32551999998</v>
          </cell>
          <cell r="E29">
            <v>0</v>
          </cell>
          <cell r="F29">
            <v>0</v>
          </cell>
          <cell r="G29">
            <v>95277.662759999992</v>
          </cell>
          <cell r="H29">
            <v>95277.662759999992</v>
          </cell>
        </row>
        <row r="30">
          <cell r="A30" t="str">
            <v>Employee Benefits &amp; Taxes Total</v>
          </cell>
          <cell r="C30">
            <v>813880.00552000001</v>
          </cell>
          <cell r="E30">
            <v>380219.56</v>
          </cell>
          <cell r="F30">
            <v>241102.07</v>
          </cell>
          <cell r="G30">
            <v>96279.187759999986</v>
          </cell>
          <cell r="H30">
            <v>96279.187759999986</v>
          </cell>
        </row>
        <row r="31">
          <cell r="A31" t="str">
            <v>General Expenses</v>
          </cell>
          <cell r="B31" t="str">
            <v>6017 Water Department:Water Maintenance System:Vehicle Expenses</v>
          </cell>
          <cell r="C31">
            <v>38200.269999999997</v>
          </cell>
          <cell r="E31">
            <v>0</v>
          </cell>
          <cell r="F31">
            <v>38200.269999999997</v>
          </cell>
          <cell r="G31">
            <v>0</v>
          </cell>
          <cell r="H31">
            <v>0</v>
          </cell>
        </row>
        <row r="32">
          <cell r="A32" t="str">
            <v>General Expenses</v>
          </cell>
          <cell r="B32" t="str">
            <v>6018 Water Department:Water Treatment Plant:Vehicle Expenses</v>
          </cell>
          <cell r="C32">
            <v>23628.25</v>
          </cell>
          <cell r="E32">
            <v>23628.25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General Expenses</v>
          </cell>
          <cell r="B33" t="str">
            <v>6019 Water Department:Water Maintenance System:Equipment Expenses</v>
          </cell>
          <cell r="C33">
            <v>2093.88</v>
          </cell>
          <cell r="E33">
            <v>0</v>
          </cell>
          <cell r="F33">
            <v>2093.88</v>
          </cell>
          <cell r="G33">
            <v>0</v>
          </cell>
          <cell r="H33">
            <v>0</v>
          </cell>
        </row>
        <row r="34">
          <cell r="A34" t="str">
            <v>General Expenses</v>
          </cell>
          <cell r="B34" t="str">
            <v>6030 Water Department:Water Maintenance System:Computer Expense</v>
          </cell>
          <cell r="C34">
            <v>10076.69</v>
          </cell>
          <cell r="E34">
            <v>0</v>
          </cell>
          <cell r="F34">
            <v>10076.69</v>
          </cell>
          <cell r="G34">
            <v>0</v>
          </cell>
          <cell r="H34">
            <v>0</v>
          </cell>
        </row>
        <row r="35">
          <cell r="A35" t="str">
            <v>General Expenses</v>
          </cell>
          <cell r="B35" t="str">
            <v>6031 Water Department:Water Treatment Plant:Computer Expense</v>
          </cell>
          <cell r="C35">
            <v>4214.51</v>
          </cell>
          <cell r="E35">
            <v>4214.51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General Expenses</v>
          </cell>
          <cell r="B36" t="str">
            <v>6070 Water Department:Water Maintenance System:Drug and Alcohol Testing</v>
          </cell>
          <cell r="C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General Expenses</v>
          </cell>
          <cell r="B37" t="str">
            <v>6075 Water Department:Water Maintenance System:Employee Training &amp; Travel</v>
          </cell>
          <cell r="C37">
            <v>11620.92</v>
          </cell>
          <cell r="E37">
            <v>0</v>
          </cell>
          <cell r="F37">
            <v>11620.92</v>
          </cell>
          <cell r="G37">
            <v>0</v>
          </cell>
          <cell r="H37">
            <v>0</v>
          </cell>
        </row>
        <row r="38">
          <cell r="A38" t="str">
            <v>General Expenses</v>
          </cell>
          <cell r="B38" t="str">
            <v>6087 Water Department:Water Treatment Plant:Dues &amp; Subscriptions WTP</v>
          </cell>
          <cell r="C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General Expenses</v>
          </cell>
          <cell r="B39" t="str">
            <v>6093 Water Department:Water Treatment Plant:Uniform Exp - WTP</v>
          </cell>
          <cell r="C39">
            <v>1007.23</v>
          </cell>
          <cell r="E39">
            <v>1007.23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General Expenses</v>
          </cell>
          <cell r="B40" t="str">
            <v>6150 Water Department:Water Treatment Plant:Drug/Alcohol Test  WTP</v>
          </cell>
          <cell r="C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General Expenses</v>
          </cell>
          <cell r="B41" t="str">
            <v>8018 Administrative Department:Vehicle Expenses</v>
          </cell>
          <cell r="C41">
            <v>12541.323200000001</v>
          </cell>
          <cell r="E41">
            <v>0</v>
          </cell>
          <cell r="F41">
            <v>0</v>
          </cell>
          <cell r="G41">
            <v>6270.6616000000004</v>
          </cell>
          <cell r="H41">
            <v>6270.6616000000004</v>
          </cell>
        </row>
        <row r="42">
          <cell r="A42" t="str">
            <v>General Expenses</v>
          </cell>
          <cell r="B42" t="str">
            <v>8073 Administrative Department:Dues &amp; Subscriptions</v>
          </cell>
          <cell r="C42">
            <v>526.57499999999993</v>
          </cell>
          <cell r="E42">
            <v>0</v>
          </cell>
          <cell r="F42">
            <v>0</v>
          </cell>
          <cell r="G42">
            <v>263.28749999999997</v>
          </cell>
          <cell r="H42">
            <v>263.28749999999997</v>
          </cell>
        </row>
        <row r="43">
          <cell r="A43" t="str">
            <v>General Expenses</v>
          </cell>
          <cell r="B43" t="str">
            <v>8087 Administrative Department:Bad Debts</v>
          </cell>
          <cell r="C43">
            <v>15456</v>
          </cell>
          <cell r="E43">
            <v>0</v>
          </cell>
          <cell r="F43">
            <v>0</v>
          </cell>
          <cell r="G43">
            <v>7728</v>
          </cell>
          <cell r="H43">
            <v>7728</v>
          </cell>
        </row>
        <row r="44">
          <cell r="A44" t="str">
            <v>General Expenses</v>
          </cell>
          <cell r="B44" t="str">
            <v>8088 Administrative Department:Safety Program Expenses</v>
          </cell>
          <cell r="C44">
            <v>2872.2580599999997</v>
          </cell>
          <cell r="E44">
            <v>0</v>
          </cell>
          <cell r="F44">
            <v>0</v>
          </cell>
          <cell r="G44">
            <v>1436.1290299999998</v>
          </cell>
          <cell r="H44">
            <v>1436.1290299999998</v>
          </cell>
        </row>
        <row r="45">
          <cell r="A45" t="str">
            <v>General Expenses</v>
          </cell>
          <cell r="B45" t="str">
            <v>8090 Administrative Department:Miscellaneous</v>
          </cell>
          <cell r="C45">
            <v>15707.740509999998</v>
          </cell>
          <cell r="E45">
            <v>0</v>
          </cell>
          <cell r="F45">
            <v>0</v>
          </cell>
          <cell r="G45">
            <v>7853.8702549999989</v>
          </cell>
          <cell r="H45">
            <v>7853.8702549999989</v>
          </cell>
        </row>
        <row r="46">
          <cell r="A46" t="str">
            <v>General Expenses</v>
          </cell>
          <cell r="B46" t="str">
            <v>8091 Administrative Department:Ceremonies &amp; Award</v>
          </cell>
          <cell r="C46">
            <v>6567.4103599999989</v>
          </cell>
          <cell r="E46">
            <v>0</v>
          </cell>
          <cell r="F46">
            <v>0</v>
          </cell>
          <cell r="G46">
            <v>3283.7051799999995</v>
          </cell>
          <cell r="H46">
            <v>3283.7051799999995</v>
          </cell>
        </row>
        <row r="47">
          <cell r="A47" t="str">
            <v>General Expenses Total</v>
          </cell>
          <cell r="C47">
            <v>144513.05712999997</v>
          </cell>
          <cell r="E47">
            <v>28849.99</v>
          </cell>
          <cell r="F47">
            <v>61991.759999999995</v>
          </cell>
          <cell r="G47">
            <v>26835.653565000001</v>
          </cell>
          <cell r="H47">
            <v>26835.653565000001</v>
          </cell>
        </row>
        <row r="48">
          <cell r="A48" t="str">
            <v>Insurance</v>
          </cell>
          <cell r="B48" t="str">
            <v>8065 Administrative Department:General Insurance</v>
          </cell>
          <cell r="C48">
            <v>80357.488469999997</v>
          </cell>
          <cell r="E48">
            <v>0</v>
          </cell>
          <cell r="F48">
            <v>0</v>
          </cell>
          <cell r="G48">
            <v>40178.744234999998</v>
          </cell>
          <cell r="H48">
            <v>40178.744234999998</v>
          </cell>
        </row>
        <row r="49">
          <cell r="A49" t="str">
            <v>Insurance</v>
          </cell>
          <cell r="B49" t="str">
            <v>8065 Administrative Department:Workman's Comp Ins</v>
          </cell>
          <cell r="C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 t="str">
            <v>Insurance Total</v>
          </cell>
          <cell r="C50">
            <v>80357.488469999997</v>
          </cell>
          <cell r="E50">
            <v>0</v>
          </cell>
          <cell r="F50">
            <v>0</v>
          </cell>
          <cell r="G50">
            <v>40178.744234999998</v>
          </cell>
          <cell r="H50">
            <v>40178.744234999998</v>
          </cell>
        </row>
        <row r="51">
          <cell r="A51" t="str">
            <v>Operating Supplies</v>
          </cell>
          <cell r="B51" t="str">
            <v>6011 Water Department:Water Maintenance System:Equipment Fuel</v>
          </cell>
          <cell r="C51">
            <v>28872.43</v>
          </cell>
          <cell r="E51">
            <v>0</v>
          </cell>
          <cell r="F51">
            <v>28872.43</v>
          </cell>
          <cell r="G51">
            <v>0</v>
          </cell>
          <cell r="H51">
            <v>0</v>
          </cell>
        </row>
        <row r="52">
          <cell r="A52" t="str">
            <v>Operating Supplies</v>
          </cell>
          <cell r="B52" t="str">
            <v>6013 Water Department:Water Treatment Plant:Equipment Fuel</v>
          </cell>
          <cell r="C52">
            <v>9832.41</v>
          </cell>
          <cell r="E52">
            <v>9832.41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Operating Supplies</v>
          </cell>
          <cell r="B53" t="str">
            <v>6025 Water Department:Water Treatment Plant:Janitor/Shop Supplies</v>
          </cell>
          <cell r="C53">
            <v>2089.5300000000002</v>
          </cell>
          <cell r="E53">
            <v>2089.5300000000002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Operating Supplies</v>
          </cell>
          <cell r="B54" t="str">
            <v>6026 Water Department:Water Maintenance System:Janitor/Shop Supplies</v>
          </cell>
          <cell r="C54">
            <v>6886</v>
          </cell>
          <cell r="E54">
            <v>0</v>
          </cell>
          <cell r="F54">
            <v>6886</v>
          </cell>
          <cell r="G54">
            <v>0</v>
          </cell>
          <cell r="H54">
            <v>0</v>
          </cell>
        </row>
        <row r="55">
          <cell r="A55" t="str">
            <v>Operating Supplies</v>
          </cell>
          <cell r="B55" t="str">
            <v>6027 Water Department:Water Maintenance System:Office Supplies</v>
          </cell>
          <cell r="C55">
            <v>1031.81</v>
          </cell>
          <cell r="E55">
            <v>0</v>
          </cell>
          <cell r="F55">
            <v>1031.81</v>
          </cell>
          <cell r="G55">
            <v>0</v>
          </cell>
          <cell r="H55">
            <v>0</v>
          </cell>
        </row>
        <row r="56">
          <cell r="A56" t="str">
            <v>Operating Supplies</v>
          </cell>
          <cell r="B56" t="str">
            <v>6065 Water Department:Water Treatment Plant:Office Supplies</v>
          </cell>
          <cell r="C56">
            <v>406.94</v>
          </cell>
          <cell r="E56">
            <v>406.94</v>
          </cell>
          <cell r="F56">
            <v>0</v>
          </cell>
          <cell r="G56">
            <v>0</v>
          </cell>
          <cell r="H56">
            <v>0</v>
          </cell>
        </row>
        <row r="57">
          <cell r="A57" t="str">
            <v>Operating Supplies</v>
          </cell>
          <cell r="B57" t="str">
            <v>6092 Water Department:Water Maintenance System:Uniform Exp - Mtn</v>
          </cell>
          <cell r="C57">
            <v>904.84</v>
          </cell>
          <cell r="E57">
            <v>0</v>
          </cell>
          <cell r="F57">
            <v>904.84</v>
          </cell>
          <cell r="G57">
            <v>0</v>
          </cell>
          <cell r="H57">
            <v>0</v>
          </cell>
        </row>
        <row r="58">
          <cell r="A58" t="str">
            <v>Operating Supplies</v>
          </cell>
          <cell r="B58" t="str">
            <v>8070 Administrative Department:Office Supplies</v>
          </cell>
          <cell r="C58">
            <v>7734.9241899999997</v>
          </cell>
          <cell r="E58">
            <v>0</v>
          </cell>
          <cell r="F58">
            <v>0</v>
          </cell>
          <cell r="G58">
            <v>3867.4620949999999</v>
          </cell>
          <cell r="H58">
            <v>3867.4620949999999</v>
          </cell>
        </row>
        <row r="59">
          <cell r="A59" t="str">
            <v>Operating Supplies</v>
          </cell>
          <cell r="B59" t="str">
            <v>8071 Administrative Department:Postage</v>
          </cell>
          <cell r="C59">
            <v>20855.661609999999</v>
          </cell>
          <cell r="E59">
            <v>0</v>
          </cell>
          <cell r="F59">
            <v>0</v>
          </cell>
          <cell r="G59">
            <v>10427.830805</v>
          </cell>
          <cell r="H59">
            <v>10427.830805</v>
          </cell>
        </row>
        <row r="60">
          <cell r="A60" t="str">
            <v>Operating Supplies</v>
          </cell>
          <cell r="B60" t="str">
            <v>8092 Administrative Department:Uniform Expense</v>
          </cell>
          <cell r="C60">
            <v>544.48680999999988</v>
          </cell>
          <cell r="E60">
            <v>0</v>
          </cell>
          <cell r="F60">
            <v>0</v>
          </cell>
          <cell r="G60">
            <v>272.24340499999994</v>
          </cell>
          <cell r="H60">
            <v>272.24340499999994</v>
          </cell>
        </row>
        <row r="61">
          <cell r="A61" t="str">
            <v>Operating Supplies Total</v>
          </cell>
          <cell r="C61">
            <v>79159.032609999995</v>
          </cell>
          <cell r="E61">
            <v>12328.880000000001</v>
          </cell>
          <cell r="F61">
            <v>37695.079999999994</v>
          </cell>
          <cell r="G61">
            <v>14567.536305</v>
          </cell>
          <cell r="H61">
            <v>14567.536305</v>
          </cell>
        </row>
        <row r="62">
          <cell r="A62" t="str">
            <v>Salaries &amp; Wages</v>
          </cell>
          <cell r="B62" t="str">
            <v>6000 Water Department:Water Treatment Plant:Salaries - WTP</v>
          </cell>
          <cell r="C62">
            <v>566595.88</v>
          </cell>
          <cell r="E62">
            <v>566595.88</v>
          </cell>
          <cell r="F62">
            <v>0</v>
          </cell>
          <cell r="G62">
            <v>0</v>
          </cell>
          <cell r="H62">
            <v>0</v>
          </cell>
        </row>
        <row r="63">
          <cell r="A63" t="str">
            <v>Salaries &amp; Wages</v>
          </cell>
          <cell r="B63" t="str">
            <v>6001 Water Department:Water Maintenance System:Salaries - Water Maint</v>
          </cell>
          <cell r="C63">
            <v>341780.93</v>
          </cell>
          <cell r="E63">
            <v>0</v>
          </cell>
          <cell r="F63">
            <v>341780.93</v>
          </cell>
          <cell r="G63">
            <v>0</v>
          </cell>
          <cell r="H63">
            <v>0</v>
          </cell>
        </row>
        <row r="64">
          <cell r="A64" t="str">
            <v>Salaries &amp; Wages</v>
          </cell>
          <cell r="B64" t="str">
            <v>8000 Administrative Department:Salaries - Admin</v>
          </cell>
          <cell r="C64">
            <v>286233.34634999995</v>
          </cell>
          <cell r="E64">
            <v>0</v>
          </cell>
          <cell r="F64">
            <v>0</v>
          </cell>
          <cell r="G64">
            <v>143116.67317499997</v>
          </cell>
          <cell r="H64">
            <v>143116.67317499997</v>
          </cell>
        </row>
        <row r="65">
          <cell r="A65" t="str">
            <v>Salaries &amp; Wages Total</v>
          </cell>
          <cell r="C65">
            <v>1194610.1563500001</v>
          </cell>
          <cell r="E65">
            <v>566595.88</v>
          </cell>
          <cell r="F65">
            <v>341780.93</v>
          </cell>
          <cell r="G65">
            <v>143116.67317499997</v>
          </cell>
          <cell r="H65">
            <v>143116.67317499997</v>
          </cell>
        </row>
        <row r="66">
          <cell r="A66" t="str">
            <v>Utilities</v>
          </cell>
          <cell r="B66" t="str">
            <v>6015 Water Department:Water Treatment Plant:Utilities-WTP</v>
          </cell>
          <cell r="C66">
            <v>433779.01</v>
          </cell>
          <cell r="E66">
            <v>433779.01</v>
          </cell>
          <cell r="F66">
            <v>0</v>
          </cell>
          <cell r="G66">
            <v>0</v>
          </cell>
          <cell r="H66">
            <v>0</v>
          </cell>
        </row>
        <row r="67">
          <cell r="A67" t="str">
            <v>Utilities</v>
          </cell>
          <cell r="B67" t="str">
            <v>6016 Water Department:Water Maintenance System:Shop Utilities</v>
          </cell>
          <cell r="C67">
            <v>14193.07</v>
          </cell>
          <cell r="E67">
            <v>0</v>
          </cell>
          <cell r="F67">
            <v>14193.07</v>
          </cell>
          <cell r="G67">
            <v>0</v>
          </cell>
          <cell r="H67">
            <v>0</v>
          </cell>
        </row>
        <row r="68">
          <cell r="A68" t="str">
            <v>Utilities</v>
          </cell>
          <cell r="B68" t="str">
            <v>8015 Administrative Department:Office Utilities</v>
          </cell>
          <cell r="C68">
            <v>14426.023919999998</v>
          </cell>
          <cell r="E68">
            <v>0</v>
          </cell>
          <cell r="F68">
            <v>0</v>
          </cell>
          <cell r="G68">
            <v>7213.0119599999989</v>
          </cell>
          <cell r="H68">
            <v>7213.0119599999989</v>
          </cell>
        </row>
        <row r="69">
          <cell r="A69" t="str">
            <v>Utilities Total</v>
          </cell>
          <cell r="C69">
            <v>462398.10392000002</v>
          </cell>
          <cell r="E69">
            <v>433779.01</v>
          </cell>
          <cell r="F69">
            <v>14193.07</v>
          </cell>
          <cell r="G69">
            <v>7213.0119599999989</v>
          </cell>
          <cell r="H69">
            <v>7213.0119599999989</v>
          </cell>
        </row>
        <row r="70">
          <cell r="A70" t="str">
            <v>Grand Total</v>
          </cell>
          <cell r="C70">
            <v>3582834.5559299998</v>
          </cell>
          <cell r="E70">
            <v>1996300.8199999998</v>
          </cell>
          <cell r="F70">
            <v>842228.29999999993</v>
          </cell>
          <cell r="G70">
            <v>372152.7179649999</v>
          </cell>
          <cell r="H70">
            <v>372152.7179649999</v>
          </cell>
        </row>
        <row r="71">
          <cell r="E71" t="str">
            <v xml:space="preserve"> </v>
          </cell>
        </row>
        <row r="72">
          <cell r="B72" t="str">
            <v>Check Total</v>
          </cell>
          <cell r="C72">
            <v>3582834.5559299998</v>
          </cell>
          <cell r="E72" t="str">
            <v>OK</v>
          </cell>
        </row>
        <row r="74">
          <cell r="B74" t="str">
            <v>Check Total Across</v>
          </cell>
          <cell r="C74">
            <v>3582834.5559299993</v>
          </cell>
          <cell r="E74" t="str">
            <v>OK</v>
          </cell>
        </row>
      </sheetData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il with Subtotals"/>
      <sheetName val="Water"/>
      <sheetName val="Water Share of Joint"/>
      <sheetName val="Water + Joint"/>
      <sheetName val="New Project"/>
    </sheetNames>
    <sheetDataSet>
      <sheetData sheetId="0"/>
      <sheetData sheetId="1"/>
      <sheetData sheetId="2"/>
      <sheetData sheetId="3">
        <row r="6">
          <cell r="F6">
            <v>14447.77</v>
          </cell>
        </row>
        <row r="14">
          <cell r="F14">
            <v>1231.9599999999998</v>
          </cell>
        </row>
        <row r="15">
          <cell r="F15">
            <v>9981.130000000001</v>
          </cell>
        </row>
        <row r="16">
          <cell r="F16">
            <v>1953.0600000000002</v>
          </cell>
        </row>
        <row r="20">
          <cell r="F20">
            <v>416565.21999999991</v>
          </cell>
        </row>
        <row r="21">
          <cell r="F21">
            <v>36286.550000000003</v>
          </cell>
        </row>
        <row r="25">
          <cell r="F25">
            <v>2008.44</v>
          </cell>
        </row>
        <row r="26">
          <cell r="F26">
            <v>126788.32999999999</v>
          </cell>
        </row>
        <row r="28">
          <cell r="F28">
            <v>105693.79000000001</v>
          </cell>
        </row>
        <row r="29">
          <cell r="F29">
            <v>40423.700000000004</v>
          </cell>
        </row>
        <row r="32">
          <cell r="F32">
            <v>94412.014297376329</v>
          </cell>
        </row>
        <row r="34">
          <cell r="F34">
            <v>550.94294377204756</v>
          </cell>
        </row>
        <row r="38">
          <cell r="F38">
            <v>11442.604972753303</v>
          </cell>
        </row>
        <row r="39">
          <cell r="F39">
            <v>169.8027819893008</v>
          </cell>
        </row>
        <row r="40">
          <cell r="F40">
            <v>4305.1822880595591</v>
          </cell>
        </row>
        <row r="42">
          <cell r="F42">
            <v>3694.1089924131929</v>
          </cell>
        </row>
        <row r="44">
          <cell r="F44">
            <v>26455.785743490625</v>
          </cell>
        </row>
        <row r="45">
          <cell r="F45">
            <v>9461.115163246488</v>
          </cell>
        </row>
        <row r="48">
          <cell r="F48">
            <v>905871.5071831008</v>
          </cell>
        </row>
      </sheetData>
      <sheetData sheetId="4">
        <row r="12">
          <cell r="B12">
            <v>832841.63199999998</v>
          </cell>
          <cell r="C12">
            <v>567846.56727272726</v>
          </cell>
          <cell r="D12">
            <v>41642.081600000005</v>
          </cell>
          <cell r="E12">
            <v>57836.224444444444</v>
          </cell>
          <cell r="G12">
            <v>1500166.5053171716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bt Service Schedule"/>
      <sheetName val="Regional WTP Estimated DS"/>
    </sheetNames>
    <sheetDataSet>
      <sheetData sheetId="0">
        <row r="12">
          <cell r="B12" t="str">
            <v>WWTP expansion and upgrade</v>
          </cell>
          <cell r="D12">
            <v>386740</v>
          </cell>
          <cell r="E12">
            <v>18394</v>
          </cell>
          <cell r="F12">
            <v>390617</v>
          </cell>
          <cell r="G12">
            <v>10754</v>
          </cell>
          <cell r="H12">
            <v>394532</v>
          </cell>
          <cell r="I12">
            <v>6877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W12">
            <v>0</v>
          </cell>
          <cell r="X12">
            <v>1</v>
          </cell>
          <cell r="Y12">
            <v>0</v>
          </cell>
          <cell r="Z12">
            <v>0</v>
          </cell>
        </row>
        <row r="13">
          <cell r="B13" t="str">
            <v>Gravity and forcemain sewer extension</v>
          </cell>
          <cell r="D13">
            <v>19739</v>
          </cell>
          <cell r="E13">
            <v>1776</v>
          </cell>
          <cell r="F13">
            <v>19937</v>
          </cell>
          <cell r="G13">
            <v>1540</v>
          </cell>
          <cell r="H13">
            <v>20137</v>
          </cell>
          <cell r="I13">
            <v>1300</v>
          </cell>
          <cell r="J13">
            <v>20339</v>
          </cell>
          <cell r="K13">
            <v>1057</v>
          </cell>
          <cell r="L13">
            <v>20534</v>
          </cell>
          <cell r="M13">
            <v>812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</row>
        <row r="14">
          <cell r="B14" t="str">
            <v>Gravity  and forcemain sewer extension</v>
          </cell>
          <cell r="D14">
            <v>31539</v>
          </cell>
          <cell r="E14">
            <v>3246</v>
          </cell>
          <cell r="F14">
            <v>31856</v>
          </cell>
          <cell r="G14">
            <v>2867</v>
          </cell>
          <cell r="H14">
            <v>32175</v>
          </cell>
          <cell r="I14">
            <v>2482</v>
          </cell>
          <cell r="J14">
            <v>32498</v>
          </cell>
          <cell r="K14">
            <v>2096</v>
          </cell>
          <cell r="L14">
            <v>32823</v>
          </cell>
          <cell r="M14">
            <v>1705</v>
          </cell>
          <cell r="W14">
            <v>0</v>
          </cell>
          <cell r="X14">
            <v>1</v>
          </cell>
          <cell r="Y14">
            <v>0</v>
          </cell>
          <cell r="Z14">
            <v>0</v>
          </cell>
        </row>
        <row r="15">
          <cell r="B15" t="str">
            <v>WWTP expansion and upgrade</v>
          </cell>
          <cell r="D15">
            <v>95456</v>
          </cell>
          <cell r="E15">
            <v>11700</v>
          </cell>
          <cell r="F15">
            <v>96413</v>
          </cell>
          <cell r="G15">
            <v>10551</v>
          </cell>
          <cell r="H15">
            <v>97379</v>
          </cell>
          <cell r="I15">
            <v>9391</v>
          </cell>
          <cell r="J15">
            <v>98355</v>
          </cell>
          <cell r="K15">
            <v>8220</v>
          </cell>
          <cell r="L15">
            <v>99342</v>
          </cell>
          <cell r="M15">
            <v>7037</v>
          </cell>
          <cell r="W15">
            <v>0</v>
          </cell>
          <cell r="X15">
            <v>1</v>
          </cell>
          <cell r="Y15">
            <v>0</v>
          </cell>
          <cell r="Z15">
            <v>0</v>
          </cell>
        </row>
        <row r="16">
          <cell r="B16" t="str">
            <v>Gravity  and forcemain sewer extension</v>
          </cell>
          <cell r="D16">
            <v>87677</v>
          </cell>
          <cell r="E16">
            <v>10039</v>
          </cell>
          <cell r="F16">
            <v>88336</v>
          </cell>
          <cell r="G16">
            <v>9379</v>
          </cell>
          <cell r="H16">
            <v>89001</v>
          </cell>
          <cell r="I16">
            <v>8714</v>
          </cell>
          <cell r="J16">
            <v>89671</v>
          </cell>
          <cell r="K16">
            <v>8044</v>
          </cell>
          <cell r="L16">
            <v>90346</v>
          </cell>
          <cell r="M16">
            <v>7369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</row>
        <row r="17">
          <cell r="B17" t="str">
            <v>Gravity  and forcemain sewer extension</v>
          </cell>
          <cell r="D17">
            <v>172292</v>
          </cell>
          <cell r="E17">
            <v>116066</v>
          </cell>
          <cell r="F17">
            <v>177090</v>
          </cell>
          <cell r="G17">
            <v>111268</v>
          </cell>
          <cell r="H17">
            <v>182022</v>
          </cell>
          <cell r="I17">
            <v>106336</v>
          </cell>
          <cell r="J17">
            <v>187091</v>
          </cell>
          <cell r="K17">
            <v>101267</v>
          </cell>
          <cell r="L17">
            <v>192301</v>
          </cell>
          <cell r="M17">
            <v>96056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</row>
        <row r="18">
          <cell r="B18" t="str">
            <v>Gravity and forcemain sewer extension</v>
          </cell>
          <cell r="D18">
            <v>28630</v>
          </cell>
          <cell r="E18">
            <v>9577</v>
          </cell>
          <cell r="F18">
            <v>29062</v>
          </cell>
          <cell r="G18">
            <v>9145</v>
          </cell>
          <cell r="H18">
            <v>29501</v>
          </cell>
          <cell r="I18">
            <v>8706</v>
          </cell>
          <cell r="J18">
            <v>29947</v>
          </cell>
          <cell r="K18">
            <v>8260</v>
          </cell>
          <cell r="L18">
            <v>30399</v>
          </cell>
          <cell r="M18">
            <v>7808</v>
          </cell>
          <cell r="W18">
            <v>0</v>
          </cell>
          <cell r="X18">
            <v>1</v>
          </cell>
          <cell r="Y18">
            <v>0</v>
          </cell>
          <cell r="Z18">
            <v>0</v>
          </cell>
        </row>
        <row r="19">
          <cell r="B19" t="str">
            <v>New WTP, Raw Water Line, Storage Tank</v>
          </cell>
          <cell r="Q19">
            <v>0</v>
          </cell>
          <cell r="W19">
            <v>1</v>
          </cell>
          <cell r="X19">
            <v>0</v>
          </cell>
          <cell r="Y19">
            <v>0</v>
          </cell>
          <cell r="Z19">
            <v>0</v>
          </cell>
        </row>
        <row r="20">
          <cell r="B20" t="str">
            <v>Right to use water source (Cave Run Lake)</v>
          </cell>
          <cell r="D20">
            <v>160000</v>
          </cell>
          <cell r="E20">
            <v>123313</v>
          </cell>
          <cell r="F20">
            <v>165000</v>
          </cell>
          <cell r="G20">
            <v>115188</v>
          </cell>
          <cell r="H20">
            <v>175000</v>
          </cell>
          <cell r="I20">
            <v>106688</v>
          </cell>
          <cell r="J20">
            <v>185000</v>
          </cell>
          <cell r="K20">
            <v>97688</v>
          </cell>
          <cell r="L20">
            <v>195000</v>
          </cell>
          <cell r="M20">
            <v>88188</v>
          </cell>
          <cell r="W20">
            <v>0.72693469672321631</v>
          </cell>
          <cell r="X20">
            <v>0.27306530327678363</v>
          </cell>
          <cell r="Y20">
            <v>0</v>
          </cell>
          <cell r="Z20">
            <v>0</v>
          </cell>
        </row>
        <row r="21">
          <cell r="B21" t="str">
            <v>WTP and WWTP expansion and system upgrade</v>
          </cell>
          <cell r="D21">
            <v>0</v>
          </cell>
          <cell r="E21">
            <v>115368</v>
          </cell>
          <cell r="F21">
            <v>50402.64</v>
          </cell>
          <cell r="G21">
            <v>64965.36</v>
          </cell>
          <cell r="H21">
            <v>49103.33</v>
          </cell>
          <cell r="I21">
            <v>66264.67</v>
          </cell>
          <cell r="J21">
            <v>47778.04</v>
          </cell>
          <cell r="K21">
            <v>67589.960000000006</v>
          </cell>
          <cell r="L21">
            <v>46426.239999999998</v>
          </cell>
          <cell r="M21">
            <v>68941.759999999995</v>
          </cell>
          <cell r="W21">
            <v>1</v>
          </cell>
          <cell r="X21">
            <v>0</v>
          </cell>
          <cell r="Y21">
            <v>0</v>
          </cell>
          <cell r="Z21">
            <v>0</v>
          </cell>
        </row>
        <row r="22">
          <cell r="B22" t="str">
            <v>Fleet vehicles</v>
          </cell>
          <cell r="D22">
            <v>174975.35</v>
          </cell>
          <cell r="E22">
            <v>34221.71</v>
          </cell>
          <cell r="F22">
            <v>113651.62</v>
          </cell>
          <cell r="G22">
            <v>23606.47</v>
          </cell>
          <cell r="H22">
            <v>89917.09</v>
          </cell>
          <cell r="I22">
            <v>19297.87</v>
          </cell>
          <cell r="J22">
            <v>67709.13</v>
          </cell>
          <cell r="K22">
            <v>15981.52</v>
          </cell>
          <cell r="L22">
            <v>40283.54</v>
          </cell>
          <cell r="M22">
            <v>10226.08</v>
          </cell>
          <cell r="W22">
            <v>0.30230916154833876</v>
          </cell>
          <cell r="X22">
            <v>0.28818548237665365</v>
          </cell>
          <cell r="Y22">
            <v>0.20475267803750374</v>
          </cell>
          <cell r="Z22">
            <v>0.20475267803750374</v>
          </cell>
        </row>
        <row r="23">
          <cell r="Q23">
            <v>1344278.2760000001</v>
          </cell>
        </row>
        <row r="30">
          <cell r="Q30">
            <v>1613133.9312</v>
          </cell>
        </row>
      </sheetData>
      <sheetData sheetId="1">
        <row r="87">
          <cell r="C87">
            <v>150263.01</v>
          </cell>
          <cell r="D87">
            <v>930997.1100000001</v>
          </cell>
        </row>
        <row r="88">
          <cell r="C88">
            <v>145608.02445</v>
          </cell>
          <cell r="D88">
            <v>935652.09555000009</v>
          </cell>
        </row>
        <row r="89">
          <cell r="C89">
            <v>140929.76397225002</v>
          </cell>
          <cell r="D89">
            <v>940330.35602775007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C93C-C475-4208-B5C1-0B608D21A206}">
  <sheetPr>
    <pageSetUpPr fitToPage="1"/>
  </sheetPr>
  <dimension ref="A1:L76"/>
  <sheetViews>
    <sheetView workbookViewId="0">
      <selection activeCell="A23" sqref="A23"/>
    </sheetView>
  </sheetViews>
  <sheetFormatPr defaultRowHeight="14.25" x14ac:dyDescent="0.45"/>
  <cols>
    <col min="1" max="1" width="61.6640625" style="209" customWidth="1"/>
    <col min="2" max="2" width="12.1640625" style="209" customWidth="1"/>
    <col min="3" max="3" width="3" style="209" customWidth="1"/>
    <col min="4" max="7" width="12.1640625" style="210" customWidth="1"/>
    <col min="8" max="8" width="3" style="209" customWidth="1"/>
    <col min="9" max="12" width="12.1640625" style="211" customWidth="1"/>
    <col min="13" max="16384" width="8.88671875" style="209"/>
  </cols>
  <sheetData>
    <row r="1" spans="1:12" ht="14.35" customHeight="1" x14ac:dyDescent="0.45">
      <c r="A1" s="208" t="s">
        <v>128</v>
      </c>
    </row>
    <row r="2" spans="1:12" ht="14.35" customHeight="1" x14ac:dyDescent="0.45">
      <c r="A2" s="208" t="s">
        <v>134</v>
      </c>
    </row>
    <row r="3" spans="1:12" ht="14.35" customHeight="1" x14ac:dyDescent="0.45">
      <c r="A3" s="208" t="s">
        <v>205</v>
      </c>
      <c r="I3" s="212" t="s">
        <v>4</v>
      </c>
      <c r="J3" s="212" t="s">
        <v>4</v>
      </c>
      <c r="K3" s="212" t="s">
        <v>4</v>
      </c>
      <c r="L3" s="212" t="s">
        <v>4</v>
      </c>
    </row>
    <row r="4" spans="1:12" ht="14.35" customHeight="1" x14ac:dyDescent="0.45">
      <c r="B4" s="213"/>
      <c r="D4" s="214" t="s">
        <v>56</v>
      </c>
      <c r="E4" s="214" t="s">
        <v>73</v>
      </c>
      <c r="F4" s="214" t="s">
        <v>16</v>
      </c>
      <c r="G4" s="214" t="s">
        <v>91</v>
      </c>
      <c r="I4" s="215" t="s">
        <v>56</v>
      </c>
      <c r="J4" s="215" t="s">
        <v>73</v>
      </c>
      <c r="K4" s="215" t="s">
        <v>16</v>
      </c>
      <c r="L4" s="215" t="s">
        <v>91</v>
      </c>
    </row>
    <row r="5" spans="1:12" ht="14.35" customHeight="1" x14ac:dyDescent="0.45">
      <c r="A5" s="216"/>
      <c r="B5" s="217" t="s">
        <v>90</v>
      </c>
      <c r="D5" s="218" t="s">
        <v>72</v>
      </c>
      <c r="E5" s="218" t="s">
        <v>74</v>
      </c>
      <c r="F5" s="218" t="s">
        <v>75</v>
      </c>
      <c r="G5" s="218" t="s">
        <v>76</v>
      </c>
      <c r="I5" s="219" t="s">
        <v>72</v>
      </c>
      <c r="J5" s="219" t="s">
        <v>74</v>
      </c>
      <c r="K5" s="219" t="s">
        <v>75</v>
      </c>
      <c r="L5" s="219" t="s">
        <v>76</v>
      </c>
    </row>
    <row r="6" spans="1:12" ht="14.35" customHeight="1" x14ac:dyDescent="0.45">
      <c r="A6" s="220" t="str">
        <f>'[1]Operating Expenses'!A24</f>
        <v>6001 Water Department:Water Maintenance System:Salaries - Water Maint</v>
      </c>
      <c r="B6" s="221">
        <f>'[1]Water Operating Expenses'!B6</f>
        <v>341780.93</v>
      </c>
      <c r="D6" s="222">
        <f>$B6*I6</f>
        <v>0</v>
      </c>
      <c r="E6" s="222">
        <f t="shared" ref="E6:G37" si="0">$B6*J6</f>
        <v>341780.93</v>
      </c>
      <c r="F6" s="222">
        <f t="shared" si="0"/>
        <v>0</v>
      </c>
      <c r="G6" s="222">
        <f t="shared" si="0"/>
        <v>0</v>
      </c>
      <c r="I6" s="228">
        <f>'[1]Water Operating Expenses'!I6</f>
        <v>0</v>
      </c>
      <c r="J6" s="228">
        <f>'[1]Water Operating Expenses'!J6</f>
        <v>1</v>
      </c>
      <c r="K6" s="228">
        <f>'[1]Water Operating Expenses'!K6</f>
        <v>0</v>
      </c>
      <c r="L6" s="228">
        <f>'[1]Water Operating Expenses'!L6</f>
        <v>0</v>
      </c>
    </row>
    <row r="7" spans="1:12" ht="14.35" customHeight="1" x14ac:dyDescent="0.45">
      <c r="A7" s="220" t="str">
        <f>'[1]Operating Expenses'!A25</f>
        <v>6010 Water Department:Water Maintenance System:Equipment Repairs</v>
      </c>
      <c r="B7" s="221">
        <f>'[1]Water Operating Expenses'!B7</f>
        <v>16665.22</v>
      </c>
      <c r="D7" s="222">
        <f t="shared" ref="D7:D37" si="1">$B7*I7</f>
        <v>0</v>
      </c>
      <c r="E7" s="222">
        <f t="shared" si="0"/>
        <v>16665.22</v>
      </c>
      <c r="F7" s="222">
        <f t="shared" si="0"/>
        <v>0</v>
      </c>
      <c r="G7" s="222">
        <f t="shared" si="0"/>
        <v>0</v>
      </c>
      <c r="I7" s="228">
        <f>'[1]Water Operating Expenses'!I7</f>
        <v>0</v>
      </c>
      <c r="J7" s="228">
        <f>'[1]Water Operating Expenses'!J7</f>
        <v>1</v>
      </c>
      <c r="K7" s="228">
        <f>'[1]Water Operating Expenses'!K7</f>
        <v>0</v>
      </c>
      <c r="L7" s="228">
        <f>'[1]Water Operating Expenses'!L7</f>
        <v>0</v>
      </c>
    </row>
    <row r="8" spans="1:12" ht="14.35" customHeight="1" x14ac:dyDescent="0.45">
      <c r="A8" s="220" t="str">
        <f>'[1]Operating Expenses'!A26</f>
        <v>6011 Water Department:Water Maintenance System:Equipment Fuel</v>
      </c>
      <c r="B8" s="221">
        <f>'[1]Water Operating Expenses'!B8</f>
        <v>28872.43</v>
      </c>
      <c r="D8" s="222">
        <f t="shared" si="1"/>
        <v>0</v>
      </c>
      <c r="E8" s="222">
        <f t="shared" si="0"/>
        <v>28872.43</v>
      </c>
      <c r="F8" s="222">
        <f t="shared" si="0"/>
        <v>0</v>
      </c>
      <c r="G8" s="222">
        <f t="shared" si="0"/>
        <v>0</v>
      </c>
      <c r="I8" s="228">
        <f>'[1]Water Operating Expenses'!I8</f>
        <v>0</v>
      </c>
      <c r="J8" s="228">
        <f>'[1]Water Operating Expenses'!J8</f>
        <v>1</v>
      </c>
      <c r="K8" s="228">
        <f>'[1]Water Operating Expenses'!K8</f>
        <v>0</v>
      </c>
      <c r="L8" s="228">
        <f>'[1]Water Operating Expenses'!L8</f>
        <v>0</v>
      </c>
    </row>
    <row r="9" spans="1:12" ht="14.35" customHeight="1" x14ac:dyDescent="0.45">
      <c r="A9" s="220" t="str">
        <f>'[1]Operating Expenses'!A27</f>
        <v>6016 Water Department:Water Maintenance System:Shop Utilities</v>
      </c>
      <c r="B9" s="221">
        <f>'[1]Water Operating Expenses'!B9</f>
        <v>14193.07</v>
      </c>
      <c r="D9" s="222">
        <f t="shared" si="1"/>
        <v>0</v>
      </c>
      <c r="E9" s="222">
        <f t="shared" si="0"/>
        <v>14193.07</v>
      </c>
      <c r="F9" s="222">
        <f t="shared" si="0"/>
        <v>0</v>
      </c>
      <c r="G9" s="222">
        <f t="shared" si="0"/>
        <v>0</v>
      </c>
      <c r="I9" s="228">
        <f>'[1]Water Operating Expenses'!I9</f>
        <v>0</v>
      </c>
      <c r="J9" s="228">
        <f>'[1]Water Operating Expenses'!J9</f>
        <v>1</v>
      </c>
      <c r="K9" s="228">
        <f>'[1]Water Operating Expenses'!K9</f>
        <v>0</v>
      </c>
      <c r="L9" s="228">
        <f>'[1]Water Operating Expenses'!L9</f>
        <v>0</v>
      </c>
    </row>
    <row r="10" spans="1:12" ht="14.35" customHeight="1" x14ac:dyDescent="0.45">
      <c r="A10" s="220" t="str">
        <f>'[1]Operating Expenses'!A28</f>
        <v>6017 Water Department:Water Maintenance System:Vehicle Expenses</v>
      </c>
      <c r="B10" s="221">
        <f>'[1]Water Operating Expenses'!B10</f>
        <v>38200.269999999997</v>
      </c>
      <c r="D10" s="222">
        <f t="shared" si="1"/>
        <v>0</v>
      </c>
      <c r="E10" s="222">
        <f t="shared" si="0"/>
        <v>38200.269999999997</v>
      </c>
      <c r="F10" s="222">
        <f t="shared" si="0"/>
        <v>0</v>
      </c>
      <c r="G10" s="222">
        <f t="shared" si="0"/>
        <v>0</v>
      </c>
      <c r="I10" s="228">
        <f>'[1]Water Operating Expenses'!I10</f>
        <v>0</v>
      </c>
      <c r="J10" s="228">
        <f>'[1]Water Operating Expenses'!J10</f>
        <v>1</v>
      </c>
      <c r="K10" s="228">
        <f>'[1]Water Operating Expenses'!K10</f>
        <v>0</v>
      </c>
      <c r="L10" s="228">
        <f>'[1]Water Operating Expenses'!L10</f>
        <v>0</v>
      </c>
    </row>
    <row r="11" spans="1:12" ht="14.35" customHeight="1" x14ac:dyDescent="0.45">
      <c r="A11" s="220" t="str">
        <f>'[1]Operating Expenses'!A29</f>
        <v>6019 Water Department:Water Maintenance System:Equipment Expenses</v>
      </c>
      <c r="B11" s="221">
        <f>'[1]Water Operating Expenses'!B11</f>
        <v>2093.88</v>
      </c>
      <c r="D11" s="222">
        <f t="shared" si="1"/>
        <v>0</v>
      </c>
      <c r="E11" s="222">
        <f t="shared" si="0"/>
        <v>2093.88</v>
      </c>
      <c r="F11" s="222">
        <f t="shared" si="0"/>
        <v>0</v>
      </c>
      <c r="G11" s="222">
        <f t="shared" si="0"/>
        <v>0</v>
      </c>
      <c r="I11" s="228">
        <f>'[1]Water Operating Expenses'!I11</f>
        <v>0</v>
      </c>
      <c r="J11" s="228">
        <f>'[1]Water Operating Expenses'!J11</f>
        <v>1</v>
      </c>
      <c r="K11" s="228">
        <f>'[1]Water Operating Expenses'!K11</f>
        <v>0</v>
      </c>
      <c r="L11" s="228">
        <f>'[1]Water Operating Expenses'!L11</f>
        <v>0</v>
      </c>
    </row>
    <row r="12" spans="1:12" ht="14.35" customHeight="1" x14ac:dyDescent="0.45">
      <c r="A12" s="220" t="str">
        <f>'[1]Operating Expenses'!A30</f>
        <v>6020 Water Department:Water Maintenance System:System Repair/Maintenance</v>
      </c>
      <c r="B12" s="221">
        <f>'[1]Water Operating Expenses'!B12</f>
        <v>128378.27</v>
      </c>
      <c r="D12" s="222">
        <f t="shared" si="1"/>
        <v>0</v>
      </c>
      <c r="E12" s="222">
        <f t="shared" si="0"/>
        <v>128378.27</v>
      </c>
      <c r="F12" s="222">
        <f t="shared" si="0"/>
        <v>0</v>
      </c>
      <c r="G12" s="222">
        <f t="shared" si="0"/>
        <v>0</v>
      </c>
      <c r="I12" s="228">
        <f>'[1]Water Operating Expenses'!I12</f>
        <v>0</v>
      </c>
      <c r="J12" s="228">
        <f>'[1]Water Operating Expenses'!J12</f>
        <v>1</v>
      </c>
      <c r="K12" s="228">
        <f>'[1]Water Operating Expenses'!K12</f>
        <v>0</v>
      </c>
      <c r="L12" s="228">
        <f>'[1]Water Operating Expenses'!L12</f>
        <v>0</v>
      </c>
    </row>
    <row r="13" spans="1:12" ht="14.35" customHeight="1" x14ac:dyDescent="0.45">
      <c r="A13" s="220" t="str">
        <f>'[1]Operating Expenses'!A31</f>
        <v>6026 Water Department:Water Maintenance System:Janitor/Shop Supplies</v>
      </c>
      <c r="B13" s="221">
        <f>'[1]Water Operating Expenses'!B13</f>
        <v>6886</v>
      </c>
      <c r="D13" s="222">
        <f t="shared" si="1"/>
        <v>0</v>
      </c>
      <c r="E13" s="222">
        <f t="shared" si="0"/>
        <v>6886</v>
      </c>
      <c r="F13" s="222">
        <f t="shared" si="0"/>
        <v>0</v>
      </c>
      <c r="G13" s="222">
        <f t="shared" si="0"/>
        <v>0</v>
      </c>
      <c r="I13" s="228">
        <f>'[1]Water Operating Expenses'!I13</f>
        <v>0</v>
      </c>
      <c r="J13" s="228">
        <f>'[1]Water Operating Expenses'!J13</f>
        <v>1</v>
      </c>
      <c r="K13" s="228">
        <f>'[1]Water Operating Expenses'!K13</f>
        <v>0</v>
      </c>
      <c r="L13" s="228">
        <f>'[1]Water Operating Expenses'!L13</f>
        <v>0</v>
      </c>
    </row>
    <row r="14" spans="1:12" ht="14.35" customHeight="1" x14ac:dyDescent="0.45">
      <c r="A14" s="220" t="str">
        <f>'[1]Operating Expenses'!A32</f>
        <v>6027 Water Department:Water Maintenance System:Office Supplies</v>
      </c>
      <c r="B14" s="221">
        <f>'[1]Water Operating Expenses'!B14</f>
        <v>1031.81</v>
      </c>
      <c r="D14" s="222">
        <f t="shared" si="1"/>
        <v>0</v>
      </c>
      <c r="E14" s="222">
        <f t="shared" si="0"/>
        <v>1031.81</v>
      </c>
      <c r="F14" s="222">
        <f t="shared" si="0"/>
        <v>0</v>
      </c>
      <c r="G14" s="222">
        <f t="shared" si="0"/>
        <v>0</v>
      </c>
      <c r="I14" s="228">
        <f>'[1]Water Operating Expenses'!I14</f>
        <v>0</v>
      </c>
      <c r="J14" s="228">
        <f>'[1]Water Operating Expenses'!J14</f>
        <v>1</v>
      </c>
      <c r="K14" s="228">
        <f>'[1]Water Operating Expenses'!K14</f>
        <v>0</v>
      </c>
      <c r="L14" s="228">
        <f>'[1]Water Operating Expenses'!L14</f>
        <v>0</v>
      </c>
    </row>
    <row r="15" spans="1:12" ht="14.35" customHeight="1" x14ac:dyDescent="0.45">
      <c r="A15" s="220" t="str">
        <f>'[1]Operating Expenses'!A33</f>
        <v>6030 Water Department:Water Maintenance System:Computer Expense</v>
      </c>
      <c r="B15" s="221">
        <f>'[1]Water Operating Expenses'!B15</f>
        <v>10076.69</v>
      </c>
      <c r="D15" s="222">
        <f t="shared" si="1"/>
        <v>0</v>
      </c>
      <c r="E15" s="222">
        <f t="shared" si="0"/>
        <v>10076.69</v>
      </c>
      <c r="F15" s="222">
        <f t="shared" si="0"/>
        <v>0</v>
      </c>
      <c r="G15" s="222">
        <f t="shared" si="0"/>
        <v>0</v>
      </c>
      <c r="I15" s="228">
        <f>'[1]Water Operating Expenses'!I15</f>
        <v>0</v>
      </c>
      <c r="J15" s="228">
        <f>'[1]Water Operating Expenses'!J15</f>
        <v>1</v>
      </c>
      <c r="K15" s="228">
        <f>'[1]Water Operating Expenses'!K15</f>
        <v>0</v>
      </c>
      <c r="L15" s="228">
        <f>'[1]Water Operating Expenses'!L15</f>
        <v>0</v>
      </c>
    </row>
    <row r="16" spans="1:12" ht="14.35" customHeight="1" x14ac:dyDescent="0.45">
      <c r="A16" s="220" t="str">
        <f>'[1]Operating Expenses'!A34</f>
        <v>6050 Water Department:Water Maintenance System:Easements</v>
      </c>
      <c r="B16" s="221">
        <f>'[1]Water Operating Expenses'!B16</f>
        <v>421.9</v>
      </c>
      <c r="D16" s="222">
        <f t="shared" si="1"/>
        <v>0</v>
      </c>
      <c r="E16" s="222">
        <f t="shared" si="0"/>
        <v>421.9</v>
      </c>
      <c r="F16" s="222">
        <f t="shared" si="0"/>
        <v>0</v>
      </c>
      <c r="G16" s="222">
        <f t="shared" si="0"/>
        <v>0</v>
      </c>
      <c r="I16" s="228">
        <f>'[1]Water Operating Expenses'!I16</f>
        <v>0</v>
      </c>
      <c r="J16" s="228">
        <f>'[1]Water Operating Expenses'!J16</f>
        <v>1</v>
      </c>
      <c r="K16" s="228">
        <f>'[1]Water Operating Expenses'!K16</f>
        <v>0</v>
      </c>
      <c r="L16" s="228">
        <f>'[1]Water Operating Expenses'!L16</f>
        <v>0</v>
      </c>
    </row>
    <row r="17" spans="1:12" ht="14.35" customHeight="1" x14ac:dyDescent="0.45">
      <c r="A17" s="220" t="str">
        <f>'[1]Operating Expenses'!A35</f>
        <v>6070 Water Department:Water Maintenance System:Drug and Alcohol Testing</v>
      </c>
      <c r="B17" s="221">
        <f>'[1]Water Operating Expenses'!B17</f>
        <v>0</v>
      </c>
      <c r="D17" s="222">
        <f t="shared" si="1"/>
        <v>0</v>
      </c>
      <c r="E17" s="222">
        <f t="shared" si="0"/>
        <v>0</v>
      </c>
      <c r="F17" s="222">
        <f t="shared" si="0"/>
        <v>0</v>
      </c>
      <c r="G17" s="222">
        <f t="shared" si="0"/>
        <v>0</v>
      </c>
      <c r="I17" s="228">
        <f>'[1]Water Operating Expenses'!I17</f>
        <v>0</v>
      </c>
      <c r="J17" s="228">
        <f>'[1]Water Operating Expenses'!J17</f>
        <v>1</v>
      </c>
      <c r="K17" s="228">
        <f>'[1]Water Operating Expenses'!K17</f>
        <v>0</v>
      </c>
      <c r="L17" s="228">
        <f>'[1]Water Operating Expenses'!L17</f>
        <v>0</v>
      </c>
    </row>
    <row r="18" spans="1:12" ht="14.35" customHeight="1" x14ac:dyDescent="0.45">
      <c r="A18" s="220" t="str">
        <f>'[1]Operating Expenses'!A36</f>
        <v>6075 Water Department:Water Maintenance System:Employee Training &amp; Travel</v>
      </c>
      <c r="B18" s="221">
        <f>'[1]Water Operating Expenses'!B18</f>
        <v>11620.92</v>
      </c>
      <c r="D18" s="222">
        <f t="shared" si="1"/>
        <v>0</v>
      </c>
      <c r="E18" s="222">
        <f t="shared" si="0"/>
        <v>11620.92</v>
      </c>
      <c r="F18" s="222">
        <f t="shared" si="0"/>
        <v>0</v>
      </c>
      <c r="G18" s="222">
        <f t="shared" si="0"/>
        <v>0</v>
      </c>
      <c r="I18" s="228">
        <f>'[1]Water Operating Expenses'!I18</f>
        <v>0</v>
      </c>
      <c r="J18" s="228">
        <f>'[1]Water Operating Expenses'!J18</f>
        <v>1</v>
      </c>
      <c r="K18" s="228">
        <f>'[1]Water Operating Expenses'!K18</f>
        <v>0</v>
      </c>
      <c r="L18" s="228">
        <f>'[1]Water Operating Expenses'!L18</f>
        <v>0</v>
      </c>
    </row>
    <row r="19" spans="1:12" ht="14.35" customHeight="1" x14ac:dyDescent="0.45">
      <c r="A19" s="220" t="str">
        <f>'[1]Operating Expenses'!A37</f>
        <v>6088 Water Department:Water Maintenance System:Employee Benefits - Maintenance</v>
      </c>
      <c r="B19" s="221">
        <f>'[1]Water Operating Expenses'!B19</f>
        <v>241102.07</v>
      </c>
      <c r="D19" s="222">
        <f t="shared" si="1"/>
        <v>0</v>
      </c>
      <c r="E19" s="222">
        <f t="shared" si="0"/>
        <v>241102.07</v>
      </c>
      <c r="F19" s="222">
        <f t="shared" si="0"/>
        <v>0</v>
      </c>
      <c r="G19" s="222">
        <f t="shared" si="0"/>
        <v>0</v>
      </c>
      <c r="I19" s="228">
        <f>'[1]Water Operating Expenses'!I19</f>
        <v>0</v>
      </c>
      <c r="J19" s="228">
        <f>'[1]Water Operating Expenses'!J19</f>
        <v>1</v>
      </c>
      <c r="K19" s="228">
        <f>'[1]Water Operating Expenses'!K19</f>
        <v>0</v>
      </c>
      <c r="L19" s="228">
        <f>'[1]Water Operating Expenses'!L19</f>
        <v>0</v>
      </c>
    </row>
    <row r="20" spans="1:12" ht="14.35" customHeight="1" x14ac:dyDescent="0.45">
      <c r="A20" s="220" t="str">
        <f>'[1]Operating Expenses'!A38</f>
        <v>6092 Water Department:Water Maintenance System:Uniform Exp - Mtn</v>
      </c>
      <c r="B20" s="221">
        <f>'[1]Water Operating Expenses'!B20</f>
        <v>904.84</v>
      </c>
      <c r="D20" s="222">
        <f t="shared" si="1"/>
        <v>0</v>
      </c>
      <c r="E20" s="222">
        <f t="shared" si="0"/>
        <v>904.84</v>
      </c>
      <c r="F20" s="222">
        <f t="shared" si="0"/>
        <v>0</v>
      </c>
      <c r="G20" s="222">
        <f t="shared" si="0"/>
        <v>0</v>
      </c>
      <c r="I20" s="228">
        <f>'[1]Water Operating Expenses'!I20</f>
        <v>0</v>
      </c>
      <c r="J20" s="228">
        <f>'[1]Water Operating Expenses'!J20</f>
        <v>1</v>
      </c>
      <c r="K20" s="228">
        <f>'[1]Water Operating Expenses'!K20</f>
        <v>0</v>
      </c>
      <c r="L20" s="228">
        <f>'[1]Water Operating Expenses'!L20</f>
        <v>0</v>
      </c>
    </row>
    <row r="21" spans="1:12" ht="14.35" customHeight="1" x14ac:dyDescent="0.45">
      <c r="A21" s="220" t="str">
        <f>'[1]Operating Expenses'!A39</f>
        <v>6000 Water Department:Water Treatment Plant:Salaries - WTP</v>
      </c>
      <c r="B21" s="221">
        <f>'[1]Water Operating Expenses'!B21</f>
        <v>566595.88</v>
      </c>
      <c r="D21" s="222">
        <f t="shared" si="1"/>
        <v>566595.88</v>
      </c>
      <c r="E21" s="222">
        <f t="shared" si="0"/>
        <v>0</v>
      </c>
      <c r="F21" s="222">
        <f t="shared" si="0"/>
        <v>0</v>
      </c>
      <c r="G21" s="222">
        <f t="shared" si="0"/>
        <v>0</v>
      </c>
      <c r="I21" s="228">
        <f>'[1]Water Operating Expenses'!I21</f>
        <v>1</v>
      </c>
      <c r="J21" s="228">
        <f>'[1]Water Operating Expenses'!J21</f>
        <v>0</v>
      </c>
      <c r="K21" s="228">
        <f>'[1]Water Operating Expenses'!K21</f>
        <v>0</v>
      </c>
      <c r="L21" s="228">
        <f>'[1]Water Operating Expenses'!L21</f>
        <v>0</v>
      </c>
    </row>
    <row r="22" spans="1:12" ht="14.35" customHeight="1" x14ac:dyDescent="0.45">
      <c r="A22" s="220" t="str">
        <f>'[1]Operating Expenses'!A40</f>
        <v>6012 Water Department:Water Treatment Plant:Equipment Repairs</v>
      </c>
      <c r="B22" s="221">
        <f>'[1]Water Operating Expenses'!B22</f>
        <v>6214.72</v>
      </c>
      <c r="D22" s="222">
        <f t="shared" si="1"/>
        <v>6214.72</v>
      </c>
      <c r="E22" s="222">
        <f t="shared" si="0"/>
        <v>0</v>
      </c>
      <c r="F22" s="222">
        <f t="shared" si="0"/>
        <v>0</v>
      </c>
      <c r="G22" s="222">
        <f t="shared" si="0"/>
        <v>0</v>
      </c>
      <c r="I22" s="228">
        <f>'[1]Water Operating Expenses'!I22</f>
        <v>1</v>
      </c>
      <c r="J22" s="228">
        <f>'[1]Water Operating Expenses'!J22</f>
        <v>0</v>
      </c>
      <c r="K22" s="228">
        <f>'[1]Water Operating Expenses'!K22</f>
        <v>0</v>
      </c>
      <c r="L22" s="228">
        <f>'[1]Water Operating Expenses'!L22</f>
        <v>0</v>
      </c>
    </row>
    <row r="23" spans="1:12" ht="14.35" customHeight="1" x14ac:dyDescent="0.45">
      <c r="A23" s="220" t="str">
        <f>'[1]Operating Expenses'!A41</f>
        <v>6013 Water Department:Water Treatment Plant:Equipment Fuel</v>
      </c>
      <c r="B23" s="221">
        <f>'[1]Water Operating Expenses'!B23</f>
        <v>9832.41</v>
      </c>
      <c r="D23" s="222">
        <f t="shared" si="1"/>
        <v>9832.41</v>
      </c>
      <c r="E23" s="222">
        <f t="shared" si="0"/>
        <v>0</v>
      </c>
      <c r="F23" s="222">
        <f t="shared" si="0"/>
        <v>0</v>
      </c>
      <c r="G23" s="222">
        <f t="shared" si="0"/>
        <v>0</v>
      </c>
      <c r="I23" s="228">
        <f>'[1]Water Operating Expenses'!I23</f>
        <v>1</v>
      </c>
      <c r="J23" s="228">
        <f>'[1]Water Operating Expenses'!J23</f>
        <v>0</v>
      </c>
      <c r="K23" s="228">
        <f>'[1]Water Operating Expenses'!K23</f>
        <v>0</v>
      </c>
      <c r="L23" s="228">
        <f>'[1]Water Operating Expenses'!L23</f>
        <v>0</v>
      </c>
    </row>
    <row r="24" spans="1:12" ht="14.35" customHeight="1" x14ac:dyDescent="0.45">
      <c r="A24" s="220" t="str">
        <f>'[1]Operating Expenses'!A42</f>
        <v>6015 Water Department:Water Treatment Plant:Utilities-WTP</v>
      </c>
      <c r="B24" s="221">
        <f>'[1]Water Operating Expenses'!B24</f>
        <v>433779.01</v>
      </c>
      <c r="D24" s="222">
        <f t="shared" si="1"/>
        <v>433779.01</v>
      </c>
      <c r="E24" s="222">
        <f t="shared" si="0"/>
        <v>0</v>
      </c>
      <c r="F24" s="222">
        <f t="shared" si="0"/>
        <v>0</v>
      </c>
      <c r="G24" s="222">
        <f t="shared" si="0"/>
        <v>0</v>
      </c>
      <c r="I24" s="228">
        <f>'[1]Water Operating Expenses'!I24</f>
        <v>1</v>
      </c>
      <c r="J24" s="228">
        <f>'[1]Water Operating Expenses'!J24</f>
        <v>0</v>
      </c>
      <c r="K24" s="228">
        <f>'[1]Water Operating Expenses'!K24</f>
        <v>0</v>
      </c>
      <c r="L24" s="228">
        <f>'[1]Water Operating Expenses'!L24</f>
        <v>0</v>
      </c>
    </row>
    <row r="25" spans="1:12" ht="14.35" customHeight="1" x14ac:dyDescent="0.45">
      <c r="A25" s="220" t="str">
        <f>'[1]Operating Expenses'!A43</f>
        <v>6018 Water Department:Water Treatment Plant:Vehicle Expenses</v>
      </c>
      <c r="B25" s="221">
        <f>'[1]Water Operating Expenses'!B25</f>
        <v>23628.25</v>
      </c>
      <c r="D25" s="222">
        <f t="shared" si="1"/>
        <v>23628.25</v>
      </c>
      <c r="E25" s="222">
        <f t="shared" si="0"/>
        <v>0</v>
      </c>
      <c r="F25" s="222">
        <f t="shared" si="0"/>
        <v>0</v>
      </c>
      <c r="G25" s="222">
        <f t="shared" si="0"/>
        <v>0</v>
      </c>
      <c r="I25" s="228">
        <f>'[1]Water Operating Expenses'!I25</f>
        <v>1</v>
      </c>
      <c r="J25" s="228">
        <f>'[1]Water Operating Expenses'!J25</f>
        <v>0</v>
      </c>
      <c r="K25" s="228">
        <f>'[1]Water Operating Expenses'!K25</f>
        <v>0</v>
      </c>
      <c r="L25" s="228">
        <f>'[1]Water Operating Expenses'!L25</f>
        <v>0</v>
      </c>
    </row>
    <row r="26" spans="1:12" ht="14.35" customHeight="1" x14ac:dyDescent="0.45">
      <c r="A26" s="220" t="str">
        <f>'[1]Operating Expenses'!A44</f>
        <v>6021 Water Department:Water Treatment Plant:Repairs and Maintenance</v>
      </c>
      <c r="B26" s="221">
        <f>'[1]Water Operating Expenses'!B26</f>
        <v>120827.37</v>
      </c>
      <c r="D26" s="222">
        <f t="shared" si="1"/>
        <v>120827.37</v>
      </c>
      <c r="E26" s="222">
        <f t="shared" si="0"/>
        <v>0</v>
      </c>
      <c r="F26" s="222">
        <f t="shared" si="0"/>
        <v>0</v>
      </c>
      <c r="G26" s="222">
        <f t="shared" si="0"/>
        <v>0</v>
      </c>
      <c r="I26" s="228">
        <f>'[1]Water Operating Expenses'!I26</f>
        <v>1</v>
      </c>
      <c r="J26" s="228">
        <f>'[1]Water Operating Expenses'!J26</f>
        <v>0</v>
      </c>
      <c r="K26" s="228">
        <f>'[1]Water Operating Expenses'!K26</f>
        <v>0</v>
      </c>
      <c r="L26" s="228">
        <f>'[1]Water Operating Expenses'!L26</f>
        <v>0</v>
      </c>
    </row>
    <row r="27" spans="1:12" ht="14.35" customHeight="1" x14ac:dyDescent="0.45">
      <c r="A27" s="220" t="str">
        <f>'[1]Operating Expenses'!A45</f>
        <v>6025 Water Department:Water Treatment Plant:Janitor/Shop Supplies</v>
      </c>
      <c r="B27" s="221">
        <f>'[1]Water Operating Expenses'!B27</f>
        <v>2089.5300000000002</v>
      </c>
      <c r="D27" s="222">
        <f t="shared" si="1"/>
        <v>2089.5300000000002</v>
      </c>
      <c r="E27" s="222">
        <f t="shared" si="0"/>
        <v>0</v>
      </c>
      <c r="F27" s="222">
        <f t="shared" si="0"/>
        <v>0</v>
      </c>
      <c r="G27" s="222">
        <f t="shared" si="0"/>
        <v>0</v>
      </c>
      <c r="I27" s="228">
        <f>'[1]Water Operating Expenses'!I27</f>
        <v>1</v>
      </c>
      <c r="J27" s="228">
        <f>'[1]Water Operating Expenses'!J27</f>
        <v>0</v>
      </c>
      <c r="K27" s="228">
        <f>'[1]Water Operating Expenses'!K27</f>
        <v>0</v>
      </c>
      <c r="L27" s="228">
        <f>'[1]Water Operating Expenses'!L27</f>
        <v>0</v>
      </c>
    </row>
    <row r="28" spans="1:12" ht="14.35" customHeight="1" x14ac:dyDescent="0.45">
      <c r="A28" s="220" t="str">
        <f>'[1]Operating Expenses'!A46</f>
        <v>6031 Water Department:Water Treatment Plant:Computer Expense</v>
      </c>
      <c r="B28" s="221">
        <f>'[1]Water Operating Expenses'!B28</f>
        <v>4214.51</v>
      </c>
      <c r="D28" s="222">
        <f t="shared" si="1"/>
        <v>4214.51</v>
      </c>
      <c r="E28" s="222">
        <f t="shared" si="0"/>
        <v>0</v>
      </c>
      <c r="F28" s="222">
        <f t="shared" si="0"/>
        <v>0</v>
      </c>
      <c r="G28" s="222">
        <f t="shared" si="0"/>
        <v>0</v>
      </c>
      <c r="I28" s="228">
        <f>'[1]Water Operating Expenses'!I28</f>
        <v>1</v>
      </c>
      <c r="J28" s="228">
        <f>'[1]Water Operating Expenses'!J28</f>
        <v>0</v>
      </c>
      <c r="K28" s="228">
        <f>'[1]Water Operating Expenses'!K28</f>
        <v>0</v>
      </c>
      <c r="L28" s="228">
        <f>'[1]Water Operating Expenses'!L28</f>
        <v>0</v>
      </c>
    </row>
    <row r="29" spans="1:12" ht="14.35" customHeight="1" x14ac:dyDescent="0.45">
      <c r="A29" s="220" t="str">
        <f>'[1]Operating Expenses'!A47</f>
        <v>6035 Water Department:Water Treatment Plant:Chemicals - WTP</v>
      </c>
      <c r="B29" s="221">
        <f>'[1]Water Operating Expenses'!B29</f>
        <v>382843.31</v>
      </c>
      <c r="D29" s="222">
        <f t="shared" si="1"/>
        <v>382843.31</v>
      </c>
      <c r="E29" s="222">
        <f t="shared" si="0"/>
        <v>0</v>
      </c>
      <c r="F29" s="222">
        <f t="shared" si="0"/>
        <v>0</v>
      </c>
      <c r="G29" s="222">
        <f t="shared" si="0"/>
        <v>0</v>
      </c>
      <c r="I29" s="228">
        <f>'[1]Water Operating Expenses'!I29</f>
        <v>1</v>
      </c>
      <c r="J29" s="228">
        <f>'[1]Water Operating Expenses'!J29</f>
        <v>0</v>
      </c>
      <c r="K29" s="228">
        <f>'[1]Water Operating Expenses'!K29</f>
        <v>0</v>
      </c>
      <c r="L29" s="228">
        <f>'[1]Water Operating Expenses'!L29</f>
        <v>0</v>
      </c>
    </row>
    <row r="30" spans="1:12" ht="14.35" customHeight="1" x14ac:dyDescent="0.45">
      <c r="A30" s="220" t="str">
        <f>'[1]Operating Expenses'!A48</f>
        <v>6044 Water Department:Water Treatment Plant:Water Pumps &amp; Tank Repair</v>
      </c>
      <c r="B30" s="221">
        <f>'[1]Water Operating Expenses'!B30</f>
        <v>3261.32</v>
      </c>
      <c r="D30" s="222">
        <f t="shared" si="1"/>
        <v>3261.32</v>
      </c>
      <c r="E30" s="222">
        <f t="shared" si="0"/>
        <v>0</v>
      </c>
      <c r="F30" s="222">
        <f t="shared" si="0"/>
        <v>0</v>
      </c>
      <c r="G30" s="222">
        <f t="shared" si="0"/>
        <v>0</v>
      </c>
      <c r="I30" s="228">
        <f>'[1]Water Operating Expenses'!I30</f>
        <v>1</v>
      </c>
      <c r="J30" s="228">
        <f>'[1]Water Operating Expenses'!J30</f>
        <v>0</v>
      </c>
      <c r="K30" s="228">
        <f>'[1]Water Operating Expenses'!K30</f>
        <v>0</v>
      </c>
      <c r="L30" s="228">
        <f>'[1]Water Operating Expenses'!L30</f>
        <v>0</v>
      </c>
    </row>
    <row r="31" spans="1:12" ht="14.35" customHeight="1" x14ac:dyDescent="0.45">
      <c r="A31" s="220" t="str">
        <f>'[1]Operating Expenses'!A49</f>
        <v>6065 Water Department:Water Treatment Plant:Office Supplies</v>
      </c>
      <c r="B31" s="221">
        <f>'[1]Water Operating Expenses'!B31</f>
        <v>406.94</v>
      </c>
      <c r="D31" s="222">
        <f t="shared" si="1"/>
        <v>406.94</v>
      </c>
      <c r="E31" s="222">
        <f t="shared" si="0"/>
        <v>0</v>
      </c>
      <c r="F31" s="222">
        <f t="shared" si="0"/>
        <v>0</v>
      </c>
      <c r="G31" s="222">
        <f t="shared" si="0"/>
        <v>0</v>
      </c>
      <c r="I31" s="228">
        <f>'[1]Water Operating Expenses'!I31</f>
        <v>1</v>
      </c>
      <c r="J31" s="228">
        <f>'[1]Water Operating Expenses'!J31</f>
        <v>0</v>
      </c>
      <c r="K31" s="228">
        <f>'[1]Water Operating Expenses'!K31</f>
        <v>0</v>
      </c>
      <c r="L31" s="228">
        <f>'[1]Water Operating Expenses'!L31</f>
        <v>0</v>
      </c>
    </row>
    <row r="32" spans="1:12" ht="14.35" customHeight="1" x14ac:dyDescent="0.45">
      <c r="A32" s="220" t="str">
        <f>'[1]Operating Expenses'!A50</f>
        <v>6085 Water Department:Water Treatment Plant:Employee Training &amp; Travel</v>
      </c>
      <c r="B32" s="221">
        <f>'[1]Water Operating Expenses'!B32</f>
        <v>14596.82</v>
      </c>
      <c r="D32" s="222">
        <f t="shared" si="1"/>
        <v>14596.82</v>
      </c>
      <c r="E32" s="222">
        <f t="shared" si="0"/>
        <v>0</v>
      </c>
      <c r="F32" s="222">
        <f t="shared" si="0"/>
        <v>0</v>
      </c>
      <c r="G32" s="222">
        <f t="shared" si="0"/>
        <v>0</v>
      </c>
      <c r="I32" s="228">
        <f>'[1]Water Operating Expenses'!I32</f>
        <v>1</v>
      </c>
      <c r="J32" s="228">
        <f>'[1]Water Operating Expenses'!J32</f>
        <v>0</v>
      </c>
      <c r="K32" s="228">
        <f>'[1]Water Operating Expenses'!K32</f>
        <v>0</v>
      </c>
      <c r="L32" s="228">
        <f>'[1]Water Operating Expenses'!L32</f>
        <v>0</v>
      </c>
    </row>
    <row r="33" spans="1:12" ht="14.35" customHeight="1" x14ac:dyDescent="0.45">
      <c r="A33" s="220" t="str">
        <f>'[1]Operating Expenses'!A51</f>
        <v>6086 Water Department:Water Treatment Plant:Water Lab Testing &amp; Supplies</v>
      </c>
      <c r="B33" s="221">
        <f>'[1]Water Operating Expenses'!B33</f>
        <v>46783.96</v>
      </c>
      <c r="D33" s="222">
        <f t="shared" si="1"/>
        <v>46783.96</v>
      </c>
      <c r="E33" s="222">
        <f t="shared" si="0"/>
        <v>0</v>
      </c>
      <c r="F33" s="222">
        <f t="shared" si="0"/>
        <v>0</v>
      </c>
      <c r="G33" s="222">
        <f t="shared" si="0"/>
        <v>0</v>
      </c>
      <c r="I33" s="228">
        <f>'[1]Water Operating Expenses'!I33</f>
        <v>1</v>
      </c>
      <c r="J33" s="228">
        <f>'[1]Water Operating Expenses'!J33</f>
        <v>0</v>
      </c>
      <c r="K33" s="228">
        <f>'[1]Water Operating Expenses'!K33</f>
        <v>0</v>
      </c>
      <c r="L33" s="228">
        <f>'[1]Water Operating Expenses'!L33</f>
        <v>0</v>
      </c>
    </row>
    <row r="34" spans="1:12" ht="14.35" customHeight="1" x14ac:dyDescent="0.45">
      <c r="A34" s="220" t="str">
        <f>'[1]Operating Expenses'!A52</f>
        <v>6087 Water Department:Water Treatment Plant:Dues &amp; Subscriptions WTP</v>
      </c>
      <c r="B34" s="221">
        <f>'[1]Water Operating Expenses'!B34</f>
        <v>0</v>
      </c>
      <c r="D34" s="222">
        <f t="shared" si="1"/>
        <v>0</v>
      </c>
      <c r="E34" s="222">
        <f t="shared" si="0"/>
        <v>0</v>
      </c>
      <c r="F34" s="222">
        <f t="shared" si="0"/>
        <v>0</v>
      </c>
      <c r="G34" s="222">
        <f t="shared" si="0"/>
        <v>0</v>
      </c>
      <c r="I34" s="228">
        <f>'[1]Water Operating Expenses'!I34</f>
        <v>1</v>
      </c>
      <c r="J34" s="228">
        <f>'[1]Water Operating Expenses'!J34</f>
        <v>0</v>
      </c>
      <c r="K34" s="228">
        <f>'[1]Water Operating Expenses'!K34</f>
        <v>0</v>
      </c>
      <c r="L34" s="228">
        <f>'[1]Water Operating Expenses'!L34</f>
        <v>0</v>
      </c>
    </row>
    <row r="35" spans="1:12" ht="14.35" customHeight="1" x14ac:dyDescent="0.45">
      <c r="A35" s="220" t="str">
        <f>'[1]Operating Expenses'!A53</f>
        <v>6093 Water Department:Water Treatment Plant:Uniform Exp - WTP</v>
      </c>
      <c r="B35" s="221">
        <f>'[1]Water Operating Expenses'!B35</f>
        <v>1007.23</v>
      </c>
      <c r="D35" s="222">
        <f t="shared" si="1"/>
        <v>1007.23</v>
      </c>
      <c r="E35" s="222">
        <f t="shared" si="0"/>
        <v>0</v>
      </c>
      <c r="F35" s="222">
        <f t="shared" si="0"/>
        <v>0</v>
      </c>
      <c r="G35" s="222">
        <f t="shared" si="0"/>
        <v>0</v>
      </c>
      <c r="I35" s="228">
        <f>'[1]Water Operating Expenses'!I35</f>
        <v>1</v>
      </c>
      <c r="J35" s="228">
        <f>'[1]Water Operating Expenses'!J35</f>
        <v>0</v>
      </c>
      <c r="K35" s="228">
        <f>'[1]Water Operating Expenses'!K35</f>
        <v>0</v>
      </c>
      <c r="L35" s="228">
        <f>'[1]Water Operating Expenses'!L35</f>
        <v>0</v>
      </c>
    </row>
    <row r="36" spans="1:12" ht="14.35" customHeight="1" x14ac:dyDescent="0.45">
      <c r="A36" s="220" t="str">
        <f>'[1]Operating Expenses'!A54</f>
        <v>6099 Water Department:Water Treatment Plant:Employee Benefits- WTP</v>
      </c>
      <c r="B36" s="221">
        <f>'[1]Water Operating Expenses'!B36</f>
        <v>380219.56</v>
      </c>
      <c r="D36" s="222">
        <f t="shared" si="1"/>
        <v>380219.56</v>
      </c>
      <c r="E36" s="222">
        <f t="shared" si="0"/>
        <v>0</v>
      </c>
      <c r="F36" s="222">
        <f t="shared" si="0"/>
        <v>0</v>
      </c>
      <c r="G36" s="222">
        <f t="shared" si="0"/>
        <v>0</v>
      </c>
      <c r="I36" s="228">
        <f>'[1]Water Operating Expenses'!I36</f>
        <v>1</v>
      </c>
      <c r="J36" s="228">
        <f>'[1]Water Operating Expenses'!J36</f>
        <v>0</v>
      </c>
      <c r="K36" s="228">
        <f>'[1]Water Operating Expenses'!K36</f>
        <v>0</v>
      </c>
      <c r="L36" s="228">
        <f>'[1]Water Operating Expenses'!L36</f>
        <v>0</v>
      </c>
    </row>
    <row r="37" spans="1:12" ht="14.35" customHeight="1" x14ac:dyDescent="0.45">
      <c r="A37" s="220" t="str">
        <f>'[1]Operating Expenses'!A55</f>
        <v>6150 Water Department:Water Treatment Plant:Drug/Alcohol Test  WTP</v>
      </c>
      <c r="B37" s="223">
        <f>'[1]Water Operating Expenses'!B37</f>
        <v>0</v>
      </c>
      <c r="D37" s="224">
        <f t="shared" si="1"/>
        <v>0</v>
      </c>
      <c r="E37" s="224">
        <f t="shared" si="0"/>
        <v>0</v>
      </c>
      <c r="F37" s="224">
        <f t="shared" si="0"/>
        <v>0</v>
      </c>
      <c r="G37" s="224">
        <f t="shared" si="0"/>
        <v>0</v>
      </c>
      <c r="I37" s="228">
        <f>'[1]Water Operating Expenses'!I37</f>
        <v>1</v>
      </c>
      <c r="J37" s="228">
        <f>'[1]Water Operating Expenses'!J37</f>
        <v>0</v>
      </c>
      <c r="K37" s="228">
        <f>'[1]Water Operating Expenses'!K37</f>
        <v>0</v>
      </c>
      <c r="L37" s="228">
        <f>'[1]Water Operating Expenses'!L37</f>
        <v>0</v>
      </c>
    </row>
    <row r="38" spans="1:12" ht="14.35" customHeight="1" x14ac:dyDescent="0.45">
      <c r="A38" s="220"/>
      <c r="B38" s="221">
        <f>SUM(B6:B37)</f>
        <v>2838529.1199999996</v>
      </c>
      <c r="D38" s="222">
        <f>SUM(D6:D37)</f>
        <v>1996300.8200000003</v>
      </c>
      <c r="E38" s="222">
        <f>SUM(E6:E37)</f>
        <v>842228.30000000016</v>
      </c>
      <c r="F38" s="222">
        <f>SUM(F6:F37)</f>
        <v>0</v>
      </c>
      <c r="G38" s="222">
        <f>SUM(G6:G37)</f>
        <v>0</v>
      </c>
    </row>
    <row r="39" spans="1:12" ht="14.35" customHeight="1" x14ac:dyDescent="0.45">
      <c r="A39" s="225"/>
    </row>
    <row r="40" spans="1:12" ht="14.35" customHeight="1" x14ac:dyDescent="0.45">
      <c r="A40" s="220" t="str">
        <f>'[1]Operating Expenses'!A110</f>
        <v>8000 Administrative Department:Salaries - Admin</v>
      </c>
      <c r="B40" s="221">
        <f>'[1]Water Operating Expenses'!B40</f>
        <v>286233.34634999995</v>
      </c>
      <c r="D40" s="222">
        <f t="shared" ref="D40:G63" si="2">$B40*I40</f>
        <v>0</v>
      </c>
      <c r="E40" s="222">
        <f t="shared" si="2"/>
        <v>0</v>
      </c>
      <c r="F40" s="222">
        <f t="shared" si="2"/>
        <v>143116.67317499997</v>
      </c>
      <c r="G40" s="222">
        <f t="shared" si="2"/>
        <v>143116.67317499997</v>
      </c>
      <c r="I40" s="228">
        <f>'[1]Water Operating Expenses'!I40</f>
        <v>0</v>
      </c>
      <c r="J40" s="228">
        <f>'[1]Water Operating Expenses'!J40</f>
        <v>0</v>
      </c>
      <c r="K40" s="228">
        <f>'[1]Water Operating Expenses'!K40</f>
        <v>0.5</v>
      </c>
      <c r="L40" s="228">
        <f>'[1]Water Operating Expenses'!L40</f>
        <v>0.5</v>
      </c>
    </row>
    <row r="41" spans="1:12" ht="14.35" customHeight="1" x14ac:dyDescent="0.45">
      <c r="A41" s="220" t="str">
        <f>'[1]Operating Expenses'!A111</f>
        <v>8015 Administrative Department:Office Utilities</v>
      </c>
      <c r="B41" s="221">
        <f>'[1]Water Operating Expenses'!B41</f>
        <v>14426.023919999998</v>
      </c>
      <c r="D41" s="222">
        <f t="shared" si="2"/>
        <v>0</v>
      </c>
      <c r="E41" s="222">
        <f t="shared" si="2"/>
        <v>0</v>
      </c>
      <c r="F41" s="222">
        <f t="shared" si="2"/>
        <v>7213.0119599999989</v>
      </c>
      <c r="G41" s="222">
        <f t="shared" si="2"/>
        <v>7213.0119599999989</v>
      </c>
      <c r="I41" s="228">
        <f>'[1]Water Operating Expenses'!I41</f>
        <v>0</v>
      </c>
      <c r="J41" s="228">
        <f>'[1]Water Operating Expenses'!J41</f>
        <v>0</v>
      </c>
      <c r="K41" s="228">
        <f>'[1]Water Operating Expenses'!K41</f>
        <v>0.5</v>
      </c>
      <c r="L41" s="228">
        <f>'[1]Water Operating Expenses'!L41</f>
        <v>0.5</v>
      </c>
    </row>
    <row r="42" spans="1:12" ht="14.35" customHeight="1" x14ac:dyDescent="0.45">
      <c r="A42" s="220" t="str">
        <f>'[1]Operating Expenses'!A112</f>
        <v>8018 Administrative Department:Vehicle Expenses</v>
      </c>
      <c r="B42" s="221">
        <f>'[1]Water Operating Expenses'!B42</f>
        <v>12541.323200000001</v>
      </c>
      <c r="D42" s="222">
        <f t="shared" si="2"/>
        <v>0</v>
      </c>
      <c r="E42" s="222">
        <f t="shared" si="2"/>
        <v>0</v>
      </c>
      <c r="F42" s="222">
        <f t="shared" si="2"/>
        <v>6270.6616000000004</v>
      </c>
      <c r="G42" s="222">
        <f t="shared" si="2"/>
        <v>6270.6616000000004</v>
      </c>
      <c r="I42" s="228">
        <f>'[1]Water Operating Expenses'!I42</f>
        <v>0</v>
      </c>
      <c r="J42" s="228">
        <f>'[1]Water Operating Expenses'!J42</f>
        <v>0</v>
      </c>
      <c r="K42" s="228">
        <f>'[1]Water Operating Expenses'!K42</f>
        <v>0.5</v>
      </c>
      <c r="L42" s="228">
        <f>'[1]Water Operating Expenses'!L42</f>
        <v>0.5</v>
      </c>
    </row>
    <row r="43" spans="1:12" ht="14.35" customHeight="1" x14ac:dyDescent="0.45">
      <c r="A43" s="220" t="str">
        <f>'[1]Operating Expenses'!A113</f>
        <v>8020 Administrative Department:Repairs &amp; Maintenance</v>
      </c>
      <c r="B43" s="221">
        <f>'[1]Water Operating Expenses'!B43</f>
        <v>3338.8117699999998</v>
      </c>
      <c r="D43" s="222">
        <f t="shared" si="2"/>
        <v>0</v>
      </c>
      <c r="E43" s="222">
        <f t="shared" si="2"/>
        <v>0</v>
      </c>
      <c r="F43" s="222">
        <f t="shared" si="2"/>
        <v>1669.4058849999999</v>
      </c>
      <c r="G43" s="222">
        <f t="shared" si="2"/>
        <v>1669.4058849999999</v>
      </c>
      <c r="I43" s="228">
        <f>'[1]Water Operating Expenses'!I43</f>
        <v>0</v>
      </c>
      <c r="J43" s="228">
        <f>'[1]Water Operating Expenses'!J43</f>
        <v>0</v>
      </c>
      <c r="K43" s="228">
        <f>'[1]Water Operating Expenses'!K43</f>
        <v>0.5</v>
      </c>
      <c r="L43" s="228">
        <f>'[1]Water Operating Expenses'!L43</f>
        <v>0.5</v>
      </c>
    </row>
    <row r="44" spans="1:12" ht="14.35" customHeight="1" x14ac:dyDescent="0.45">
      <c r="A44" s="220" t="str">
        <f>'[1]Operating Expenses'!A114</f>
        <v>8035 Administrative Department:Advertising &amp; Printing</v>
      </c>
      <c r="B44" s="221">
        <f>'[1]Water Operating Expenses'!B44</f>
        <v>437.78</v>
      </c>
      <c r="D44" s="222">
        <f t="shared" si="2"/>
        <v>0</v>
      </c>
      <c r="E44" s="222">
        <f t="shared" si="2"/>
        <v>0</v>
      </c>
      <c r="F44" s="222">
        <f t="shared" si="2"/>
        <v>218.89</v>
      </c>
      <c r="G44" s="222">
        <f t="shared" si="2"/>
        <v>218.89</v>
      </c>
      <c r="I44" s="228">
        <f>'[1]Water Operating Expenses'!I44</f>
        <v>0</v>
      </c>
      <c r="J44" s="228">
        <f>'[1]Water Operating Expenses'!J44</f>
        <v>0</v>
      </c>
      <c r="K44" s="228">
        <f>'[1]Water Operating Expenses'!K44</f>
        <v>0.5</v>
      </c>
      <c r="L44" s="228">
        <f>'[1]Water Operating Expenses'!L44</f>
        <v>0.5</v>
      </c>
    </row>
    <row r="45" spans="1:12" ht="14.35" customHeight="1" x14ac:dyDescent="0.45">
      <c r="A45" s="220" t="str">
        <f>'[1]Operating Expenses'!A115</f>
        <v>8040 Administrative Department:Professional Services</v>
      </c>
      <c r="B45" s="221">
        <f>'[1]Water Operating Expenses'!B45</f>
        <v>52595.388930000001</v>
      </c>
      <c r="D45" s="222">
        <f t="shared" si="2"/>
        <v>0</v>
      </c>
      <c r="E45" s="222">
        <f t="shared" si="2"/>
        <v>0</v>
      </c>
      <c r="F45" s="222">
        <f t="shared" si="2"/>
        <v>26297.694465</v>
      </c>
      <c r="G45" s="222">
        <f t="shared" si="2"/>
        <v>26297.694465</v>
      </c>
      <c r="I45" s="228">
        <f>'[1]Water Operating Expenses'!I45</f>
        <v>0</v>
      </c>
      <c r="J45" s="228">
        <f>'[1]Water Operating Expenses'!J45</f>
        <v>0</v>
      </c>
      <c r="K45" s="228">
        <f>'[1]Water Operating Expenses'!K45</f>
        <v>0.5</v>
      </c>
      <c r="L45" s="228">
        <f>'[1]Water Operating Expenses'!L45</f>
        <v>0.5</v>
      </c>
    </row>
    <row r="46" spans="1:12" ht="14.35" customHeight="1" x14ac:dyDescent="0.45">
      <c r="A46" s="220" t="str">
        <f>'[1]Operating Expenses'!A116</f>
        <v>8050 Administrative Department:Easements and Right of Way</v>
      </c>
      <c r="B46" s="221">
        <f>'[1]Water Operating Expenses'!B46</f>
        <v>225.88208999999998</v>
      </c>
      <c r="D46" s="222">
        <f t="shared" si="2"/>
        <v>0</v>
      </c>
      <c r="E46" s="222">
        <f t="shared" si="2"/>
        <v>0</v>
      </c>
      <c r="F46" s="222">
        <f t="shared" si="2"/>
        <v>112.94104499999999</v>
      </c>
      <c r="G46" s="222">
        <f t="shared" si="2"/>
        <v>112.94104499999999</v>
      </c>
      <c r="I46" s="228">
        <f>'[1]Water Operating Expenses'!I46</f>
        <v>0</v>
      </c>
      <c r="J46" s="228">
        <f>'[1]Water Operating Expenses'!J46</f>
        <v>0</v>
      </c>
      <c r="K46" s="228">
        <f>'[1]Water Operating Expenses'!K46</f>
        <v>0.5</v>
      </c>
      <c r="L46" s="228">
        <f>'[1]Water Operating Expenses'!L46</f>
        <v>0.5</v>
      </c>
    </row>
    <row r="47" spans="1:12" ht="14.35" customHeight="1" x14ac:dyDescent="0.45">
      <c r="A47" s="220" t="str">
        <f>'[1]Operating Expenses'!A117</f>
        <v>8052 Administrative Department:Janitorial Service</v>
      </c>
      <c r="B47" s="221">
        <f>'[1]Water Operating Expenses'!B47</f>
        <v>5683.2062699999997</v>
      </c>
      <c r="D47" s="222">
        <f t="shared" si="2"/>
        <v>0</v>
      </c>
      <c r="E47" s="222">
        <f t="shared" si="2"/>
        <v>0</v>
      </c>
      <c r="F47" s="222">
        <f t="shared" si="2"/>
        <v>2841.6031349999998</v>
      </c>
      <c r="G47" s="222">
        <f t="shared" si="2"/>
        <v>2841.6031349999998</v>
      </c>
      <c r="I47" s="228">
        <f>'[1]Water Operating Expenses'!I47</f>
        <v>0</v>
      </c>
      <c r="J47" s="228">
        <f>'[1]Water Operating Expenses'!J47</f>
        <v>0</v>
      </c>
      <c r="K47" s="228">
        <f>'[1]Water Operating Expenses'!K47</f>
        <v>0.5</v>
      </c>
      <c r="L47" s="228">
        <f>'[1]Water Operating Expenses'!L47</f>
        <v>0.5</v>
      </c>
    </row>
    <row r="48" spans="1:12" ht="14.35" customHeight="1" x14ac:dyDescent="0.45">
      <c r="A48" s="220" t="str">
        <f>'[1]Operating Expenses'!A118</f>
        <v>8055 Administrative Department:Employee Training &amp; Travel</v>
      </c>
      <c r="B48" s="221">
        <f>'[1]Water Operating Expenses'!B48</f>
        <v>13832.44793</v>
      </c>
      <c r="D48" s="222">
        <f t="shared" si="2"/>
        <v>0</v>
      </c>
      <c r="E48" s="222">
        <f t="shared" si="2"/>
        <v>0</v>
      </c>
      <c r="F48" s="222">
        <f t="shared" si="2"/>
        <v>6916.2239650000001</v>
      </c>
      <c r="G48" s="222">
        <f t="shared" si="2"/>
        <v>6916.2239650000001</v>
      </c>
      <c r="I48" s="228">
        <f>'[1]Water Operating Expenses'!I48</f>
        <v>0</v>
      </c>
      <c r="J48" s="228">
        <f>'[1]Water Operating Expenses'!J48</f>
        <v>0</v>
      </c>
      <c r="K48" s="228">
        <f>'[1]Water Operating Expenses'!K48</f>
        <v>0.5</v>
      </c>
      <c r="L48" s="228">
        <f>'[1]Water Operating Expenses'!L48</f>
        <v>0.5</v>
      </c>
    </row>
    <row r="49" spans="1:12" ht="14.35" customHeight="1" x14ac:dyDescent="0.45">
      <c r="A49" s="220" t="str">
        <f>'[1]Operating Expenses'!A119</f>
        <v>8055 Administrative Department:Pension Expense</v>
      </c>
      <c r="B49" s="221">
        <f>'[1]Water Operating Expenses'!B49</f>
        <v>0</v>
      </c>
      <c r="D49" s="222">
        <f t="shared" si="2"/>
        <v>0</v>
      </c>
      <c r="E49" s="222">
        <f t="shared" si="2"/>
        <v>0</v>
      </c>
      <c r="F49" s="222">
        <f t="shared" si="2"/>
        <v>0</v>
      </c>
      <c r="G49" s="222">
        <f t="shared" si="2"/>
        <v>0</v>
      </c>
      <c r="I49" s="228">
        <f>'[1]Water Operating Expenses'!I49</f>
        <v>0</v>
      </c>
      <c r="J49" s="228">
        <f>'[1]Water Operating Expenses'!J49</f>
        <v>0</v>
      </c>
      <c r="K49" s="228">
        <f>'[1]Water Operating Expenses'!K49</f>
        <v>0.5</v>
      </c>
      <c r="L49" s="228">
        <f>'[1]Water Operating Expenses'!L49</f>
        <v>0.5</v>
      </c>
    </row>
    <row r="50" spans="1:12" ht="14.35" customHeight="1" x14ac:dyDescent="0.45">
      <c r="A50" s="220" t="str">
        <f>'[1]Operating Expenses'!A120</f>
        <v>8065 Administrative Department:General Insurance</v>
      </c>
      <c r="B50" s="221">
        <f>'[1]Water Operating Expenses'!B50</f>
        <v>80357.488469999997</v>
      </c>
      <c r="D50" s="222">
        <f t="shared" si="2"/>
        <v>0</v>
      </c>
      <c r="E50" s="222">
        <f t="shared" si="2"/>
        <v>0</v>
      </c>
      <c r="F50" s="222">
        <f t="shared" si="2"/>
        <v>40178.744234999998</v>
      </c>
      <c r="G50" s="222">
        <f t="shared" si="2"/>
        <v>40178.744234999998</v>
      </c>
      <c r="I50" s="228">
        <f>'[1]Water Operating Expenses'!I50</f>
        <v>0</v>
      </c>
      <c r="J50" s="228">
        <f>'[1]Water Operating Expenses'!J50</f>
        <v>0</v>
      </c>
      <c r="K50" s="228">
        <f>'[1]Water Operating Expenses'!K50</f>
        <v>0.5</v>
      </c>
      <c r="L50" s="228">
        <f>'[1]Water Operating Expenses'!L50</f>
        <v>0.5</v>
      </c>
    </row>
    <row r="51" spans="1:12" ht="14.35" customHeight="1" x14ac:dyDescent="0.45">
      <c r="A51" s="220" t="str">
        <f>'[1]Operating Expenses'!A121</f>
        <v>8065 Administrative Department:Workman's Comp Ins</v>
      </c>
      <c r="B51" s="221">
        <f>'[1]Water Operating Expenses'!B51</f>
        <v>0</v>
      </c>
      <c r="D51" s="222">
        <f t="shared" si="2"/>
        <v>0</v>
      </c>
      <c r="E51" s="222">
        <f t="shared" si="2"/>
        <v>0</v>
      </c>
      <c r="F51" s="222">
        <f t="shared" si="2"/>
        <v>0</v>
      </c>
      <c r="G51" s="222">
        <f t="shared" si="2"/>
        <v>0</v>
      </c>
      <c r="I51" s="228">
        <f>'[1]Water Operating Expenses'!I51</f>
        <v>0</v>
      </c>
      <c r="J51" s="228">
        <f>'[1]Water Operating Expenses'!J51</f>
        <v>0</v>
      </c>
      <c r="K51" s="228">
        <f>'[1]Water Operating Expenses'!K51</f>
        <v>0.5</v>
      </c>
      <c r="L51" s="228">
        <f>'[1]Water Operating Expenses'!L51</f>
        <v>0.5</v>
      </c>
    </row>
    <row r="52" spans="1:12" ht="14.35" customHeight="1" x14ac:dyDescent="0.45">
      <c r="A52" s="220" t="str">
        <f>'[1]Operating Expenses'!A122</f>
        <v>8070 Administrative Department:Office Supplies</v>
      </c>
      <c r="B52" s="221">
        <f>'[1]Water Operating Expenses'!B52</f>
        <v>7734.9241899999997</v>
      </c>
      <c r="D52" s="222">
        <f t="shared" si="2"/>
        <v>0</v>
      </c>
      <c r="E52" s="222">
        <f t="shared" si="2"/>
        <v>0</v>
      </c>
      <c r="F52" s="222">
        <f t="shared" si="2"/>
        <v>3867.4620949999999</v>
      </c>
      <c r="G52" s="222">
        <f t="shared" si="2"/>
        <v>3867.4620949999999</v>
      </c>
      <c r="I52" s="228">
        <f>'[1]Water Operating Expenses'!I52</f>
        <v>0</v>
      </c>
      <c r="J52" s="228">
        <f>'[1]Water Operating Expenses'!J52</f>
        <v>0</v>
      </c>
      <c r="K52" s="228">
        <f>'[1]Water Operating Expenses'!K52</f>
        <v>0.5</v>
      </c>
      <c r="L52" s="228">
        <f>'[1]Water Operating Expenses'!L52</f>
        <v>0.5</v>
      </c>
    </row>
    <row r="53" spans="1:12" ht="14.35" customHeight="1" x14ac:dyDescent="0.45">
      <c r="A53" s="220" t="str">
        <f>'[1]Operating Expenses'!A123</f>
        <v>8071 Administrative Department:Postage</v>
      </c>
      <c r="B53" s="221">
        <f>'[1]Water Operating Expenses'!B53</f>
        <v>20855.661609999999</v>
      </c>
      <c r="D53" s="222">
        <f t="shared" si="2"/>
        <v>0</v>
      </c>
      <c r="E53" s="222">
        <f t="shared" si="2"/>
        <v>0</v>
      </c>
      <c r="F53" s="222">
        <f t="shared" si="2"/>
        <v>10427.830805</v>
      </c>
      <c r="G53" s="222">
        <f t="shared" si="2"/>
        <v>10427.830805</v>
      </c>
      <c r="I53" s="228">
        <f>'[1]Water Operating Expenses'!I53</f>
        <v>0</v>
      </c>
      <c r="J53" s="228">
        <f>'[1]Water Operating Expenses'!J53</f>
        <v>0</v>
      </c>
      <c r="K53" s="228">
        <f>'[1]Water Operating Expenses'!K53</f>
        <v>0.5</v>
      </c>
      <c r="L53" s="228">
        <f>'[1]Water Operating Expenses'!L53</f>
        <v>0.5</v>
      </c>
    </row>
    <row r="54" spans="1:12" ht="14.35" customHeight="1" x14ac:dyDescent="0.45">
      <c r="A54" s="220" t="str">
        <f>'[1]Operating Expenses'!A124</f>
        <v>8072 Administrative Department:Service Contracts</v>
      </c>
      <c r="B54" s="221">
        <f>'[1]Water Operating Expenses'!B54</f>
        <v>1712.56232</v>
      </c>
      <c r="D54" s="222">
        <f t="shared" si="2"/>
        <v>0</v>
      </c>
      <c r="E54" s="222">
        <f t="shared" si="2"/>
        <v>0</v>
      </c>
      <c r="F54" s="222">
        <f t="shared" si="2"/>
        <v>856.28116</v>
      </c>
      <c r="G54" s="222">
        <f t="shared" si="2"/>
        <v>856.28116</v>
      </c>
      <c r="I54" s="228">
        <f>'[1]Water Operating Expenses'!I54</f>
        <v>0</v>
      </c>
      <c r="J54" s="228">
        <f>'[1]Water Operating Expenses'!J54</f>
        <v>0</v>
      </c>
      <c r="K54" s="228">
        <f>'[1]Water Operating Expenses'!K54</f>
        <v>0.5</v>
      </c>
      <c r="L54" s="228">
        <f>'[1]Water Operating Expenses'!L54</f>
        <v>0.5</v>
      </c>
    </row>
    <row r="55" spans="1:12" ht="14.35" customHeight="1" x14ac:dyDescent="0.45">
      <c r="A55" s="220" t="str">
        <f>'[1]Operating Expenses'!A125</f>
        <v>8073 Administrative Department:Dues &amp; Subscriptions</v>
      </c>
      <c r="B55" s="221">
        <f>'[1]Water Operating Expenses'!B55</f>
        <v>526.57499999999993</v>
      </c>
      <c r="D55" s="222">
        <f t="shared" si="2"/>
        <v>0</v>
      </c>
      <c r="E55" s="222">
        <f t="shared" si="2"/>
        <v>0</v>
      </c>
      <c r="F55" s="222">
        <f t="shared" si="2"/>
        <v>263.28749999999997</v>
      </c>
      <c r="G55" s="222">
        <f t="shared" si="2"/>
        <v>263.28749999999997</v>
      </c>
      <c r="I55" s="228">
        <f>'[1]Water Operating Expenses'!I55</f>
        <v>0</v>
      </c>
      <c r="J55" s="228">
        <f>'[1]Water Operating Expenses'!J55</f>
        <v>0</v>
      </c>
      <c r="K55" s="228">
        <f>'[1]Water Operating Expenses'!K55</f>
        <v>0.5</v>
      </c>
      <c r="L55" s="228">
        <f>'[1]Water Operating Expenses'!L55</f>
        <v>0.5</v>
      </c>
    </row>
    <row r="56" spans="1:12" ht="14.35" customHeight="1" x14ac:dyDescent="0.45">
      <c r="A56" s="220" t="str">
        <f>'[1]Operating Expenses'!A126</f>
        <v>8074 Administrative Department:Computer Programming</v>
      </c>
      <c r="B56" s="221">
        <f>'[1]Water Operating Expenses'!B56</f>
        <v>10097.742620000001</v>
      </c>
      <c r="D56" s="222">
        <f t="shared" si="2"/>
        <v>0</v>
      </c>
      <c r="E56" s="222">
        <f t="shared" si="2"/>
        <v>0</v>
      </c>
      <c r="F56" s="222">
        <f t="shared" si="2"/>
        <v>5048.8713100000004</v>
      </c>
      <c r="G56" s="222">
        <f t="shared" si="2"/>
        <v>5048.8713100000004</v>
      </c>
      <c r="I56" s="228">
        <f>'[1]Water Operating Expenses'!I56</f>
        <v>0</v>
      </c>
      <c r="J56" s="228">
        <f>'[1]Water Operating Expenses'!J56</f>
        <v>0</v>
      </c>
      <c r="K56" s="228">
        <f>'[1]Water Operating Expenses'!K56</f>
        <v>0.5</v>
      </c>
      <c r="L56" s="228">
        <f>'[1]Water Operating Expenses'!L56</f>
        <v>0.5</v>
      </c>
    </row>
    <row r="57" spans="1:12" ht="14.35" customHeight="1" x14ac:dyDescent="0.45">
      <c r="A57" s="220" t="str">
        <f>'[1]Operating Expenses'!A127</f>
        <v>8080 Administrative Department:Payroll Taxes</v>
      </c>
      <c r="B57" s="221">
        <f>'[1]Water Operating Expenses'!B57</f>
        <v>2003.05</v>
      </c>
      <c r="D57" s="222">
        <f t="shared" si="2"/>
        <v>0</v>
      </c>
      <c r="E57" s="222">
        <f t="shared" si="2"/>
        <v>0</v>
      </c>
      <c r="F57" s="222">
        <f t="shared" si="2"/>
        <v>1001.525</v>
      </c>
      <c r="G57" s="222">
        <f t="shared" si="2"/>
        <v>1001.525</v>
      </c>
      <c r="I57" s="228">
        <f>'[1]Water Operating Expenses'!I57</f>
        <v>0</v>
      </c>
      <c r="J57" s="228">
        <f>'[1]Water Operating Expenses'!J57</f>
        <v>0</v>
      </c>
      <c r="K57" s="228">
        <f>'[1]Water Operating Expenses'!K57</f>
        <v>0.5</v>
      </c>
      <c r="L57" s="228">
        <f>'[1]Water Operating Expenses'!L57</f>
        <v>0.5</v>
      </c>
    </row>
    <row r="58" spans="1:12" ht="14.35" customHeight="1" x14ac:dyDescent="0.45">
      <c r="A58" s="220" t="str">
        <f>'[1]Operating Expenses'!A128</f>
        <v>8087 Administrative Department:Bad Debts</v>
      </c>
      <c r="B58" s="221">
        <f>'[1]Water Operating Expenses'!B58</f>
        <v>15456</v>
      </c>
      <c r="D58" s="222">
        <f t="shared" si="2"/>
        <v>0</v>
      </c>
      <c r="E58" s="222">
        <f t="shared" si="2"/>
        <v>0</v>
      </c>
      <c r="F58" s="222">
        <f t="shared" si="2"/>
        <v>7728</v>
      </c>
      <c r="G58" s="222">
        <f t="shared" si="2"/>
        <v>7728</v>
      </c>
      <c r="I58" s="228">
        <f>'[1]Water Operating Expenses'!I58</f>
        <v>0</v>
      </c>
      <c r="J58" s="228">
        <f>'[1]Water Operating Expenses'!J58</f>
        <v>0</v>
      </c>
      <c r="K58" s="228">
        <f>'[1]Water Operating Expenses'!K58</f>
        <v>0.5</v>
      </c>
      <c r="L58" s="228">
        <f>'[1]Water Operating Expenses'!L58</f>
        <v>0.5</v>
      </c>
    </row>
    <row r="59" spans="1:12" ht="14.35" customHeight="1" x14ac:dyDescent="0.45">
      <c r="A59" s="220" t="str">
        <f>'[1]Operating Expenses'!A129</f>
        <v>8088 Administrative Department:Safety Program Expenses</v>
      </c>
      <c r="B59" s="221">
        <f>'[1]Water Operating Expenses'!B59</f>
        <v>2872.2580599999997</v>
      </c>
      <c r="D59" s="222">
        <f t="shared" si="2"/>
        <v>0</v>
      </c>
      <c r="E59" s="222">
        <f t="shared" si="2"/>
        <v>0</v>
      </c>
      <c r="F59" s="222">
        <f t="shared" si="2"/>
        <v>1436.1290299999998</v>
      </c>
      <c r="G59" s="222">
        <f t="shared" si="2"/>
        <v>1436.1290299999998</v>
      </c>
      <c r="I59" s="228">
        <f>'[1]Water Operating Expenses'!I59</f>
        <v>0</v>
      </c>
      <c r="J59" s="228">
        <f>'[1]Water Operating Expenses'!J59</f>
        <v>0</v>
      </c>
      <c r="K59" s="228">
        <f>'[1]Water Operating Expenses'!K59</f>
        <v>0.5</v>
      </c>
      <c r="L59" s="228">
        <f>'[1]Water Operating Expenses'!L59</f>
        <v>0.5</v>
      </c>
    </row>
    <row r="60" spans="1:12" ht="14.35" customHeight="1" x14ac:dyDescent="0.45">
      <c r="A60" s="220" t="str">
        <f>'[1]Operating Expenses'!A130</f>
        <v>8090 Administrative Department:Miscellaneous</v>
      </c>
      <c r="B60" s="221">
        <f>'[1]Water Operating Expenses'!B60</f>
        <v>15707.740509999998</v>
      </c>
      <c r="D60" s="222">
        <f t="shared" si="2"/>
        <v>0</v>
      </c>
      <c r="E60" s="222">
        <f t="shared" si="2"/>
        <v>0</v>
      </c>
      <c r="F60" s="222">
        <f t="shared" si="2"/>
        <v>7853.8702549999989</v>
      </c>
      <c r="G60" s="222">
        <f t="shared" si="2"/>
        <v>7853.8702549999989</v>
      </c>
      <c r="I60" s="228">
        <f>'[1]Water Operating Expenses'!I60</f>
        <v>0</v>
      </c>
      <c r="J60" s="228">
        <f>'[1]Water Operating Expenses'!J60</f>
        <v>0</v>
      </c>
      <c r="K60" s="228">
        <f>'[1]Water Operating Expenses'!K60</f>
        <v>0.5</v>
      </c>
      <c r="L60" s="228">
        <f>'[1]Water Operating Expenses'!L60</f>
        <v>0.5</v>
      </c>
    </row>
    <row r="61" spans="1:12" ht="14.35" customHeight="1" x14ac:dyDescent="0.45">
      <c r="A61" s="220" t="str">
        <f>'[1]Operating Expenses'!A131</f>
        <v>8091 Administrative Department:Ceremonies &amp; Award</v>
      </c>
      <c r="B61" s="221">
        <f>'[1]Water Operating Expenses'!B61</f>
        <v>6567.4103599999989</v>
      </c>
      <c r="D61" s="222">
        <f t="shared" si="2"/>
        <v>0</v>
      </c>
      <c r="E61" s="222">
        <f t="shared" si="2"/>
        <v>0</v>
      </c>
      <c r="F61" s="222">
        <f t="shared" si="2"/>
        <v>3283.7051799999995</v>
      </c>
      <c r="G61" s="222">
        <f t="shared" si="2"/>
        <v>3283.7051799999995</v>
      </c>
      <c r="I61" s="228">
        <f>'[1]Water Operating Expenses'!I61</f>
        <v>0</v>
      </c>
      <c r="J61" s="228">
        <f>'[1]Water Operating Expenses'!J61</f>
        <v>0</v>
      </c>
      <c r="K61" s="228">
        <f>'[1]Water Operating Expenses'!K61</f>
        <v>0.5</v>
      </c>
      <c r="L61" s="228">
        <f>'[1]Water Operating Expenses'!L61</f>
        <v>0.5</v>
      </c>
    </row>
    <row r="62" spans="1:12" ht="14.35" customHeight="1" x14ac:dyDescent="0.45">
      <c r="A62" s="220" t="str">
        <f>'[1]Operating Expenses'!A132</f>
        <v>8092 Administrative Department:Uniform Expense</v>
      </c>
      <c r="B62" s="221">
        <f>'[1]Water Operating Expenses'!B62</f>
        <v>544.48680999999988</v>
      </c>
      <c r="D62" s="222">
        <f t="shared" si="2"/>
        <v>0</v>
      </c>
      <c r="E62" s="222">
        <f t="shared" si="2"/>
        <v>0</v>
      </c>
      <c r="F62" s="222">
        <f t="shared" si="2"/>
        <v>272.24340499999994</v>
      </c>
      <c r="G62" s="222">
        <f t="shared" si="2"/>
        <v>272.24340499999994</v>
      </c>
      <c r="I62" s="228">
        <f>'[1]Water Operating Expenses'!I62</f>
        <v>0</v>
      </c>
      <c r="J62" s="228">
        <f>'[1]Water Operating Expenses'!J62</f>
        <v>0</v>
      </c>
      <c r="K62" s="228">
        <f>'[1]Water Operating Expenses'!K62</f>
        <v>0.5</v>
      </c>
      <c r="L62" s="228">
        <f>'[1]Water Operating Expenses'!L62</f>
        <v>0.5</v>
      </c>
    </row>
    <row r="63" spans="1:12" ht="14.35" customHeight="1" x14ac:dyDescent="0.45">
      <c r="A63" s="220" t="str">
        <f>'[1]Operating Expenses'!A133</f>
        <v>8099 Administrative Department:Employee Benefits</v>
      </c>
      <c r="B63" s="223">
        <f>'[1]Water Operating Expenses'!B63</f>
        <v>190555.32551999998</v>
      </c>
      <c r="D63" s="224">
        <f t="shared" si="2"/>
        <v>0</v>
      </c>
      <c r="E63" s="224">
        <f t="shared" si="2"/>
        <v>0</v>
      </c>
      <c r="F63" s="224">
        <f t="shared" si="2"/>
        <v>95277.662759999992</v>
      </c>
      <c r="G63" s="224">
        <f t="shared" si="2"/>
        <v>95277.662759999992</v>
      </c>
      <c r="I63" s="228">
        <f>'[1]Water Operating Expenses'!I63</f>
        <v>0</v>
      </c>
      <c r="J63" s="228">
        <f>'[1]Water Operating Expenses'!J63</f>
        <v>0</v>
      </c>
      <c r="K63" s="228">
        <f>'[1]Water Operating Expenses'!K63</f>
        <v>0.5</v>
      </c>
      <c r="L63" s="228">
        <f>'[1]Water Operating Expenses'!L63</f>
        <v>0.5</v>
      </c>
    </row>
    <row r="64" spans="1:12" ht="14.35" customHeight="1" x14ac:dyDescent="0.45">
      <c r="A64" s="225" t="s">
        <v>135</v>
      </c>
      <c r="B64" s="221">
        <f>SUM(B40:B63)</f>
        <v>744305.43593000004</v>
      </c>
      <c r="D64" s="222">
        <f>SUM(D40:D63)</f>
        <v>0</v>
      </c>
      <c r="E64" s="222">
        <f>SUM(E40:E63)</f>
        <v>0</v>
      </c>
      <c r="F64" s="222">
        <f>SUM(F40:F63)</f>
        <v>372152.71796500002</v>
      </c>
      <c r="G64" s="222">
        <f>SUM(G40:G63)</f>
        <v>372152.71796500002</v>
      </c>
    </row>
    <row r="65" spans="1:7" ht="14.35" customHeight="1" x14ac:dyDescent="0.45">
      <c r="A65" s="225"/>
    </row>
    <row r="66" spans="1:7" ht="14.35" customHeight="1" x14ac:dyDescent="0.45">
      <c r="A66" s="225" t="s">
        <v>0</v>
      </c>
      <c r="B66" s="221">
        <f t="shared" ref="B66:G66" si="3">B38+B64</f>
        <v>3582834.5559299998</v>
      </c>
      <c r="D66" s="221">
        <f t="shared" si="3"/>
        <v>1996300.8200000003</v>
      </c>
      <c r="E66" s="221">
        <f t="shared" si="3"/>
        <v>842228.30000000016</v>
      </c>
      <c r="F66" s="221">
        <f t="shared" si="3"/>
        <v>372152.71796500002</v>
      </c>
      <c r="G66" s="221">
        <f t="shared" si="3"/>
        <v>372152.71796500002</v>
      </c>
    </row>
    <row r="67" spans="1:7" ht="14.35" customHeight="1" x14ac:dyDescent="0.45">
      <c r="A67" s="225"/>
    </row>
    <row r="68" spans="1:7" ht="14.35" customHeight="1" x14ac:dyDescent="0.45">
      <c r="A68" s="225" t="s">
        <v>113</v>
      </c>
      <c r="B68" s="226">
        <f>'[1]Operating Expenses'!F136</f>
        <v>3582834.5559299998</v>
      </c>
    </row>
    <row r="69" spans="1:7" ht="14.35" customHeight="1" x14ac:dyDescent="0.45">
      <c r="A69" s="220"/>
    </row>
    <row r="70" spans="1:7" ht="14.35" customHeight="1" x14ac:dyDescent="0.45">
      <c r="A70" s="220"/>
      <c r="B70" s="227" t="str">
        <f>IF(B68=B66, "OK", "Out of Balance")</f>
        <v>OK</v>
      </c>
      <c r="D70" s="227" t="str">
        <f>IF(B68=D66+E66+F66+G66, "OK", "Out of Balance")</f>
        <v>OK</v>
      </c>
    </row>
    <row r="71" spans="1:7" ht="14.35" customHeight="1" x14ac:dyDescent="0.45">
      <c r="A71" s="225"/>
      <c r="D71" s="210" t="s">
        <v>136</v>
      </c>
    </row>
    <row r="72" spans="1:7" ht="14.35" customHeight="1" x14ac:dyDescent="0.45">
      <c r="A72" s="225"/>
    </row>
    <row r="73" spans="1:7" ht="14.35" customHeight="1" x14ac:dyDescent="0.45">
      <c r="A73" s="225"/>
    </row>
    <row r="76" spans="1:7" ht="14.35" customHeight="1" x14ac:dyDescent="0.45">
      <c r="A76" s="227"/>
    </row>
  </sheetData>
  <pageMargins left="0.25" right="0.25" top="0.75" bottom="0.75" header="0.3" footer="0.3"/>
  <pageSetup scale="87" fitToHeight="0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48"/>
  <sheetViews>
    <sheetView topLeftCell="A33" workbookViewId="0">
      <selection activeCell="K46" sqref="A1:K46"/>
    </sheetView>
  </sheetViews>
  <sheetFormatPr defaultRowHeight="15.75" x14ac:dyDescent="0.5"/>
  <cols>
    <col min="1" max="1" width="2.609375" style="65" customWidth="1"/>
    <col min="2" max="2" width="2.77734375" style="65" customWidth="1"/>
    <col min="3" max="3" width="32.609375" style="65" customWidth="1"/>
    <col min="4" max="4" width="1.21875" style="65" customWidth="1"/>
    <col min="5" max="5" width="16.83203125" style="65" bestFit="1" customWidth="1"/>
    <col min="6" max="6" width="2.5546875" style="65" customWidth="1"/>
    <col min="7" max="7" width="10.109375" style="65" bestFit="1" customWidth="1"/>
    <col min="8" max="8" width="3.6640625" style="65" customWidth="1"/>
    <col min="9" max="9" width="11.94140625" style="65" bestFit="1" customWidth="1"/>
    <col min="10" max="10" width="2.77734375" style="65" customWidth="1"/>
    <col min="11" max="11" width="2.609375" style="65" customWidth="1"/>
    <col min="12" max="12" width="52.5546875" style="65" customWidth="1"/>
    <col min="13" max="16384" width="8.88671875" style="65"/>
  </cols>
  <sheetData>
    <row r="2" spans="1:11" ht="21" x14ac:dyDescent="0.65">
      <c r="A2" s="57"/>
      <c r="B2" s="62"/>
      <c r="C2" s="319"/>
      <c r="D2" s="319"/>
      <c r="E2" s="319"/>
      <c r="F2" s="319"/>
      <c r="G2" s="319"/>
      <c r="H2" s="319"/>
      <c r="I2" s="319"/>
      <c r="J2" s="63"/>
      <c r="K2" s="64"/>
    </row>
    <row r="3" spans="1:11" ht="18" x14ac:dyDescent="0.55000000000000004">
      <c r="A3" s="57"/>
      <c r="B3" s="66"/>
      <c r="C3" s="317" t="s">
        <v>60</v>
      </c>
      <c r="D3" s="317"/>
      <c r="E3" s="317"/>
      <c r="F3" s="317"/>
      <c r="G3" s="317"/>
      <c r="H3" s="317"/>
      <c r="I3" s="317"/>
      <c r="J3" s="67"/>
      <c r="K3" s="57"/>
    </row>
    <row r="4" spans="1:11" ht="15.75" customHeight="1" x14ac:dyDescent="0.55000000000000004">
      <c r="A4" s="57"/>
      <c r="B4" s="323" t="s">
        <v>130</v>
      </c>
      <c r="C4" s="318"/>
      <c r="D4" s="318"/>
      <c r="E4" s="318"/>
      <c r="F4" s="318"/>
      <c r="G4" s="318"/>
      <c r="H4" s="318"/>
      <c r="I4" s="318"/>
      <c r="J4" s="324"/>
      <c r="K4" s="57"/>
    </row>
    <row r="5" spans="1:11" ht="18" x14ac:dyDescent="0.5">
      <c r="A5" s="57"/>
      <c r="B5" s="320" t="s">
        <v>128</v>
      </c>
      <c r="C5" s="321"/>
      <c r="D5" s="321"/>
      <c r="E5" s="321"/>
      <c r="F5" s="321"/>
      <c r="G5" s="321"/>
      <c r="H5" s="321"/>
      <c r="I5" s="321"/>
      <c r="J5" s="322"/>
      <c r="K5" s="57"/>
    </row>
    <row r="6" spans="1:11" x14ac:dyDescent="0.5">
      <c r="A6" s="57"/>
      <c r="B6" s="66"/>
      <c r="C6" s="57"/>
      <c r="D6" s="57"/>
      <c r="E6" s="57"/>
      <c r="F6" s="57"/>
      <c r="G6" s="57"/>
      <c r="H6" s="57"/>
      <c r="I6" s="57"/>
      <c r="J6" s="67"/>
      <c r="K6" s="57"/>
    </row>
    <row r="7" spans="1:11" x14ac:dyDescent="0.5">
      <c r="A7" s="57"/>
      <c r="B7" s="66"/>
      <c r="C7" s="70"/>
      <c r="D7" s="71"/>
      <c r="E7" s="70"/>
      <c r="F7" s="71"/>
      <c r="G7" s="70"/>
      <c r="H7" s="70"/>
      <c r="I7" s="72" t="s">
        <v>35</v>
      </c>
      <c r="J7" s="67"/>
      <c r="K7" s="57"/>
    </row>
    <row r="8" spans="1:11" ht="6.95" customHeight="1" x14ac:dyDescent="0.5">
      <c r="A8" s="57"/>
      <c r="B8" s="66"/>
      <c r="C8" s="70"/>
      <c r="D8" s="71"/>
      <c r="E8" s="70"/>
      <c r="F8" s="71"/>
      <c r="G8" s="70"/>
      <c r="H8" s="70"/>
      <c r="I8" s="72"/>
      <c r="J8" s="67"/>
      <c r="K8" s="57"/>
    </row>
    <row r="9" spans="1:11" x14ac:dyDescent="0.5">
      <c r="A9" s="57"/>
      <c r="B9" s="66"/>
      <c r="C9" s="70" t="s">
        <v>36</v>
      </c>
      <c r="D9" s="71"/>
      <c r="E9" s="70"/>
      <c r="F9" s="71"/>
      <c r="G9" s="70"/>
      <c r="H9" s="70"/>
      <c r="I9" s="73">
        <f>'System Information '!G42</f>
        <v>7.320527896597967E-2</v>
      </c>
      <c r="J9" s="67"/>
      <c r="K9" s="57"/>
    </row>
    <row r="10" spans="1:11" x14ac:dyDescent="0.5">
      <c r="A10" s="57"/>
      <c r="B10" s="66"/>
      <c r="C10" s="70" t="s">
        <v>111</v>
      </c>
      <c r="D10" s="71"/>
      <c r="E10" s="70"/>
      <c r="F10" s="71"/>
      <c r="G10" s="70"/>
      <c r="H10" s="70"/>
      <c r="I10" s="73">
        <f>'System Information '!G40</f>
        <v>7.8419026706375697E-2</v>
      </c>
      <c r="J10" s="67"/>
      <c r="K10" s="57"/>
    </row>
    <row r="11" spans="1:11" x14ac:dyDescent="0.5">
      <c r="A11" s="57"/>
      <c r="B11" s="66"/>
      <c r="C11" s="70" t="s">
        <v>53</v>
      </c>
      <c r="D11" s="71"/>
      <c r="E11" s="70"/>
      <c r="F11" s="71"/>
      <c r="G11" s="70"/>
      <c r="H11" s="70"/>
      <c r="I11" s="73">
        <f>I10+I9</f>
        <v>0.15162430567235535</v>
      </c>
      <c r="J11" s="67"/>
      <c r="K11" s="57"/>
    </row>
    <row r="12" spans="1:11" x14ac:dyDescent="0.5">
      <c r="A12" s="57"/>
      <c r="B12" s="66"/>
      <c r="C12" s="70" t="s">
        <v>37</v>
      </c>
      <c r="D12" s="71"/>
      <c r="E12" s="70"/>
      <c r="F12" s="71"/>
      <c r="G12" s="70"/>
      <c r="H12" s="70"/>
      <c r="I12" s="74">
        <f>'System Information '!H27</f>
        <v>548.57375378787879</v>
      </c>
      <c r="J12" s="67"/>
      <c r="K12" s="57"/>
    </row>
    <row r="13" spans="1:11" x14ac:dyDescent="0.5">
      <c r="A13" s="57"/>
      <c r="B13" s="66"/>
      <c r="C13" s="70" t="s">
        <v>38</v>
      </c>
      <c r="D13" s="71"/>
      <c r="E13" s="70"/>
      <c r="F13" s="71"/>
      <c r="G13" s="70"/>
      <c r="H13" s="70"/>
      <c r="I13" s="74">
        <f>'System Information '!F27</f>
        <v>820.47585800676052</v>
      </c>
      <c r="J13" s="67"/>
      <c r="K13" s="57"/>
    </row>
    <row r="14" spans="1:11" x14ac:dyDescent="0.5">
      <c r="A14" s="57"/>
      <c r="B14" s="66"/>
      <c r="C14" s="70" t="s">
        <v>39</v>
      </c>
      <c r="D14" s="71"/>
      <c r="E14" s="70"/>
      <c r="F14" s="71"/>
      <c r="G14" s="70"/>
      <c r="H14" s="70"/>
      <c r="I14" s="244">
        <f>'System Information '!F37</f>
        <v>1147547</v>
      </c>
      <c r="J14" s="67"/>
      <c r="K14" s="57"/>
    </row>
    <row r="15" spans="1:11" x14ac:dyDescent="0.5">
      <c r="A15" s="57"/>
      <c r="B15" s="66"/>
      <c r="C15" s="70" t="s">
        <v>40</v>
      </c>
      <c r="D15" s="71"/>
      <c r="E15" s="70"/>
      <c r="F15" s="71"/>
      <c r="G15" s="70"/>
      <c r="H15" s="70"/>
      <c r="I15" s="244">
        <f>'System Information '!F38</f>
        <v>1560387.7</v>
      </c>
      <c r="J15" s="67"/>
      <c r="K15" s="57"/>
    </row>
    <row r="16" spans="1:11" x14ac:dyDescent="0.5">
      <c r="A16" s="57"/>
      <c r="B16" s="66"/>
      <c r="C16" s="70"/>
      <c r="D16" s="71"/>
      <c r="E16" s="70"/>
      <c r="F16" s="71"/>
      <c r="G16" s="70"/>
      <c r="H16" s="70"/>
      <c r="I16" s="73"/>
      <c r="J16" s="67"/>
      <c r="K16" s="57"/>
    </row>
    <row r="17" spans="1:11" x14ac:dyDescent="0.5">
      <c r="A17" s="57"/>
      <c r="B17" s="66"/>
      <c r="C17" s="70"/>
      <c r="D17" s="71"/>
      <c r="E17" s="70"/>
      <c r="F17" s="71"/>
      <c r="G17" s="75">
        <v>1</v>
      </c>
      <c r="H17" s="70"/>
      <c r="I17" s="73"/>
      <c r="J17" s="67"/>
      <c r="K17" s="57"/>
    </row>
    <row r="18" spans="1:11" x14ac:dyDescent="0.5">
      <c r="A18" s="57"/>
      <c r="B18" s="66"/>
      <c r="C18" s="86" t="s">
        <v>41</v>
      </c>
      <c r="D18" s="71"/>
      <c r="E18" s="57" t="s">
        <v>79</v>
      </c>
      <c r="F18" s="243" t="s">
        <v>147</v>
      </c>
      <c r="G18" s="243" t="s">
        <v>146</v>
      </c>
      <c r="H18" s="71" t="s">
        <v>42</v>
      </c>
      <c r="I18" s="87">
        <f>1/(1-I11)</f>
        <v>1.1787230665448529</v>
      </c>
      <c r="J18" s="67"/>
      <c r="K18" s="57"/>
    </row>
    <row r="19" spans="1:11" x14ac:dyDescent="0.5">
      <c r="A19" s="57"/>
      <c r="B19" s="66"/>
      <c r="C19" s="70"/>
      <c r="D19" s="71"/>
      <c r="E19" s="70">
        <v>1</v>
      </c>
      <c r="F19" s="71" t="s">
        <v>43</v>
      </c>
      <c r="G19" s="76">
        <f>I11</f>
        <v>0.15162430567235535</v>
      </c>
      <c r="H19" s="71"/>
      <c r="I19" s="73"/>
      <c r="J19" s="67"/>
      <c r="K19" s="57"/>
    </row>
    <row r="20" spans="1:11" ht="52.15" customHeight="1" x14ac:dyDescent="0.5">
      <c r="A20" s="57"/>
      <c r="B20" s="66"/>
      <c r="C20" s="95" t="s">
        <v>207</v>
      </c>
      <c r="D20" s="71"/>
      <c r="E20" s="70"/>
      <c r="F20" s="71"/>
      <c r="G20" s="77"/>
      <c r="H20" s="71"/>
      <c r="I20" s="73"/>
      <c r="J20" s="67"/>
      <c r="K20" s="57"/>
    </row>
    <row r="21" spans="1:11" x14ac:dyDescent="0.5">
      <c r="A21" s="57"/>
      <c r="B21" s="66"/>
      <c r="C21" s="70"/>
      <c r="D21" s="71"/>
      <c r="E21" s="70"/>
      <c r="F21" s="57"/>
      <c r="G21" s="78">
        <f>I12</f>
        <v>548.57375378787879</v>
      </c>
      <c r="H21" s="71"/>
      <c r="I21" s="73"/>
      <c r="J21" s="67"/>
      <c r="K21" s="57"/>
    </row>
    <row r="22" spans="1:11" x14ac:dyDescent="0.5">
      <c r="A22" s="57"/>
      <c r="B22" s="66"/>
      <c r="C22" s="86" t="s">
        <v>44</v>
      </c>
      <c r="D22" s="71"/>
      <c r="E22" s="57"/>
      <c r="F22" s="75" t="s">
        <v>80</v>
      </c>
      <c r="G22" s="75"/>
      <c r="H22" s="71" t="s">
        <v>42</v>
      </c>
      <c r="I22" s="87">
        <f>G21/G23</f>
        <v>0.66860438175544545</v>
      </c>
      <c r="J22" s="67"/>
      <c r="K22" s="57"/>
    </row>
    <row r="23" spans="1:11" x14ac:dyDescent="0.5">
      <c r="A23" s="57"/>
      <c r="B23" s="66"/>
      <c r="C23" s="70"/>
      <c r="D23" s="71"/>
      <c r="E23" s="79"/>
      <c r="F23" s="71"/>
      <c r="G23" s="78">
        <f>I13</f>
        <v>820.47585800676052</v>
      </c>
      <c r="H23" s="71"/>
      <c r="I23" s="73"/>
      <c r="J23" s="67"/>
      <c r="K23" s="57"/>
    </row>
    <row r="24" spans="1:11" ht="71.25" customHeight="1" x14ac:dyDescent="0.5">
      <c r="A24" s="57"/>
      <c r="B24" s="66"/>
      <c r="C24" s="95" t="s">
        <v>99</v>
      </c>
      <c r="D24" s="71"/>
      <c r="E24" s="79"/>
      <c r="F24" s="71"/>
      <c r="G24" s="70"/>
      <c r="H24" s="71"/>
      <c r="I24" s="73"/>
      <c r="J24" s="67"/>
      <c r="K24" s="57"/>
    </row>
    <row r="25" spans="1:11" x14ac:dyDescent="0.5">
      <c r="A25" s="57"/>
      <c r="B25" s="66"/>
      <c r="C25" s="86" t="s">
        <v>88</v>
      </c>
      <c r="D25" s="80"/>
      <c r="E25" s="81">
        <f>I9</f>
        <v>7.320527896597967E-2</v>
      </c>
      <c r="F25" s="71" t="s">
        <v>45</v>
      </c>
      <c r="G25" s="82">
        <f>I22</f>
        <v>0.66860438175544545</v>
      </c>
      <c r="H25" s="71" t="s">
        <v>42</v>
      </c>
      <c r="I25" s="87">
        <f>E25*G25</f>
        <v>4.8945370284283751E-2</v>
      </c>
      <c r="J25" s="67"/>
      <c r="K25" s="57"/>
    </row>
    <row r="26" spans="1:11" ht="31.5" customHeight="1" x14ac:dyDescent="0.5">
      <c r="A26" s="57"/>
      <c r="B26" s="66"/>
      <c r="C26" s="96" t="s">
        <v>100</v>
      </c>
      <c r="D26" s="80"/>
      <c r="E26" s="81"/>
      <c r="F26" s="71"/>
      <c r="G26" s="82"/>
      <c r="H26" s="71"/>
      <c r="I26" s="73"/>
      <c r="J26" s="67"/>
      <c r="K26" s="57"/>
    </row>
    <row r="27" spans="1:11" x14ac:dyDescent="0.5">
      <c r="A27" s="57"/>
      <c r="B27" s="66"/>
      <c r="C27" s="70"/>
      <c r="D27" s="80"/>
      <c r="E27" s="81"/>
      <c r="F27" s="71"/>
      <c r="G27" s="82"/>
      <c r="H27" s="71"/>
      <c r="I27" s="73"/>
      <c r="J27" s="67"/>
      <c r="K27" s="57"/>
    </row>
    <row r="28" spans="1:11" x14ac:dyDescent="0.5">
      <c r="A28" s="57"/>
      <c r="B28" s="66"/>
      <c r="C28" s="86" t="s">
        <v>54</v>
      </c>
      <c r="D28" s="80"/>
      <c r="E28" s="81">
        <f>I25</f>
        <v>4.8945370284283751E-2</v>
      </c>
      <c r="F28" s="71" t="s">
        <v>55</v>
      </c>
      <c r="G28" s="82">
        <f>I10</f>
        <v>7.8419026706375697E-2</v>
      </c>
      <c r="H28" s="71" t="s">
        <v>42</v>
      </c>
      <c r="I28" s="87">
        <f>E28+G28</f>
        <v>0.12736439699065943</v>
      </c>
      <c r="J28" s="67"/>
      <c r="K28" s="57"/>
    </row>
    <row r="29" spans="1:11" ht="41.25" customHeight="1" x14ac:dyDescent="0.5">
      <c r="A29" s="57"/>
      <c r="B29" s="66"/>
      <c r="C29" s="95" t="s">
        <v>101</v>
      </c>
      <c r="D29" s="80"/>
      <c r="E29" s="81"/>
      <c r="F29" s="71"/>
      <c r="G29" s="70"/>
      <c r="H29" s="71"/>
      <c r="I29" s="73"/>
      <c r="J29" s="67"/>
      <c r="K29" s="57"/>
    </row>
    <row r="30" spans="1:11" x14ac:dyDescent="0.5">
      <c r="A30" s="57"/>
      <c r="B30" s="66"/>
      <c r="C30" s="70"/>
      <c r="D30" s="71"/>
      <c r="E30" s="70"/>
      <c r="F30" s="71"/>
      <c r="G30" s="75">
        <v>1</v>
      </c>
      <c r="H30" s="71"/>
      <c r="I30" s="83"/>
      <c r="J30" s="67"/>
      <c r="K30" s="57"/>
    </row>
    <row r="31" spans="1:11" x14ac:dyDescent="0.5">
      <c r="A31" s="57"/>
      <c r="B31" s="66"/>
      <c r="C31" s="86" t="s">
        <v>46</v>
      </c>
      <c r="D31" s="71"/>
      <c r="E31" s="57" t="s">
        <v>79</v>
      </c>
      <c r="F31" s="243" t="s">
        <v>147</v>
      </c>
      <c r="G31" s="243" t="s">
        <v>146</v>
      </c>
      <c r="H31" s="71" t="s">
        <v>42</v>
      </c>
      <c r="I31" s="87">
        <f>1/(1-G32)</f>
        <v>1.1459537022686619</v>
      </c>
      <c r="J31" s="67"/>
      <c r="K31" s="57"/>
    </row>
    <row r="32" spans="1:11" x14ac:dyDescent="0.5">
      <c r="A32" s="57"/>
      <c r="B32" s="66"/>
      <c r="C32" s="70"/>
      <c r="D32" s="71"/>
      <c r="E32" s="70">
        <v>1</v>
      </c>
      <c r="F32" s="71" t="s">
        <v>43</v>
      </c>
      <c r="G32" s="76">
        <f>I28</f>
        <v>0.12736439699065943</v>
      </c>
      <c r="H32" s="71"/>
      <c r="I32" s="73"/>
      <c r="J32" s="67"/>
      <c r="K32" s="57"/>
    </row>
    <row r="33" spans="1:11" ht="67.5" customHeight="1" x14ac:dyDescent="0.5">
      <c r="A33" s="57"/>
      <c r="B33" s="66"/>
      <c r="C33" s="95" t="s">
        <v>206</v>
      </c>
      <c r="D33" s="71"/>
      <c r="E33" s="70"/>
      <c r="F33" s="71"/>
      <c r="G33" s="76"/>
      <c r="H33" s="71"/>
      <c r="I33" s="73"/>
      <c r="J33" s="67"/>
      <c r="K33" s="57"/>
    </row>
    <row r="34" spans="1:11" x14ac:dyDescent="0.5">
      <c r="A34" s="57"/>
      <c r="B34" s="66"/>
      <c r="C34" s="94"/>
      <c r="D34" s="71"/>
      <c r="E34" s="84">
        <f>I31</f>
        <v>1.1459537022686619</v>
      </c>
      <c r="F34" s="71"/>
      <c r="G34" s="85">
        <f>$I$14</f>
        <v>1147547</v>
      </c>
      <c r="H34" s="71"/>
      <c r="I34" s="73"/>
      <c r="J34" s="67"/>
      <c r="K34" s="57"/>
    </row>
    <row r="35" spans="1:11" x14ac:dyDescent="0.5">
      <c r="A35" s="57"/>
      <c r="B35" s="66"/>
      <c r="C35" s="86" t="s">
        <v>83</v>
      </c>
      <c r="D35" s="71"/>
      <c r="E35" s="71" t="s">
        <v>47</v>
      </c>
      <c r="F35" s="71" t="s">
        <v>45</v>
      </c>
      <c r="G35" s="71" t="s">
        <v>47</v>
      </c>
      <c r="H35" s="71" t="s">
        <v>42</v>
      </c>
      <c r="I35" s="87">
        <f>(I31/I18)*(+G34/G36)</f>
        <v>0.71497894606574497</v>
      </c>
      <c r="J35" s="67"/>
      <c r="K35" s="57"/>
    </row>
    <row r="36" spans="1:11" x14ac:dyDescent="0.5">
      <c r="A36" s="57"/>
      <c r="B36" s="66"/>
      <c r="C36" s="70"/>
      <c r="D36" s="71"/>
      <c r="E36" s="84">
        <f>I18</f>
        <v>1.1787230665448529</v>
      </c>
      <c r="F36" s="71"/>
      <c r="G36" s="85">
        <f>$I$15</f>
        <v>1560387.7</v>
      </c>
      <c r="H36" s="71"/>
      <c r="I36" s="87"/>
      <c r="J36" s="67"/>
      <c r="K36" s="57"/>
    </row>
    <row r="37" spans="1:11" ht="57" x14ac:dyDescent="0.5">
      <c r="A37" s="57"/>
      <c r="B37" s="66"/>
      <c r="C37" s="95" t="s">
        <v>102</v>
      </c>
      <c r="D37" s="71"/>
      <c r="E37" s="84"/>
      <c r="F37" s="71"/>
      <c r="G37" s="85"/>
      <c r="H37" s="71"/>
      <c r="I37" s="87"/>
      <c r="J37" s="67"/>
      <c r="K37" s="57"/>
    </row>
    <row r="38" spans="1:11" x14ac:dyDescent="0.5">
      <c r="A38" s="57"/>
      <c r="B38" s="66"/>
      <c r="C38" s="95"/>
      <c r="D38" s="71"/>
      <c r="E38" s="85">
        <f>$I$14</f>
        <v>1147547</v>
      </c>
      <c r="F38" s="71"/>
      <c r="G38" s="70"/>
      <c r="H38" s="71"/>
      <c r="I38" s="87"/>
      <c r="J38" s="67"/>
      <c r="K38" s="57"/>
    </row>
    <row r="39" spans="1:11" x14ac:dyDescent="0.5">
      <c r="A39" s="57"/>
      <c r="B39" s="66"/>
      <c r="C39" s="86" t="s">
        <v>48</v>
      </c>
      <c r="D39" s="71"/>
      <c r="E39" s="71" t="s">
        <v>47</v>
      </c>
      <c r="F39" s="71" t="s">
        <v>45</v>
      </c>
      <c r="G39" s="76">
        <f>I22</f>
        <v>0.66860438175544545</v>
      </c>
      <c r="H39" s="71" t="s">
        <v>42</v>
      </c>
      <c r="I39" s="87">
        <f>(+E38/E40)*I22</f>
        <v>0.49170789571740164</v>
      </c>
      <c r="J39" s="67"/>
      <c r="K39" s="57"/>
    </row>
    <row r="40" spans="1:11" x14ac:dyDescent="0.5">
      <c r="A40" s="57"/>
      <c r="B40" s="66"/>
      <c r="C40" s="70"/>
      <c r="D40" s="71"/>
      <c r="E40" s="85">
        <f>$I$15</f>
        <v>1560387.7</v>
      </c>
      <c r="F40" s="71"/>
      <c r="G40" s="70"/>
      <c r="H40" s="71"/>
      <c r="I40" s="87"/>
      <c r="J40" s="67"/>
      <c r="K40" s="57"/>
    </row>
    <row r="41" spans="1:11" ht="36.75" customHeight="1" x14ac:dyDescent="0.5">
      <c r="A41" s="57"/>
      <c r="B41" s="66"/>
      <c r="C41" s="95" t="s">
        <v>103</v>
      </c>
      <c r="D41" s="71"/>
      <c r="E41" s="70"/>
      <c r="F41" s="71"/>
      <c r="G41" s="70"/>
      <c r="H41" s="71"/>
      <c r="I41" s="87"/>
      <c r="J41" s="67"/>
      <c r="K41" s="57"/>
    </row>
    <row r="42" spans="1:11" x14ac:dyDescent="0.5">
      <c r="A42" s="57"/>
      <c r="B42" s="66"/>
      <c r="C42" s="70"/>
      <c r="D42" s="71"/>
      <c r="E42" s="70"/>
      <c r="F42" s="71"/>
      <c r="G42" s="85">
        <f>$I$14</f>
        <v>1147547</v>
      </c>
      <c r="H42" s="71"/>
      <c r="I42" s="87"/>
      <c r="J42" s="67"/>
      <c r="K42" s="57"/>
    </row>
    <row r="43" spans="1:11" x14ac:dyDescent="0.5">
      <c r="A43" s="57"/>
      <c r="B43" s="66"/>
      <c r="C43" s="86" t="s">
        <v>49</v>
      </c>
      <c r="D43" s="71"/>
      <c r="E43" s="70"/>
      <c r="F43" s="71"/>
      <c r="G43" s="71" t="s">
        <v>47</v>
      </c>
      <c r="H43" s="71" t="s">
        <v>42</v>
      </c>
      <c r="I43" s="87">
        <f>G42/G44</f>
        <v>0.73542427949156486</v>
      </c>
      <c r="J43" s="67"/>
      <c r="K43" s="57"/>
    </row>
    <row r="44" spans="1:11" x14ac:dyDescent="0.5">
      <c r="A44" s="57"/>
      <c r="B44" s="66"/>
      <c r="C44" s="57"/>
      <c r="D44" s="88"/>
      <c r="E44" s="57"/>
      <c r="F44" s="88"/>
      <c r="G44" s="85">
        <f>$I$15</f>
        <v>1560387.7</v>
      </c>
      <c r="H44" s="57"/>
      <c r="I44" s="89"/>
      <c r="J44" s="67"/>
      <c r="K44" s="57"/>
    </row>
    <row r="45" spans="1:11" ht="53.65" customHeight="1" x14ac:dyDescent="0.5">
      <c r="A45" s="57"/>
      <c r="B45" s="90"/>
      <c r="C45" s="98" t="s">
        <v>104</v>
      </c>
      <c r="D45" s="92"/>
      <c r="E45" s="91"/>
      <c r="F45" s="92"/>
      <c r="G45" s="91"/>
      <c r="H45" s="91"/>
      <c r="I45" s="91"/>
      <c r="J45" s="93"/>
      <c r="K45" s="57"/>
    </row>
    <row r="46" spans="1:11" x14ac:dyDescent="0.5">
      <c r="A46" s="57"/>
      <c r="B46" s="57"/>
      <c r="C46" s="97"/>
      <c r="D46" s="88"/>
      <c r="E46" s="57"/>
      <c r="F46" s="88"/>
      <c r="G46" s="57"/>
      <c r="H46" s="57"/>
      <c r="I46" s="57"/>
      <c r="J46" s="57"/>
      <c r="K46" s="57"/>
    </row>
    <row r="47" spans="1:11" x14ac:dyDescent="0.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</row>
    <row r="48" spans="1:11" x14ac:dyDescent="0.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</row>
  </sheetData>
  <mergeCells count="4">
    <mergeCell ref="C2:I2"/>
    <mergeCell ref="C3:I3"/>
    <mergeCell ref="B5:J5"/>
    <mergeCell ref="B4:J4"/>
  </mergeCells>
  <printOptions horizontalCentered="1"/>
  <pageMargins left="0.25" right="0.25" top="0.75" bottom="0.75" header="0.3" footer="0.3"/>
  <pageSetup scale="68" orientation="portrait" horizontalDpi="4294967293" r:id="rId1"/>
  <ignoredErrors>
    <ignoredError sqref="G42 I39 I43 E38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S77"/>
  <sheetViews>
    <sheetView topLeftCell="A39" workbookViewId="0">
      <selection activeCell="H44" sqref="H44"/>
    </sheetView>
  </sheetViews>
  <sheetFormatPr defaultRowHeight="15" x14ac:dyDescent="0.4"/>
  <cols>
    <col min="1" max="1" width="2.6640625" customWidth="1"/>
    <col min="2" max="2" width="1.77734375" customWidth="1"/>
    <col min="3" max="3" width="4.6640625" customWidth="1"/>
    <col min="4" max="4" width="18.5546875" customWidth="1"/>
    <col min="5" max="5" width="11.6640625" customWidth="1"/>
    <col min="6" max="6" width="8.21875" customWidth="1"/>
    <col min="7" max="7" width="8.77734375" customWidth="1"/>
    <col min="8" max="8" width="17.71875" bestFit="1" customWidth="1"/>
    <col min="9" max="9" width="11.33203125" customWidth="1"/>
    <col min="10" max="10" width="1.33203125" customWidth="1"/>
    <col min="11" max="11" width="2.71875" customWidth="1"/>
    <col min="12" max="13" width="10.6640625" customWidth="1"/>
    <col min="16" max="16" width="10" customWidth="1"/>
  </cols>
  <sheetData>
    <row r="2" spans="2:13" x14ac:dyDescent="0.4">
      <c r="B2" s="2"/>
      <c r="C2" s="3"/>
      <c r="D2" s="3"/>
      <c r="E2" s="3"/>
      <c r="F2" s="3"/>
      <c r="G2" s="3"/>
      <c r="H2" s="3"/>
      <c r="I2" s="3"/>
      <c r="J2" s="4"/>
    </row>
    <row r="3" spans="2:13" ht="18" x14ac:dyDescent="0.55000000000000004">
      <c r="B3" s="1"/>
      <c r="C3" s="307" t="s">
        <v>175</v>
      </c>
      <c r="D3" s="307"/>
      <c r="E3" s="307"/>
      <c r="F3" s="307"/>
      <c r="G3" s="307"/>
      <c r="H3" s="307"/>
      <c r="I3" s="307"/>
      <c r="J3" s="314"/>
      <c r="K3" s="7"/>
      <c r="L3" s="7"/>
      <c r="M3" s="7"/>
    </row>
    <row r="4" spans="2:13" ht="18" x14ac:dyDescent="0.55000000000000004">
      <c r="B4" s="329" t="s">
        <v>196</v>
      </c>
      <c r="C4" s="330"/>
      <c r="D4" s="330"/>
      <c r="E4" s="330"/>
      <c r="F4" s="330"/>
      <c r="G4" s="330"/>
      <c r="H4" s="330"/>
      <c r="I4" s="330"/>
      <c r="J4" s="331"/>
      <c r="K4" s="7"/>
      <c r="L4" s="12"/>
      <c r="M4" s="12"/>
    </row>
    <row r="5" spans="2:13" ht="18" x14ac:dyDescent="0.55000000000000004">
      <c r="B5" s="332" t="s">
        <v>197</v>
      </c>
      <c r="C5" s="330"/>
      <c r="D5" s="330"/>
      <c r="E5" s="330"/>
      <c r="F5" s="330"/>
      <c r="G5" s="330"/>
      <c r="H5" s="330"/>
      <c r="I5" s="330"/>
      <c r="J5" s="331"/>
      <c r="K5" s="7"/>
      <c r="L5" s="12"/>
      <c r="M5" s="12"/>
    </row>
    <row r="6" spans="2:13" ht="15.4" x14ac:dyDescent="0.45">
      <c r="B6" s="326" t="s">
        <v>128</v>
      </c>
      <c r="C6" s="327"/>
      <c r="D6" s="327"/>
      <c r="E6" s="327"/>
      <c r="F6" s="327"/>
      <c r="G6" s="327"/>
      <c r="H6" s="327"/>
      <c r="I6" s="327"/>
      <c r="J6" s="328"/>
      <c r="K6" s="7"/>
      <c r="L6" s="12"/>
      <c r="M6" s="12"/>
    </row>
    <row r="7" spans="2:13" ht="15.4" x14ac:dyDescent="0.45">
      <c r="B7" s="1"/>
      <c r="C7" s="7"/>
      <c r="D7" s="12"/>
      <c r="E7" s="12"/>
      <c r="F7" s="12"/>
      <c r="G7" s="12"/>
      <c r="H7" s="12"/>
      <c r="I7" s="12"/>
      <c r="J7" s="19"/>
      <c r="K7" s="7"/>
      <c r="L7" s="12"/>
      <c r="M7" s="13"/>
    </row>
    <row r="8" spans="2:13" ht="15.4" x14ac:dyDescent="0.45">
      <c r="B8" s="1"/>
      <c r="C8" s="7"/>
      <c r="D8" s="12"/>
      <c r="E8" s="13"/>
      <c r="F8" s="325" t="s">
        <v>86</v>
      </c>
      <c r="G8" s="325"/>
      <c r="H8" s="105" t="s">
        <v>6</v>
      </c>
      <c r="I8" s="105" t="s">
        <v>9</v>
      </c>
      <c r="J8" s="49"/>
      <c r="K8" s="13"/>
      <c r="L8" s="13"/>
      <c r="M8" s="13"/>
    </row>
    <row r="9" spans="2:13" ht="15.4" x14ac:dyDescent="0.45">
      <c r="B9" s="1"/>
      <c r="C9" s="7"/>
      <c r="D9" s="12"/>
      <c r="E9" s="13" t="s">
        <v>7</v>
      </c>
      <c r="F9" s="13" t="s">
        <v>87</v>
      </c>
      <c r="G9" s="13" t="s">
        <v>8</v>
      </c>
      <c r="H9" s="105" t="s">
        <v>5</v>
      </c>
      <c r="I9" s="105" t="s">
        <v>5</v>
      </c>
      <c r="J9" s="49"/>
      <c r="K9" s="13"/>
      <c r="L9" s="13"/>
      <c r="M9" s="13"/>
    </row>
    <row r="10" spans="2:13" ht="15.4" x14ac:dyDescent="0.45">
      <c r="B10" s="1"/>
      <c r="C10" s="7" t="s">
        <v>10</v>
      </c>
      <c r="D10" s="12"/>
      <c r="E10" s="12"/>
      <c r="F10" s="12"/>
      <c r="G10" s="12"/>
      <c r="H10" s="12"/>
      <c r="I10" s="12"/>
      <c r="J10" s="19"/>
      <c r="K10" s="7"/>
      <c r="L10" s="12"/>
      <c r="M10" s="12"/>
    </row>
    <row r="11" spans="2:13" ht="15.4" x14ac:dyDescent="0.45">
      <c r="B11" s="1"/>
      <c r="C11" s="7"/>
      <c r="D11" s="12" t="s">
        <v>50</v>
      </c>
      <c r="E11" s="106">
        <f>Matrix!L68</f>
        <v>566595.88</v>
      </c>
      <c r="F11" s="56" t="s">
        <v>84</v>
      </c>
      <c r="G11" s="47">
        <f>'Wholesale Factors'!$I$35</f>
        <v>0.71497894606574497</v>
      </c>
      <c r="H11" s="55">
        <f>E11*G11</f>
        <v>405104.12512759329</v>
      </c>
      <c r="I11" s="55">
        <f>E11-H11</f>
        <v>161491.75487240672</v>
      </c>
      <c r="J11" s="50"/>
      <c r="L11" s="12"/>
      <c r="M11" s="12"/>
    </row>
    <row r="12" spans="2:13" ht="15.4" x14ac:dyDescent="0.45">
      <c r="B12" s="1"/>
      <c r="C12" s="7"/>
      <c r="D12" s="12" t="s">
        <v>11</v>
      </c>
      <c r="E12" s="29">
        <f>Matrix!M68</f>
        <v>341780.93</v>
      </c>
      <c r="F12" s="56" t="s">
        <v>12</v>
      </c>
      <c r="G12" s="47">
        <f>'Wholesale Factors'!$I$39</f>
        <v>0.49170789571740164</v>
      </c>
      <c r="H12" s="29">
        <f>E12*G12</f>
        <v>168056.38188663655</v>
      </c>
      <c r="I12" s="29">
        <f>E12-H12</f>
        <v>173724.54811336345</v>
      </c>
      <c r="J12" s="50"/>
      <c r="L12" s="12"/>
      <c r="M12" s="12"/>
    </row>
    <row r="13" spans="2:13" ht="15.4" x14ac:dyDescent="0.45">
      <c r="B13" s="1"/>
      <c r="C13" s="7" t="s">
        <v>51</v>
      </c>
      <c r="D13" s="12"/>
      <c r="E13" s="29"/>
      <c r="F13" s="56"/>
      <c r="G13" s="48"/>
      <c r="H13" s="29"/>
      <c r="I13" s="29"/>
      <c r="J13" s="50"/>
      <c r="L13" s="12"/>
      <c r="M13" s="12"/>
    </row>
    <row r="14" spans="2:13" ht="15.4" x14ac:dyDescent="0.45">
      <c r="B14" s="1"/>
      <c r="C14" s="7"/>
      <c r="D14" s="12" t="s">
        <v>50</v>
      </c>
      <c r="E14" s="55">
        <f>Matrix!L33</f>
        <v>380219.56</v>
      </c>
      <c r="F14" s="56" t="s">
        <v>84</v>
      </c>
      <c r="G14" s="47">
        <f>'Wholesale Factors'!$I$35</f>
        <v>0.71497894606574497</v>
      </c>
      <c r="H14" s="29">
        <f t="shared" ref="H14:H15" si="0">E14*G14</f>
        <v>271848.98028238129</v>
      </c>
      <c r="I14" s="29">
        <f t="shared" ref="I14:I15" si="1">E14-H14</f>
        <v>108370.5797176187</v>
      </c>
      <c r="J14" s="50"/>
      <c r="L14" s="12"/>
      <c r="M14" s="12"/>
    </row>
    <row r="15" spans="2:13" ht="15.4" x14ac:dyDescent="0.45">
      <c r="B15" s="1"/>
      <c r="C15" s="7"/>
      <c r="D15" s="12" t="s">
        <v>11</v>
      </c>
      <c r="E15" s="29">
        <f>Matrix!M33</f>
        <v>241102.07</v>
      </c>
      <c r="F15" s="56" t="s">
        <v>12</v>
      </c>
      <c r="G15" s="47">
        <f>'Wholesale Factors'!$I$39</f>
        <v>0.49170789571740164</v>
      </c>
      <c r="H15" s="29">
        <f t="shared" si="0"/>
        <v>118551.79149280967</v>
      </c>
      <c r="I15" s="29">
        <f t="shared" si="1"/>
        <v>122550.27850719033</v>
      </c>
      <c r="J15" s="50"/>
      <c r="L15" s="12"/>
      <c r="M15" s="12"/>
    </row>
    <row r="16" spans="2:13" ht="15.4" x14ac:dyDescent="0.45">
      <c r="B16" s="1"/>
      <c r="C16" s="7" t="s">
        <v>109</v>
      </c>
      <c r="D16" s="12"/>
      <c r="E16" s="29"/>
      <c r="F16" s="56"/>
      <c r="G16" s="47"/>
      <c r="H16" s="29"/>
      <c r="I16" s="29"/>
      <c r="J16" s="50"/>
      <c r="L16" s="12"/>
      <c r="M16" s="12"/>
    </row>
    <row r="17" spans="2:13" ht="15.4" x14ac:dyDescent="0.45">
      <c r="B17" s="1"/>
      <c r="C17" s="36"/>
      <c r="D17" s="12" t="s">
        <v>50</v>
      </c>
      <c r="E17" s="55">
        <f>Matrix!L27</f>
        <v>191684.19</v>
      </c>
      <c r="F17" s="56" t="s">
        <v>84</v>
      </c>
      <c r="G17" s="47">
        <f>'Wholesale Factors'!$I$35</f>
        <v>0.71497894606574497</v>
      </c>
      <c r="H17" s="29">
        <f t="shared" ref="H17:H19" si="2">E17*G17</f>
        <v>137050.160143666</v>
      </c>
      <c r="I17" s="29">
        <f t="shared" ref="I17:I19" si="3">E17-H17</f>
        <v>54634.029856334004</v>
      </c>
      <c r="J17" s="50"/>
      <c r="L17" s="12"/>
      <c r="M17" s="12"/>
    </row>
    <row r="18" spans="2:13" ht="15.4" x14ac:dyDescent="0.45">
      <c r="B18" s="1"/>
      <c r="C18" s="7"/>
      <c r="D18" s="12" t="s">
        <v>11</v>
      </c>
      <c r="E18" s="29">
        <f>Matrix!M27</f>
        <v>145465.38999999998</v>
      </c>
      <c r="F18" s="56" t="s">
        <v>12</v>
      </c>
      <c r="G18" s="47">
        <f>'Wholesale Factors'!$I$39</f>
        <v>0.49170789571740164</v>
      </c>
      <c r="H18" s="29">
        <f t="shared" si="2"/>
        <v>71526.480816611147</v>
      </c>
      <c r="I18" s="29">
        <f t="shared" si="3"/>
        <v>73938.909183388838</v>
      </c>
      <c r="J18" s="50"/>
      <c r="L18" s="12"/>
      <c r="M18" s="12"/>
    </row>
    <row r="19" spans="2:13" ht="15.4" x14ac:dyDescent="0.45">
      <c r="B19" s="1"/>
      <c r="C19" s="7" t="s">
        <v>105</v>
      </c>
      <c r="D19" s="12"/>
      <c r="E19" s="29">
        <f>Matrix!L72</f>
        <v>433779.01</v>
      </c>
      <c r="F19" s="56" t="s">
        <v>84</v>
      </c>
      <c r="G19" s="47">
        <f>'Wholesale Factors'!$I$35</f>
        <v>0.71497894606574497</v>
      </c>
      <c r="H19" s="29">
        <f t="shared" si="2"/>
        <v>310142.85939524224</v>
      </c>
      <c r="I19" s="29">
        <f t="shared" si="3"/>
        <v>123636.15060475777</v>
      </c>
      <c r="J19" s="50"/>
      <c r="L19" s="12"/>
      <c r="M19" s="12"/>
    </row>
    <row r="20" spans="2:13" ht="15.4" x14ac:dyDescent="0.45">
      <c r="B20" s="1"/>
      <c r="C20" s="7" t="s">
        <v>112</v>
      </c>
      <c r="D20" s="12"/>
      <c r="E20" s="104">
        <f>Matrix!L10</f>
        <v>382843.31</v>
      </c>
      <c r="F20" s="56" t="s">
        <v>84</v>
      </c>
      <c r="G20" s="47">
        <f>'Wholesale Factors'!$I$35</f>
        <v>0.71497894606574497</v>
      </c>
      <c r="H20" s="29">
        <f>E20*G20</f>
        <v>273724.90629212128</v>
      </c>
      <c r="I20" s="29">
        <f>E20-H20</f>
        <v>109118.40370787872</v>
      </c>
      <c r="J20" s="50"/>
      <c r="L20" s="12"/>
      <c r="M20" s="12"/>
    </row>
    <row r="21" spans="2:13" ht="15.4" x14ac:dyDescent="0.45">
      <c r="B21" s="1"/>
      <c r="C21" s="7" t="s">
        <v>62</v>
      </c>
      <c r="D21" s="12"/>
      <c r="E21" s="104"/>
      <c r="F21" s="56"/>
      <c r="G21" s="48"/>
      <c r="H21" s="29"/>
      <c r="I21" s="29"/>
      <c r="J21" s="50"/>
      <c r="L21" s="12"/>
      <c r="M21" s="12"/>
    </row>
    <row r="22" spans="2:13" ht="15.4" x14ac:dyDescent="0.45">
      <c r="B22" s="1"/>
      <c r="C22" s="7"/>
      <c r="D22" s="12" t="s">
        <v>50</v>
      </c>
      <c r="E22" s="55">
        <f>Matrix!L64</f>
        <v>12328.880000000001</v>
      </c>
      <c r="F22" s="56" t="s">
        <v>84</v>
      </c>
      <c r="G22" s="47">
        <f>'Wholesale Factors'!$I$35</f>
        <v>0.71497894606574497</v>
      </c>
      <c r="H22" s="29">
        <f t="shared" ref="H22:H23" si="4">E22*G22</f>
        <v>8814.8896285710434</v>
      </c>
      <c r="I22" s="29">
        <f t="shared" ref="I22:I23" si="5">E22-H22</f>
        <v>3513.9903714289576</v>
      </c>
      <c r="J22" s="50"/>
      <c r="L22" s="12"/>
      <c r="M22" s="12"/>
    </row>
    <row r="23" spans="2:13" ht="15.4" x14ac:dyDescent="0.45">
      <c r="B23" s="1"/>
      <c r="C23" s="7"/>
      <c r="D23" s="12" t="s">
        <v>11</v>
      </c>
      <c r="E23" s="29">
        <f>Matrix!M64</f>
        <v>37695.079999999994</v>
      </c>
      <c r="F23" s="56" t="s">
        <v>12</v>
      </c>
      <c r="G23" s="47">
        <f>'Wholesale Factors'!$I$39</f>
        <v>0.49170789571740164</v>
      </c>
      <c r="H23" s="29">
        <f t="shared" si="4"/>
        <v>18534.968465699108</v>
      </c>
      <c r="I23" s="29">
        <f t="shared" si="5"/>
        <v>19160.111534300886</v>
      </c>
      <c r="J23" s="50"/>
      <c r="L23" s="12"/>
      <c r="M23" s="12"/>
    </row>
    <row r="24" spans="2:13" ht="15.4" x14ac:dyDescent="0.45">
      <c r="B24" s="1"/>
      <c r="C24" s="7" t="s">
        <v>61</v>
      </c>
      <c r="D24" s="12"/>
      <c r="E24" s="29"/>
      <c r="F24" s="56"/>
      <c r="G24" s="47"/>
      <c r="H24" s="29"/>
      <c r="I24" s="29"/>
      <c r="J24" s="50"/>
      <c r="L24" s="12"/>
      <c r="M24" s="12"/>
    </row>
    <row r="25" spans="2:13" ht="15.4" x14ac:dyDescent="0.45">
      <c r="B25" s="1"/>
      <c r="C25" s="7"/>
      <c r="D25" s="12" t="s">
        <v>50</v>
      </c>
      <c r="E25" s="55">
        <f>Matrix!L53</f>
        <v>0</v>
      </c>
      <c r="F25" s="56" t="s">
        <v>84</v>
      </c>
      <c r="G25" s="47">
        <f>'Wholesale Factors'!$I$35</f>
        <v>0.71497894606574497</v>
      </c>
      <c r="H25" s="29">
        <f>E25*G25</f>
        <v>0</v>
      </c>
      <c r="I25" s="29">
        <f>E25-H25</f>
        <v>0</v>
      </c>
      <c r="J25" s="50"/>
      <c r="L25" s="12"/>
      <c r="M25" s="12"/>
    </row>
    <row r="26" spans="2:13" ht="15.4" x14ac:dyDescent="0.45">
      <c r="B26" s="1"/>
      <c r="C26" s="7"/>
      <c r="D26" s="12" t="s">
        <v>11</v>
      </c>
      <c r="E26" s="29">
        <f>Matrix!M53</f>
        <v>0</v>
      </c>
      <c r="F26" s="56" t="s">
        <v>12</v>
      </c>
      <c r="G26" s="47">
        <f>'Wholesale Factors'!$I$39</f>
        <v>0.49170789571740164</v>
      </c>
      <c r="H26" s="29">
        <f>E26*G26</f>
        <v>0</v>
      </c>
      <c r="I26" s="29">
        <f>E26-H26</f>
        <v>0</v>
      </c>
      <c r="J26" s="50"/>
      <c r="L26" s="12"/>
      <c r="M26" s="12"/>
    </row>
    <row r="27" spans="2:13" ht="15.4" x14ac:dyDescent="0.45">
      <c r="B27" s="1"/>
      <c r="C27" s="7" t="s">
        <v>71</v>
      </c>
      <c r="D27" s="12"/>
      <c r="E27" s="29"/>
      <c r="F27" s="56"/>
      <c r="G27" s="48"/>
      <c r="H27" s="29"/>
      <c r="I27" s="29"/>
      <c r="J27" s="50"/>
      <c r="L27" s="12"/>
      <c r="M27" s="12"/>
    </row>
    <row r="28" spans="2:13" ht="15.4" x14ac:dyDescent="0.45">
      <c r="B28" s="1"/>
      <c r="C28" s="7"/>
      <c r="D28" s="12" t="s">
        <v>13</v>
      </c>
      <c r="E28" s="55">
        <f>Matrix!O50</f>
        <v>26835.653565000001</v>
      </c>
      <c r="F28" s="56" t="s">
        <v>12</v>
      </c>
      <c r="G28" s="47">
        <f>'Wholesale Factors'!$I$39</f>
        <v>0.49170789571740164</v>
      </c>
      <c r="H28" s="29">
        <f t="shared" ref="H28:H29" si="6">E28*G28</f>
        <v>13195.302744647337</v>
      </c>
      <c r="I28" s="29">
        <f t="shared" ref="I28:I29" si="7">E28-H28</f>
        <v>13640.350820352664</v>
      </c>
      <c r="J28" s="50"/>
      <c r="L28" s="12"/>
      <c r="M28" s="12"/>
    </row>
    <row r="29" spans="2:13" ht="15.4" x14ac:dyDescent="0.45">
      <c r="B29" s="1"/>
      <c r="C29" s="7"/>
      <c r="D29" s="12" t="s">
        <v>16</v>
      </c>
      <c r="E29" s="304">
        <f>Matrix!O50</f>
        <v>26835.653565000001</v>
      </c>
      <c r="G29" s="47">
        <v>0</v>
      </c>
      <c r="H29" s="304">
        <f t="shared" si="6"/>
        <v>0</v>
      </c>
      <c r="I29" s="304">
        <f t="shared" si="7"/>
        <v>26835.653565000001</v>
      </c>
      <c r="J29" s="50"/>
      <c r="L29" s="12"/>
      <c r="M29" s="12"/>
    </row>
    <row r="30" spans="2:13" ht="15.4" x14ac:dyDescent="0.45">
      <c r="B30" s="1"/>
      <c r="C30" s="7" t="s">
        <v>0</v>
      </c>
      <c r="D30" s="12"/>
      <c r="E30" s="29">
        <f>SUM(E11:E29)</f>
        <v>2787165.6071299999</v>
      </c>
      <c r="F30" s="56"/>
      <c r="G30" s="48"/>
      <c r="H30" s="29">
        <f>SUM(H11:H29)</f>
        <v>1796550.8462759787</v>
      </c>
      <c r="I30" s="29">
        <f>SUM(I11:I29)</f>
        <v>990614.76085402106</v>
      </c>
      <c r="J30" s="50"/>
      <c r="L30" s="12"/>
      <c r="M30" s="12"/>
    </row>
    <row r="31" spans="2:13" ht="6.95" customHeight="1" x14ac:dyDescent="0.45">
      <c r="B31" s="1"/>
      <c r="C31" s="7"/>
      <c r="D31" s="12"/>
      <c r="E31" s="29"/>
      <c r="F31" s="56"/>
      <c r="G31" s="48"/>
      <c r="H31" s="29"/>
      <c r="I31" s="29"/>
      <c r="J31" s="50"/>
      <c r="L31" s="12"/>
      <c r="M31" s="12"/>
    </row>
    <row r="32" spans="2:13" ht="15.4" x14ac:dyDescent="0.45">
      <c r="B32" s="1"/>
      <c r="C32" s="7" t="s">
        <v>1</v>
      </c>
      <c r="D32" s="12"/>
      <c r="E32" s="29"/>
      <c r="F32" s="56"/>
      <c r="G32" s="48"/>
      <c r="H32" s="29"/>
      <c r="I32" s="29"/>
      <c r="J32" s="50"/>
      <c r="L32" s="12"/>
      <c r="M32" s="12"/>
    </row>
    <row r="33" spans="2:13" ht="15.4" x14ac:dyDescent="0.45">
      <c r="B33" s="1"/>
      <c r="C33" s="7"/>
      <c r="D33" s="12" t="s">
        <v>50</v>
      </c>
      <c r="E33" s="29">
        <f>'Depreciation 1'!E32</f>
        <v>480465.68999999989</v>
      </c>
      <c r="F33" s="56" t="s">
        <v>84</v>
      </c>
      <c r="G33" s="47">
        <f>'Wholesale Factors'!$I$35</f>
        <v>0.71497894606574497</v>
      </c>
      <c r="H33" s="29">
        <f>E33*G33</f>
        <v>343522.85265695088</v>
      </c>
      <c r="I33" s="29">
        <f>E33-H33</f>
        <v>136942.837343049</v>
      </c>
      <c r="J33" s="50"/>
      <c r="L33" s="12"/>
      <c r="M33" s="12"/>
    </row>
    <row r="34" spans="2:13" ht="15.4" x14ac:dyDescent="0.45">
      <c r="B34" s="1"/>
      <c r="C34" s="7"/>
      <c r="D34" s="7" t="s">
        <v>15</v>
      </c>
      <c r="E34" s="29">
        <f>'Depreciation 1'!F32</f>
        <v>148125.93000000002</v>
      </c>
      <c r="F34" s="56" t="s">
        <v>12</v>
      </c>
      <c r="G34" s="47">
        <f>'Wholesale Factors'!I39</f>
        <v>0.49170789571740164</v>
      </c>
      <c r="H34" s="29">
        <f>E34*G34</f>
        <v>72834.689341483143</v>
      </c>
      <c r="I34" s="29">
        <f>E34-H34</f>
        <v>75291.240658516879</v>
      </c>
      <c r="J34" s="50"/>
      <c r="L34" s="12"/>
      <c r="M34" s="12"/>
    </row>
    <row r="35" spans="2:13" ht="15.4" x14ac:dyDescent="0.45">
      <c r="B35" s="1"/>
      <c r="C35" s="7"/>
      <c r="D35" s="7" t="s">
        <v>81</v>
      </c>
      <c r="E35" s="29">
        <f>'Depreciation 1'!G32</f>
        <v>126788.32999999999</v>
      </c>
      <c r="F35" s="56" t="s">
        <v>14</v>
      </c>
      <c r="G35" s="47">
        <f>'Wholesale Factors'!$I$43</f>
        <v>0.73542427949156486</v>
      </c>
      <c r="H35" s="29">
        <f>E35*G35</f>
        <v>93243.216238188747</v>
      </c>
      <c r="I35" s="29">
        <f>E35-H35</f>
        <v>33545.113761811241</v>
      </c>
      <c r="J35" s="50"/>
      <c r="L35" s="12"/>
      <c r="M35" s="12"/>
    </row>
    <row r="36" spans="2:13" ht="15.4" x14ac:dyDescent="0.45">
      <c r="B36" s="1"/>
      <c r="C36" s="7"/>
      <c r="D36" s="12" t="s">
        <v>13</v>
      </c>
      <c r="E36" s="29">
        <f>'Depreciation 1'!H32</f>
        <v>27764.299970976237</v>
      </c>
      <c r="F36" s="56" t="s">
        <v>12</v>
      </c>
      <c r="G36" s="47">
        <f>'Wholesale Factors'!$I$39</f>
        <v>0.49170789571740164</v>
      </c>
      <c r="H36" s="29">
        <f>E36*G36</f>
        <v>13651.925514795441</v>
      </c>
      <c r="I36" s="29">
        <f>E36-H36</f>
        <v>14112.374456180796</v>
      </c>
      <c r="J36" s="50"/>
      <c r="L36" s="12"/>
      <c r="M36" s="12"/>
    </row>
    <row r="37" spans="2:13" ht="15.4" x14ac:dyDescent="0.45">
      <c r="B37" s="1"/>
      <c r="C37" s="7"/>
      <c r="D37" s="12" t="s">
        <v>16</v>
      </c>
      <c r="E37" s="304">
        <f>'Depreciation 1'!I32</f>
        <v>122727.2572121246</v>
      </c>
      <c r="F37" s="56"/>
      <c r="G37" s="47">
        <v>0</v>
      </c>
      <c r="H37" s="304">
        <f t="shared" ref="H37" si="8">E37*G37</f>
        <v>0</v>
      </c>
      <c r="I37" s="304">
        <f>E37</f>
        <v>122727.2572121246</v>
      </c>
      <c r="J37" s="50"/>
      <c r="L37" s="12"/>
      <c r="M37" s="12"/>
    </row>
    <row r="38" spans="2:13" ht="15.4" x14ac:dyDescent="0.45">
      <c r="B38" s="1"/>
      <c r="C38" s="7" t="s">
        <v>202</v>
      </c>
      <c r="D38" s="12"/>
      <c r="E38" s="29">
        <f>SUM(E33:E37)</f>
        <v>905871.50718310068</v>
      </c>
      <c r="F38" s="56"/>
      <c r="G38" s="47"/>
      <c r="H38" s="29">
        <f>SUM(H33:H37)</f>
        <v>523252.6837514182</v>
      </c>
      <c r="I38" s="29">
        <f>SUM(I33:I37)</f>
        <v>382618.82343168248</v>
      </c>
      <c r="J38" s="50"/>
      <c r="L38" s="12"/>
      <c r="M38" s="12"/>
    </row>
    <row r="39" spans="2:13" ht="15.4" x14ac:dyDescent="0.45">
      <c r="B39" s="1"/>
      <c r="C39" s="7" t="s">
        <v>58</v>
      </c>
      <c r="D39" s="12"/>
      <c r="E39" s="29"/>
      <c r="F39" s="56"/>
      <c r="G39" s="48"/>
      <c r="H39" s="29"/>
      <c r="I39" s="29"/>
      <c r="J39" s="50"/>
      <c r="L39" s="12"/>
      <c r="M39" s="12"/>
    </row>
    <row r="40" spans="2:13" ht="15.4" x14ac:dyDescent="0.45">
      <c r="B40" s="1"/>
      <c r="C40" s="7"/>
      <c r="D40" s="12" t="s">
        <v>50</v>
      </c>
      <c r="E40" s="29">
        <f>'DS Allocation 1'!F21</f>
        <v>397461.37771961885</v>
      </c>
      <c r="F40" s="56" t="s">
        <v>84</v>
      </c>
      <c r="G40" s="47">
        <f>'Wholesale Factors'!$I$35</f>
        <v>0.71497894606574497</v>
      </c>
      <c r="H40" s="29">
        <f>E40*G40</f>
        <v>284176.51694381208</v>
      </c>
      <c r="I40" s="29">
        <f>E40-H40</f>
        <v>113284.86077580677</v>
      </c>
      <c r="J40" s="50"/>
      <c r="L40" s="12"/>
      <c r="M40" s="12"/>
    </row>
    <row r="41" spans="2:13" ht="15.4" x14ac:dyDescent="0.45">
      <c r="B41" s="1"/>
      <c r="C41" s="7"/>
      <c r="D41" s="7" t="s">
        <v>15</v>
      </c>
      <c r="E41" s="29">
        <f>'DS Allocation 1'!G21</f>
        <v>25678.543679999995</v>
      </c>
      <c r="F41" s="56" t="s">
        <v>12</v>
      </c>
      <c r="G41" s="47">
        <f>'Wholesale Factors'!I39</f>
        <v>0.49170789571740164</v>
      </c>
      <c r="H41" s="29">
        <f>E41*G41</f>
        <v>12626.342677980181</v>
      </c>
      <c r="I41" s="29">
        <f>E41-H41</f>
        <v>13052.201002019814</v>
      </c>
      <c r="J41" s="50"/>
      <c r="L41" s="12"/>
      <c r="M41" s="12"/>
    </row>
    <row r="42" spans="2:13" ht="15.4" x14ac:dyDescent="0.45">
      <c r="B42" s="1"/>
      <c r="C42" s="7"/>
      <c r="D42" s="7" t="s">
        <v>81</v>
      </c>
      <c r="E42" s="304">
        <f>'DS Allocation 1'!H21</f>
        <v>4279.7572799999998</v>
      </c>
      <c r="F42" s="56" t="s">
        <v>14</v>
      </c>
      <c r="G42" s="47">
        <f>'Wholesale Factors'!$I$43</f>
        <v>0.73542427949156486</v>
      </c>
      <c r="H42" s="304">
        <f>E42*G42</f>
        <v>3147.4374140427794</v>
      </c>
      <c r="I42" s="304">
        <f>E42-H42</f>
        <v>1132.3198659572204</v>
      </c>
      <c r="J42" s="50"/>
      <c r="L42" s="12"/>
      <c r="M42" s="12"/>
    </row>
    <row r="43" spans="2:13" ht="15.4" x14ac:dyDescent="0.45">
      <c r="B43" s="1"/>
      <c r="C43" s="7" t="s">
        <v>203</v>
      </c>
      <c r="D43" s="7"/>
      <c r="E43" s="29">
        <f>SUM(E40:E42)</f>
        <v>427419.67867961887</v>
      </c>
      <c r="F43" s="56"/>
      <c r="G43" s="47"/>
      <c r="H43" s="29">
        <f>SUM(H40:H42)</f>
        <v>299950.29703583504</v>
      </c>
      <c r="I43" s="29">
        <f>SUM(I40:I42)</f>
        <v>127469.3816437838</v>
      </c>
      <c r="J43" s="50"/>
      <c r="L43" s="12"/>
      <c r="M43" s="12"/>
    </row>
    <row r="44" spans="2:13" ht="15.4" x14ac:dyDescent="0.45">
      <c r="B44" s="1"/>
      <c r="C44" s="14" t="s">
        <v>17</v>
      </c>
      <c r="D44" s="7"/>
      <c r="E44" s="29">
        <f>E30+E38+E43</f>
        <v>4120456.7929927194</v>
      </c>
      <c r="F44" s="29"/>
      <c r="G44" s="48"/>
      <c r="H44" s="29">
        <f>H30+H38+H43</f>
        <v>2619753.8270632322</v>
      </c>
      <c r="I44" s="29">
        <f>I30+I38+I43</f>
        <v>1500702.9659294873</v>
      </c>
      <c r="J44" s="50"/>
      <c r="K44" s="7"/>
      <c r="L44" s="12"/>
      <c r="M44" s="12"/>
    </row>
    <row r="45" spans="2:13" ht="6.95" customHeight="1" x14ac:dyDescent="0.45">
      <c r="B45" s="1"/>
      <c r="C45" s="7"/>
      <c r="D45" s="12"/>
      <c r="E45" s="12"/>
      <c r="F45" s="12"/>
      <c r="G45" s="12"/>
      <c r="H45" s="29"/>
      <c r="I45" s="29"/>
      <c r="J45" s="50"/>
      <c r="K45" s="7"/>
      <c r="L45" s="12"/>
      <c r="M45" s="12"/>
    </row>
    <row r="46" spans="2:13" ht="15.4" x14ac:dyDescent="0.45">
      <c r="B46" s="1"/>
      <c r="C46" s="7"/>
      <c r="D46" s="12" t="s">
        <v>18</v>
      </c>
      <c r="E46" s="12"/>
      <c r="F46" s="12"/>
      <c r="G46" s="12"/>
      <c r="H46" s="29">
        <f>'Wholesale Factors'!I14</f>
        <v>1147547</v>
      </c>
      <c r="I46" s="29"/>
      <c r="J46" s="50"/>
      <c r="K46" s="7"/>
      <c r="L46" s="12"/>
      <c r="M46" s="12"/>
    </row>
    <row r="47" spans="2:13" ht="6.95" customHeight="1" x14ac:dyDescent="0.45">
      <c r="B47" s="1"/>
      <c r="C47" s="7"/>
      <c r="D47" s="12"/>
      <c r="E47" s="12"/>
      <c r="F47" s="12"/>
      <c r="G47" s="12"/>
      <c r="H47" s="12"/>
      <c r="I47" s="12"/>
      <c r="J47" s="19"/>
      <c r="K47" s="7"/>
      <c r="L47" s="12"/>
      <c r="M47" s="12"/>
    </row>
    <row r="48" spans="2:13" ht="15.75" x14ac:dyDescent="0.5">
      <c r="B48" s="1"/>
      <c r="C48" s="53" t="s">
        <v>173</v>
      </c>
      <c r="D48" s="54"/>
      <c r="E48" s="54"/>
      <c r="F48" s="54"/>
      <c r="G48" s="54"/>
      <c r="H48" s="294">
        <f>ROUND(H44/H46,3)</f>
        <v>2.2829999999999999</v>
      </c>
      <c r="I48" s="15"/>
      <c r="J48" s="51"/>
      <c r="K48" s="28"/>
      <c r="L48" s="15"/>
      <c r="M48" s="12"/>
    </row>
    <row r="49" spans="2:19" ht="18" x14ac:dyDescent="0.8">
      <c r="B49" s="1"/>
      <c r="C49" s="53"/>
      <c r="D49" s="54"/>
      <c r="E49" s="54"/>
      <c r="F49" s="54"/>
      <c r="G49" s="54"/>
      <c r="H49" s="245"/>
      <c r="I49" s="15"/>
      <c r="J49" s="51"/>
      <c r="K49" s="28"/>
      <c r="L49" s="15"/>
      <c r="M49" s="12"/>
    </row>
    <row r="50" spans="2:19" ht="15.75" x14ac:dyDescent="0.5">
      <c r="B50" s="1"/>
      <c r="C50" s="295" t="s">
        <v>204</v>
      </c>
      <c r="D50" s="54"/>
      <c r="E50" s="54"/>
      <c r="F50" s="54"/>
      <c r="G50" s="54"/>
      <c r="H50" s="297">
        <f>Analysis!B12</f>
        <v>2387902.4219999998</v>
      </c>
      <c r="I50" s="15"/>
      <c r="J50" s="51"/>
      <c r="K50" s="28"/>
      <c r="L50" s="15"/>
      <c r="M50" s="12"/>
    </row>
    <row r="51" spans="2:19" ht="15.75" x14ac:dyDescent="0.5">
      <c r="B51" s="1"/>
      <c r="C51" s="295" t="s">
        <v>200</v>
      </c>
      <c r="D51" s="54"/>
      <c r="E51" s="54"/>
      <c r="F51" s="54"/>
      <c r="G51" s="54"/>
      <c r="H51" s="298">
        <f>H44-H50</f>
        <v>231851.40506323241</v>
      </c>
      <c r="I51" s="15"/>
      <c r="J51" s="51"/>
      <c r="K51" s="28"/>
      <c r="L51" s="15"/>
      <c r="M51" s="12"/>
    </row>
    <row r="52" spans="2:19" ht="15.75" x14ac:dyDescent="0.5">
      <c r="B52" s="1"/>
      <c r="C52" s="295" t="s">
        <v>201</v>
      </c>
      <c r="D52" s="54"/>
      <c r="E52" s="54"/>
      <c r="F52" s="54"/>
      <c r="G52" s="54"/>
      <c r="H52" s="296">
        <f>H51/H50</f>
        <v>9.7094170568763891E-2</v>
      </c>
      <c r="I52" s="15"/>
      <c r="J52" s="51"/>
      <c r="K52" s="28"/>
      <c r="L52" s="15"/>
      <c r="M52" s="12"/>
    </row>
    <row r="53" spans="2:19" ht="15.4" x14ac:dyDescent="0.45">
      <c r="B53" s="6"/>
      <c r="C53" s="52"/>
      <c r="D53" s="22"/>
      <c r="E53" s="22"/>
      <c r="F53" s="22"/>
      <c r="G53" s="22"/>
      <c r="H53" s="52"/>
      <c r="I53" s="22"/>
      <c r="J53" s="23"/>
      <c r="K53" s="7"/>
      <c r="L53" s="12"/>
      <c r="M53" s="12"/>
    </row>
    <row r="54" spans="2:19" ht="15.4" x14ac:dyDescent="0.45">
      <c r="C54" s="7"/>
      <c r="D54" s="12"/>
      <c r="E54" s="12"/>
      <c r="F54" s="12"/>
      <c r="G54" s="12"/>
      <c r="H54" s="7"/>
      <c r="I54" s="12"/>
      <c r="J54" s="12"/>
      <c r="K54" s="7"/>
      <c r="L54" s="12"/>
      <c r="M54" s="12"/>
    </row>
    <row r="55" spans="2:19" ht="15.4" x14ac:dyDescent="0.45">
      <c r="C55" s="7"/>
      <c r="D55" s="12"/>
      <c r="E55" s="12"/>
      <c r="F55" s="12"/>
      <c r="G55" s="12"/>
      <c r="H55" s="7"/>
      <c r="I55" s="12"/>
      <c r="J55" s="12"/>
      <c r="K55" s="7"/>
      <c r="L55" s="12"/>
      <c r="M55" s="12"/>
    </row>
    <row r="56" spans="2:19" ht="15.4" x14ac:dyDescent="0.45">
      <c r="C56" s="7"/>
      <c r="D56" s="12"/>
      <c r="E56" s="12"/>
      <c r="F56" s="12"/>
      <c r="G56" s="12"/>
      <c r="H56" s="7"/>
      <c r="I56" s="12"/>
      <c r="J56" s="12"/>
      <c r="K56" s="7"/>
      <c r="L56" s="12"/>
      <c r="M56" s="12"/>
    </row>
    <row r="57" spans="2:19" ht="15.4" x14ac:dyDescent="0.45">
      <c r="C57" s="7"/>
      <c r="D57" s="7"/>
      <c r="E57" s="7"/>
      <c r="F57" s="7"/>
      <c r="G57" s="7"/>
      <c r="H57" s="30"/>
      <c r="I57" s="30"/>
      <c r="J57" s="30"/>
      <c r="K57" s="30"/>
      <c r="L57" s="7"/>
      <c r="M57" s="7"/>
      <c r="O57" s="7"/>
      <c r="P57" s="7"/>
      <c r="Q57" s="7"/>
      <c r="R57" s="7"/>
      <c r="S57" s="7"/>
    </row>
    <row r="58" spans="2:19" ht="15.4" x14ac:dyDescent="0.45">
      <c r="C58" s="7"/>
      <c r="D58" s="7"/>
    </row>
    <row r="59" spans="2:19" ht="15.4" x14ac:dyDescent="0.45">
      <c r="C59" s="7"/>
      <c r="D59" s="7"/>
    </row>
    <row r="60" spans="2:19" ht="15.4" x14ac:dyDescent="0.45">
      <c r="C60" s="7"/>
      <c r="D60" s="7"/>
    </row>
    <row r="61" spans="2:19" ht="15.4" x14ac:dyDescent="0.45">
      <c r="C61" s="7"/>
      <c r="D61" s="7"/>
    </row>
    <row r="62" spans="2:19" ht="15.4" x14ac:dyDescent="0.45">
      <c r="C62" s="7"/>
      <c r="D62" s="7"/>
    </row>
    <row r="63" spans="2:19" ht="15.4" x14ac:dyDescent="0.45">
      <c r="C63" s="7"/>
      <c r="D63" s="7"/>
    </row>
    <row r="64" spans="2:19" ht="15.4" x14ac:dyDescent="0.45">
      <c r="C64" s="7"/>
      <c r="D64" s="7"/>
    </row>
    <row r="65" spans="3:13" ht="15.4" x14ac:dyDescent="0.45">
      <c r="C65" s="7"/>
      <c r="D65" s="7"/>
    </row>
    <row r="66" spans="3:13" ht="15.4" x14ac:dyDescent="0.45">
      <c r="C66" s="7"/>
      <c r="D66" s="7"/>
    </row>
    <row r="67" spans="3:13" ht="15.4" x14ac:dyDescent="0.45">
      <c r="C67" s="7"/>
      <c r="D67" s="7"/>
    </row>
    <row r="68" spans="3:13" ht="15.4" x14ac:dyDescent="0.45">
      <c r="C68" s="7"/>
      <c r="D68" s="7"/>
    </row>
    <row r="69" spans="3:13" ht="15.4" x14ac:dyDescent="0.45">
      <c r="C69" s="7"/>
      <c r="D69" s="7"/>
    </row>
    <row r="70" spans="3:13" ht="15.4" x14ac:dyDescent="0.45">
      <c r="C70" s="7"/>
      <c r="D70" s="7"/>
    </row>
    <row r="71" spans="3:13" ht="15.4" x14ac:dyDescent="0.45">
      <c r="C71" s="7"/>
      <c r="D71" s="7"/>
    </row>
    <row r="72" spans="3:13" ht="15.4" x14ac:dyDescent="0.45">
      <c r="C72" s="7"/>
      <c r="D72" s="7"/>
      <c r="E72" s="7"/>
      <c r="F72" s="7"/>
      <c r="G72" s="7"/>
      <c r="H72" s="30"/>
      <c r="I72" s="30"/>
      <c r="J72" s="30"/>
      <c r="K72" s="30"/>
      <c r="L72" s="7"/>
      <c r="M72" s="7"/>
    </row>
    <row r="73" spans="3:13" ht="15.4" x14ac:dyDescent="0.45">
      <c r="C73" s="7"/>
      <c r="D73" s="7"/>
      <c r="E73" s="7"/>
      <c r="F73" s="7"/>
      <c r="G73" s="7"/>
      <c r="H73" s="30"/>
      <c r="I73" s="30"/>
      <c r="J73" s="30"/>
      <c r="K73" s="30"/>
      <c r="L73" s="7"/>
      <c r="M73" s="7"/>
    </row>
    <row r="74" spans="3:13" ht="15.4" x14ac:dyDescent="0.45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3:13" ht="15.4" x14ac:dyDescent="0.45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3:13" ht="15.4" x14ac:dyDescent="0.45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3:13" ht="15.4" x14ac:dyDescent="0.45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</sheetData>
  <mergeCells count="5">
    <mergeCell ref="C3:J3"/>
    <mergeCell ref="F8:G8"/>
    <mergeCell ref="B6:J6"/>
    <mergeCell ref="B4:J4"/>
    <mergeCell ref="B5:J5"/>
  </mergeCells>
  <printOptions horizontalCentered="1"/>
  <pageMargins left="0.25" right="0.25" top="0.75" bottom="0.75" header="0.3" footer="0.3"/>
  <pageSetup scale="8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BBC53-E320-42AB-8B5C-B31650CCB537}">
  <sheetPr>
    <pageSetUpPr fitToPage="1"/>
  </sheetPr>
  <dimension ref="B2:S76"/>
  <sheetViews>
    <sheetView tabSelected="1" topLeftCell="A29" workbookViewId="0">
      <selection activeCell="M3" sqref="M3"/>
    </sheetView>
  </sheetViews>
  <sheetFormatPr defaultRowHeight="15" x14ac:dyDescent="0.4"/>
  <cols>
    <col min="1" max="1" width="2.6640625" customWidth="1"/>
    <col min="2" max="2" width="1.77734375" customWidth="1"/>
    <col min="3" max="3" width="4.6640625" customWidth="1"/>
    <col min="4" max="4" width="18.5546875" customWidth="1"/>
    <col min="5" max="5" width="11.6640625" customWidth="1"/>
    <col min="6" max="6" width="8.21875" customWidth="1"/>
    <col min="7" max="7" width="8.77734375" customWidth="1"/>
    <col min="8" max="8" width="12.6640625" customWidth="1"/>
    <col min="9" max="9" width="11.33203125" customWidth="1"/>
    <col min="10" max="10" width="1.33203125" customWidth="1"/>
    <col min="11" max="11" width="2.71875" customWidth="1"/>
    <col min="12" max="13" width="10.6640625" customWidth="1"/>
    <col min="16" max="16" width="10" customWidth="1"/>
  </cols>
  <sheetData>
    <row r="2" spans="2:13" x14ac:dyDescent="0.4">
      <c r="B2" s="2"/>
      <c r="C2" s="3"/>
      <c r="D2" s="3"/>
      <c r="E2" s="3"/>
      <c r="F2" s="3"/>
      <c r="G2" s="3"/>
      <c r="H2" s="3"/>
      <c r="I2" s="3"/>
      <c r="J2" s="4"/>
    </row>
    <row r="3" spans="2:13" ht="18" x14ac:dyDescent="0.55000000000000004">
      <c r="B3" s="1"/>
      <c r="C3" s="307" t="s">
        <v>224</v>
      </c>
      <c r="D3" s="307"/>
      <c r="E3" s="307"/>
      <c r="F3" s="307"/>
      <c r="G3" s="307"/>
      <c r="H3" s="307"/>
      <c r="I3" s="307"/>
      <c r="J3" s="314"/>
      <c r="K3" s="7"/>
      <c r="L3" s="7"/>
      <c r="M3" s="7"/>
    </row>
    <row r="4" spans="2:13" ht="18" x14ac:dyDescent="0.55000000000000004">
      <c r="B4" s="329" t="s">
        <v>198</v>
      </c>
      <c r="C4" s="330"/>
      <c r="D4" s="330"/>
      <c r="E4" s="330"/>
      <c r="F4" s="330"/>
      <c r="G4" s="330"/>
      <c r="H4" s="330"/>
      <c r="I4" s="330"/>
      <c r="J4" s="331"/>
      <c r="K4" s="7"/>
      <c r="L4" s="12"/>
      <c r="M4" s="12"/>
    </row>
    <row r="5" spans="2:13" ht="18" x14ac:dyDescent="0.55000000000000004">
      <c r="B5" s="332" t="s">
        <v>199</v>
      </c>
      <c r="C5" s="333"/>
      <c r="D5" s="333"/>
      <c r="E5" s="333"/>
      <c r="F5" s="333"/>
      <c r="G5" s="333"/>
      <c r="H5" s="333"/>
      <c r="I5" s="333"/>
      <c r="J5" s="334"/>
      <c r="K5" s="7"/>
      <c r="L5" s="12"/>
      <c r="M5" s="12"/>
    </row>
    <row r="6" spans="2:13" ht="15.4" x14ac:dyDescent="0.45">
      <c r="B6" s="326" t="s">
        <v>128</v>
      </c>
      <c r="C6" s="327"/>
      <c r="D6" s="327"/>
      <c r="E6" s="327"/>
      <c r="F6" s="327"/>
      <c r="G6" s="327"/>
      <c r="H6" s="327"/>
      <c r="I6" s="327"/>
      <c r="J6" s="328"/>
      <c r="K6" s="7"/>
      <c r="L6" s="12"/>
      <c r="M6" s="12"/>
    </row>
    <row r="7" spans="2:13" ht="15.4" x14ac:dyDescent="0.45">
      <c r="B7" s="1"/>
      <c r="C7" s="7"/>
      <c r="D7" s="12"/>
      <c r="E7" s="12"/>
      <c r="F7" s="12"/>
      <c r="G7" s="12"/>
      <c r="H7" s="12"/>
      <c r="I7" s="12"/>
      <c r="J7" s="19"/>
      <c r="K7" s="7"/>
      <c r="L7" s="12"/>
      <c r="M7" s="13"/>
    </row>
    <row r="8" spans="2:13" ht="15.4" x14ac:dyDescent="0.45">
      <c r="B8" s="1"/>
      <c r="C8" s="7"/>
      <c r="D8" s="12"/>
      <c r="E8" s="13"/>
      <c r="F8" s="325" t="s">
        <v>86</v>
      </c>
      <c r="G8" s="325"/>
      <c r="H8" s="105" t="s">
        <v>6</v>
      </c>
      <c r="I8" s="105" t="s">
        <v>9</v>
      </c>
      <c r="J8" s="49"/>
      <c r="K8" s="13"/>
      <c r="L8" s="13"/>
      <c r="M8" s="13"/>
    </row>
    <row r="9" spans="2:13" ht="15.4" x14ac:dyDescent="0.45">
      <c r="B9" s="1"/>
      <c r="C9" s="7"/>
      <c r="D9" s="12"/>
      <c r="E9" s="13" t="s">
        <v>7</v>
      </c>
      <c r="F9" s="13" t="s">
        <v>87</v>
      </c>
      <c r="G9" s="13" t="s">
        <v>8</v>
      </c>
      <c r="H9" s="105" t="s">
        <v>5</v>
      </c>
      <c r="I9" s="105" t="s">
        <v>5</v>
      </c>
      <c r="J9" s="49"/>
      <c r="K9" s="13"/>
      <c r="L9" s="13"/>
      <c r="M9" s="13"/>
    </row>
    <row r="10" spans="2:13" ht="15.4" x14ac:dyDescent="0.45">
      <c r="B10" s="1"/>
      <c r="C10" s="7" t="s">
        <v>10</v>
      </c>
      <c r="D10" s="12"/>
      <c r="E10" s="12"/>
      <c r="F10" s="12"/>
      <c r="G10" s="12"/>
      <c r="H10" s="12"/>
      <c r="I10" s="12"/>
      <c r="J10" s="19"/>
      <c r="K10" s="7"/>
      <c r="L10" s="12"/>
      <c r="M10" s="12"/>
    </row>
    <row r="11" spans="2:13" ht="15.4" x14ac:dyDescent="0.45">
      <c r="B11" s="1"/>
      <c r="C11" s="7"/>
      <c r="D11" s="12" t="s">
        <v>50</v>
      </c>
      <c r="E11" s="106">
        <f>Matrix!L68</f>
        <v>566595.88</v>
      </c>
      <c r="F11" s="56" t="s">
        <v>84</v>
      </c>
      <c r="G11" s="47">
        <f>'Wholesale Factors'!$I$35</f>
        <v>0.71497894606574497</v>
      </c>
      <c r="H11" s="55">
        <f>E11*G11</f>
        <v>405104.12512759329</v>
      </c>
      <c r="I11" s="55">
        <f>E11-H11</f>
        <v>161491.75487240672</v>
      </c>
      <c r="J11" s="50"/>
      <c r="L11" s="12"/>
      <c r="M11" s="12"/>
    </row>
    <row r="12" spans="2:13" ht="15.4" x14ac:dyDescent="0.45">
      <c r="B12" s="1"/>
      <c r="C12" s="7"/>
      <c r="D12" s="12" t="s">
        <v>11</v>
      </c>
      <c r="E12" s="29">
        <f>Matrix!M68</f>
        <v>341780.93</v>
      </c>
      <c r="F12" s="56" t="s">
        <v>12</v>
      </c>
      <c r="G12" s="47">
        <f>'Wholesale Factors'!$I$39</f>
        <v>0.49170789571740164</v>
      </c>
      <c r="H12" s="29">
        <f>E12*G12</f>
        <v>168056.38188663655</v>
      </c>
      <c r="I12" s="29">
        <f>E12-H12</f>
        <v>173724.54811336345</v>
      </c>
      <c r="J12" s="50"/>
      <c r="L12" s="12"/>
      <c r="M12" s="12"/>
    </row>
    <row r="13" spans="2:13" ht="15.4" x14ac:dyDescent="0.45">
      <c r="B13" s="1"/>
      <c r="C13" s="7" t="s">
        <v>51</v>
      </c>
      <c r="D13" s="12"/>
      <c r="E13" s="29"/>
      <c r="F13" s="56"/>
      <c r="G13" s="48"/>
      <c r="H13" s="29"/>
      <c r="I13" s="29"/>
      <c r="J13" s="50"/>
      <c r="L13" s="12"/>
      <c r="M13" s="12"/>
    </row>
    <row r="14" spans="2:13" ht="15.4" x14ac:dyDescent="0.45">
      <c r="B14" s="1"/>
      <c r="C14" s="7"/>
      <c r="D14" s="12" t="s">
        <v>50</v>
      </c>
      <c r="E14" s="55">
        <f>Matrix!L33</f>
        <v>380219.56</v>
      </c>
      <c r="F14" s="56" t="s">
        <v>84</v>
      </c>
      <c r="G14" s="47">
        <f>'Wholesale Factors'!$I$35</f>
        <v>0.71497894606574497</v>
      </c>
      <c r="H14" s="29">
        <f t="shared" ref="H14:H15" si="0">E14*G14</f>
        <v>271848.98028238129</v>
      </c>
      <c r="I14" s="29">
        <f t="shared" ref="I14:I15" si="1">E14-H14</f>
        <v>108370.5797176187</v>
      </c>
      <c r="J14" s="50"/>
      <c r="L14" s="12"/>
      <c r="M14" s="12"/>
    </row>
    <row r="15" spans="2:13" ht="15.4" x14ac:dyDescent="0.45">
      <c r="B15" s="1"/>
      <c r="C15" s="7"/>
      <c r="D15" s="12" t="s">
        <v>11</v>
      </c>
      <c r="E15" s="29">
        <f>Matrix!M33</f>
        <v>241102.07</v>
      </c>
      <c r="F15" s="56" t="s">
        <v>12</v>
      </c>
      <c r="G15" s="47">
        <f>'Wholesale Factors'!$I$39</f>
        <v>0.49170789571740164</v>
      </c>
      <c r="H15" s="29">
        <f t="shared" si="0"/>
        <v>118551.79149280967</v>
      </c>
      <c r="I15" s="29">
        <f t="shared" si="1"/>
        <v>122550.27850719033</v>
      </c>
      <c r="J15" s="50"/>
      <c r="L15" s="12"/>
      <c r="M15" s="12"/>
    </row>
    <row r="16" spans="2:13" ht="15.4" x14ac:dyDescent="0.45">
      <c r="B16" s="1"/>
      <c r="C16" s="7" t="s">
        <v>109</v>
      </c>
      <c r="D16" s="12"/>
      <c r="E16" s="29"/>
      <c r="F16" s="56"/>
      <c r="G16" s="47"/>
      <c r="H16" s="29"/>
      <c r="I16" s="29"/>
      <c r="J16" s="50"/>
      <c r="L16" s="12"/>
      <c r="M16" s="12"/>
    </row>
    <row r="17" spans="2:13" ht="15.4" x14ac:dyDescent="0.45">
      <c r="B17" s="1"/>
      <c r="C17" s="36"/>
      <c r="D17" s="12" t="s">
        <v>50</v>
      </c>
      <c r="E17" s="55">
        <f>Matrix!L27</f>
        <v>191684.19</v>
      </c>
      <c r="F17" s="56" t="s">
        <v>84</v>
      </c>
      <c r="G17" s="47">
        <f>'Wholesale Factors'!$I$35</f>
        <v>0.71497894606574497</v>
      </c>
      <c r="H17" s="29">
        <f t="shared" ref="H17:H19" si="2">E17*G17</f>
        <v>137050.160143666</v>
      </c>
      <c r="I17" s="29">
        <f t="shared" ref="I17:I19" si="3">E17-H17</f>
        <v>54634.029856334004</v>
      </c>
      <c r="J17" s="50"/>
      <c r="L17" s="12"/>
      <c r="M17" s="12"/>
    </row>
    <row r="18" spans="2:13" ht="15.4" x14ac:dyDescent="0.45">
      <c r="B18" s="1"/>
      <c r="C18" s="7"/>
      <c r="D18" s="12" t="s">
        <v>11</v>
      </c>
      <c r="E18" s="29">
        <f>Matrix!M27</f>
        <v>145465.38999999998</v>
      </c>
      <c r="F18" s="56" t="s">
        <v>12</v>
      </c>
      <c r="G18" s="47">
        <f>'Wholesale Factors'!$I$39</f>
        <v>0.49170789571740164</v>
      </c>
      <c r="H18" s="29">
        <f t="shared" si="2"/>
        <v>71526.480816611147</v>
      </c>
      <c r="I18" s="29">
        <f t="shared" si="3"/>
        <v>73938.909183388838</v>
      </c>
      <c r="J18" s="50"/>
      <c r="L18" s="12"/>
      <c r="M18" s="12"/>
    </row>
    <row r="19" spans="2:13" ht="15.4" x14ac:dyDescent="0.45">
      <c r="B19" s="1"/>
      <c r="C19" s="7" t="s">
        <v>105</v>
      </c>
      <c r="D19" s="12"/>
      <c r="E19" s="29">
        <f>Matrix!L72</f>
        <v>433779.01</v>
      </c>
      <c r="F19" s="56" t="s">
        <v>84</v>
      </c>
      <c r="G19" s="47">
        <f>'Wholesale Factors'!$I$35</f>
        <v>0.71497894606574497</v>
      </c>
      <c r="H19" s="29">
        <f t="shared" si="2"/>
        <v>310142.85939524224</v>
      </c>
      <c r="I19" s="29">
        <f t="shared" si="3"/>
        <v>123636.15060475777</v>
      </c>
      <c r="J19" s="50"/>
      <c r="L19" s="12"/>
      <c r="M19" s="12"/>
    </row>
    <row r="20" spans="2:13" ht="15.4" x14ac:dyDescent="0.45">
      <c r="B20" s="1"/>
      <c r="C20" s="7" t="s">
        <v>112</v>
      </c>
      <c r="D20" s="12"/>
      <c r="E20" s="104">
        <f>Matrix!L10</f>
        <v>382843.31</v>
      </c>
      <c r="F20" s="56" t="s">
        <v>84</v>
      </c>
      <c r="G20" s="47">
        <f>'Wholesale Factors'!$I$35</f>
        <v>0.71497894606574497</v>
      </c>
      <c r="H20" s="29">
        <f>E20*G20</f>
        <v>273724.90629212128</v>
      </c>
      <c r="I20" s="29">
        <f>E20-H20</f>
        <v>109118.40370787872</v>
      </c>
      <c r="J20" s="50"/>
      <c r="L20" s="12"/>
      <c r="M20" s="12"/>
    </row>
    <row r="21" spans="2:13" ht="15.4" x14ac:dyDescent="0.45">
      <c r="B21" s="1"/>
      <c r="C21" s="7" t="s">
        <v>62</v>
      </c>
      <c r="D21" s="12"/>
      <c r="E21" s="104"/>
      <c r="F21" s="56"/>
      <c r="G21" s="48"/>
      <c r="H21" s="29"/>
      <c r="I21" s="29"/>
      <c r="J21" s="50"/>
      <c r="L21" s="12"/>
      <c r="M21" s="12"/>
    </row>
    <row r="22" spans="2:13" ht="15.4" x14ac:dyDescent="0.45">
      <c r="B22" s="1"/>
      <c r="C22" s="7"/>
      <c r="D22" s="12" t="s">
        <v>50</v>
      </c>
      <c r="E22" s="55">
        <f>Matrix!L64</f>
        <v>12328.880000000001</v>
      </c>
      <c r="F22" s="56" t="s">
        <v>84</v>
      </c>
      <c r="G22" s="47">
        <f>'Wholesale Factors'!$I$35</f>
        <v>0.71497894606574497</v>
      </c>
      <c r="H22" s="29">
        <f t="shared" ref="H22:H23" si="4">E22*G22</f>
        <v>8814.8896285710434</v>
      </c>
      <c r="I22" s="29">
        <f t="shared" ref="I22:I23" si="5">E22-H22</f>
        <v>3513.9903714289576</v>
      </c>
      <c r="J22" s="50"/>
      <c r="L22" s="12"/>
      <c r="M22" s="12"/>
    </row>
    <row r="23" spans="2:13" ht="15.4" x14ac:dyDescent="0.45">
      <c r="B23" s="1"/>
      <c r="C23" s="7"/>
      <c r="D23" s="12" t="s">
        <v>11</v>
      </c>
      <c r="E23" s="29">
        <f>Matrix!M64</f>
        <v>37695.079999999994</v>
      </c>
      <c r="F23" s="56" t="s">
        <v>12</v>
      </c>
      <c r="G23" s="47">
        <f>'Wholesale Factors'!$I$39</f>
        <v>0.49170789571740164</v>
      </c>
      <c r="H23" s="29">
        <f t="shared" si="4"/>
        <v>18534.968465699108</v>
      </c>
      <c r="I23" s="29">
        <f t="shared" si="5"/>
        <v>19160.111534300886</v>
      </c>
      <c r="J23" s="50"/>
      <c r="L23" s="12"/>
      <c r="M23" s="12"/>
    </row>
    <row r="24" spans="2:13" ht="15.4" x14ac:dyDescent="0.45">
      <c r="B24" s="1"/>
      <c r="C24" s="7" t="s">
        <v>61</v>
      </c>
      <c r="D24" s="12"/>
      <c r="E24" s="29"/>
      <c r="F24" s="56"/>
      <c r="G24" s="47"/>
      <c r="H24" s="29"/>
      <c r="I24" s="29"/>
      <c r="J24" s="50"/>
      <c r="L24" s="12"/>
      <c r="M24" s="12"/>
    </row>
    <row r="25" spans="2:13" ht="15.4" x14ac:dyDescent="0.45">
      <c r="B25" s="1"/>
      <c r="C25" s="7"/>
      <c r="D25" s="12" t="s">
        <v>50</v>
      </c>
      <c r="E25" s="55">
        <f>Matrix!L53</f>
        <v>0</v>
      </c>
      <c r="F25" s="56" t="s">
        <v>84</v>
      </c>
      <c r="G25" s="47">
        <f>'Wholesale Factors'!$I$35</f>
        <v>0.71497894606574497</v>
      </c>
      <c r="H25" s="29">
        <f>E25*G25</f>
        <v>0</v>
      </c>
      <c r="I25" s="29">
        <f>E25-H25</f>
        <v>0</v>
      </c>
      <c r="J25" s="50"/>
      <c r="L25" s="12"/>
      <c r="M25" s="12"/>
    </row>
    <row r="26" spans="2:13" ht="15.4" x14ac:dyDescent="0.45">
      <c r="B26" s="1"/>
      <c r="C26" s="7"/>
      <c r="D26" s="12" t="s">
        <v>11</v>
      </c>
      <c r="E26" s="29">
        <f>Matrix!M53</f>
        <v>0</v>
      </c>
      <c r="F26" s="56" t="s">
        <v>12</v>
      </c>
      <c r="G26" s="47">
        <f>'Wholesale Factors'!$I$39</f>
        <v>0.49170789571740164</v>
      </c>
      <c r="H26" s="29">
        <f>E26*G26</f>
        <v>0</v>
      </c>
      <c r="I26" s="29">
        <f>E26-H26</f>
        <v>0</v>
      </c>
      <c r="J26" s="50"/>
      <c r="L26" s="12"/>
      <c r="M26" s="12"/>
    </row>
    <row r="27" spans="2:13" ht="15.4" x14ac:dyDescent="0.45">
      <c r="B27" s="1"/>
      <c r="C27" s="7" t="s">
        <v>71</v>
      </c>
      <c r="D27" s="12"/>
      <c r="E27" s="29"/>
      <c r="F27" s="56"/>
      <c r="G27" s="48"/>
      <c r="H27" s="29"/>
      <c r="I27" s="29"/>
      <c r="J27" s="50"/>
      <c r="L27" s="12"/>
      <c r="M27" s="12"/>
    </row>
    <row r="28" spans="2:13" ht="15.4" x14ac:dyDescent="0.45">
      <c r="B28" s="1"/>
      <c r="C28" s="7"/>
      <c r="D28" s="12" t="s">
        <v>13</v>
      </c>
      <c r="E28" s="55">
        <f>Matrix!O50</f>
        <v>26835.653565000001</v>
      </c>
      <c r="F28" s="56" t="s">
        <v>12</v>
      </c>
      <c r="G28" s="47">
        <f>'Wholesale Factors'!$I$39</f>
        <v>0.49170789571740164</v>
      </c>
      <c r="H28" s="29">
        <f t="shared" ref="H28:H29" si="6">E28*G28</f>
        <v>13195.302744647337</v>
      </c>
      <c r="I28" s="29">
        <f t="shared" ref="I28:I29" si="7">E28-H28</f>
        <v>13640.350820352664</v>
      </c>
      <c r="J28" s="50"/>
      <c r="L28" s="12"/>
      <c r="M28" s="12"/>
    </row>
    <row r="29" spans="2:13" ht="15.4" x14ac:dyDescent="0.45">
      <c r="B29" s="1"/>
      <c r="C29" s="7"/>
      <c r="D29" s="12" t="s">
        <v>16</v>
      </c>
      <c r="E29" s="304">
        <f>Matrix!O50</f>
        <v>26835.653565000001</v>
      </c>
      <c r="G29" s="47">
        <v>0</v>
      </c>
      <c r="H29" s="304">
        <f t="shared" si="6"/>
        <v>0</v>
      </c>
      <c r="I29" s="304">
        <f t="shared" si="7"/>
        <v>26835.653565000001</v>
      </c>
      <c r="J29" s="50"/>
      <c r="L29" s="12"/>
      <c r="M29" s="12"/>
    </row>
    <row r="30" spans="2:13" ht="15.4" x14ac:dyDescent="0.45">
      <c r="B30" s="1"/>
      <c r="C30" s="7" t="s">
        <v>0</v>
      </c>
      <c r="D30" s="12"/>
      <c r="E30" s="29">
        <f>SUM(E11:E29)</f>
        <v>2787165.6071299999</v>
      </c>
      <c r="F30" s="56"/>
      <c r="G30" s="48"/>
      <c r="H30" s="29">
        <f>SUM(H11:H29)</f>
        <v>1796550.8462759787</v>
      </c>
      <c r="I30" s="29">
        <f>SUM(I11:I29)</f>
        <v>990614.76085402106</v>
      </c>
      <c r="J30" s="50"/>
      <c r="L30" s="12"/>
      <c r="M30" s="12"/>
    </row>
    <row r="31" spans="2:13" ht="15.4" x14ac:dyDescent="0.45">
      <c r="B31" s="1"/>
      <c r="C31" s="7" t="s">
        <v>1</v>
      </c>
      <c r="D31" s="12"/>
      <c r="E31" s="29"/>
      <c r="F31" s="56"/>
      <c r="G31" s="48"/>
      <c r="H31" s="29"/>
      <c r="I31" s="29"/>
      <c r="J31" s="50"/>
      <c r="L31" s="12"/>
      <c r="M31" s="12"/>
    </row>
    <row r="32" spans="2:13" ht="15.4" x14ac:dyDescent="0.45">
      <c r="B32" s="1"/>
      <c r="C32" s="7"/>
      <c r="D32" s="12" t="s">
        <v>50</v>
      </c>
      <c r="E32" s="29">
        <f>'Depreciation 2'!E32</f>
        <v>1881153.8892727271</v>
      </c>
      <c r="F32" s="56" t="s">
        <v>84</v>
      </c>
      <c r="G32" s="47">
        <f>'Wholesale Factors'!$I$35</f>
        <v>0.71497894606574497</v>
      </c>
      <c r="H32" s="29">
        <f>E32*G32</f>
        <v>1344985.4251396914</v>
      </c>
      <c r="I32" s="29">
        <f>E32-H32</f>
        <v>536168.46413303562</v>
      </c>
      <c r="J32" s="50"/>
      <c r="L32" s="12"/>
      <c r="M32" s="12"/>
    </row>
    <row r="33" spans="2:13" ht="15.4" x14ac:dyDescent="0.45">
      <c r="B33" s="1"/>
      <c r="C33" s="7"/>
      <c r="D33" s="7" t="s">
        <v>15</v>
      </c>
      <c r="E33" s="29">
        <f>'Depreciation 2'!F32</f>
        <v>189768.01160000003</v>
      </c>
      <c r="F33" s="56" t="s">
        <v>12</v>
      </c>
      <c r="G33" s="47">
        <f>'Wholesale Factors'!I39</f>
        <v>0.49170789571740164</v>
      </c>
      <c r="H33" s="29">
        <f>E33*G33</f>
        <v>93310.429658311477</v>
      </c>
      <c r="I33" s="29">
        <f>E33-H33</f>
        <v>96457.58194168855</v>
      </c>
      <c r="J33" s="50"/>
      <c r="L33" s="12"/>
      <c r="M33" s="12"/>
    </row>
    <row r="34" spans="2:13" ht="15.4" x14ac:dyDescent="0.45">
      <c r="B34" s="1"/>
      <c r="C34" s="7"/>
      <c r="D34" s="7" t="s">
        <v>81</v>
      </c>
      <c r="E34" s="29">
        <f>'Depreciation 2'!G32</f>
        <v>184624.55444444442</v>
      </c>
      <c r="F34" s="56" t="s">
        <v>14</v>
      </c>
      <c r="G34" s="47">
        <f>'Wholesale Factors'!$I$43</f>
        <v>0.73542427949156486</v>
      </c>
      <c r="H34" s="29">
        <f>E34*G34</f>
        <v>135777.37992875674</v>
      </c>
      <c r="I34" s="29">
        <f>E34-H34</f>
        <v>48847.174515687686</v>
      </c>
      <c r="J34" s="50"/>
      <c r="L34" s="12"/>
      <c r="M34" s="12"/>
    </row>
    <row r="35" spans="2:13" ht="15.4" x14ac:dyDescent="0.45">
      <c r="B35" s="1"/>
      <c r="C35" s="7"/>
      <c r="D35" s="12" t="s">
        <v>13</v>
      </c>
      <c r="E35" s="29">
        <f>'Depreciation 2'!H32</f>
        <v>27764.299970976237</v>
      </c>
      <c r="F35" s="56" t="s">
        <v>12</v>
      </c>
      <c r="G35" s="47">
        <f>'Wholesale Factors'!$I$39</f>
        <v>0.49170789571740164</v>
      </c>
      <c r="H35" s="29">
        <f>E35*G35</f>
        <v>13651.925514795441</v>
      </c>
      <c r="I35" s="29">
        <f>E35-H35</f>
        <v>14112.374456180796</v>
      </c>
      <c r="J35" s="50"/>
      <c r="L35" s="12"/>
      <c r="M35" s="12"/>
    </row>
    <row r="36" spans="2:13" ht="15.4" x14ac:dyDescent="0.45">
      <c r="B36" s="1"/>
      <c r="C36" s="7"/>
      <c r="D36" s="12" t="s">
        <v>16</v>
      </c>
      <c r="E36" s="304">
        <f>'Depreciation 2'!I32</f>
        <v>122727.2572121246</v>
      </c>
      <c r="F36" s="56"/>
      <c r="G36" s="47">
        <v>0</v>
      </c>
      <c r="H36" s="304">
        <f t="shared" ref="H36" si="8">E36*G36</f>
        <v>0</v>
      </c>
      <c r="I36" s="304">
        <f>E36</f>
        <v>122727.2572121246</v>
      </c>
      <c r="J36" s="50"/>
      <c r="L36" s="12"/>
      <c r="M36" s="12"/>
    </row>
    <row r="37" spans="2:13" ht="15.4" x14ac:dyDescent="0.45">
      <c r="B37" s="1"/>
      <c r="C37" s="7" t="s">
        <v>202</v>
      </c>
      <c r="D37" s="12"/>
      <c r="E37" s="29">
        <f>SUM(E32:E36)</f>
        <v>2406038.0125002726</v>
      </c>
      <c r="F37" s="56"/>
      <c r="G37" s="47"/>
      <c r="H37" s="29">
        <f>SUM(H32:H36)</f>
        <v>1587725.160241555</v>
      </c>
      <c r="I37" s="29">
        <f>SUM(I32:I36)</f>
        <v>818312.85225871741</v>
      </c>
      <c r="J37" s="50"/>
      <c r="L37" s="12"/>
      <c r="M37" s="12"/>
    </row>
    <row r="38" spans="2:13" ht="15.4" x14ac:dyDescent="0.45">
      <c r="B38" s="1"/>
      <c r="C38" s="7" t="s">
        <v>58</v>
      </c>
      <c r="D38" s="12"/>
      <c r="E38" s="29"/>
      <c r="F38" s="56"/>
      <c r="G38" s="48"/>
      <c r="H38" s="29"/>
      <c r="I38" s="29"/>
      <c r="J38" s="50"/>
      <c r="L38" s="12"/>
      <c r="M38" s="12"/>
    </row>
    <row r="39" spans="2:13" ht="15.4" x14ac:dyDescent="0.45">
      <c r="B39" s="1"/>
      <c r="C39" s="7"/>
      <c r="D39" s="12" t="s">
        <v>50</v>
      </c>
      <c r="E39" s="29">
        <f>'DS Allocation 2'!F21</f>
        <v>1561482.399808134</v>
      </c>
      <c r="F39" s="56" t="s">
        <v>84</v>
      </c>
      <c r="G39" s="47">
        <f>'Wholesale Factors'!$I$35</f>
        <v>0.71497894606574497</v>
      </c>
      <c r="H39" s="29">
        <f>E39*G39</f>
        <v>1116427.0405150298</v>
      </c>
      <c r="I39" s="29">
        <f>E39-H39</f>
        <v>445055.35929310415</v>
      </c>
      <c r="J39" s="50"/>
      <c r="L39" s="12"/>
      <c r="M39" s="12"/>
    </row>
    <row r="40" spans="2:13" ht="15.4" x14ac:dyDescent="0.45">
      <c r="B40" s="1"/>
      <c r="C40" s="7"/>
      <c r="D40" s="7" t="s">
        <v>15</v>
      </c>
      <c r="E40" s="29">
        <f>'DS Allocation 2'!G21</f>
        <v>82536.404181455058</v>
      </c>
      <c r="F40" s="56" t="s">
        <v>12</v>
      </c>
      <c r="G40" s="47">
        <f>'Wholesale Factors'!I39</f>
        <v>0.49170789571740164</v>
      </c>
      <c r="H40" s="29">
        <f>E40*G40</f>
        <v>40583.801620144215</v>
      </c>
      <c r="I40" s="29">
        <f>E40-H40</f>
        <v>41952.602561310843</v>
      </c>
      <c r="J40" s="50"/>
      <c r="L40" s="12"/>
      <c r="M40" s="12"/>
    </row>
    <row r="41" spans="2:13" ht="15.4" x14ac:dyDescent="0.45">
      <c r="B41" s="1"/>
      <c r="C41" s="7"/>
      <c r="D41" s="7" t="s">
        <v>81</v>
      </c>
      <c r="E41" s="304">
        <f>'DS Allocation 2'!H21</f>
        <v>67819.073363575852</v>
      </c>
      <c r="F41" s="56" t="s">
        <v>14</v>
      </c>
      <c r="G41" s="47">
        <f>'Wholesale Factors'!$I$43</f>
        <v>0.73542427949156486</v>
      </c>
      <c r="H41" s="304">
        <f>E41*G41</f>
        <v>49875.793164193346</v>
      </c>
      <c r="I41" s="304">
        <f>E41-H41</f>
        <v>17943.280199382505</v>
      </c>
      <c r="J41" s="50"/>
      <c r="L41" s="12"/>
      <c r="M41" s="12"/>
    </row>
    <row r="42" spans="2:13" ht="15.4" x14ac:dyDescent="0.45">
      <c r="B42" s="1"/>
      <c r="C42" s="7" t="s">
        <v>203</v>
      </c>
      <c r="D42" s="7"/>
      <c r="E42" s="29">
        <f>SUM(E39:E41)</f>
        <v>1711837.8773531648</v>
      </c>
      <c r="F42" s="56"/>
      <c r="G42" s="47"/>
      <c r="H42" s="29">
        <f>SUM(H39:H41)</f>
        <v>1206886.6352993674</v>
      </c>
      <c r="I42" s="29">
        <f>SUM(I39:I41)</f>
        <v>504951.24205379753</v>
      </c>
      <c r="J42" s="50"/>
      <c r="L42" s="12"/>
      <c r="M42" s="12"/>
    </row>
    <row r="43" spans="2:13" ht="15.4" x14ac:dyDescent="0.45">
      <c r="B43" s="1"/>
      <c r="C43" s="14" t="s">
        <v>17</v>
      </c>
      <c r="D43" s="7"/>
      <c r="E43" s="29">
        <f>E30+E37+E42</f>
        <v>6905041.4969834369</v>
      </c>
      <c r="F43" s="29"/>
      <c r="G43" s="48"/>
      <c r="H43" s="29">
        <f t="shared" ref="H43:I43" si="9">H30+H37+H42</f>
        <v>4591162.641816901</v>
      </c>
      <c r="I43" s="29">
        <f t="shared" si="9"/>
        <v>2313878.8551665358</v>
      </c>
      <c r="J43" s="50"/>
      <c r="K43" s="7"/>
      <c r="L43" s="12"/>
      <c r="M43" s="12"/>
    </row>
    <row r="44" spans="2:13" ht="6.95" customHeight="1" x14ac:dyDescent="0.45">
      <c r="B44" s="1"/>
      <c r="C44" s="7"/>
      <c r="D44" s="12"/>
      <c r="E44" s="12"/>
      <c r="F44" s="12"/>
      <c r="G44" s="12"/>
      <c r="H44" s="29"/>
      <c r="I44" s="29"/>
      <c r="J44" s="50"/>
      <c r="K44" s="7"/>
      <c r="L44" s="12"/>
      <c r="M44" s="12"/>
    </row>
    <row r="45" spans="2:13" ht="15.4" x14ac:dyDescent="0.45">
      <c r="B45" s="1"/>
      <c r="C45" s="7"/>
      <c r="D45" s="12" t="s">
        <v>18</v>
      </c>
      <c r="E45" s="12"/>
      <c r="F45" s="12"/>
      <c r="G45" s="12"/>
      <c r="H45" s="29">
        <f>'Wholesale Factors'!I14</f>
        <v>1147547</v>
      </c>
      <c r="I45" s="29"/>
      <c r="J45" s="50"/>
      <c r="K45" s="7"/>
      <c r="L45" s="12"/>
      <c r="M45" s="12"/>
    </row>
    <row r="46" spans="2:13" ht="6.95" customHeight="1" x14ac:dyDescent="0.45">
      <c r="B46" s="1"/>
      <c r="C46" s="7"/>
      <c r="D46" s="12"/>
      <c r="E46" s="12"/>
      <c r="F46" s="12"/>
      <c r="G46" s="12"/>
      <c r="H46" s="12"/>
      <c r="I46" s="12"/>
      <c r="J46" s="19"/>
      <c r="K46" s="7"/>
      <c r="L46" s="12"/>
      <c r="M46" s="12"/>
    </row>
    <row r="47" spans="2:13" ht="15.75" x14ac:dyDescent="0.5">
      <c r="B47" s="1"/>
      <c r="C47" s="53" t="s">
        <v>174</v>
      </c>
      <c r="D47" s="54"/>
      <c r="E47" s="54"/>
      <c r="F47" s="54"/>
      <c r="G47" s="54"/>
      <c r="H47" s="294">
        <f>ROUND(H43/H45,3)</f>
        <v>4.0010000000000003</v>
      </c>
      <c r="I47" s="15"/>
      <c r="J47" s="51"/>
      <c r="K47" s="28"/>
      <c r="L47" s="15"/>
      <c r="M47" s="12"/>
    </row>
    <row r="48" spans="2:13" ht="18" x14ac:dyDescent="0.8">
      <c r="B48" s="1"/>
      <c r="C48" s="53"/>
      <c r="D48" s="54"/>
      <c r="E48" s="54"/>
      <c r="F48" s="54"/>
      <c r="G48" s="54"/>
      <c r="H48" s="245"/>
      <c r="I48" s="15"/>
      <c r="J48" s="51"/>
      <c r="K48" s="28"/>
      <c r="L48" s="15"/>
      <c r="M48" s="12"/>
    </row>
    <row r="49" spans="2:19" ht="15.75" x14ac:dyDescent="0.5">
      <c r="B49" s="1"/>
      <c r="C49" s="295" t="s">
        <v>204</v>
      </c>
      <c r="D49" s="54"/>
      <c r="E49" s="54"/>
      <c r="F49" s="54"/>
      <c r="G49" s="54"/>
      <c r="H49" s="297">
        <f>Analysis!D12</f>
        <v>2619849.801</v>
      </c>
      <c r="I49" s="15"/>
      <c r="J49" s="51"/>
      <c r="K49" s="28"/>
      <c r="L49" s="15"/>
      <c r="M49" s="12"/>
    </row>
    <row r="50" spans="2:19" ht="15.75" x14ac:dyDescent="0.5">
      <c r="B50" s="1"/>
      <c r="C50" s="295" t="s">
        <v>200</v>
      </c>
      <c r="D50" s="54"/>
      <c r="E50" s="54"/>
      <c r="F50" s="54"/>
      <c r="G50" s="54"/>
      <c r="H50" s="298">
        <f>H43-H49</f>
        <v>1971312.8408169011</v>
      </c>
      <c r="I50" s="15"/>
      <c r="J50" s="51"/>
      <c r="K50" s="28"/>
      <c r="L50" s="15"/>
      <c r="M50" s="12"/>
    </row>
    <row r="51" spans="2:19" ht="15.75" x14ac:dyDescent="0.5">
      <c r="B51" s="1"/>
      <c r="C51" s="295" t="s">
        <v>201</v>
      </c>
      <c r="D51" s="54"/>
      <c r="E51" s="54"/>
      <c r="F51" s="54"/>
      <c r="G51" s="54"/>
      <c r="H51" s="296">
        <f>H50/H49</f>
        <v>0.75245261772810357</v>
      </c>
      <c r="I51" s="15"/>
      <c r="J51" s="51"/>
      <c r="K51" s="28"/>
      <c r="L51" s="15"/>
      <c r="M51" s="12"/>
    </row>
    <row r="52" spans="2:19" ht="15.4" x14ac:dyDescent="0.45">
      <c r="B52" s="6"/>
      <c r="C52" s="52"/>
      <c r="D52" s="22"/>
      <c r="E52" s="22"/>
      <c r="F52" s="22"/>
      <c r="G52" s="22"/>
      <c r="H52" s="52"/>
      <c r="I52" s="22"/>
      <c r="J52" s="23"/>
      <c r="K52" s="7"/>
      <c r="L52" s="12"/>
      <c r="M52" s="12"/>
    </row>
    <row r="53" spans="2:19" ht="15.4" x14ac:dyDescent="0.45">
      <c r="C53" s="7"/>
      <c r="D53" s="12"/>
      <c r="E53" s="12"/>
      <c r="F53" s="12"/>
      <c r="G53" s="12"/>
      <c r="H53" s="7"/>
      <c r="I53" s="12"/>
      <c r="J53" s="12"/>
      <c r="K53" s="7"/>
      <c r="L53" s="12"/>
      <c r="M53" s="12"/>
    </row>
    <row r="54" spans="2:19" ht="15.4" x14ac:dyDescent="0.45">
      <c r="C54" s="7"/>
      <c r="D54" s="12"/>
      <c r="E54" s="12"/>
      <c r="F54" s="12"/>
      <c r="G54" s="12"/>
      <c r="H54" s="7"/>
      <c r="I54" s="12"/>
      <c r="J54" s="12"/>
      <c r="K54" s="7"/>
      <c r="L54" s="12"/>
      <c r="M54" s="12"/>
    </row>
    <row r="55" spans="2:19" ht="15.4" x14ac:dyDescent="0.45">
      <c r="C55" s="7"/>
      <c r="D55" s="12"/>
      <c r="E55" s="12"/>
      <c r="F55" s="12"/>
      <c r="G55" s="12"/>
      <c r="H55" s="7"/>
      <c r="I55" s="12"/>
      <c r="J55" s="12"/>
      <c r="K55" s="7"/>
      <c r="L55" s="12"/>
      <c r="M55" s="12"/>
    </row>
    <row r="56" spans="2:19" ht="15.4" x14ac:dyDescent="0.45">
      <c r="C56" s="7"/>
      <c r="D56" s="7"/>
      <c r="E56" s="7"/>
      <c r="F56" s="7"/>
      <c r="G56" s="7"/>
      <c r="H56" s="30"/>
      <c r="I56" s="30"/>
      <c r="J56" s="30"/>
      <c r="K56" s="30"/>
      <c r="L56" s="7"/>
      <c r="M56" s="7"/>
      <c r="O56" s="7"/>
      <c r="P56" s="7"/>
      <c r="Q56" s="7"/>
      <c r="R56" s="7"/>
      <c r="S56" s="7"/>
    </row>
    <row r="57" spans="2:19" ht="15.4" x14ac:dyDescent="0.45">
      <c r="C57" s="7"/>
      <c r="D57" s="7"/>
    </row>
    <row r="58" spans="2:19" ht="15.4" x14ac:dyDescent="0.45">
      <c r="C58" s="7"/>
      <c r="D58" s="7"/>
    </row>
    <row r="59" spans="2:19" ht="15.4" x14ac:dyDescent="0.45">
      <c r="C59" s="7"/>
      <c r="D59" s="7"/>
    </row>
    <row r="60" spans="2:19" ht="15.4" x14ac:dyDescent="0.45">
      <c r="C60" s="7"/>
      <c r="D60" s="7"/>
    </row>
    <row r="61" spans="2:19" ht="15.4" x14ac:dyDescent="0.45">
      <c r="C61" s="7"/>
      <c r="D61" s="7"/>
    </row>
    <row r="62" spans="2:19" ht="15.4" x14ac:dyDescent="0.45">
      <c r="C62" s="7"/>
      <c r="D62" s="7"/>
    </row>
    <row r="63" spans="2:19" ht="15.4" x14ac:dyDescent="0.45">
      <c r="C63" s="7"/>
      <c r="D63" s="7"/>
    </row>
    <row r="64" spans="2:19" ht="15.4" x14ac:dyDescent="0.45">
      <c r="C64" s="7"/>
      <c r="D64" s="7"/>
    </row>
    <row r="65" spans="3:13" ht="15.4" x14ac:dyDescent="0.45">
      <c r="C65" s="7"/>
      <c r="D65" s="7"/>
    </row>
    <row r="66" spans="3:13" ht="15.4" x14ac:dyDescent="0.45">
      <c r="C66" s="7"/>
      <c r="D66" s="7"/>
    </row>
    <row r="67" spans="3:13" ht="15.4" x14ac:dyDescent="0.45">
      <c r="C67" s="7"/>
      <c r="D67" s="7"/>
    </row>
    <row r="68" spans="3:13" ht="15.4" x14ac:dyDescent="0.45">
      <c r="C68" s="7"/>
      <c r="D68" s="7"/>
    </row>
    <row r="69" spans="3:13" ht="15.4" x14ac:dyDescent="0.45">
      <c r="C69" s="7"/>
      <c r="D69" s="7"/>
    </row>
    <row r="70" spans="3:13" ht="15.4" x14ac:dyDescent="0.45">
      <c r="C70" s="7"/>
      <c r="D70" s="7"/>
    </row>
    <row r="71" spans="3:13" ht="15.4" x14ac:dyDescent="0.45">
      <c r="C71" s="7"/>
      <c r="D71" s="7"/>
      <c r="E71" s="7"/>
      <c r="F71" s="7"/>
      <c r="G71" s="7"/>
      <c r="H71" s="30"/>
      <c r="I71" s="30"/>
      <c r="J71" s="30"/>
      <c r="K71" s="30"/>
      <c r="L71" s="7"/>
      <c r="M71" s="7"/>
    </row>
    <row r="72" spans="3:13" ht="15.4" x14ac:dyDescent="0.45">
      <c r="C72" s="7"/>
      <c r="D72" s="7"/>
      <c r="E72" s="7"/>
      <c r="F72" s="7"/>
      <c r="G72" s="7"/>
      <c r="H72" s="30"/>
      <c r="I72" s="30"/>
      <c r="J72" s="30"/>
      <c r="K72" s="30"/>
      <c r="L72" s="7"/>
      <c r="M72" s="7"/>
    </row>
    <row r="73" spans="3:13" ht="15.4" x14ac:dyDescent="0.45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3:13" ht="15.4" x14ac:dyDescent="0.45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3:13" ht="15.4" x14ac:dyDescent="0.45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3:13" ht="15.4" x14ac:dyDescent="0.45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</sheetData>
  <mergeCells count="5">
    <mergeCell ref="C3:J3"/>
    <mergeCell ref="B4:J4"/>
    <mergeCell ref="B6:J6"/>
    <mergeCell ref="F8:G8"/>
    <mergeCell ref="B5:J5"/>
  </mergeCells>
  <printOptions horizontalCentered="1"/>
  <pageMargins left="0.45" right="0.45" top="0.3" bottom="0.3" header="0.3" footer="0.3"/>
  <pageSetup scale="90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B9723-3419-4846-B0D7-8D4AB986033A}">
  <dimension ref="A1:J40"/>
  <sheetViews>
    <sheetView topLeftCell="A21" workbookViewId="0">
      <selection activeCell="J17" sqref="J17"/>
    </sheetView>
  </sheetViews>
  <sheetFormatPr defaultRowHeight="14.25" x14ac:dyDescent="0.45"/>
  <cols>
    <col min="1" max="1" width="20.609375" style="57" customWidth="1"/>
    <col min="2" max="6" width="12.609375" style="280" customWidth="1"/>
    <col min="7" max="7" width="12.609375" style="57" customWidth="1"/>
    <col min="8" max="16384" width="8.88671875" style="57"/>
  </cols>
  <sheetData>
    <row r="1" spans="1:7" x14ac:dyDescent="0.45">
      <c r="A1" s="58" t="s">
        <v>128</v>
      </c>
    </row>
    <row r="2" spans="1:7" x14ac:dyDescent="0.45">
      <c r="A2" s="58" t="s">
        <v>176</v>
      </c>
    </row>
    <row r="3" spans="1:7" x14ac:dyDescent="0.45">
      <c r="A3" s="58"/>
    </row>
    <row r="4" spans="1:7" x14ac:dyDescent="0.45">
      <c r="A4" s="58" t="s">
        <v>194</v>
      </c>
    </row>
    <row r="6" spans="1:7" x14ac:dyDescent="0.45">
      <c r="A6" s="91" t="s">
        <v>177</v>
      </c>
      <c r="B6" s="281" t="s">
        <v>178</v>
      </c>
      <c r="C6" s="281" t="s">
        <v>192</v>
      </c>
      <c r="D6" s="281" t="s">
        <v>179</v>
      </c>
      <c r="E6" s="281" t="s">
        <v>192</v>
      </c>
      <c r="F6" s="281" t="s">
        <v>180</v>
      </c>
      <c r="G6" s="281" t="s">
        <v>192</v>
      </c>
    </row>
    <row r="7" spans="1:7" x14ac:dyDescent="0.45">
      <c r="A7" s="57" t="s">
        <v>183</v>
      </c>
      <c r="B7" s="283">
        <f>'System Information '!$F$37</f>
        <v>1147547</v>
      </c>
      <c r="C7" s="283"/>
      <c r="D7" s="283">
        <f>'System Information '!$F$37</f>
        <v>1147547</v>
      </c>
      <c r="E7" s="283"/>
      <c r="F7" s="283">
        <f>'System Information '!$F$37</f>
        <v>1147547</v>
      </c>
    </row>
    <row r="8" spans="1:7" x14ac:dyDescent="0.45">
      <c r="A8" s="57" t="s">
        <v>184</v>
      </c>
      <c r="B8" s="284">
        <v>1.6259999999999999</v>
      </c>
      <c r="C8" s="284"/>
      <c r="D8" s="284">
        <f>'Rate Computation 1'!H48</f>
        <v>2.2829999999999999</v>
      </c>
      <c r="E8" s="284"/>
      <c r="F8" s="284">
        <f>'Rate Computation 2'!H47</f>
        <v>4.0010000000000003</v>
      </c>
      <c r="G8" s="91"/>
    </row>
    <row r="9" spans="1:7" x14ac:dyDescent="0.45">
      <c r="A9" s="57" t="s">
        <v>185</v>
      </c>
      <c r="B9" s="280">
        <f>B7*B8</f>
        <v>1865911.4219999998</v>
      </c>
      <c r="C9" s="286">
        <f>B9/B$12</f>
        <v>0.78140187170512443</v>
      </c>
      <c r="D9" s="280">
        <f t="shared" ref="D9:F9" si="0">D7*D8</f>
        <v>2619849.801</v>
      </c>
      <c r="E9" s="286">
        <f>D9/D$12</f>
        <v>1</v>
      </c>
      <c r="F9" s="280">
        <f t="shared" si="0"/>
        <v>4591335.5470000003</v>
      </c>
      <c r="G9" s="286">
        <f>F9/F$12</f>
        <v>1</v>
      </c>
    </row>
    <row r="10" spans="1:7" x14ac:dyDescent="0.45">
      <c r="A10" s="57" t="s">
        <v>181</v>
      </c>
      <c r="B10" s="292">
        <f>(24629.55+18789.7)*12</f>
        <v>521031</v>
      </c>
      <c r="C10" s="286">
        <f t="shared" ref="C10:E11" si="1">B10/B$12</f>
        <v>0.21819610181709512</v>
      </c>
      <c r="D10" s="280">
        <v>0</v>
      </c>
      <c r="E10" s="286">
        <f t="shared" si="1"/>
        <v>0</v>
      </c>
      <c r="F10" s="280">
        <v>0</v>
      </c>
      <c r="G10" s="286">
        <f t="shared" ref="G10" si="2">F10/F$12</f>
        <v>0</v>
      </c>
    </row>
    <row r="11" spans="1:7" x14ac:dyDescent="0.45">
      <c r="A11" s="57" t="s">
        <v>182</v>
      </c>
      <c r="B11" s="293">
        <f>(70+10)*12</f>
        <v>960</v>
      </c>
      <c r="C11" s="287">
        <f t="shared" si="1"/>
        <v>4.0202647778042253E-4</v>
      </c>
      <c r="D11" s="285">
        <v>0</v>
      </c>
      <c r="E11" s="287">
        <f t="shared" si="1"/>
        <v>0</v>
      </c>
      <c r="F11" s="285">
        <v>0</v>
      </c>
      <c r="G11" s="287">
        <f t="shared" ref="G11" si="3">F11/F$12</f>
        <v>0</v>
      </c>
    </row>
    <row r="12" spans="1:7" x14ac:dyDescent="0.45">
      <c r="A12" s="57" t="s">
        <v>186</v>
      </c>
      <c r="B12" s="280">
        <f>SUM(B9:B11)</f>
        <v>2387902.4219999998</v>
      </c>
      <c r="C12" s="299">
        <f>SUM(C9:C11)</f>
        <v>1</v>
      </c>
      <c r="D12" s="280">
        <f t="shared" ref="D12:F12" si="4">SUM(D9:D11)</f>
        <v>2619849.801</v>
      </c>
      <c r="E12" s="299">
        <f>SUM(E9:E11)</f>
        <v>1</v>
      </c>
      <c r="F12" s="280">
        <f t="shared" si="4"/>
        <v>4591335.5470000003</v>
      </c>
      <c r="G12" s="299">
        <f>SUM(G9:G11)</f>
        <v>1</v>
      </c>
    </row>
    <row r="13" spans="1:7" x14ac:dyDescent="0.45">
      <c r="G13" s="280"/>
    </row>
    <row r="14" spans="1:7" x14ac:dyDescent="0.45">
      <c r="A14" s="91" t="s">
        <v>187</v>
      </c>
      <c r="B14" s="281" t="s">
        <v>178</v>
      </c>
      <c r="C14" s="281" t="s">
        <v>192</v>
      </c>
      <c r="D14" s="281" t="s">
        <v>179</v>
      </c>
      <c r="E14" s="281" t="s">
        <v>192</v>
      </c>
      <c r="F14" s="281" t="s">
        <v>180</v>
      </c>
      <c r="G14" s="281" t="s">
        <v>192</v>
      </c>
    </row>
    <row r="15" spans="1:7" x14ac:dyDescent="0.45">
      <c r="A15" s="57" t="s">
        <v>188</v>
      </c>
      <c r="B15" s="280">
        <f>'Rate Computation 1'!H30</f>
        <v>1796550.8462759787</v>
      </c>
      <c r="C15" s="286">
        <f>B15/B$18</f>
        <v>0.68577086431434997</v>
      </c>
      <c r="D15" s="280">
        <f>'Rate Computation 1'!H30</f>
        <v>1796550.8462759787</v>
      </c>
      <c r="E15" s="286">
        <f>D15/D$18</f>
        <v>0.68577086431434997</v>
      </c>
      <c r="F15" s="280">
        <f>'Rate Computation 2'!H30</f>
        <v>1796550.8462759787</v>
      </c>
      <c r="G15" s="286">
        <f>F15/F$18</f>
        <v>0.39130629568919256</v>
      </c>
    </row>
    <row r="16" spans="1:7" x14ac:dyDescent="0.45">
      <c r="A16" s="57" t="s">
        <v>189</v>
      </c>
      <c r="B16" s="280">
        <f>SUM('Rate Computation 1'!H33:H37)</f>
        <v>523252.6837514182</v>
      </c>
      <c r="C16" s="286">
        <f t="shared" ref="C16:E17" si="5">B16/B$18</f>
        <v>0.19973353158070933</v>
      </c>
      <c r="D16" s="280">
        <f>SUM('Rate Computation 1'!H33:H37)</f>
        <v>523252.6837514182</v>
      </c>
      <c r="E16" s="286">
        <f t="shared" si="5"/>
        <v>0.19973353158070933</v>
      </c>
      <c r="F16" s="280">
        <f>SUM('Rate Computation 2'!H32:H36)</f>
        <v>1587725.160241555</v>
      </c>
      <c r="G16" s="286">
        <f t="shared" ref="G16" si="6">F16/F$18</f>
        <v>0.34582202463932549</v>
      </c>
    </row>
    <row r="17" spans="1:10" x14ac:dyDescent="0.45">
      <c r="A17" s="57" t="s">
        <v>190</v>
      </c>
      <c r="B17" s="285">
        <f>SUM('Rate Computation 1'!H40:H42)</f>
        <v>299950.29703583504</v>
      </c>
      <c r="C17" s="287">
        <f t="shared" si="5"/>
        <v>0.11449560410494067</v>
      </c>
      <c r="D17" s="285">
        <f>SUM('Rate Computation 1'!H40:H42)</f>
        <v>299950.29703583504</v>
      </c>
      <c r="E17" s="287">
        <f t="shared" si="5"/>
        <v>0.11449560410494067</v>
      </c>
      <c r="F17" s="285">
        <f>SUM('Rate Computation 2'!H39:H41)</f>
        <v>1206886.6352993674</v>
      </c>
      <c r="G17" s="287">
        <f t="shared" ref="G17" si="7">F17/F$18</f>
        <v>0.26287167967148201</v>
      </c>
    </row>
    <row r="18" spans="1:10" x14ac:dyDescent="0.45">
      <c r="A18" s="57" t="s">
        <v>191</v>
      </c>
      <c r="B18" s="280">
        <f t="shared" ref="B18:D18" si="8">SUM(B15:B17)</f>
        <v>2619753.8270632322</v>
      </c>
      <c r="D18" s="280">
        <f t="shared" si="8"/>
        <v>2619753.8270632322</v>
      </c>
      <c r="F18" s="280">
        <f>SUM(F15:F17)</f>
        <v>4591162.641816901</v>
      </c>
    </row>
    <row r="20" spans="1:10" x14ac:dyDescent="0.45">
      <c r="A20" s="57" t="s">
        <v>172</v>
      </c>
      <c r="B20" s="280">
        <f>B12-B18</f>
        <v>-231851.40506323241</v>
      </c>
      <c r="D20" s="280">
        <f>D12-D18</f>
        <v>95.973936767783016</v>
      </c>
      <c r="F20" s="280">
        <f>F12-F18</f>
        <v>172.90518309921026</v>
      </c>
      <c r="J20" s="57" t="s">
        <v>193</v>
      </c>
    </row>
    <row r="21" spans="1:10" x14ac:dyDescent="0.45">
      <c r="B21" s="305"/>
    </row>
    <row r="23" spans="1:10" x14ac:dyDescent="0.45">
      <c r="A23" s="58" t="s">
        <v>195</v>
      </c>
    </row>
    <row r="25" spans="1:10" x14ac:dyDescent="0.45">
      <c r="A25" s="91" t="s">
        <v>177</v>
      </c>
      <c r="B25" s="281" t="s">
        <v>178</v>
      </c>
      <c r="C25" s="281" t="s">
        <v>172</v>
      </c>
      <c r="D25" s="281" t="s">
        <v>179</v>
      </c>
      <c r="E25" s="281" t="s">
        <v>172</v>
      </c>
      <c r="F25" s="281" t="s">
        <v>180</v>
      </c>
      <c r="G25" s="300"/>
    </row>
    <row r="26" spans="1:10" x14ac:dyDescent="0.45">
      <c r="A26" s="57" t="s">
        <v>183</v>
      </c>
      <c r="B26" s="283">
        <f>'System Information '!$F$37</f>
        <v>1147547</v>
      </c>
      <c r="C26" s="283"/>
      <c r="D26" s="283">
        <f>'System Information '!$F$37</f>
        <v>1147547</v>
      </c>
      <c r="E26" s="283"/>
      <c r="F26" s="283">
        <f>'System Information '!$F$37</f>
        <v>1147547</v>
      </c>
    </row>
    <row r="27" spans="1:10" x14ac:dyDescent="0.45">
      <c r="A27" s="57" t="s">
        <v>184</v>
      </c>
      <c r="B27" s="284">
        <v>1.6259999999999999</v>
      </c>
      <c r="C27" s="284"/>
      <c r="D27" s="284">
        <f>'Rate Computation 1'!H48</f>
        <v>2.2829999999999999</v>
      </c>
      <c r="E27" s="284"/>
      <c r="F27" s="284">
        <f>'Rate Computation 2'!H47</f>
        <v>4.0010000000000003</v>
      </c>
    </row>
    <row r="28" spans="1:10" x14ac:dyDescent="0.45">
      <c r="A28" s="57" t="s">
        <v>185</v>
      </c>
      <c r="B28" s="280">
        <f>B26*B27</f>
        <v>1865911.4219999998</v>
      </c>
      <c r="C28" s="280">
        <f>D28-B28</f>
        <v>753938.37900000019</v>
      </c>
      <c r="D28" s="280">
        <f t="shared" ref="D28" si="9">D26*D27</f>
        <v>2619849.801</v>
      </c>
      <c r="E28" s="280">
        <f t="shared" ref="E28:E30" si="10">F28-D28</f>
        <v>1971485.7460000003</v>
      </c>
      <c r="F28" s="280">
        <f t="shared" ref="F28" si="11">F26*F27</f>
        <v>4591335.5470000003</v>
      </c>
      <c r="G28" s="301"/>
    </row>
    <row r="29" spans="1:10" x14ac:dyDescent="0.45">
      <c r="A29" s="57" t="s">
        <v>181</v>
      </c>
      <c r="B29" s="292">
        <f>(24629.55+18789.7)*12</f>
        <v>521031</v>
      </c>
      <c r="C29" s="280">
        <f t="shared" ref="C29:C30" si="12">D29-B29</f>
        <v>-521031</v>
      </c>
      <c r="D29" s="280">
        <v>0</v>
      </c>
      <c r="E29" s="280">
        <f t="shared" si="10"/>
        <v>0</v>
      </c>
      <c r="F29" s="280">
        <v>0</v>
      </c>
      <c r="G29" s="301"/>
    </row>
    <row r="30" spans="1:10" x14ac:dyDescent="0.45">
      <c r="A30" s="57" t="s">
        <v>182</v>
      </c>
      <c r="B30" s="293">
        <f>(70+10)*12</f>
        <v>960</v>
      </c>
      <c r="C30" s="285">
        <f t="shared" si="12"/>
        <v>-960</v>
      </c>
      <c r="D30" s="285">
        <v>0</v>
      </c>
      <c r="E30" s="285">
        <f t="shared" si="10"/>
        <v>0</v>
      </c>
      <c r="F30" s="285">
        <v>0</v>
      </c>
      <c r="G30" s="301"/>
    </row>
    <row r="31" spans="1:10" x14ac:dyDescent="0.45">
      <c r="A31" s="57" t="s">
        <v>186</v>
      </c>
      <c r="B31" s="280">
        <f>SUM(B28:B30)</f>
        <v>2387902.4219999998</v>
      </c>
      <c r="C31" s="280">
        <f>SUM(C28:C30)</f>
        <v>231947.37900000019</v>
      </c>
      <c r="D31" s="280">
        <f t="shared" ref="D31" si="13">SUM(D28:D30)</f>
        <v>2619849.801</v>
      </c>
      <c r="E31" s="280">
        <f>SUM(E28:E30)</f>
        <v>1971485.7460000003</v>
      </c>
      <c r="F31" s="280">
        <f t="shared" ref="F31" si="14">SUM(F28:F30)</f>
        <v>4591335.5470000003</v>
      </c>
      <c r="G31" s="302"/>
    </row>
    <row r="32" spans="1:10" x14ac:dyDescent="0.45">
      <c r="G32" s="303"/>
    </row>
    <row r="33" spans="1:7" x14ac:dyDescent="0.45">
      <c r="A33" s="91" t="s">
        <v>187</v>
      </c>
      <c r="B33" s="281" t="s">
        <v>178</v>
      </c>
      <c r="C33" s="281" t="s">
        <v>172</v>
      </c>
      <c r="D33" s="281" t="s">
        <v>179</v>
      </c>
      <c r="E33" s="281" t="s">
        <v>172</v>
      </c>
      <c r="F33" s="281" t="s">
        <v>180</v>
      </c>
      <c r="G33" s="300"/>
    </row>
    <row r="34" spans="1:7" x14ac:dyDescent="0.45">
      <c r="A34" s="57" t="s">
        <v>188</v>
      </c>
      <c r="B34" s="280">
        <f>'Rate Computation 1'!H30</f>
        <v>1796550.8462759787</v>
      </c>
      <c r="C34" s="282">
        <f>D34-B34</f>
        <v>0</v>
      </c>
      <c r="D34" s="280">
        <f>'Rate Computation 1'!H30</f>
        <v>1796550.8462759787</v>
      </c>
      <c r="E34" s="282">
        <f>F34-D34</f>
        <v>0</v>
      </c>
      <c r="F34" s="280">
        <f>'Rate Computation 2'!H30</f>
        <v>1796550.8462759787</v>
      </c>
      <c r="G34" s="301"/>
    </row>
    <row r="35" spans="1:7" x14ac:dyDescent="0.45">
      <c r="A35" s="57" t="s">
        <v>189</v>
      </c>
      <c r="B35" s="280">
        <f>SUM('Rate Computation 1'!H33:H37)</f>
        <v>523252.6837514182</v>
      </c>
      <c r="C35" s="282">
        <f t="shared" ref="C35:E36" si="15">D35-B35</f>
        <v>0</v>
      </c>
      <c r="D35" s="280">
        <f>SUM('Rate Computation 1'!H33:H37)</f>
        <v>523252.6837514182</v>
      </c>
      <c r="E35" s="282">
        <f t="shared" si="15"/>
        <v>1064472.4764901367</v>
      </c>
      <c r="F35" s="280">
        <f>SUM('Rate Computation 2'!H32:H36)</f>
        <v>1587725.160241555</v>
      </c>
      <c r="G35" s="301"/>
    </row>
    <row r="36" spans="1:7" x14ac:dyDescent="0.45">
      <c r="A36" s="57" t="s">
        <v>190</v>
      </c>
      <c r="B36" s="285">
        <f>SUM('Rate Computation 1'!H40:H42)</f>
        <v>299950.29703583504</v>
      </c>
      <c r="C36" s="242">
        <f t="shared" si="15"/>
        <v>0</v>
      </c>
      <c r="D36" s="285">
        <f>SUM('Rate Computation 1'!H40:H42)</f>
        <v>299950.29703583504</v>
      </c>
      <c r="E36" s="242">
        <f t="shared" si="15"/>
        <v>906936.33826353238</v>
      </c>
      <c r="F36" s="285">
        <f>SUM('Rate Computation 2'!H39:H41)</f>
        <v>1206886.6352993674</v>
      </c>
      <c r="G36" s="301"/>
    </row>
    <row r="37" spans="1:7" x14ac:dyDescent="0.45">
      <c r="A37" s="57" t="s">
        <v>191</v>
      </c>
      <c r="B37" s="280">
        <f t="shared" ref="B37:E37" si="16">SUM(B34:B36)</f>
        <v>2619753.8270632322</v>
      </c>
      <c r="C37" s="280">
        <f t="shared" si="16"/>
        <v>0</v>
      </c>
      <c r="D37" s="280">
        <f t="shared" ref="D37" si="17">SUM(D34:D36)</f>
        <v>2619753.8270632322</v>
      </c>
      <c r="E37" s="280">
        <f t="shared" si="16"/>
        <v>1971408.8147536691</v>
      </c>
      <c r="F37" s="280">
        <f>SUM(F34:F36)</f>
        <v>4591162.641816901</v>
      </c>
      <c r="G37" s="204"/>
    </row>
    <row r="39" spans="1:7" x14ac:dyDescent="0.45">
      <c r="A39" s="57" t="s">
        <v>172</v>
      </c>
      <c r="B39" s="280">
        <f>B31-B37</f>
        <v>-231851.40506323241</v>
      </c>
      <c r="C39" s="280">
        <f t="shared" ref="C39:F39" si="18">C31-C37</f>
        <v>231947.37900000019</v>
      </c>
      <c r="D39" s="280">
        <f t="shared" si="18"/>
        <v>95.973936767783016</v>
      </c>
      <c r="E39" s="280">
        <f t="shared" si="18"/>
        <v>76.931246331194416</v>
      </c>
      <c r="F39" s="280">
        <f t="shared" si="18"/>
        <v>172.90518309921026</v>
      </c>
    </row>
    <row r="40" spans="1:7" x14ac:dyDescent="0.45">
      <c r="C40" s="305"/>
      <c r="E40" s="30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06BE2-2B3C-406E-B302-8265762C5E74}">
  <sheetPr>
    <pageSetUpPr fitToPage="1"/>
  </sheetPr>
  <dimension ref="B2:O77"/>
  <sheetViews>
    <sheetView topLeftCell="D53" workbookViewId="0">
      <selection activeCell="P74" sqref="A1:P74"/>
    </sheetView>
  </sheetViews>
  <sheetFormatPr defaultColWidth="8.88671875" defaultRowHeight="14.25" x14ac:dyDescent="0.45"/>
  <cols>
    <col min="1" max="2" width="2.609375" style="30" customWidth="1"/>
    <col min="3" max="3" width="23.27734375" style="30" customWidth="1"/>
    <col min="4" max="4" width="74" style="30" customWidth="1"/>
    <col min="5" max="5" width="10.609375" style="30" customWidth="1"/>
    <col min="6" max="9" width="10.609375" style="30" hidden="1" customWidth="1"/>
    <col min="10" max="10" width="2.609375" style="30" customWidth="1"/>
    <col min="11" max="11" width="2.71875" style="30" customWidth="1"/>
    <col min="12" max="15" width="10.609375" style="30" customWidth="1"/>
    <col min="16" max="16" width="2.609375" style="30" customWidth="1"/>
    <col min="17" max="16384" width="8.88671875" style="30"/>
  </cols>
  <sheetData>
    <row r="2" spans="2:15" x14ac:dyDescent="0.45">
      <c r="B2" s="32"/>
      <c r="C2" s="33"/>
      <c r="D2" s="33"/>
      <c r="E2" s="33"/>
      <c r="F2" s="33"/>
      <c r="G2" s="33"/>
      <c r="H2" s="33"/>
      <c r="I2" s="33"/>
      <c r="J2" s="34"/>
      <c r="K2" s="32"/>
      <c r="L2" s="33"/>
      <c r="M2" s="33"/>
      <c r="N2" s="33"/>
      <c r="O2" s="34"/>
    </row>
    <row r="3" spans="2:15" ht="18" x14ac:dyDescent="0.55000000000000004">
      <c r="B3" s="43"/>
      <c r="C3" s="307" t="s">
        <v>85</v>
      </c>
      <c r="D3" s="307"/>
      <c r="E3" s="307"/>
      <c r="F3" s="307"/>
      <c r="G3" s="307"/>
      <c r="H3" s="307"/>
      <c r="I3" s="307"/>
      <c r="J3" s="35"/>
      <c r="K3" s="43"/>
      <c r="L3" s="36"/>
      <c r="M3" s="36"/>
      <c r="N3" s="36"/>
      <c r="O3" s="35"/>
    </row>
    <row r="4" spans="2:15" ht="18" x14ac:dyDescent="0.55000000000000004">
      <c r="B4" s="43"/>
      <c r="C4" s="11" t="s">
        <v>106</v>
      </c>
      <c r="D4" s="11"/>
      <c r="E4" s="41"/>
      <c r="F4" s="41"/>
      <c r="G4" s="41"/>
      <c r="H4" s="41"/>
      <c r="I4" s="41"/>
      <c r="J4" s="35"/>
      <c r="K4" s="43"/>
      <c r="L4" s="36"/>
      <c r="M4" s="36"/>
      <c r="N4" s="36"/>
      <c r="O4" s="35"/>
    </row>
    <row r="5" spans="2:15" ht="18" x14ac:dyDescent="0.55000000000000004">
      <c r="B5" s="43"/>
      <c r="C5" s="235" t="s">
        <v>128</v>
      </c>
      <c r="D5" s="235"/>
      <c r="E5" s="41"/>
      <c r="F5" s="41"/>
      <c r="G5" s="41"/>
      <c r="H5" s="41"/>
      <c r="I5" s="41"/>
      <c r="J5" s="35"/>
      <c r="K5" s="43"/>
      <c r="L5" s="36"/>
      <c r="M5" s="36"/>
      <c r="N5" s="36"/>
      <c r="O5" s="35"/>
    </row>
    <row r="6" spans="2:15" x14ac:dyDescent="0.45">
      <c r="B6" s="43"/>
      <c r="C6" s="36"/>
      <c r="D6" s="36"/>
      <c r="E6" s="36"/>
      <c r="F6" s="44"/>
      <c r="G6" s="44"/>
      <c r="H6" s="44"/>
      <c r="I6" s="44"/>
      <c r="J6" s="35"/>
      <c r="K6" s="43"/>
      <c r="L6" s="36"/>
      <c r="M6" s="36"/>
      <c r="N6" s="36"/>
      <c r="O6" s="35"/>
    </row>
    <row r="7" spans="2:15" x14ac:dyDescent="0.45">
      <c r="B7" s="43"/>
      <c r="C7" s="36"/>
      <c r="D7" s="36"/>
      <c r="E7" s="236" t="s">
        <v>56</v>
      </c>
      <c r="F7" s="38" t="s">
        <v>56</v>
      </c>
      <c r="G7" s="38" t="s">
        <v>73</v>
      </c>
      <c r="H7" s="38" t="s">
        <v>16</v>
      </c>
      <c r="I7" s="38" t="s">
        <v>91</v>
      </c>
      <c r="J7" s="35"/>
      <c r="K7" s="43"/>
      <c r="L7" s="38" t="s">
        <v>56</v>
      </c>
      <c r="M7" s="38" t="s">
        <v>73</v>
      </c>
      <c r="N7" s="38" t="s">
        <v>16</v>
      </c>
      <c r="O7" s="276" t="s">
        <v>91</v>
      </c>
    </row>
    <row r="8" spans="2:15" x14ac:dyDescent="0.45">
      <c r="B8" s="43"/>
      <c r="C8" s="44" t="s">
        <v>108</v>
      </c>
      <c r="D8" s="44" t="s">
        <v>107</v>
      </c>
      <c r="E8" s="236" t="s">
        <v>90</v>
      </c>
      <c r="F8" s="38" t="s">
        <v>72</v>
      </c>
      <c r="G8" s="38" t="s">
        <v>74</v>
      </c>
      <c r="H8" s="38" t="s">
        <v>75</v>
      </c>
      <c r="I8" s="38" t="s">
        <v>76</v>
      </c>
      <c r="J8" s="35"/>
      <c r="K8" s="43"/>
      <c r="L8" s="38" t="s">
        <v>72</v>
      </c>
      <c r="M8" s="38" t="s">
        <v>74</v>
      </c>
      <c r="N8" s="38" t="s">
        <v>75</v>
      </c>
      <c r="O8" s="276" t="s">
        <v>76</v>
      </c>
    </row>
    <row r="9" spans="2:15" x14ac:dyDescent="0.45">
      <c r="B9" s="43"/>
      <c r="C9" s="36" t="str">
        <f>'[1]Water Op Ex Matrix'!$A6</f>
        <v>Chemicals</v>
      </c>
      <c r="D9" s="36" t="str">
        <f>'[1]Water Op Ex Matrix'!$B6</f>
        <v>6035 Water Department:Water Treatment Plant:Chemicals - WTP</v>
      </c>
      <c r="E9" s="36">
        <f>'[1]Water Op Ex Matrix'!$C6</f>
        <v>382843.31</v>
      </c>
      <c r="F9" s="36"/>
      <c r="G9" s="36"/>
      <c r="H9" s="36"/>
      <c r="I9" s="36"/>
      <c r="J9" s="35"/>
      <c r="K9" s="43"/>
      <c r="L9" s="36">
        <f>'[1]Water Op Ex Matrix'!$E6</f>
        <v>382843.31</v>
      </c>
      <c r="M9" s="36">
        <f>'[1]Water Op Ex Matrix'!$F6</f>
        <v>0</v>
      </c>
      <c r="N9" s="36">
        <f>'[1]Water Op Ex Matrix'!$G6</f>
        <v>0</v>
      </c>
      <c r="O9" s="35">
        <f>'[1]Water Op Ex Matrix'!$H6</f>
        <v>0</v>
      </c>
    </row>
    <row r="10" spans="2:15" x14ac:dyDescent="0.45">
      <c r="B10" s="43"/>
      <c r="C10" s="44" t="str">
        <f>'[1]Water Op Ex Matrix'!$A7</f>
        <v>Chemicals Total</v>
      </c>
      <c r="D10" s="36"/>
      <c r="E10" s="36">
        <f>'[1]Water Op Ex Matrix'!$C7</f>
        <v>382843.31</v>
      </c>
      <c r="F10" s="36"/>
      <c r="G10" s="36"/>
      <c r="H10" s="36"/>
      <c r="I10" s="36"/>
      <c r="J10" s="35"/>
      <c r="K10" s="43"/>
      <c r="L10" s="36">
        <f>'[1]Water Op Ex Matrix'!$E7</f>
        <v>382843.31</v>
      </c>
      <c r="M10" s="36">
        <f>'[1]Water Op Ex Matrix'!$F7</f>
        <v>0</v>
      </c>
      <c r="N10" s="36">
        <f>'[1]Water Op Ex Matrix'!$G7</f>
        <v>0</v>
      </c>
      <c r="O10" s="35">
        <f>'[1]Water Op Ex Matrix'!$H7</f>
        <v>0</v>
      </c>
    </row>
    <row r="11" spans="2:15" x14ac:dyDescent="0.45">
      <c r="B11" s="43"/>
      <c r="C11" s="36" t="str">
        <f>'[1]Water Op Ex Matrix'!$A8</f>
        <v>Contractual Services</v>
      </c>
      <c r="D11" s="36" t="str">
        <f>'[1]Water Op Ex Matrix'!$B8</f>
        <v>6010 Water Department:Water Maintenance System:Equipment Repairs</v>
      </c>
      <c r="E11" s="36">
        <f>'[1]Water Op Ex Matrix'!$C8</f>
        <v>16665.22</v>
      </c>
      <c r="F11" s="36"/>
      <c r="G11" s="36"/>
      <c r="H11" s="36"/>
      <c r="I11" s="36"/>
      <c r="J11" s="35"/>
      <c r="K11" s="43"/>
      <c r="L11" s="36">
        <f>'[1]Water Op Ex Matrix'!$E8</f>
        <v>0</v>
      </c>
      <c r="M11" s="36">
        <f>'[1]Water Op Ex Matrix'!$F8</f>
        <v>16665.22</v>
      </c>
      <c r="N11" s="36">
        <f>'[1]Water Op Ex Matrix'!$G8</f>
        <v>0</v>
      </c>
      <c r="O11" s="35">
        <f>'[1]Water Op Ex Matrix'!$H8</f>
        <v>0</v>
      </c>
    </row>
    <row r="12" spans="2:15" x14ac:dyDescent="0.45">
      <c r="B12" s="43"/>
      <c r="C12" s="36" t="str">
        <f>'[1]Water Op Ex Matrix'!$A9</f>
        <v>Contractual Services</v>
      </c>
      <c r="D12" s="36" t="str">
        <f>'[1]Water Op Ex Matrix'!$B9</f>
        <v>6012 Water Department:Water Treatment Plant:Equipment Repairs</v>
      </c>
      <c r="E12" s="36">
        <f>'[1]Water Op Ex Matrix'!$C9</f>
        <v>6214.72</v>
      </c>
      <c r="F12" s="36"/>
      <c r="G12" s="36"/>
      <c r="H12" s="36"/>
      <c r="I12" s="36"/>
      <c r="J12" s="35"/>
      <c r="K12" s="43"/>
      <c r="L12" s="36">
        <f>'[1]Water Op Ex Matrix'!$E9</f>
        <v>6214.72</v>
      </c>
      <c r="M12" s="36">
        <f>'[1]Water Op Ex Matrix'!$F9</f>
        <v>0</v>
      </c>
      <c r="N12" s="36">
        <f>'[1]Water Op Ex Matrix'!$G9</f>
        <v>0</v>
      </c>
      <c r="O12" s="35">
        <f>'[1]Water Op Ex Matrix'!$H9</f>
        <v>0</v>
      </c>
    </row>
    <row r="13" spans="2:15" x14ac:dyDescent="0.45">
      <c r="B13" s="43"/>
      <c r="C13" s="36" t="str">
        <f>'[1]Water Op Ex Matrix'!$A10</f>
        <v>Contractual Services</v>
      </c>
      <c r="D13" s="36" t="str">
        <f>'[1]Water Op Ex Matrix'!$B10</f>
        <v>6020 Water Department:Water Maintenance System:System Repair/Maintenance</v>
      </c>
      <c r="E13" s="36">
        <f>'[1]Water Op Ex Matrix'!$C10</f>
        <v>128378.27</v>
      </c>
      <c r="F13" s="36"/>
      <c r="G13" s="36"/>
      <c r="H13" s="36"/>
      <c r="I13" s="36"/>
      <c r="J13" s="35"/>
      <c r="K13" s="43"/>
      <c r="L13" s="36">
        <f>'[1]Water Op Ex Matrix'!$E10</f>
        <v>0</v>
      </c>
      <c r="M13" s="36">
        <f>'[1]Water Op Ex Matrix'!$F10</f>
        <v>128378.27</v>
      </c>
      <c r="N13" s="36">
        <f>'[1]Water Op Ex Matrix'!$G10</f>
        <v>0</v>
      </c>
      <c r="O13" s="35">
        <f>'[1]Water Op Ex Matrix'!$H10</f>
        <v>0</v>
      </c>
    </row>
    <row r="14" spans="2:15" x14ac:dyDescent="0.45">
      <c r="B14" s="43"/>
      <c r="C14" s="36" t="str">
        <f>'[1]Water Op Ex Matrix'!$A11</f>
        <v>Contractual Services</v>
      </c>
      <c r="D14" s="36" t="str">
        <f>'[1]Water Op Ex Matrix'!$B11</f>
        <v>6021 Water Department:Water Treatment Plant:Repairs and Maintenance</v>
      </c>
      <c r="E14" s="36">
        <f>'[1]Water Op Ex Matrix'!$C11</f>
        <v>120827.37</v>
      </c>
      <c r="F14" s="36"/>
      <c r="G14" s="36"/>
      <c r="H14" s="36"/>
      <c r="I14" s="36"/>
      <c r="J14" s="35"/>
      <c r="K14" s="43"/>
      <c r="L14" s="36">
        <f>'[1]Water Op Ex Matrix'!$E11</f>
        <v>120827.37</v>
      </c>
      <c r="M14" s="36">
        <f>'[1]Water Op Ex Matrix'!$F11</f>
        <v>0</v>
      </c>
      <c r="N14" s="36">
        <f>'[1]Water Op Ex Matrix'!$G11</f>
        <v>0</v>
      </c>
      <c r="O14" s="35">
        <f>'[1]Water Op Ex Matrix'!$H11</f>
        <v>0</v>
      </c>
    </row>
    <row r="15" spans="2:15" x14ac:dyDescent="0.45">
      <c r="B15" s="43"/>
      <c r="C15" s="36" t="str">
        <f>'[1]Water Op Ex Matrix'!$A12</f>
        <v>Contractual Services</v>
      </c>
      <c r="D15" s="36" t="str">
        <f>'[1]Water Op Ex Matrix'!$B12</f>
        <v>6044 Water Department:Water Treatment Plant:Water Pumps &amp; Tank Repair</v>
      </c>
      <c r="E15" s="36">
        <f>'[1]Water Op Ex Matrix'!$C12</f>
        <v>3261.32</v>
      </c>
      <c r="F15" s="36"/>
      <c r="G15" s="36"/>
      <c r="H15" s="36"/>
      <c r="I15" s="36"/>
      <c r="J15" s="35"/>
      <c r="K15" s="43"/>
      <c r="L15" s="36">
        <f>'[1]Water Op Ex Matrix'!$E12</f>
        <v>3261.32</v>
      </c>
      <c r="M15" s="36">
        <f>'[1]Water Op Ex Matrix'!$F12</f>
        <v>0</v>
      </c>
      <c r="N15" s="36">
        <f>'[1]Water Op Ex Matrix'!$G12</f>
        <v>0</v>
      </c>
      <c r="O15" s="35">
        <f>'[1]Water Op Ex Matrix'!$H12</f>
        <v>0</v>
      </c>
    </row>
    <row r="16" spans="2:15" x14ac:dyDescent="0.45">
      <c r="B16" s="43"/>
      <c r="C16" s="36" t="str">
        <f>'[1]Water Op Ex Matrix'!$A13</f>
        <v>Contractual Services</v>
      </c>
      <c r="D16" s="36" t="str">
        <f>'[1]Water Op Ex Matrix'!$B13</f>
        <v>6050 Water Department:Water Maintenance System:Easements</v>
      </c>
      <c r="E16" s="36">
        <f>'[1]Water Op Ex Matrix'!$C13</f>
        <v>421.9</v>
      </c>
      <c r="F16" s="36"/>
      <c r="G16" s="36"/>
      <c r="H16" s="36"/>
      <c r="I16" s="36"/>
      <c r="J16" s="35"/>
      <c r="K16" s="43"/>
      <c r="L16" s="36">
        <f>'[1]Water Op Ex Matrix'!$E13</f>
        <v>0</v>
      </c>
      <c r="M16" s="36">
        <f>'[1]Water Op Ex Matrix'!$F13</f>
        <v>421.9</v>
      </c>
      <c r="N16" s="36">
        <f>'[1]Water Op Ex Matrix'!$G13</f>
        <v>0</v>
      </c>
      <c r="O16" s="35">
        <f>'[1]Water Op Ex Matrix'!$H13</f>
        <v>0</v>
      </c>
    </row>
    <row r="17" spans="2:15" x14ac:dyDescent="0.45">
      <c r="B17" s="43"/>
      <c r="C17" s="36" t="str">
        <f>'[1]Water Op Ex Matrix'!$A14</f>
        <v>Contractual Services</v>
      </c>
      <c r="D17" s="36" t="str">
        <f>'[1]Water Op Ex Matrix'!$B14</f>
        <v>6085 Water Department:Water Treatment Plant:Employee Training &amp; Travel</v>
      </c>
      <c r="E17" s="36">
        <f>'[1]Water Op Ex Matrix'!$C14</f>
        <v>14596.82</v>
      </c>
      <c r="F17" s="36"/>
      <c r="G17" s="36"/>
      <c r="H17" s="36"/>
      <c r="I17" s="36"/>
      <c r="J17" s="35"/>
      <c r="K17" s="43"/>
      <c r="L17" s="36">
        <f>'[1]Water Op Ex Matrix'!$E14</f>
        <v>14596.82</v>
      </c>
      <c r="M17" s="36">
        <f>'[1]Water Op Ex Matrix'!$F14</f>
        <v>0</v>
      </c>
      <c r="N17" s="36">
        <f>'[1]Water Op Ex Matrix'!$G14</f>
        <v>0</v>
      </c>
      <c r="O17" s="35">
        <f>'[1]Water Op Ex Matrix'!$H14</f>
        <v>0</v>
      </c>
    </row>
    <row r="18" spans="2:15" x14ac:dyDescent="0.45">
      <c r="B18" s="43"/>
      <c r="C18" s="36" t="str">
        <f>'[1]Water Op Ex Matrix'!$A15</f>
        <v>Contractual Services</v>
      </c>
      <c r="D18" s="36" t="str">
        <f>'[1]Water Op Ex Matrix'!$B15</f>
        <v>6086 Water Department:Water Treatment Plant:Water Lab Testing &amp; Supplies</v>
      </c>
      <c r="E18" s="36">
        <f>'[1]Water Op Ex Matrix'!$C15</f>
        <v>46783.96</v>
      </c>
      <c r="F18" s="36"/>
      <c r="G18" s="36"/>
      <c r="H18" s="36"/>
      <c r="I18" s="36"/>
      <c r="J18" s="35"/>
      <c r="K18" s="43"/>
      <c r="L18" s="36">
        <f>'[1]Water Op Ex Matrix'!$E15</f>
        <v>46783.96</v>
      </c>
      <c r="M18" s="36">
        <f>'[1]Water Op Ex Matrix'!$F15</f>
        <v>0</v>
      </c>
      <c r="N18" s="36">
        <f>'[1]Water Op Ex Matrix'!$G15</f>
        <v>0</v>
      </c>
      <c r="O18" s="35">
        <f>'[1]Water Op Ex Matrix'!$H15</f>
        <v>0</v>
      </c>
    </row>
    <row r="19" spans="2:15" x14ac:dyDescent="0.45">
      <c r="B19" s="43"/>
      <c r="C19" s="36" t="str">
        <f>'[1]Water Op Ex Matrix'!$A16</f>
        <v>Contractual Services</v>
      </c>
      <c r="D19" s="36" t="str">
        <f>'[1]Water Op Ex Matrix'!$B16</f>
        <v>8020 Administrative Department:Repairs &amp; Maintenance</v>
      </c>
      <c r="E19" s="36">
        <f>'[1]Water Op Ex Matrix'!$C16</f>
        <v>3338.8117699999998</v>
      </c>
      <c r="F19" s="36"/>
      <c r="G19" s="36"/>
      <c r="H19" s="36"/>
      <c r="I19" s="36"/>
      <c r="J19" s="35"/>
      <c r="K19" s="43"/>
      <c r="L19" s="36">
        <f>'[1]Water Op Ex Matrix'!$E16</f>
        <v>0</v>
      </c>
      <c r="M19" s="36">
        <f>'[1]Water Op Ex Matrix'!$F16</f>
        <v>0</v>
      </c>
      <c r="N19" s="36">
        <f>'[1]Water Op Ex Matrix'!$G16</f>
        <v>1669.4058849999999</v>
      </c>
      <c r="O19" s="35">
        <f>'[1]Water Op Ex Matrix'!$H16</f>
        <v>1669.4058849999999</v>
      </c>
    </row>
    <row r="20" spans="2:15" x14ac:dyDescent="0.45">
      <c r="B20" s="43"/>
      <c r="C20" s="36" t="str">
        <f>'[1]Water Op Ex Matrix'!$A17</f>
        <v>Contractual Services</v>
      </c>
      <c r="D20" s="36" t="str">
        <f>'[1]Water Op Ex Matrix'!$B17</f>
        <v>8035 Administrative Department:Advertising &amp; Printing</v>
      </c>
      <c r="E20" s="36">
        <f>'[1]Water Op Ex Matrix'!$C17</f>
        <v>437.78</v>
      </c>
      <c r="F20" s="36"/>
      <c r="G20" s="36"/>
      <c r="H20" s="36"/>
      <c r="I20" s="36"/>
      <c r="J20" s="35"/>
      <c r="K20" s="43"/>
      <c r="L20" s="36">
        <f>'[1]Water Op Ex Matrix'!$E17</f>
        <v>0</v>
      </c>
      <c r="M20" s="36">
        <f>'[1]Water Op Ex Matrix'!$F17</f>
        <v>0</v>
      </c>
      <c r="N20" s="36">
        <f>'[1]Water Op Ex Matrix'!$G17</f>
        <v>218.89</v>
      </c>
      <c r="O20" s="35">
        <f>'[1]Water Op Ex Matrix'!$H17</f>
        <v>218.89</v>
      </c>
    </row>
    <row r="21" spans="2:15" x14ac:dyDescent="0.45">
      <c r="B21" s="43"/>
      <c r="C21" s="36" t="str">
        <f>'[1]Water Op Ex Matrix'!$A18</f>
        <v>Contractual Services</v>
      </c>
      <c r="D21" s="36" t="str">
        <f>'[1]Water Op Ex Matrix'!$B18</f>
        <v>8040 Administrative Department:Professional Services</v>
      </c>
      <c r="E21" s="36">
        <f>'[1]Water Op Ex Matrix'!$C18</f>
        <v>52595.388930000001</v>
      </c>
      <c r="F21" s="36"/>
      <c r="G21" s="36"/>
      <c r="H21" s="36"/>
      <c r="I21" s="36"/>
      <c r="J21" s="35"/>
      <c r="K21" s="43"/>
      <c r="L21" s="36">
        <f>'[1]Water Op Ex Matrix'!$E18</f>
        <v>0</v>
      </c>
      <c r="M21" s="36">
        <f>'[1]Water Op Ex Matrix'!$F18</f>
        <v>0</v>
      </c>
      <c r="N21" s="36">
        <f>'[1]Water Op Ex Matrix'!$G18</f>
        <v>26297.694465</v>
      </c>
      <c r="O21" s="35">
        <f>'[1]Water Op Ex Matrix'!$H18</f>
        <v>26297.694465</v>
      </c>
    </row>
    <row r="22" spans="2:15" x14ac:dyDescent="0.45">
      <c r="B22" s="43"/>
      <c r="C22" s="36" t="str">
        <f>'[1]Water Op Ex Matrix'!$A19</f>
        <v>Contractual Services</v>
      </c>
      <c r="D22" s="36" t="str">
        <f>'[1]Water Op Ex Matrix'!$B19</f>
        <v>8050 Administrative Department:Easements and Right of Way</v>
      </c>
      <c r="E22" s="36">
        <f>'[1]Water Op Ex Matrix'!$C19</f>
        <v>225.88208999999998</v>
      </c>
      <c r="F22" s="36"/>
      <c r="G22" s="36"/>
      <c r="H22" s="36"/>
      <c r="I22" s="36"/>
      <c r="J22" s="35"/>
      <c r="K22" s="43"/>
      <c r="L22" s="36">
        <f>'[1]Water Op Ex Matrix'!$E19</f>
        <v>0</v>
      </c>
      <c r="M22" s="36">
        <f>'[1]Water Op Ex Matrix'!$F19</f>
        <v>0</v>
      </c>
      <c r="N22" s="36">
        <f>'[1]Water Op Ex Matrix'!$G19</f>
        <v>112.94104499999999</v>
      </c>
      <c r="O22" s="35">
        <f>'[1]Water Op Ex Matrix'!$H19</f>
        <v>112.94104499999999</v>
      </c>
    </row>
    <row r="23" spans="2:15" x14ac:dyDescent="0.45">
      <c r="B23" s="43"/>
      <c r="C23" s="36" t="str">
        <f>'[1]Water Op Ex Matrix'!$A20</f>
        <v>Contractual Services</v>
      </c>
      <c r="D23" s="36" t="str">
        <f>'[1]Water Op Ex Matrix'!$B20</f>
        <v>8052 Administrative Department:Janitorial Service</v>
      </c>
      <c r="E23" s="36">
        <f>'[1]Water Op Ex Matrix'!$C20</f>
        <v>5683.2062699999997</v>
      </c>
      <c r="F23" s="36"/>
      <c r="G23" s="36"/>
      <c r="H23" s="36"/>
      <c r="I23" s="36"/>
      <c r="J23" s="35"/>
      <c r="K23" s="43"/>
      <c r="L23" s="36">
        <f>'[1]Water Op Ex Matrix'!$E20</f>
        <v>0</v>
      </c>
      <c r="M23" s="36">
        <f>'[1]Water Op Ex Matrix'!$F20</f>
        <v>0</v>
      </c>
      <c r="N23" s="36">
        <f>'[1]Water Op Ex Matrix'!$G20</f>
        <v>2841.6031349999998</v>
      </c>
      <c r="O23" s="35">
        <f>'[1]Water Op Ex Matrix'!$H20</f>
        <v>2841.6031349999998</v>
      </c>
    </row>
    <row r="24" spans="2:15" x14ac:dyDescent="0.45">
      <c r="B24" s="43"/>
      <c r="C24" s="36" t="str">
        <f>'[1]Water Op Ex Matrix'!$A21</f>
        <v>Contractual Services</v>
      </c>
      <c r="D24" s="36" t="str">
        <f>'[1]Water Op Ex Matrix'!$B21</f>
        <v>8055 Administrative Department:Employee Training &amp; Travel</v>
      </c>
      <c r="E24" s="36">
        <f>'[1]Water Op Ex Matrix'!$C21</f>
        <v>13832.44793</v>
      </c>
      <c r="F24" s="36"/>
      <c r="G24" s="36"/>
      <c r="H24" s="36"/>
      <c r="I24" s="36"/>
      <c r="J24" s="35"/>
      <c r="K24" s="43"/>
      <c r="L24" s="36">
        <f>'[1]Water Op Ex Matrix'!$E21</f>
        <v>0</v>
      </c>
      <c r="M24" s="36">
        <f>'[1]Water Op Ex Matrix'!$F21</f>
        <v>0</v>
      </c>
      <c r="N24" s="36">
        <f>'[1]Water Op Ex Matrix'!$G21</f>
        <v>6916.2239650000001</v>
      </c>
      <c r="O24" s="35">
        <f>'[1]Water Op Ex Matrix'!$H21</f>
        <v>6916.2239650000001</v>
      </c>
    </row>
    <row r="25" spans="2:15" x14ac:dyDescent="0.45">
      <c r="B25" s="43"/>
      <c r="C25" s="36" t="str">
        <f>'[1]Water Op Ex Matrix'!$A22</f>
        <v>Contractual Services</v>
      </c>
      <c r="D25" s="36" t="str">
        <f>'[1]Water Op Ex Matrix'!$B22</f>
        <v>8072 Administrative Department:Service Contracts</v>
      </c>
      <c r="E25" s="36">
        <f>'[1]Water Op Ex Matrix'!$C22</f>
        <v>1712.56232</v>
      </c>
      <c r="F25" s="36"/>
      <c r="G25" s="36"/>
      <c r="H25" s="36"/>
      <c r="I25" s="36"/>
      <c r="J25" s="35"/>
      <c r="K25" s="43"/>
      <c r="L25" s="36">
        <f>'[1]Water Op Ex Matrix'!$E22</f>
        <v>0</v>
      </c>
      <c r="M25" s="36">
        <f>'[1]Water Op Ex Matrix'!$F22</f>
        <v>0</v>
      </c>
      <c r="N25" s="36">
        <f>'[1]Water Op Ex Matrix'!$G22</f>
        <v>856.28116</v>
      </c>
      <c r="O25" s="35">
        <f>'[1]Water Op Ex Matrix'!$H22</f>
        <v>856.28116</v>
      </c>
    </row>
    <row r="26" spans="2:15" x14ac:dyDescent="0.45">
      <c r="B26" s="43"/>
      <c r="C26" s="36" t="str">
        <f>'[1]Water Op Ex Matrix'!$A23</f>
        <v>Contractual Services</v>
      </c>
      <c r="D26" s="36" t="str">
        <f>'[1]Water Op Ex Matrix'!$B23</f>
        <v>8074 Administrative Department:Computer Programming</v>
      </c>
      <c r="E26" s="36">
        <f>'[1]Water Op Ex Matrix'!$C23</f>
        <v>10097.742620000001</v>
      </c>
      <c r="F26" s="36"/>
      <c r="G26" s="36"/>
      <c r="H26" s="36"/>
      <c r="I26" s="36"/>
      <c r="J26" s="35"/>
      <c r="K26" s="43"/>
      <c r="L26" s="36">
        <f>'[1]Water Op Ex Matrix'!$E23</f>
        <v>0</v>
      </c>
      <c r="M26" s="36">
        <f>'[1]Water Op Ex Matrix'!$F23</f>
        <v>0</v>
      </c>
      <c r="N26" s="36">
        <f>'[1]Water Op Ex Matrix'!$G23</f>
        <v>5048.8713100000004</v>
      </c>
      <c r="O26" s="35">
        <f>'[1]Water Op Ex Matrix'!$H23</f>
        <v>5048.8713100000004</v>
      </c>
    </row>
    <row r="27" spans="2:15" x14ac:dyDescent="0.45">
      <c r="B27" s="43"/>
      <c r="C27" s="44" t="str">
        <f>'[1]Water Op Ex Matrix'!$A24</f>
        <v>Contractual Services Total</v>
      </c>
      <c r="D27" s="36"/>
      <c r="E27" s="36">
        <f>'[1]Water Op Ex Matrix'!$C24</f>
        <v>425073.40193000017</v>
      </c>
      <c r="F27" s="36"/>
      <c r="G27" s="36"/>
      <c r="H27" s="36"/>
      <c r="I27" s="36"/>
      <c r="J27" s="35"/>
      <c r="K27" s="43"/>
      <c r="L27" s="36">
        <f>'[1]Water Op Ex Matrix'!$E24</f>
        <v>191684.19</v>
      </c>
      <c r="M27" s="36">
        <f>'[1]Water Op Ex Matrix'!$F24</f>
        <v>145465.38999999998</v>
      </c>
      <c r="N27" s="36">
        <f>'[1]Water Op Ex Matrix'!$G24</f>
        <v>43961.910965000003</v>
      </c>
      <c r="O27" s="35">
        <f>'[1]Water Op Ex Matrix'!$H24</f>
        <v>43961.910965000003</v>
      </c>
    </row>
    <row r="28" spans="2:15" x14ac:dyDescent="0.45">
      <c r="B28" s="43"/>
      <c r="C28" s="36" t="str">
        <f>'[1]Water Op Ex Matrix'!$A25</f>
        <v>Employee Benefits &amp; Taxes</v>
      </c>
      <c r="D28" s="36" t="str">
        <f>'[1]Water Op Ex Matrix'!$B25</f>
        <v>6088 Water Department:Water Maintenance System:Employee Benefits - Maintenance</v>
      </c>
      <c r="E28" s="36">
        <f>'[1]Water Op Ex Matrix'!$C25</f>
        <v>241102.07</v>
      </c>
      <c r="F28" s="36"/>
      <c r="G28" s="36"/>
      <c r="H28" s="36"/>
      <c r="I28" s="36"/>
      <c r="J28" s="35"/>
      <c r="K28" s="43"/>
      <c r="L28" s="36">
        <f>'[1]Water Op Ex Matrix'!$E25</f>
        <v>0</v>
      </c>
      <c r="M28" s="36">
        <f>'[1]Water Op Ex Matrix'!$F25</f>
        <v>241102.07</v>
      </c>
      <c r="N28" s="36">
        <f>'[1]Water Op Ex Matrix'!$G25</f>
        <v>0</v>
      </c>
      <c r="O28" s="35">
        <f>'[1]Water Op Ex Matrix'!$H25</f>
        <v>0</v>
      </c>
    </row>
    <row r="29" spans="2:15" x14ac:dyDescent="0.45">
      <c r="B29" s="43"/>
      <c r="C29" s="36" t="str">
        <f>'[1]Water Op Ex Matrix'!$A26</f>
        <v>Employee Benefits &amp; Taxes</v>
      </c>
      <c r="D29" s="36" t="str">
        <f>'[1]Water Op Ex Matrix'!$B26</f>
        <v>6099 Water Department:Water Treatment Plant:Employee Benefits- WTP</v>
      </c>
      <c r="E29" s="36">
        <f>'[1]Water Op Ex Matrix'!$C26</f>
        <v>380219.56</v>
      </c>
      <c r="F29" s="36"/>
      <c r="G29" s="36"/>
      <c r="H29" s="36"/>
      <c r="I29" s="36"/>
      <c r="J29" s="35"/>
      <c r="K29" s="43"/>
      <c r="L29" s="36">
        <f>'[1]Water Op Ex Matrix'!$E26</f>
        <v>380219.56</v>
      </c>
      <c r="M29" s="36">
        <f>'[1]Water Op Ex Matrix'!$F26</f>
        <v>0</v>
      </c>
      <c r="N29" s="36">
        <f>'[1]Water Op Ex Matrix'!$G26</f>
        <v>0</v>
      </c>
      <c r="O29" s="35">
        <f>'[1]Water Op Ex Matrix'!$H26</f>
        <v>0</v>
      </c>
    </row>
    <row r="30" spans="2:15" x14ac:dyDescent="0.45">
      <c r="B30" s="43"/>
      <c r="C30" s="36" t="str">
        <f>'[1]Water Op Ex Matrix'!$A27</f>
        <v>Employee Benefits &amp; Taxes</v>
      </c>
      <c r="D30" s="36" t="str">
        <f>'[1]Water Op Ex Matrix'!$B27</f>
        <v>8055 Administrative Department:Pension Expense</v>
      </c>
      <c r="E30" s="36">
        <f>'[1]Water Op Ex Matrix'!$C27</f>
        <v>0</v>
      </c>
      <c r="F30" s="36"/>
      <c r="G30" s="36"/>
      <c r="H30" s="36"/>
      <c r="I30" s="36"/>
      <c r="J30" s="35"/>
      <c r="K30" s="43"/>
      <c r="L30" s="36">
        <f>'[1]Water Op Ex Matrix'!$E27</f>
        <v>0</v>
      </c>
      <c r="M30" s="36">
        <f>'[1]Water Op Ex Matrix'!$F27</f>
        <v>0</v>
      </c>
      <c r="N30" s="36">
        <f>'[1]Water Op Ex Matrix'!$G27</f>
        <v>0</v>
      </c>
      <c r="O30" s="35">
        <f>'[1]Water Op Ex Matrix'!$H27</f>
        <v>0</v>
      </c>
    </row>
    <row r="31" spans="2:15" x14ac:dyDescent="0.45">
      <c r="B31" s="43"/>
      <c r="C31" s="36" t="str">
        <f>'[1]Water Op Ex Matrix'!$A28</f>
        <v>Employee Benefits &amp; Taxes</v>
      </c>
      <c r="D31" s="36" t="str">
        <f>'[1]Water Op Ex Matrix'!$B28</f>
        <v>8080 Administrative Department:Payroll Taxes</v>
      </c>
      <c r="E31" s="36">
        <f>'[1]Water Op Ex Matrix'!$C28</f>
        <v>2003.05</v>
      </c>
      <c r="F31" s="36"/>
      <c r="G31" s="36"/>
      <c r="H31" s="36"/>
      <c r="I31" s="36"/>
      <c r="J31" s="35"/>
      <c r="K31" s="43"/>
      <c r="L31" s="36">
        <f>'[1]Water Op Ex Matrix'!$E28</f>
        <v>0</v>
      </c>
      <c r="M31" s="36">
        <f>'[1]Water Op Ex Matrix'!$F28</f>
        <v>0</v>
      </c>
      <c r="N31" s="36">
        <f>'[1]Water Op Ex Matrix'!$G28</f>
        <v>1001.525</v>
      </c>
      <c r="O31" s="35">
        <f>'[1]Water Op Ex Matrix'!$H28</f>
        <v>1001.525</v>
      </c>
    </row>
    <row r="32" spans="2:15" x14ac:dyDescent="0.45">
      <c r="B32" s="43"/>
      <c r="C32" s="36" t="str">
        <f>'[1]Water Op Ex Matrix'!$A29</f>
        <v>Employee Benefits &amp; Taxes</v>
      </c>
      <c r="D32" s="36" t="str">
        <f>'[1]Water Op Ex Matrix'!$B29</f>
        <v>8099 Administrative Department:Employee Benefits</v>
      </c>
      <c r="E32" s="36">
        <f>'[1]Water Op Ex Matrix'!$C29</f>
        <v>190555.32551999998</v>
      </c>
      <c r="F32" s="36"/>
      <c r="G32" s="36"/>
      <c r="H32" s="36"/>
      <c r="I32" s="36"/>
      <c r="J32" s="35"/>
      <c r="K32" s="43"/>
      <c r="L32" s="36">
        <f>'[1]Water Op Ex Matrix'!$E29</f>
        <v>0</v>
      </c>
      <c r="M32" s="36">
        <f>'[1]Water Op Ex Matrix'!$F29</f>
        <v>0</v>
      </c>
      <c r="N32" s="36">
        <f>'[1]Water Op Ex Matrix'!$G29</f>
        <v>95277.662759999992</v>
      </c>
      <c r="O32" s="35">
        <f>'[1]Water Op Ex Matrix'!$H29</f>
        <v>95277.662759999992</v>
      </c>
    </row>
    <row r="33" spans="2:15" x14ac:dyDescent="0.45">
      <c r="B33" s="43"/>
      <c r="C33" s="44" t="str">
        <f>'[1]Water Op Ex Matrix'!$A30</f>
        <v>Employee Benefits &amp; Taxes Total</v>
      </c>
      <c r="D33" s="36"/>
      <c r="E33" s="36">
        <f>'[1]Water Op Ex Matrix'!$C30</f>
        <v>813880.00552000001</v>
      </c>
      <c r="F33" s="36"/>
      <c r="G33" s="36"/>
      <c r="H33" s="36"/>
      <c r="I33" s="36"/>
      <c r="J33" s="35"/>
      <c r="K33" s="43"/>
      <c r="L33" s="36">
        <f>'[1]Water Op Ex Matrix'!$E30</f>
        <v>380219.56</v>
      </c>
      <c r="M33" s="36">
        <f>'[1]Water Op Ex Matrix'!$F30</f>
        <v>241102.07</v>
      </c>
      <c r="N33" s="36">
        <f>'[1]Water Op Ex Matrix'!$G30</f>
        <v>96279.187759999986</v>
      </c>
      <c r="O33" s="35">
        <f>'[1]Water Op Ex Matrix'!$H30</f>
        <v>96279.187759999986</v>
      </c>
    </row>
    <row r="34" spans="2:15" x14ac:dyDescent="0.45">
      <c r="B34" s="43"/>
      <c r="C34" s="36" t="str">
        <f>'[1]Water Op Ex Matrix'!$A31</f>
        <v>General Expenses</v>
      </c>
      <c r="D34" s="36" t="str">
        <f>'[1]Water Op Ex Matrix'!$B31</f>
        <v>6017 Water Department:Water Maintenance System:Vehicle Expenses</v>
      </c>
      <c r="E34" s="36">
        <f>'[1]Water Op Ex Matrix'!$C31</f>
        <v>38200.269999999997</v>
      </c>
      <c r="F34" s="36"/>
      <c r="G34" s="36"/>
      <c r="H34" s="36"/>
      <c r="I34" s="36"/>
      <c r="J34" s="35"/>
      <c r="K34" s="43"/>
      <c r="L34" s="36">
        <f>'[1]Water Op Ex Matrix'!$E31</f>
        <v>0</v>
      </c>
      <c r="M34" s="36">
        <f>'[1]Water Op Ex Matrix'!$F31</f>
        <v>38200.269999999997</v>
      </c>
      <c r="N34" s="36">
        <f>'[1]Water Op Ex Matrix'!$G31</f>
        <v>0</v>
      </c>
      <c r="O34" s="35">
        <f>'[1]Water Op Ex Matrix'!$H31</f>
        <v>0</v>
      </c>
    </row>
    <row r="35" spans="2:15" x14ac:dyDescent="0.45">
      <c r="B35" s="43"/>
      <c r="C35" s="36" t="str">
        <f>'[1]Water Op Ex Matrix'!$A32</f>
        <v>General Expenses</v>
      </c>
      <c r="D35" s="36" t="str">
        <f>'[1]Water Op Ex Matrix'!$B32</f>
        <v>6018 Water Department:Water Treatment Plant:Vehicle Expenses</v>
      </c>
      <c r="E35" s="36">
        <f>'[1]Water Op Ex Matrix'!$C32</f>
        <v>23628.25</v>
      </c>
      <c r="F35" s="36"/>
      <c r="G35" s="36"/>
      <c r="H35" s="36"/>
      <c r="I35" s="36"/>
      <c r="J35" s="35"/>
      <c r="K35" s="43"/>
      <c r="L35" s="36">
        <f>'[1]Water Op Ex Matrix'!$E32</f>
        <v>23628.25</v>
      </c>
      <c r="M35" s="36">
        <f>'[1]Water Op Ex Matrix'!$F32</f>
        <v>0</v>
      </c>
      <c r="N35" s="36">
        <f>'[1]Water Op Ex Matrix'!$G32</f>
        <v>0</v>
      </c>
      <c r="O35" s="35">
        <f>'[1]Water Op Ex Matrix'!$H32</f>
        <v>0</v>
      </c>
    </row>
    <row r="36" spans="2:15" x14ac:dyDescent="0.45">
      <c r="B36" s="43"/>
      <c r="C36" s="36" t="str">
        <f>'[1]Water Op Ex Matrix'!$A33</f>
        <v>General Expenses</v>
      </c>
      <c r="D36" s="36" t="str">
        <f>'[1]Water Op Ex Matrix'!$B33</f>
        <v>6019 Water Department:Water Maintenance System:Equipment Expenses</v>
      </c>
      <c r="E36" s="36">
        <f>'[1]Water Op Ex Matrix'!$C33</f>
        <v>2093.88</v>
      </c>
      <c r="F36" s="36"/>
      <c r="G36" s="36"/>
      <c r="H36" s="36"/>
      <c r="I36" s="36"/>
      <c r="J36" s="35"/>
      <c r="K36" s="43"/>
      <c r="L36" s="36">
        <f>'[1]Water Op Ex Matrix'!$E33</f>
        <v>0</v>
      </c>
      <c r="M36" s="36">
        <f>'[1]Water Op Ex Matrix'!$F33</f>
        <v>2093.88</v>
      </c>
      <c r="N36" s="36">
        <f>'[1]Water Op Ex Matrix'!$G33</f>
        <v>0</v>
      </c>
      <c r="O36" s="35">
        <f>'[1]Water Op Ex Matrix'!$H33</f>
        <v>0</v>
      </c>
    </row>
    <row r="37" spans="2:15" x14ac:dyDescent="0.45">
      <c r="B37" s="43"/>
      <c r="C37" s="36" t="str">
        <f>'[1]Water Op Ex Matrix'!$A34</f>
        <v>General Expenses</v>
      </c>
      <c r="D37" s="36" t="str">
        <f>'[1]Water Op Ex Matrix'!$B34</f>
        <v>6030 Water Department:Water Maintenance System:Computer Expense</v>
      </c>
      <c r="E37" s="36">
        <f>'[1]Water Op Ex Matrix'!$C34</f>
        <v>10076.69</v>
      </c>
      <c r="F37" s="36"/>
      <c r="G37" s="36"/>
      <c r="H37" s="36"/>
      <c r="I37" s="36"/>
      <c r="J37" s="35"/>
      <c r="K37" s="43"/>
      <c r="L37" s="36">
        <f>'[1]Water Op Ex Matrix'!$E34</f>
        <v>0</v>
      </c>
      <c r="M37" s="36">
        <f>'[1]Water Op Ex Matrix'!$F34</f>
        <v>10076.69</v>
      </c>
      <c r="N37" s="36">
        <f>'[1]Water Op Ex Matrix'!$G34</f>
        <v>0</v>
      </c>
      <c r="O37" s="35">
        <f>'[1]Water Op Ex Matrix'!$H34</f>
        <v>0</v>
      </c>
    </row>
    <row r="38" spans="2:15" x14ac:dyDescent="0.45">
      <c r="B38" s="43"/>
      <c r="C38" s="36" t="str">
        <f>'[1]Water Op Ex Matrix'!$A35</f>
        <v>General Expenses</v>
      </c>
      <c r="D38" s="36" t="str">
        <f>'[1]Water Op Ex Matrix'!$B35</f>
        <v>6031 Water Department:Water Treatment Plant:Computer Expense</v>
      </c>
      <c r="E38" s="36">
        <f>'[1]Water Op Ex Matrix'!$C35</f>
        <v>4214.51</v>
      </c>
      <c r="F38" s="36"/>
      <c r="G38" s="36"/>
      <c r="H38" s="36"/>
      <c r="I38" s="36"/>
      <c r="J38" s="35"/>
      <c r="K38" s="43"/>
      <c r="L38" s="36">
        <f>'[1]Water Op Ex Matrix'!$E35</f>
        <v>4214.51</v>
      </c>
      <c r="M38" s="36">
        <f>'[1]Water Op Ex Matrix'!$F35</f>
        <v>0</v>
      </c>
      <c r="N38" s="36">
        <f>'[1]Water Op Ex Matrix'!$G35</f>
        <v>0</v>
      </c>
      <c r="O38" s="35">
        <f>'[1]Water Op Ex Matrix'!$H35</f>
        <v>0</v>
      </c>
    </row>
    <row r="39" spans="2:15" x14ac:dyDescent="0.45">
      <c r="B39" s="43"/>
      <c r="C39" s="36" t="str">
        <f>'[1]Water Op Ex Matrix'!$A36</f>
        <v>General Expenses</v>
      </c>
      <c r="D39" s="36" t="str">
        <f>'[1]Water Op Ex Matrix'!$B36</f>
        <v>6070 Water Department:Water Maintenance System:Drug and Alcohol Testing</v>
      </c>
      <c r="E39" s="36">
        <f>'[1]Water Op Ex Matrix'!$C36</f>
        <v>0</v>
      </c>
      <c r="F39" s="36"/>
      <c r="G39" s="36"/>
      <c r="H39" s="36"/>
      <c r="I39" s="36"/>
      <c r="J39" s="35"/>
      <c r="K39" s="43"/>
      <c r="L39" s="36">
        <f>'[1]Water Op Ex Matrix'!$E36</f>
        <v>0</v>
      </c>
      <c r="M39" s="36">
        <f>'[1]Water Op Ex Matrix'!$F36</f>
        <v>0</v>
      </c>
      <c r="N39" s="36">
        <f>'[1]Water Op Ex Matrix'!$G36</f>
        <v>0</v>
      </c>
      <c r="O39" s="35">
        <f>'[1]Water Op Ex Matrix'!$H36</f>
        <v>0</v>
      </c>
    </row>
    <row r="40" spans="2:15" x14ac:dyDescent="0.45">
      <c r="B40" s="43"/>
      <c r="C40" s="36" t="str">
        <f>'[1]Water Op Ex Matrix'!$A37</f>
        <v>General Expenses</v>
      </c>
      <c r="D40" s="36" t="str">
        <f>'[1]Water Op Ex Matrix'!$B37</f>
        <v>6075 Water Department:Water Maintenance System:Employee Training &amp; Travel</v>
      </c>
      <c r="E40" s="36">
        <f>'[1]Water Op Ex Matrix'!$C37</f>
        <v>11620.92</v>
      </c>
      <c r="F40" s="36"/>
      <c r="G40" s="36"/>
      <c r="H40" s="36"/>
      <c r="I40" s="36"/>
      <c r="J40" s="35"/>
      <c r="K40" s="43"/>
      <c r="L40" s="36">
        <f>'[1]Water Op Ex Matrix'!$E37</f>
        <v>0</v>
      </c>
      <c r="M40" s="36">
        <f>'[1]Water Op Ex Matrix'!$F37</f>
        <v>11620.92</v>
      </c>
      <c r="N40" s="36">
        <f>'[1]Water Op Ex Matrix'!$G37</f>
        <v>0</v>
      </c>
      <c r="O40" s="35">
        <f>'[1]Water Op Ex Matrix'!$H37</f>
        <v>0</v>
      </c>
    </row>
    <row r="41" spans="2:15" x14ac:dyDescent="0.45">
      <c r="B41" s="43"/>
      <c r="C41" s="36" t="str">
        <f>'[1]Water Op Ex Matrix'!$A38</f>
        <v>General Expenses</v>
      </c>
      <c r="D41" s="36" t="str">
        <f>'[1]Water Op Ex Matrix'!$B38</f>
        <v>6087 Water Department:Water Treatment Plant:Dues &amp; Subscriptions WTP</v>
      </c>
      <c r="E41" s="36">
        <f>'[1]Water Op Ex Matrix'!$C38</f>
        <v>0</v>
      </c>
      <c r="F41" s="36"/>
      <c r="G41" s="36"/>
      <c r="H41" s="36"/>
      <c r="I41" s="36"/>
      <c r="J41" s="35"/>
      <c r="K41" s="43"/>
      <c r="L41" s="36">
        <f>'[1]Water Op Ex Matrix'!$E38</f>
        <v>0</v>
      </c>
      <c r="M41" s="36">
        <f>'[1]Water Op Ex Matrix'!$F38</f>
        <v>0</v>
      </c>
      <c r="N41" s="36">
        <f>'[1]Water Op Ex Matrix'!$G38</f>
        <v>0</v>
      </c>
      <c r="O41" s="35">
        <f>'[1]Water Op Ex Matrix'!$H38</f>
        <v>0</v>
      </c>
    </row>
    <row r="42" spans="2:15" x14ac:dyDescent="0.45">
      <c r="B42" s="43"/>
      <c r="C42" s="36" t="str">
        <f>'[1]Water Op Ex Matrix'!$A39</f>
        <v>General Expenses</v>
      </c>
      <c r="D42" s="36" t="str">
        <f>'[1]Water Op Ex Matrix'!$B39</f>
        <v>6093 Water Department:Water Treatment Plant:Uniform Exp - WTP</v>
      </c>
      <c r="E42" s="36">
        <f>'[1]Water Op Ex Matrix'!$C39</f>
        <v>1007.23</v>
      </c>
      <c r="F42" s="36"/>
      <c r="G42" s="36"/>
      <c r="H42" s="36"/>
      <c r="I42" s="36"/>
      <c r="J42" s="35"/>
      <c r="K42" s="43"/>
      <c r="L42" s="36">
        <f>'[1]Water Op Ex Matrix'!$E39</f>
        <v>1007.23</v>
      </c>
      <c r="M42" s="36">
        <f>'[1]Water Op Ex Matrix'!$F39</f>
        <v>0</v>
      </c>
      <c r="N42" s="36">
        <f>'[1]Water Op Ex Matrix'!$G39</f>
        <v>0</v>
      </c>
      <c r="O42" s="35">
        <f>'[1]Water Op Ex Matrix'!$H39</f>
        <v>0</v>
      </c>
    </row>
    <row r="43" spans="2:15" x14ac:dyDescent="0.45">
      <c r="B43" s="43"/>
      <c r="C43" s="36" t="str">
        <f>'[1]Water Op Ex Matrix'!$A40</f>
        <v>General Expenses</v>
      </c>
      <c r="D43" s="36" t="str">
        <f>'[1]Water Op Ex Matrix'!$B40</f>
        <v>6150 Water Department:Water Treatment Plant:Drug/Alcohol Test  WTP</v>
      </c>
      <c r="E43" s="36">
        <f>'[1]Water Op Ex Matrix'!$C40</f>
        <v>0</v>
      </c>
      <c r="F43" s="36"/>
      <c r="G43" s="36"/>
      <c r="H43" s="36"/>
      <c r="I43" s="36"/>
      <c r="J43" s="35"/>
      <c r="K43" s="43"/>
      <c r="L43" s="36">
        <f>'[1]Water Op Ex Matrix'!$E40</f>
        <v>0</v>
      </c>
      <c r="M43" s="36">
        <f>'[1]Water Op Ex Matrix'!$F40</f>
        <v>0</v>
      </c>
      <c r="N43" s="36">
        <f>'[1]Water Op Ex Matrix'!$G40</f>
        <v>0</v>
      </c>
      <c r="O43" s="35">
        <f>'[1]Water Op Ex Matrix'!$H40</f>
        <v>0</v>
      </c>
    </row>
    <row r="44" spans="2:15" x14ac:dyDescent="0.45">
      <c r="B44" s="43"/>
      <c r="C44" s="36" t="str">
        <f>'[1]Water Op Ex Matrix'!$A41</f>
        <v>General Expenses</v>
      </c>
      <c r="D44" s="36" t="str">
        <f>'[1]Water Op Ex Matrix'!$B41</f>
        <v>8018 Administrative Department:Vehicle Expenses</v>
      </c>
      <c r="E44" s="36">
        <f>'[1]Water Op Ex Matrix'!$C41</f>
        <v>12541.323200000001</v>
      </c>
      <c r="F44" s="36"/>
      <c r="G44" s="36"/>
      <c r="H44" s="36"/>
      <c r="I44" s="36"/>
      <c r="J44" s="35"/>
      <c r="K44" s="43"/>
      <c r="L44" s="36">
        <f>'[1]Water Op Ex Matrix'!$E41</f>
        <v>0</v>
      </c>
      <c r="M44" s="36">
        <f>'[1]Water Op Ex Matrix'!$F41</f>
        <v>0</v>
      </c>
      <c r="N44" s="36">
        <f>'[1]Water Op Ex Matrix'!$G41</f>
        <v>6270.6616000000004</v>
      </c>
      <c r="O44" s="35">
        <f>'[1]Water Op Ex Matrix'!$H41</f>
        <v>6270.6616000000004</v>
      </c>
    </row>
    <row r="45" spans="2:15" x14ac:dyDescent="0.45">
      <c r="B45" s="43"/>
      <c r="C45" s="36" t="str">
        <f>'[1]Water Op Ex Matrix'!$A42</f>
        <v>General Expenses</v>
      </c>
      <c r="D45" s="36" t="str">
        <f>'[1]Water Op Ex Matrix'!$B42</f>
        <v>8073 Administrative Department:Dues &amp; Subscriptions</v>
      </c>
      <c r="E45" s="36">
        <f>'[1]Water Op Ex Matrix'!$C42</f>
        <v>526.57499999999993</v>
      </c>
      <c r="F45" s="36"/>
      <c r="G45" s="36"/>
      <c r="H45" s="36"/>
      <c r="I45" s="36"/>
      <c r="J45" s="35"/>
      <c r="K45" s="43"/>
      <c r="L45" s="36">
        <f>'[1]Water Op Ex Matrix'!$E42</f>
        <v>0</v>
      </c>
      <c r="M45" s="36">
        <f>'[1]Water Op Ex Matrix'!$F42</f>
        <v>0</v>
      </c>
      <c r="N45" s="36">
        <f>'[1]Water Op Ex Matrix'!$G42</f>
        <v>263.28749999999997</v>
      </c>
      <c r="O45" s="35">
        <f>'[1]Water Op Ex Matrix'!$H42</f>
        <v>263.28749999999997</v>
      </c>
    </row>
    <row r="46" spans="2:15" x14ac:dyDescent="0.45">
      <c r="B46" s="43"/>
      <c r="C46" s="36" t="str">
        <f>'[1]Water Op Ex Matrix'!$A43</f>
        <v>General Expenses</v>
      </c>
      <c r="D46" s="36" t="str">
        <f>'[1]Water Op Ex Matrix'!$B43</f>
        <v>8087 Administrative Department:Bad Debts</v>
      </c>
      <c r="E46" s="36">
        <f>'[1]Water Op Ex Matrix'!$C43</f>
        <v>15456</v>
      </c>
      <c r="F46" s="36"/>
      <c r="G46" s="36"/>
      <c r="H46" s="36"/>
      <c r="I46" s="36"/>
      <c r="J46" s="35"/>
      <c r="K46" s="43"/>
      <c r="L46" s="36">
        <f>'[1]Water Op Ex Matrix'!$E43</f>
        <v>0</v>
      </c>
      <c r="M46" s="36">
        <f>'[1]Water Op Ex Matrix'!$F43</f>
        <v>0</v>
      </c>
      <c r="N46" s="36">
        <f>'[1]Water Op Ex Matrix'!$G43</f>
        <v>7728</v>
      </c>
      <c r="O46" s="35">
        <f>'[1]Water Op Ex Matrix'!$H43</f>
        <v>7728</v>
      </c>
    </row>
    <row r="47" spans="2:15" x14ac:dyDescent="0.45">
      <c r="B47" s="43"/>
      <c r="C47" s="36" t="str">
        <f>'[1]Water Op Ex Matrix'!$A44</f>
        <v>General Expenses</v>
      </c>
      <c r="D47" s="36" t="str">
        <f>'[1]Water Op Ex Matrix'!$B44</f>
        <v>8088 Administrative Department:Safety Program Expenses</v>
      </c>
      <c r="E47" s="36">
        <f>'[1]Water Op Ex Matrix'!$C44</f>
        <v>2872.2580599999997</v>
      </c>
      <c r="F47" s="36"/>
      <c r="G47" s="36"/>
      <c r="H47" s="36"/>
      <c r="I47" s="36"/>
      <c r="J47" s="35"/>
      <c r="K47" s="43"/>
      <c r="L47" s="36">
        <f>'[1]Water Op Ex Matrix'!$E44</f>
        <v>0</v>
      </c>
      <c r="M47" s="36">
        <f>'[1]Water Op Ex Matrix'!$F44</f>
        <v>0</v>
      </c>
      <c r="N47" s="36">
        <f>'[1]Water Op Ex Matrix'!$G44</f>
        <v>1436.1290299999998</v>
      </c>
      <c r="O47" s="35">
        <f>'[1]Water Op Ex Matrix'!$H44</f>
        <v>1436.1290299999998</v>
      </c>
    </row>
    <row r="48" spans="2:15" x14ac:dyDescent="0.45">
      <c r="B48" s="43"/>
      <c r="C48" s="36" t="str">
        <f>'[1]Water Op Ex Matrix'!$A45</f>
        <v>General Expenses</v>
      </c>
      <c r="D48" s="36" t="str">
        <f>'[1]Water Op Ex Matrix'!$B45</f>
        <v>8090 Administrative Department:Miscellaneous</v>
      </c>
      <c r="E48" s="36">
        <f>'[1]Water Op Ex Matrix'!$C45</f>
        <v>15707.740509999998</v>
      </c>
      <c r="F48" s="36"/>
      <c r="G48" s="36"/>
      <c r="H48" s="36"/>
      <c r="I48" s="36"/>
      <c r="J48" s="35"/>
      <c r="K48" s="43"/>
      <c r="L48" s="36">
        <f>'[1]Water Op Ex Matrix'!$E45</f>
        <v>0</v>
      </c>
      <c r="M48" s="36">
        <f>'[1]Water Op Ex Matrix'!$F45</f>
        <v>0</v>
      </c>
      <c r="N48" s="36">
        <f>'[1]Water Op Ex Matrix'!$G45</f>
        <v>7853.8702549999989</v>
      </c>
      <c r="O48" s="35">
        <f>'[1]Water Op Ex Matrix'!$H45</f>
        <v>7853.8702549999989</v>
      </c>
    </row>
    <row r="49" spans="2:15" x14ac:dyDescent="0.45">
      <c r="B49" s="43"/>
      <c r="C49" s="36" t="str">
        <f>'[1]Water Op Ex Matrix'!$A46</f>
        <v>General Expenses</v>
      </c>
      <c r="D49" s="36" t="str">
        <f>'[1]Water Op Ex Matrix'!$B46</f>
        <v>8091 Administrative Department:Ceremonies &amp; Award</v>
      </c>
      <c r="E49" s="36">
        <f>'[1]Water Op Ex Matrix'!$C46</f>
        <v>6567.4103599999989</v>
      </c>
      <c r="F49" s="36"/>
      <c r="G49" s="36"/>
      <c r="H49" s="36"/>
      <c r="I49" s="36"/>
      <c r="J49" s="35"/>
      <c r="K49" s="43"/>
      <c r="L49" s="36">
        <f>'[1]Water Op Ex Matrix'!$E46</f>
        <v>0</v>
      </c>
      <c r="M49" s="36">
        <f>'[1]Water Op Ex Matrix'!$F46</f>
        <v>0</v>
      </c>
      <c r="N49" s="36">
        <f>'[1]Water Op Ex Matrix'!$G46</f>
        <v>3283.7051799999995</v>
      </c>
      <c r="O49" s="35">
        <f>'[1]Water Op Ex Matrix'!$H46</f>
        <v>3283.7051799999995</v>
      </c>
    </row>
    <row r="50" spans="2:15" x14ac:dyDescent="0.45">
      <c r="B50" s="43"/>
      <c r="C50" s="44" t="str">
        <f>'[1]Water Op Ex Matrix'!$A47</f>
        <v>General Expenses Total</v>
      </c>
      <c r="D50" s="36"/>
      <c r="E50" s="36">
        <f>'[1]Water Op Ex Matrix'!$C47</f>
        <v>144513.05712999997</v>
      </c>
      <c r="F50" s="36"/>
      <c r="G50" s="36"/>
      <c r="H50" s="36"/>
      <c r="I50" s="36"/>
      <c r="J50" s="35"/>
      <c r="K50" s="43"/>
      <c r="L50" s="36">
        <f>'[1]Water Op Ex Matrix'!$E47</f>
        <v>28849.99</v>
      </c>
      <c r="M50" s="36">
        <f>'[1]Water Op Ex Matrix'!$F47</f>
        <v>61991.759999999995</v>
      </c>
      <c r="N50" s="36">
        <f>'[1]Water Op Ex Matrix'!$G47</f>
        <v>26835.653565000001</v>
      </c>
      <c r="O50" s="35">
        <f>'[1]Water Op Ex Matrix'!$H47</f>
        <v>26835.653565000001</v>
      </c>
    </row>
    <row r="51" spans="2:15" x14ac:dyDescent="0.45">
      <c r="B51" s="43"/>
      <c r="C51" s="36" t="str">
        <f>'[1]Water Op Ex Matrix'!$A48</f>
        <v>Insurance</v>
      </c>
      <c r="D51" s="36" t="str">
        <f>'[1]Water Op Ex Matrix'!$B48</f>
        <v>8065 Administrative Department:General Insurance</v>
      </c>
      <c r="E51" s="36">
        <f>'[1]Water Op Ex Matrix'!$C48</f>
        <v>80357.488469999997</v>
      </c>
      <c r="F51" s="36"/>
      <c r="G51" s="36"/>
      <c r="H51" s="36"/>
      <c r="I51" s="36"/>
      <c r="J51" s="35"/>
      <c r="K51" s="43"/>
      <c r="L51" s="36">
        <f>'[1]Water Op Ex Matrix'!$E48</f>
        <v>0</v>
      </c>
      <c r="M51" s="36">
        <f>'[1]Water Op Ex Matrix'!$F48</f>
        <v>0</v>
      </c>
      <c r="N51" s="36">
        <f>'[1]Water Op Ex Matrix'!$G48</f>
        <v>40178.744234999998</v>
      </c>
      <c r="O51" s="35">
        <f>'[1]Water Op Ex Matrix'!$H48</f>
        <v>40178.744234999998</v>
      </c>
    </row>
    <row r="52" spans="2:15" x14ac:dyDescent="0.45">
      <c r="B52" s="43"/>
      <c r="C52" s="36" t="str">
        <f>'[1]Water Op Ex Matrix'!$A49</f>
        <v>Insurance</v>
      </c>
      <c r="D52" s="36" t="str">
        <f>'[1]Water Op Ex Matrix'!$B49</f>
        <v>8065 Administrative Department:Workman's Comp Ins</v>
      </c>
      <c r="E52" s="36">
        <f>'[1]Water Op Ex Matrix'!$C49</f>
        <v>0</v>
      </c>
      <c r="F52" s="36"/>
      <c r="G52" s="36"/>
      <c r="H52" s="36"/>
      <c r="I52" s="36"/>
      <c r="J52" s="35"/>
      <c r="K52" s="43"/>
      <c r="L52" s="36">
        <f>'[1]Water Op Ex Matrix'!$E49</f>
        <v>0</v>
      </c>
      <c r="M52" s="36">
        <f>'[1]Water Op Ex Matrix'!$F49</f>
        <v>0</v>
      </c>
      <c r="N52" s="36">
        <f>'[1]Water Op Ex Matrix'!$G49</f>
        <v>0</v>
      </c>
      <c r="O52" s="35">
        <f>'[1]Water Op Ex Matrix'!$H49</f>
        <v>0</v>
      </c>
    </row>
    <row r="53" spans="2:15" x14ac:dyDescent="0.45">
      <c r="B53" s="43"/>
      <c r="C53" s="44" t="str">
        <f>'[1]Water Op Ex Matrix'!$A50</f>
        <v>Insurance Total</v>
      </c>
      <c r="D53" s="36"/>
      <c r="E53" s="36">
        <f>'[1]Water Op Ex Matrix'!$C50</f>
        <v>80357.488469999997</v>
      </c>
      <c r="F53" s="36"/>
      <c r="G53" s="36"/>
      <c r="H53" s="36"/>
      <c r="I53" s="36"/>
      <c r="J53" s="35"/>
      <c r="K53" s="43"/>
      <c r="L53" s="36">
        <f>'[1]Water Op Ex Matrix'!$E50</f>
        <v>0</v>
      </c>
      <c r="M53" s="36">
        <f>'[1]Water Op Ex Matrix'!$F50</f>
        <v>0</v>
      </c>
      <c r="N53" s="36">
        <f>'[1]Water Op Ex Matrix'!$G50</f>
        <v>40178.744234999998</v>
      </c>
      <c r="O53" s="35">
        <f>'[1]Water Op Ex Matrix'!$H50</f>
        <v>40178.744234999998</v>
      </c>
    </row>
    <row r="54" spans="2:15" x14ac:dyDescent="0.45">
      <c r="B54" s="43"/>
      <c r="C54" s="36" t="str">
        <f>'[1]Water Op Ex Matrix'!$A51</f>
        <v>Operating Supplies</v>
      </c>
      <c r="D54" s="36" t="str">
        <f>'[1]Water Op Ex Matrix'!$B51</f>
        <v>6011 Water Department:Water Maintenance System:Equipment Fuel</v>
      </c>
      <c r="E54" s="36">
        <f>'[1]Water Op Ex Matrix'!$C51</f>
        <v>28872.43</v>
      </c>
      <c r="F54" s="36"/>
      <c r="G54" s="36"/>
      <c r="H54" s="36"/>
      <c r="I54" s="36"/>
      <c r="J54" s="35"/>
      <c r="K54" s="43"/>
      <c r="L54" s="36">
        <f>'[1]Water Op Ex Matrix'!$E51</f>
        <v>0</v>
      </c>
      <c r="M54" s="36">
        <f>'[1]Water Op Ex Matrix'!$F51</f>
        <v>28872.43</v>
      </c>
      <c r="N54" s="36">
        <f>'[1]Water Op Ex Matrix'!$G51</f>
        <v>0</v>
      </c>
      <c r="O54" s="35">
        <f>'[1]Water Op Ex Matrix'!$H51</f>
        <v>0</v>
      </c>
    </row>
    <row r="55" spans="2:15" x14ac:dyDescent="0.45">
      <c r="B55" s="43"/>
      <c r="C55" s="36" t="str">
        <f>'[1]Water Op Ex Matrix'!$A52</f>
        <v>Operating Supplies</v>
      </c>
      <c r="D55" s="36" t="str">
        <f>'[1]Water Op Ex Matrix'!$B52</f>
        <v>6013 Water Department:Water Treatment Plant:Equipment Fuel</v>
      </c>
      <c r="E55" s="36">
        <f>'[1]Water Op Ex Matrix'!$C52</f>
        <v>9832.41</v>
      </c>
      <c r="F55" s="36"/>
      <c r="G55" s="36"/>
      <c r="H55" s="36"/>
      <c r="I55" s="36"/>
      <c r="J55" s="35"/>
      <c r="K55" s="43"/>
      <c r="L55" s="36">
        <f>'[1]Water Op Ex Matrix'!$E52</f>
        <v>9832.41</v>
      </c>
      <c r="M55" s="36">
        <f>'[1]Water Op Ex Matrix'!$F52</f>
        <v>0</v>
      </c>
      <c r="N55" s="36">
        <f>'[1]Water Op Ex Matrix'!$G52</f>
        <v>0</v>
      </c>
      <c r="O55" s="35">
        <f>'[1]Water Op Ex Matrix'!$H52</f>
        <v>0</v>
      </c>
    </row>
    <row r="56" spans="2:15" x14ac:dyDescent="0.45">
      <c r="B56" s="43"/>
      <c r="C56" s="36" t="str">
        <f>'[1]Water Op Ex Matrix'!$A53</f>
        <v>Operating Supplies</v>
      </c>
      <c r="D56" s="36" t="str">
        <f>'[1]Water Op Ex Matrix'!$B53</f>
        <v>6025 Water Department:Water Treatment Plant:Janitor/Shop Supplies</v>
      </c>
      <c r="E56" s="36">
        <f>'[1]Water Op Ex Matrix'!$C53</f>
        <v>2089.5300000000002</v>
      </c>
      <c r="F56" s="36"/>
      <c r="G56" s="36"/>
      <c r="H56" s="36"/>
      <c r="I56" s="36"/>
      <c r="J56" s="35"/>
      <c r="K56" s="43"/>
      <c r="L56" s="36">
        <f>'[1]Water Op Ex Matrix'!$E53</f>
        <v>2089.5300000000002</v>
      </c>
      <c r="M56" s="36">
        <f>'[1]Water Op Ex Matrix'!$F53</f>
        <v>0</v>
      </c>
      <c r="N56" s="36">
        <f>'[1]Water Op Ex Matrix'!$G53</f>
        <v>0</v>
      </c>
      <c r="O56" s="35">
        <f>'[1]Water Op Ex Matrix'!$H53</f>
        <v>0</v>
      </c>
    </row>
    <row r="57" spans="2:15" x14ac:dyDescent="0.45">
      <c r="B57" s="43"/>
      <c r="C57" s="36" t="str">
        <f>'[1]Water Op Ex Matrix'!$A54</f>
        <v>Operating Supplies</v>
      </c>
      <c r="D57" s="36" t="str">
        <f>'[1]Water Op Ex Matrix'!$B54</f>
        <v>6026 Water Department:Water Maintenance System:Janitor/Shop Supplies</v>
      </c>
      <c r="E57" s="36">
        <f>'[1]Water Op Ex Matrix'!$C54</f>
        <v>6886</v>
      </c>
      <c r="F57" s="36"/>
      <c r="G57" s="36"/>
      <c r="H57" s="36"/>
      <c r="I57" s="36"/>
      <c r="J57" s="35"/>
      <c r="K57" s="43"/>
      <c r="L57" s="36">
        <f>'[1]Water Op Ex Matrix'!$E54</f>
        <v>0</v>
      </c>
      <c r="M57" s="36">
        <f>'[1]Water Op Ex Matrix'!$F54</f>
        <v>6886</v>
      </c>
      <c r="N57" s="36">
        <f>'[1]Water Op Ex Matrix'!$G54</f>
        <v>0</v>
      </c>
      <c r="O57" s="35">
        <f>'[1]Water Op Ex Matrix'!$H54</f>
        <v>0</v>
      </c>
    </row>
    <row r="58" spans="2:15" x14ac:dyDescent="0.45">
      <c r="B58" s="43"/>
      <c r="C58" s="36" t="str">
        <f>'[1]Water Op Ex Matrix'!$A55</f>
        <v>Operating Supplies</v>
      </c>
      <c r="D58" s="36" t="str">
        <f>'[1]Water Op Ex Matrix'!$B55</f>
        <v>6027 Water Department:Water Maintenance System:Office Supplies</v>
      </c>
      <c r="E58" s="36">
        <f>'[1]Water Op Ex Matrix'!$C55</f>
        <v>1031.81</v>
      </c>
      <c r="F58" s="36"/>
      <c r="G58" s="36"/>
      <c r="H58" s="36"/>
      <c r="I58" s="36"/>
      <c r="J58" s="35"/>
      <c r="K58" s="43"/>
      <c r="L58" s="36">
        <f>'[1]Water Op Ex Matrix'!$E55</f>
        <v>0</v>
      </c>
      <c r="M58" s="36">
        <f>'[1]Water Op Ex Matrix'!$F55</f>
        <v>1031.81</v>
      </c>
      <c r="N58" s="36">
        <f>'[1]Water Op Ex Matrix'!$G55</f>
        <v>0</v>
      </c>
      <c r="O58" s="35">
        <f>'[1]Water Op Ex Matrix'!$H55</f>
        <v>0</v>
      </c>
    </row>
    <row r="59" spans="2:15" x14ac:dyDescent="0.45">
      <c r="B59" s="43"/>
      <c r="C59" s="36" t="str">
        <f>'[1]Water Op Ex Matrix'!$A56</f>
        <v>Operating Supplies</v>
      </c>
      <c r="D59" s="36" t="str">
        <f>'[1]Water Op Ex Matrix'!$B56</f>
        <v>6065 Water Department:Water Treatment Plant:Office Supplies</v>
      </c>
      <c r="E59" s="36">
        <f>'[1]Water Op Ex Matrix'!$C56</f>
        <v>406.94</v>
      </c>
      <c r="F59" s="36"/>
      <c r="G59" s="36"/>
      <c r="H59" s="36"/>
      <c r="I59" s="36"/>
      <c r="J59" s="35"/>
      <c r="K59" s="43"/>
      <c r="L59" s="36">
        <f>'[1]Water Op Ex Matrix'!$E56</f>
        <v>406.94</v>
      </c>
      <c r="M59" s="36">
        <f>'[1]Water Op Ex Matrix'!$F56</f>
        <v>0</v>
      </c>
      <c r="N59" s="36">
        <f>'[1]Water Op Ex Matrix'!$G56</f>
        <v>0</v>
      </c>
      <c r="O59" s="35">
        <f>'[1]Water Op Ex Matrix'!$H56</f>
        <v>0</v>
      </c>
    </row>
    <row r="60" spans="2:15" x14ac:dyDescent="0.45">
      <c r="B60" s="43"/>
      <c r="C60" s="36" t="str">
        <f>'[1]Water Op Ex Matrix'!$A57</f>
        <v>Operating Supplies</v>
      </c>
      <c r="D60" s="36" t="str">
        <f>'[1]Water Op Ex Matrix'!$B57</f>
        <v>6092 Water Department:Water Maintenance System:Uniform Exp - Mtn</v>
      </c>
      <c r="E60" s="36">
        <f>'[1]Water Op Ex Matrix'!$C57</f>
        <v>904.84</v>
      </c>
      <c r="F60" s="36"/>
      <c r="G60" s="36"/>
      <c r="H60" s="36"/>
      <c r="I60" s="36"/>
      <c r="J60" s="35"/>
      <c r="K60" s="43"/>
      <c r="L60" s="36">
        <f>'[1]Water Op Ex Matrix'!$E57</f>
        <v>0</v>
      </c>
      <c r="M60" s="36">
        <f>'[1]Water Op Ex Matrix'!$F57</f>
        <v>904.84</v>
      </c>
      <c r="N60" s="36">
        <f>'[1]Water Op Ex Matrix'!$G57</f>
        <v>0</v>
      </c>
      <c r="O60" s="35">
        <f>'[1]Water Op Ex Matrix'!$H57</f>
        <v>0</v>
      </c>
    </row>
    <row r="61" spans="2:15" x14ac:dyDescent="0.45">
      <c r="B61" s="43"/>
      <c r="C61" s="36" t="str">
        <f>'[1]Water Op Ex Matrix'!$A58</f>
        <v>Operating Supplies</v>
      </c>
      <c r="D61" s="36" t="str">
        <f>'[1]Water Op Ex Matrix'!$B58</f>
        <v>8070 Administrative Department:Office Supplies</v>
      </c>
      <c r="E61" s="36">
        <f>'[1]Water Op Ex Matrix'!$C58</f>
        <v>7734.9241899999997</v>
      </c>
      <c r="F61" s="36"/>
      <c r="G61" s="36"/>
      <c r="H61" s="36"/>
      <c r="I61" s="36"/>
      <c r="J61" s="35"/>
      <c r="K61" s="43"/>
      <c r="L61" s="36">
        <f>'[1]Water Op Ex Matrix'!$E58</f>
        <v>0</v>
      </c>
      <c r="M61" s="36">
        <f>'[1]Water Op Ex Matrix'!$F58</f>
        <v>0</v>
      </c>
      <c r="N61" s="36">
        <f>'[1]Water Op Ex Matrix'!$G58</f>
        <v>3867.4620949999999</v>
      </c>
      <c r="O61" s="35">
        <f>'[1]Water Op Ex Matrix'!$H58</f>
        <v>3867.4620949999999</v>
      </c>
    </row>
    <row r="62" spans="2:15" x14ac:dyDescent="0.45">
      <c r="B62" s="43"/>
      <c r="C62" s="36" t="str">
        <f>'[1]Water Op Ex Matrix'!$A59</f>
        <v>Operating Supplies</v>
      </c>
      <c r="D62" s="36" t="str">
        <f>'[1]Water Op Ex Matrix'!$B59</f>
        <v>8071 Administrative Department:Postage</v>
      </c>
      <c r="E62" s="36">
        <f>'[1]Water Op Ex Matrix'!$C59</f>
        <v>20855.661609999999</v>
      </c>
      <c r="F62" s="36"/>
      <c r="G62" s="36"/>
      <c r="H62" s="36"/>
      <c r="I62" s="36"/>
      <c r="J62" s="35"/>
      <c r="K62" s="43"/>
      <c r="L62" s="36">
        <f>'[1]Water Op Ex Matrix'!$E59</f>
        <v>0</v>
      </c>
      <c r="M62" s="36">
        <f>'[1]Water Op Ex Matrix'!$F59</f>
        <v>0</v>
      </c>
      <c r="N62" s="36">
        <f>'[1]Water Op Ex Matrix'!$G59</f>
        <v>10427.830805</v>
      </c>
      <c r="O62" s="35">
        <f>'[1]Water Op Ex Matrix'!$H59</f>
        <v>10427.830805</v>
      </c>
    </row>
    <row r="63" spans="2:15" x14ac:dyDescent="0.45">
      <c r="B63" s="43"/>
      <c r="C63" s="36" t="str">
        <f>'[1]Water Op Ex Matrix'!$A60</f>
        <v>Operating Supplies</v>
      </c>
      <c r="D63" s="36" t="str">
        <f>'[1]Water Op Ex Matrix'!$B60</f>
        <v>8092 Administrative Department:Uniform Expense</v>
      </c>
      <c r="E63" s="36">
        <f>'[1]Water Op Ex Matrix'!$C60</f>
        <v>544.48680999999988</v>
      </c>
      <c r="F63" s="36"/>
      <c r="G63" s="36"/>
      <c r="H63" s="36"/>
      <c r="I63" s="36"/>
      <c r="J63" s="35"/>
      <c r="K63" s="43"/>
      <c r="L63" s="36">
        <f>'[1]Water Op Ex Matrix'!$E60</f>
        <v>0</v>
      </c>
      <c r="M63" s="36">
        <f>'[1]Water Op Ex Matrix'!$F60</f>
        <v>0</v>
      </c>
      <c r="N63" s="36">
        <f>'[1]Water Op Ex Matrix'!$G60</f>
        <v>272.24340499999994</v>
      </c>
      <c r="O63" s="35">
        <f>'[1]Water Op Ex Matrix'!$H60</f>
        <v>272.24340499999994</v>
      </c>
    </row>
    <row r="64" spans="2:15" x14ac:dyDescent="0.45">
      <c r="B64" s="43"/>
      <c r="C64" s="44" t="str">
        <f>'[1]Water Op Ex Matrix'!$A61</f>
        <v>Operating Supplies Total</v>
      </c>
      <c r="D64" s="36"/>
      <c r="E64" s="36">
        <f>'[1]Water Op Ex Matrix'!$C61</f>
        <v>79159.032609999995</v>
      </c>
      <c r="F64" s="36"/>
      <c r="G64" s="36"/>
      <c r="H64" s="36"/>
      <c r="I64" s="36"/>
      <c r="J64" s="35"/>
      <c r="K64" s="43"/>
      <c r="L64" s="36">
        <f>'[1]Water Op Ex Matrix'!$E61</f>
        <v>12328.880000000001</v>
      </c>
      <c r="M64" s="36">
        <f>'[1]Water Op Ex Matrix'!$F61</f>
        <v>37695.079999999994</v>
      </c>
      <c r="N64" s="36">
        <f>'[1]Water Op Ex Matrix'!$G61</f>
        <v>14567.536305</v>
      </c>
      <c r="O64" s="35">
        <f>'[1]Water Op Ex Matrix'!$H61</f>
        <v>14567.536305</v>
      </c>
    </row>
    <row r="65" spans="2:15" x14ac:dyDescent="0.45">
      <c r="B65" s="43"/>
      <c r="C65" s="36" t="str">
        <f>'[1]Water Op Ex Matrix'!$A62</f>
        <v>Salaries &amp; Wages</v>
      </c>
      <c r="D65" s="36" t="str">
        <f>'[1]Water Op Ex Matrix'!$B62</f>
        <v>6000 Water Department:Water Treatment Plant:Salaries - WTP</v>
      </c>
      <c r="E65" s="36">
        <f>'[1]Water Op Ex Matrix'!$C62</f>
        <v>566595.88</v>
      </c>
      <c r="F65" s="36"/>
      <c r="G65" s="36"/>
      <c r="H65" s="36"/>
      <c r="I65" s="36"/>
      <c r="J65" s="35"/>
      <c r="K65" s="43"/>
      <c r="L65" s="36">
        <f>'[1]Water Op Ex Matrix'!$E62</f>
        <v>566595.88</v>
      </c>
      <c r="M65" s="36">
        <f>'[1]Water Op Ex Matrix'!$F62</f>
        <v>0</v>
      </c>
      <c r="N65" s="36">
        <f>'[1]Water Op Ex Matrix'!$G62</f>
        <v>0</v>
      </c>
      <c r="O65" s="35">
        <f>'[1]Water Op Ex Matrix'!$H62</f>
        <v>0</v>
      </c>
    </row>
    <row r="66" spans="2:15" x14ac:dyDescent="0.45">
      <c r="B66" s="43"/>
      <c r="C66" s="36" t="str">
        <f>'[1]Water Op Ex Matrix'!$A63</f>
        <v>Salaries &amp; Wages</v>
      </c>
      <c r="D66" s="36" t="str">
        <f>'[1]Water Op Ex Matrix'!$B63</f>
        <v>6001 Water Department:Water Maintenance System:Salaries - Water Maint</v>
      </c>
      <c r="E66" s="36">
        <f>'[1]Water Op Ex Matrix'!$C63</f>
        <v>341780.93</v>
      </c>
      <c r="F66" s="36"/>
      <c r="G66" s="36"/>
      <c r="H66" s="36"/>
      <c r="I66" s="36"/>
      <c r="J66" s="35"/>
      <c r="K66" s="43"/>
      <c r="L66" s="36">
        <f>'[1]Water Op Ex Matrix'!$E63</f>
        <v>0</v>
      </c>
      <c r="M66" s="36">
        <f>'[1]Water Op Ex Matrix'!$F63</f>
        <v>341780.93</v>
      </c>
      <c r="N66" s="36">
        <f>'[1]Water Op Ex Matrix'!$G63</f>
        <v>0</v>
      </c>
      <c r="O66" s="35">
        <f>'[1]Water Op Ex Matrix'!$H63</f>
        <v>0</v>
      </c>
    </row>
    <row r="67" spans="2:15" x14ac:dyDescent="0.45">
      <c r="B67" s="43"/>
      <c r="C67" s="36" t="str">
        <f>'[1]Water Op Ex Matrix'!$A64</f>
        <v>Salaries &amp; Wages</v>
      </c>
      <c r="D67" s="36" t="str">
        <f>'[1]Water Op Ex Matrix'!$B64</f>
        <v>8000 Administrative Department:Salaries - Admin</v>
      </c>
      <c r="E67" s="36">
        <f>'[1]Water Op Ex Matrix'!$C64</f>
        <v>286233.34634999995</v>
      </c>
      <c r="F67" s="36"/>
      <c r="G67" s="36"/>
      <c r="H67" s="36"/>
      <c r="I67" s="36"/>
      <c r="J67" s="35"/>
      <c r="K67" s="43"/>
      <c r="L67" s="36">
        <f>'[1]Water Op Ex Matrix'!$E64</f>
        <v>0</v>
      </c>
      <c r="M67" s="36">
        <f>'[1]Water Op Ex Matrix'!$F64</f>
        <v>0</v>
      </c>
      <c r="N67" s="36">
        <f>'[1]Water Op Ex Matrix'!$G64</f>
        <v>143116.67317499997</v>
      </c>
      <c r="O67" s="35">
        <f>'[1]Water Op Ex Matrix'!$H64</f>
        <v>143116.67317499997</v>
      </c>
    </row>
    <row r="68" spans="2:15" x14ac:dyDescent="0.45">
      <c r="B68" s="43"/>
      <c r="C68" s="44" t="str">
        <f>'[1]Water Op Ex Matrix'!$A65</f>
        <v>Salaries &amp; Wages Total</v>
      </c>
      <c r="D68" s="36"/>
      <c r="E68" s="36">
        <f>'[1]Water Op Ex Matrix'!$C65</f>
        <v>1194610.1563500001</v>
      </c>
      <c r="F68" s="36"/>
      <c r="G68" s="36"/>
      <c r="H68" s="36"/>
      <c r="I68" s="36"/>
      <c r="J68" s="35"/>
      <c r="K68" s="43"/>
      <c r="L68" s="36">
        <f>'[1]Water Op Ex Matrix'!$E65</f>
        <v>566595.88</v>
      </c>
      <c r="M68" s="36">
        <f>'[1]Water Op Ex Matrix'!$F65</f>
        <v>341780.93</v>
      </c>
      <c r="N68" s="36">
        <f>'[1]Water Op Ex Matrix'!$G65</f>
        <v>143116.67317499997</v>
      </c>
      <c r="O68" s="35">
        <f>'[1]Water Op Ex Matrix'!$H65</f>
        <v>143116.67317499997</v>
      </c>
    </row>
    <row r="69" spans="2:15" x14ac:dyDescent="0.45">
      <c r="B69" s="43"/>
      <c r="C69" s="36" t="str">
        <f>'[1]Water Op Ex Matrix'!$A66</f>
        <v>Utilities</v>
      </c>
      <c r="D69" s="36" t="str">
        <f>'[1]Water Op Ex Matrix'!$B66</f>
        <v>6015 Water Department:Water Treatment Plant:Utilities-WTP</v>
      </c>
      <c r="E69" s="36">
        <f>'[1]Water Op Ex Matrix'!$C66</f>
        <v>433779.01</v>
      </c>
      <c r="F69" s="36"/>
      <c r="G69" s="36"/>
      <c r="H69" s="36"/>
      <c r="I69" s="36"/>
      <c r="J69" s="35"/>
      <c r="K69" s="43"/>
      <c r="L69" s="36">
        <f>'[1]Water Op Ex Matrix'!$E66</f>
        <v>433779.01</v>
      </c>
      <c r="M69" s="36">
        <f>'[1]Water Op Ex Matrix'!$F66</f>
        <v>0</v>
      </c>
      <c r="N69" s="36">
        <f>'[1]Water Op Ex Matrix'!$G66</f>
        <v>0</v>
      </c>
      <c r="O69" s="35">
        <f>'[1]Water Op Ex Matrix'!$H66</f>
        <v>0</v>
      </c>
    </row>
    <row r="70" spans="2:15" x14ac:dyDescent="0.45">
      <c r="B70" s="43"/>
      <c r="C70" s="36" t="str">
        <f>'[1]Water Op Ex Matrix'!$A67</f>
        <v>Utilities</v>
      </c>
      <c r="D70" s="36" t="str">
        <f>'[1]Water Op Ex Matrix'!$B67</f>
        <v>6016 Water Department:Water Maintenance System:Shop Utilities</v>
      </c>
      <c r="E70" s="36">
        <f>'[1]Water Op Ex Matrix'!$C67</f>
        <v>14193.07</v>
      </c>
      <c r="F70" s="36"/>
      <c r="G70" s="36"/>
      <c r="H70" s="36"/>
      <c r="I70" s="36"/>
      <c r="J70" s="35"/>
      <c r="K70" s="43"/>
      <c r="L70" s="36">
        <f>'[1]Water Op Ex Matrix'!$E67</f>
        <v>0</v>
      </c>
      <c r="M70" s="36">
        <f>'[1]Water Op Ex Matrix'!$F67</f>
        <v>14193.07</v>
      </c>
      <c r="N70" s="36">
        <f>'[1]Water Op Ex Matrix'!$G67</f>
        <v>0</v>
      </c>
      <c r="O70" s="35">
        <f>'[1]Water Op Ex Matrix'!$H67</f>
        <v>0</v>
      </c>
    </row>
    <row r="71" spans="2:15" x14ac:dyDescent="0.45">
      <c r="B71" s="43"/>
      <c r="C71" s="36" t="str">
        <f>'[1]Water Op Ex Matrix'!$A68</f>
        <v>Utilities</v>
      </c>
      <c r="D71" s="36" t="str">
        <f>'[1]Water Op Ex Matrix'!$B68</f>
        <v>8015 Administrative Department:Office Utilities</v>
      </c>
      <c r="E71" s="36">
        <f>'[1]Water Op Ex Matrix'!$C68</f>
        <v>14426.023919999998</v>
      </c>
      <c r="F71" s="36"/>
      <c r="G71" s="36"/>
      <c r="H71" s="36"/>
      <c r="I71" s="36"/>
      <c r="J71" s="35"/>
      <c r="K71" s="43"/>
      <c r="L71" s="36">
        <f>'[1]Water Op Ex Matrix'!$E68</f>
        <v>0</v>
      </c>
      <c r="M71" s="36">
        <f>'[1]Water Op Ex Matrix'!$F68</f>
        <v>0</v>
      </c>
      <c r="N71" s="36">
        <f>'[1]Water Op Ex Matrix'!$G68</f>
        <v>7213.0119599999989</v>
      </c>
      <c r="O71" s="35">
        <f>'[1]Water Op Ex Matrix'!$H68</f>
        <v>7213.0119599999989</v>
      </c>
    </row>
    <row r="72" spans="2:15" x14ac:dyDescent="0.45">
      <c r="B72" s="43"/>
      <c r="C72" s="44" t="str">
        <f>'[1]Water Op Ex Matrix'!$A69</f>
        <v>Utilities Total</v>
      </c>
      <c r="D72" s="36"/>
      <c r="E72" s="36">
        <f>'[1]Water Op Ex Matrix'!$C69</f>
        <v>462398.10392000002</v>
      </c>
      <c r="F72" s="36"/>
      <c r="G72" s="36"/>
      <c r="H72" s="36"/>
      <c r="I72" s="36"/>
      <c r="J72" s="35"/>
      <c r="K72" s="43"/>
      <c r="L72" s="36">
        <f>'[1]Water Op Ex Matrix'!$E69</f>
        <v>433779.01</v>
      </c>
      <c r="M72" s="36">
        <f>'[1]Water Op Ex Matrix'!$F69</f>
        <v>14193.07</v>
      </c>
      <c r="N72" s="36">
        <f>'[1]Water Op Ex Matrix'!$G69</f>
        <v>7213.0119599999989</v>
      </c>
      <c r="O72" s="35">
        <f>'[1]Water Op Ex Matrix'!$H69</f>
        <v>7213.0119599999989</v>
      </c>
    </row>
    <row r="73" spans="2:15" x14ac:dyDescent="0.45">
      <c r="B73" s="45"/>
      <c r="C73" s="237" t="str">
        <f>'[1]Water Op Ex Matrix'!$A70</f>
        <v>Grand Total</v>
      </c>
      <c r="D73" s="46"/>
      <c r="E73" s="46">
        <f>'[1]Water Op Ex Matrix'!$C70</f>
        <v>3582834.5559299998</v>
      </c>
      <c r="F73" s="46"/>
      <c r="G73" s="46"/>
      <c r="H73" s="46"/>
      <c r="I73" s="46"/>
      <c r="J73" s="37"/>
      <c r="K73" s="45"/>
      <c r="L73" s="46">
        <f>'[1]Water Op Ex Matrix'!$E70</f>
        <v>1996300.8199999998</v>
      </c>
      <c r="M73" s="46">
        <f>'[1]Water Op Ex Matrix'!$F70</f>
        <v>842228.29999999993</v>
      </c>
      <c r="N73" s="46">
        <f>'[1]Water Op Ex Matrix'!$G70</f>
        <v>372152.7179649999</v>
      </c>
      <c r="O73" s="37">
        <f>'[1]Water Op Ex Matrix'!$H70</f>
        <v>372152.7179649999</v>
      </c>
    </row>
    <row r="74" spans="2:15" x14ac:dyDescent="0.45">
      <c r="C74" s="30">
        <f>'[1]Water Op Ex Matrix'!$A71</f>
        <v>0</v>
      </c>
      <c r="L74" s="30" t="str">
        <f>'[1]Water Op Ex Matrix'!$E71</f>
        <v xml:space="preserve"> </v>
      </c>
    </row>
    <row r="75" spans="2:15" x14ac:dyDescent="0.45">
      <c r="C75" s="30">
        <f>'[1]Water Op Ex Matrix'!$A72</f>
        <v>0</v>
      </c>
      <c r="D75" s="30" t="str">
        <f>'[1]Water Op Ex Matrix'!$B72</f>
        <v>Check Total</v>
      </c>
      <c r="E75" s="30">
        <f>'[1]Water Op Ex Matrix'!$C72</f>
        <v>3582834.5559299998</v>
      </c>
      <c r="L75" s="30" t="str">
        <f>'[1]Water Op Ex Matrix'!$E72</f>
        <v>OK</v>
      </c>
    </row>
    <row r="76" spans="2:15" x14ac:dyDescent="0.45">
      <c r="C76" s="30">
        <f>'[1]Water Op Ex Matrix'!$A73</f>
        <v>0</v>
      </c>
      <c r="E76" s="30">
        <f>'[1]Water Op Ex Matrix'!$C73</f>
        <v>0</v>
      </c>
    </row>
    <row r="77" spans="2:15" x14ac:dyDescent="0.45">
      <c r="C77" s="30">
        <f>'[1]Water Op Ex Matrix'!$A74</f>
        <v>0</v>
      </c>
      <c r="D77" s="30" t="str">
        <f>'[1]Water Op Ex Matrix'!$B74</f>
        <v>Check Total Across</v>
      </c>
      <c r="E77" s="30">
        <f>'[1]Water Op Ex Matrix'!$C74</f>
        <v>3582834.5559299993</v>
      </c>
      <c r="L77" s="30" t="str">
        <f>'[1]Water Op Ex Matrix'!$E74</f>
        <v>OK</v>
      </c>
    </row>
  </sheetData>
  <mergeCells count="1">
    <mergeCell ref="C3:I3"/>
  </mergeCells>
  <pageMargins left="0.7" right="0.7" top="0.75" bottom="0.75" header="0.3" footer="0.3"/>
  <pageSetup scale="62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M43"/>
  <sheetViews>
    <sheetView topLeftCell="A10" workbookViewId="0">
      <selection activeCell="D35" sqref="D35"/>
    </sheetView>
  </sheetViews>
  <sheetFormatPr defaultRowHeight="14.25" x14ac:dyDescent="0.45"/>
  <cols>
    <col min="1" max="1" width="3.109375" style="57" customWidth="1"/>
    <col min="2" max="2" width="1.33203125" style="57" customWidth="1"/>
    <col min="3" max="3" width="25.609375" style="57" customWidth="1"/>
    <col min="4" max="4" width="10.94140625" style="57" bestFit="1" customWidth="1"/>
    <col min="5" max="9" width="12.609375" style="57" customWidth="1"/>
    <col min="10" max="10" width="1.33203125" style="57" customWidth="1"/>
    <col min="11" max="11" width="2.609375" style="57" customWidth="1"/>
    <col min="12" max="16384" width="8.88671875" style="57"/>
  </cols>
  <sheetData>
    <row r="2" spans="2:11" x14ac:dyDescent="0.45">
      <c r="B2" s="62"/>
      <c r="C2" s="192"/>
      <c r="D2" s="192"/>
      <c r="E2" s="192"/>
      <c r="F2" s="192"/>
      <c r="G2" s="192"/>
      <c r="H2" s="192"/>
      <c r="I2" s="192"/>
      <c r="J2" s="193"/>
    </row>
    <row r="3" spans="2:11" x14ac:dyDescent="0.45">
      <c r="B3" s="66"/>
      <c r="C3" s="308" t="s">
        <v>159</v>
      </c>
      <c r="D3" s="308"/>
      <c r="E3" s="308"/>
      <c r="F3" s="308"/>
      <c r="G3" s="308"/>
      <c r="H3" s="308"/>
      <c r="I3" s="308"/>
      <c r="J3" s="194"/>
      <c r="K3" s="115"/>
    </row>
    <row r="4" spans="2:11" x14ac:dyDescent="0.45">
      <c r="B4" s="66"/>
      <c r="C4" s="68" t="s">
        <v>160</v>
      </c>
      <c r="D4" s="110"/>
      <c r="E4" s="110"/>
      <c r="F4" s="110"/>
      <c r="G4" s="110"/>
      <c r="H4" s="110"/>
      <c r="I4" s="110"/>
      <c r="J4" s="194"/>
      <c r="K4" s="115"/>
    </row>
    <row r="5" spans="2:11" x14ac:dyDescent="0.45">
      <c r="B5" s="66"/>
      <c r="C5" s="205" t="s">
        <v>128</v>
      </c>
      <c r="D5" s="110"/>
      <c r="E5" s="110"/>
      <c r="F5" s="110"/>
      <c r="G5" s="110"/>
      <c r="H5" s="110"/>
      <c r="I5" s="110"/>
      <c r="J5" s="194"/>
      <c r="K5" s="115"/>
    </row>
    <row r="6" spans="2:11" x14ac:dyDescent="0.45">
      <c r="B6" s="66"/>
      <c r="C6" s="115"/>
      <c r="D6" s="115"/>
      <c r="E6" s="115"/>
      <c r="F6" s="115"/>
      <c r="G6" s="115"/>
      <c r="H6" s="115"/>
      <c r="I6" s="115"/>
      <c r="J6" s="194"/>
      <c r="K6" s="115"/>
    </row>
    <row r="7" spans="2:11" x14ac:dyDescent="0.45">
      <c r="B7" s="66"/>
      <c r="C7" s="115"/>
      <c r="D7" s="115"/>
      <c r="E7" s="115"/>
      <c r="F7" s="115"/>
      <c r="G7" s="115"/>
      <c r="H7" s="115"/>
      <c r="I7" s="115"/>
      <c r="J7" s="194"/>
      <c r="K7" s="115"/>
    </row>
    <row r="8" spans="2:11" x14ac:dyDescent="0.45">
      <c r="B8" s="66"/>
      <c r="C8" s="115"/>
      <c r="D8" s="195"/>
      <c r="E8" s="88" t="s">
        <v>56</v>
      </c>
      <c r="F8" s="88" t="s">
        <v>94</v>
      </c>
      <c r="G8" s="88" t="s">
        <v>77</v>
      </c>
      <c r="H8" s="88" t="s">
        <v>95</v>
      </c>
      <c r="I8" s="117"/>
      <c r="J8" s="194"/>
      <c r="K8" s="115"/>
    </row>
    <row r="9" spans="2:11" x14ac:dyDescent="0.45">
      <c r="B9" s="66"/>
      <c r="C9" s="203" t="s">
        <v>155</v>
      </c>
      <c r="D9" s="92" t="s">
        <v>2</v>
      </c>
      <c r="E9" s="92" t="s">
        <v>57</v>
      </c>
      <c r="F9" s="92" t="s">
        <v>19</v>
      </c>
      <c r="G9" s="92" t="s">
        <v>78</v>
      </c>
      <c r="H9" s="92" t="s">
        <v>96</v>
      </c>
      <c r="I9" s="92" t="s">
        <v>16</v>
      </c>
      <c r="J9" s="194"/>
      <c r="K9" s="115"/>
    </row>
    <row r="10" spans="2:11" x14ac:dyDescent="0.45">
      <c r="B10" s="66"/>
      <c r="C10" s="115" t="s">
        <v>93</v>
      </c>
      <c r="D10" s="196">
        <f>'[2]Water + Joint'!$F$6</f>
        <v>14447.77</v>
      </c>
      <c r="E10" s="115">
        <f t="shared" ref="E10:E15" si="0">D10</f>
        <v>14447.77</v>
      </c>
      <c r="F10" s="115"/>
      <c r="G10" s="115"/>
      <c r="H10" s="115"/>
      <c r="I10" s="115"/>
      <c r="J10" s="194"/>
      <c r="K10" s="115"/>
    </row>
    <row r="11" spans="2:11" x14ac:dyDescent="0.45">
      <c r="B11" s="66"/>
      <c r="C11" s="115" t="s">
        <v>210</v>
      </c>
      <c r="D11" s="197">
        <f>'[2]Water + Joint'!$F$14</f>
        <v>1231.9599999999998</v>
      </c>
      <c r="E11" s="198">
        <f t="shared" si="0"/>
        <v>1231.9599999999998</v>
      </c>
      <c r="F11" s="198"/>
      <c r="G11" s="198"/>
      <c r="H11" s="198"/>
      <c r="I11" s="198"/>
      <c r="J11" s="194"/>
    </row>
    <row r="12" spans="2:11" x14ac:dyDescent="0.45">
      <c r="B12" s="66"/>
      <c r="C12" s="115" t="s">
        <v>208</v>
      </c>
      <c r="D12" s="197">
        <f>'[2]Water + Joint'!$F$15</f>
        <v>9981.130000000001</v>
      </c>
      <c r="E12" s="198">
        <f t="shared" si="0"/>
        <v>9981.130000000001</v>
      </c>
      <c r="F12" s="198"/>
      <c r="G12" s="198"/>
      <c r="H12" s="198"/>
      <c r="I12" s="198"/>
      <c r="J12" s="194"/>
    </row>
    <row r="13" spans="2:11" x14ac:dyDescent="0.45">
      <c r="B13" s="66"/>
      <c r="C13" s="115" t="s">
        <v>209</v>
      </c>
      <c r="D13" s="197">
        <f>'[2]Water + Joint'!$F$16</f>
        <v>1953.0600000000002</v>
      </c>
      <c r="E13" s="198">
        <f t="shared" si="0"/>
        <v>1953.0600000000002</v>
      </c>
      <c r="F13" s="198"/>
      <c r="G13" s="198"/>
      <c r="H13" s="198"/>
      <c r="I13" s="198"/>
      <c r="J13" s="194"/>
    </row>
    <row r="14" spans="2:11" x14ac:dyDescent="0.45">
      <c r="B14" s="66"/>
      <c r="C14" s="115" t="s">
        <v>211</v>
      </c>
      <c r="D14" s="197">
        <f>'[2]Water + Joint'!$F$20</f>
        <v>416565.21999999991</v>
      </c>
      <c r="E14" s="198">
        <f t="shared" si="0"/>
        <v>416565.21999999991</v>
      </c>
      <c r="F14" s="198"/>
      <c r="G14" s="198"/>
      <c r="H14" s="198"/>
      <c r="I14" s="198"/>
      <c r="J14" s="194"/>
      <c r="K14" s="115"/>
    </row>
    <row r="15" spans="2:11" x14ac:dyDescent="0.45">
      <c r="B15" s="66"/>
      <c r="C15" s="115" t="s">
        <v>92</v>
      </c>
      <c r="D15" s="197">
        <f>'[2]Water + Joint'!$F$21</f>
        <v>36286.550000000003</v>
      </c>
      <c r="E15" s="198">
        <f t="shared" si="0"/>
        <v>36286.550000000003</v>
      </c>
      <c r="F15" s="198"/>
      <c r="G15" s="198"/>
      <c r="H15" s="198"/>
      <c r="I15" s="198"/>
      <c r="J15" s="194"/>
      <c r="K15" s="115"/>
    </row>
    <row r="16" spans="2:11" x14ac:dyDescent="0.45">
      <c r="B16" s="66"/>
      <c r="C16" s="115" t="s">
        <v>212</v>
      </c>
      <c r="D16" s="197">
        <f>'[2]Water + Joint'!$F$25</f>
        <v>2008.44</v>
      </c>
      <c r="E16" s="198"/>
      <c r="F16" s="198">
        <f>D16</f>
        <v>2008.44</v>
      </c>
      <c r="G16" s="198"/>
      <c r="H16" s="198"/>
      <c r="I16" s="198"/>
      <c r="J16" s="194"/>
      <c r="K16" s="115"/>
    </row>
    <row r="17" spans="2:13" x14ac:dyDescent="0.45">
      <c r="B17" s="66"/>
      <c r="C17" s="115" t="s">
        <v>213</v>
      </c>
      <c r="D17" s="197">
        <f>'[2]Water + Joint'!$F$26</f>
        <v>126788.32999999999</v>
      </c>
      <c r="E17" s="198"/>
      <c r="F17" s="198"/>
      <c r="G17" s="198">
        <f>D17</f>
        <v>126788.32999999999</v>
      </c>
      <c r="H17" s="198"/>
      <c r="I17" s="198"/>
      <c r="J17" s="194"/>
      <c r="K17" s="115"/>
    </row>
    <row r="18" spans="2:13" x14ac:dyDescent="0.45">
      <c r="B18" s="66"/>
      <c r="C18" s="115" t="s">
        <v>214</v>
      </c>
      <c r="D18" s="197">
        <f>'[2]Water + Joint'!$F$28</f>
        <v>105693.79000000001</v>
      </c>
      <c r="E18" s="198"/>
      <c r="F18" s="198">
        <f>D18</f>
        <v>105693.79000000001</v>
      </c>
      <c r="G18" s="198"/>
      <c r="H18" s="198"/>
      <c r="I18" s="198"/>
      <c r="J18" s="194"/>
      <c r="K18" s="115"/>
    </row>
    <row r="19" spans="2:13" x14ac:dyDescent="0.45">
      <c r="B19" s="66"/>
      <c r="C19" s="115" t="s">
        <v>215</v>
      </c>
      <c r="D19" s="197">
        <f>'[2]Water + Joint'!$F$29</f>
        <v>40423.700000000004</v>
      </c>
      <c r="E19" s="198"/>
      <c r="F19" s="198">
        <f>D19</f>
        <v>40423.700000000004</v>
      </c>
      <c r="G19" s="198"/>
      <c r="H19" s="198"/>
      <c r="I19" s="198"/>
      <c r="J19" s="194"/>
      <c r="K19" s="115"/>
    </row>
    <row r="20" spans="2:13" x14ac:dyDescent="0.45">
      <c r="B20" s="66"/>
      <c r="C20" s="115" t="s">
        <v>216</v>
      </c>
      <c r="D20" s="197">
        <f>'[2]Water + Joint'!$F$32</f>
        <v>94412.014297376329</v>
      </c>
      <c r="E20" s="198"/>
      <c r="F20" s="198"/>
      <c r="G20" s="198"/>
      <c r="H20" s="198"/>
      <c r="I20" s="198">
        <f>D20</f>
        <v>94412.014297376329</v>
      </c>
      <c r="J20" s="194"/>
      <c r="K20" s="115"/>
    </row>
    <row r="21" spans="2:13" x14ac:dyDescent="0.45">
      <c r="B21" s="66"/>
      <c r="C21" s="115" t="s">
        <v>217</v>
      </c>
      <c r="D21" s="197">
        <f>'[2]Water + Joint'!$F$34</f>
        <v>550.94294377204756</v>
      </c>
      <c r="E21" s="198"/>
      <c r="F21" s="198"/>
      <c r="G21" s="198"/>
      <c r="H21" s="198"/>
      <c r="I21" s="198">
        <f>D21</f>
        <v>550.94294377204756</v>
      </c>
      <c r="J21" s="194"/>
      <c r="K21" s="115"/>
    </row>
    <row r="22" spans="2:13" x14ac:dyDescent="0.45">
      <c r="B22" s="66"/>
      <c r="C22" s="115" t="s">
        <v>219</v>
      </c>
      <c r="D22" s="197">
        <f>'[2]Water + Joint'!$F$38</f>
        <v>11442.604972753303</v>
      </c>
      <c r="E22" s="198"/>
      <c r="F22" s="198"/>
      <c r="G22" s="198"/>
      <c r="H22" s="198">
        <f>D22/2</f>
        <v>5721.3024863766514</v>
      </c>
      <c r="I22" s="198">
        <f>D22/2</f>
        <v>5721.3024863766514</v>
      </c>
      <c r="J22" s="194"/>
      <c r="K22" s="115"/>
    </row>
    <row r="23" spans="2:13" x14ac:dyDescent="0.45">
      <c r="B23" s="66"/>
      <c r="C23" s="115" t="s">
        <v>220</v>
      </c>
      <c r="D23" s="197">
        <f>'[2]Water + Joint'!$F$39</f>
        <v>169.8027819893008</v>
      </c>
      <c r="E23" s="198"/>
      <c r="F23" s="198"/>
      <c r="G23" s="198"/>
      <c r="H23" s="198">
        <f t="shared" ref="H23:H27" si="1">D23/2</f>
        <v>84.901390994650399</v>
      </c>
      <c r="I23" s="198">
        <f t="shared" ref="I23:I27" si="2">D23/2</f>
        <v>84.901390994650399</v>
      </c>
      <c r="J23" s="194"/>
      <c r="K23" s="115"/>
    </row>
    <row r="24" spans="2:13" x14ac:dyDescent="0.45">
      <c r="B24" s="66"/>
      <c r="C24" s="115" t="s">
        <v>221</v>
      </c>
      <c r="D24" s="197">
        <f>'[2]Water + Joint'!$F$40</f>
        <v>4305.1822880595591</v>
      </c>
      <c r="E24" s="198"/>
      <c r="F24" s="198"/>
      <c r="G24" s="198"/>
      <c r="H24" s="198">
        <f t="shared" si="1"/>
        <v>2152.5911440297796</v>
      </c>
      <c r="I24" s="198">
        <f t="shared" si="2"/>
        <v>2152.5911440297796</v>
      </c>
      <c r="J24" s="194"/>
      <c r="K24" s="115"/>
    </row>
    <row r="25" spans="2:13" x14ac:dyDescent="0.45">
      <c r="B25" s="66"/>
      <c r="C25" s="115" t="s">
        <v>223</v>
      </c>
      <c r="D25" s="197">
        <f>'[2]Water + Joint'!$F$42</f>
        <v>3694.1089924131929</v>
      </c>
      <c r="E25" s="198"/>
      <c r="F25" s="198"/>
      <c r="G25" s="198"/>
      <c r="H25" s="198">
        <f t="shared" si="1"/>
        <v>1847.0544962065965</v>
      </c>
      <c r="I25" s="198">
        <f t="shared" si="2"/>
        <v>1847.0544962065965</v>
      </c>
      <c r="J25" s="194"/>
      <c r="K25" s="115"/>
    </row>
    <row r="26" spans="2:13" x14ac:dyDescent="0.45">
      <c r="B26" s="66"/>
      <c r="C26" s="115" t="s">
        <v>222</v>
      </c>
      <c r="D26" s="197">
        <f>'[2]Water + Joint'!$F$44</f>
        <v>26455.785743490625</v>
      </c>
      <c r="E26" s="198"/>
      <c r="F26" s="198"/>
      <c r="G26" s="198"/>
      <c r="H26" s="198">
        <f t="shared" si="1"/>
        <v>13227.892871745313</v>
      </c>
      <c r="I26" s="198">
        <f t="shared" si="2"/>
        <v>13227.892871745313</v>
      </c>
      <c r="J26" s="194"/>
    </row>
    <row r="27" spans="2:13" x14ac:dyDescent="0.45">
      <c r="B27" s="66"/>
      <c r="C27" s="115" t="s">
        <v>218</v>
      </c>
      <c r="D27" s="199">
        <f>'[2]Water + Joint'!$F$45</f>
        <v>9461.115163246488</v>
      </c>
      <c r="E27" s="200"/>
      <c r="F27" s="200"/>
      <c r="G27" s="200"/>
      <c r="H27" s="200">
        <f t="shared" si="1"/>
        <v>4730.557581623244</v>
      </c>
      <c r="I27" s="200">
        <f t="shared" si="2"/>
        <v>4730.557581623244</v>
      </c>
      <c r="J27" s="201"/>
      <c r="K27" s="115"/>
    </row>
    <row r="28" spans="2:13" x14ac:dyDescent="0.45">
      <c r="B28" s="66"/>
      <c r="C28" s="115" t="s">
        <v>156</v>
      </c>
      <c r="D28" s="261">
        <f>SUM(D10:D27)</f>
        <v>905871.5071831008</v>
      </c>
      <c r="E28" s="198">
        <f>SUM(E10:E27)</f>
        <v>480465.68999999989</v>
      </c>
      <c r="F28" s="198">
        <f t="shared" ref="F28:I28" si="3">SUM(F10:F27)</f>
        <v>148125.93000000002</v>
      </c>
      <c r="G28" s="198">
        <f t="shared" si="3"/>
        <v>126788.32999999999</v>
      </c>
      <c r="H28" s="198">
        <f t="shared" si="3"/>
        <v>27764.299970976237</v>
      </c>
      <c r="I28" s="198">
        <f t="shared" si="3"/>
        <v>122727.2572121246</v>
      </c>
      <c r="J28" s="194"/>
      <c r="K28" s="115"/>
      <c r="L28" s="115">
        <f>SUM(E28:I28)</f>
        <v>905871.50718310068</v>
      </c>
      <c r="M28" s="88" t="str">
        <f>IF(L28=D28,"OK","Out of Balance")</f>
        <v>OK</v>
      </c>
    </row>
    <row r="29" spans="2:13" x14ac:dyDescent="0.45">
      <c r="B29" s="66"/>
      <c r="C29" s="115"/>
      <c r="D29" s="197"/>
      <c r="E29" s="198"/>
      <c r="F29" s="198"/>
      <c r="G29" s="198"/>
      <c r="H29" s="198"/>
      <c r="I29" s="198"/>
      <c r="J29" s="194"/>
      <c r="K29" s="115"/>
    </row>
    <row r="30" spans="2:13" x14ac:dyDescent="0.45">
      <c r="B30" s="66"/>
      <c r="C30" s="115" t="s">
        <v>157</v>
      </c>
      <c r="D30" s="199">
        <v>0</v>
      </c>
      <c r="E30" s="200">
        <v>0</v>
      </c>
      <c r="F30" s="200">
        <v>0</v>
      </c>
      <c r="G30" s="200">
        <v>0</v>
      </c>
      <c r="H30" s="200">
        <v>0</v>
      </c>
      <c r="I30" s="200">
        <v>0</v>
      </c>
      <c r="J30" s="201"/>
      <c r="K30" s="115"/>
      <c r="L30" s="115">
        <f>SUM(E30:I30)</f>
        <v>0</v>
      </c>
      <c r="M30" s="88" t="str">
        <f>IF(L30=D30,"OK","Out of Balance")</f>
        <v>OK</v>
      </c>
    </row>
    <row r="31" spans="2:13" x14ac:dyDescent="0.45">
      <c r="B31" s="66"/>
      <c r="C31" s="115"/>
      <c r="D31" s="194"/>
      <c r="E31" s="115"/>
      <c r="F31" s="115"/>
      <c r="G31" s="115"/>
      <c r="H31" s="115"/>
      <c r="I31" s="115"/>
      <c r="J31" s="194"/>
      <c r="K31" s="115"/>
    </row>
    <row r="32" spans="2:13" x14ac:dyDescent="0.45">
      <c r="B32" s="66"/>
      <c r="C32" s="58" t="s">
        <v>89</v>
      </c>
      <c r="D32" s="262">
        <f>D28+D30</f>
        <v>905871.5071831008</v>
      </c>
      <c r="E32" s="202">
        <f t="shared" ref="E32:I32" si="4">E28+E30</f>
        <v>480465.68999999989</v>
      </c>
      <c r="F32" s="202">
        <f t="shared" si="4"/>
        <v>148125.93000000002</v>
      </c>
      <c r="G32" s="202">
        <f t="shared" si="4"/>
        <v>126788.32999999999</v>
      </c>
      <c r="H32" s="202">
        <f t="shared" si="4"/>
        <v>27764.299970976237</v>
      </c>
      <c r="I32" s="202">
        <f t="shared" si="4"/>
        <v>122727.2572121246</v>
      </c>
      <c r="J32" s="194"/>
      <c r="K32" s="115"/>
      <c r="L32" s="115">
        <f>SUM(E32:I32)</f>
        <v>905871.50718310068</v>
      </c>
      <c r="M32" s="88" t="str">
        <f>IF(L32=D32,"OK","Out of Balance")</f>
        <v>OK</v>
      </c>
    </row>
    <row r="33" spans="2:11" x14ac:dyDescent="0.45">
      <c r="B33" s="90"/>
      <c r="C33" s="203"/>
      <c r="D33" s="201"/>
      <c r="E33" s="203"/>
      <c r="F33" s="203"/>
      <c r="G33" s="203"/>
      <c r="H33" s="203"/>
      <c r="I33" s="203"/>
      <c r="J33" s="201"/>
      <c r="K33" s="115"/>
    </row>
    <row r="34" spans="2:11" x14ac:dyDescent="0.45">
      <c r="C34" s="115"/>
      <c r="D34" s="115"/>
      <c r="E34" s="204"/>
      <c r="F34" s="202"/>
      <c r="G34" s="202"/>
      <c r="H34" s="204"/>
      <c r="I34" s="204"/>
      <c r="J34" s="115"/>
      <c r="K34" s="204"/>
    </row>
    <row r="35" spans="2:11" x14ac:dyDescent="0.45">
      <c r="C35" s="115" t="s">
        <v>158</v>
      </c>
      <c r="D35" s="191">
        <f>'[2]Water + Joint'!$F$48</f>
        <v>905871.5071831008</v>
      </c>
      <c r="E35" s="125" t="str">
        <f>IF(D35=D28,"OK","Out of Balance")</f>
        <v>OK</v>
      </c>
      <c r="F35" s="115"/>
      <c r="G35" s="115"/>
      <c r="H35" s="115"/>
      <c r="I35" s="115"/>
      <c r="J35" s="115"/>
      <c r="K35" s="115"/>
    </row>
    <row r="37" spans="2:11" x14ac:dyDescent="0.45">
      <c r="D37" s="207"/>
    </row>
    <row r="38" spans="2:11" x14ac:dyDescent="0.45">
      <c r="C38" s="206"/>
      <c r="D38" s="115"/>
    </row>
    <row r="39" spans="2:11" x14ac:dyDescent="0.45">
      <c r="C39" s="207"/>
      <c r="D39" s="115"/>
    </row>
    <row r="40" spans="2:11" x14ac:dyDescent="0.45">
      <c r="C40" s="207"/>
      <c r="D40" s="115"/>
    </row>
    <row r="41" spans="2:11" x14ac:dyDescent="0.45">
      <c r="C41" s="207"/>
      <c r="D41" s="115"/>
    </row>
    <row r="42" spans="2:11" x14ac:dyDescent="0.45">
      <c r="C42" s="207"/>
      <c r="D42" s="115"/>
    </row>
    <row r="43" spans="2:11" x14ac:dyDescent="0.45">
      <c r="C43" s="207"/>
      <c r="D43" s="115"/>
    </row>
  </sheetData>
  <mergeCells count="1">
    <mergeCell ref="C3:I3"/>
  </mergeCells>
  <printOptions horizontalCentered="1"/>
  <pageMargins left="0.7" right="0.7" top="1.25" bottom="0.75" header="0.3" footer="0.3"/>
  <pageSetup scale="9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BE1B4-E856-4BEE-AEAF-9C2BFBA8A758}">
  <sheetPr>
    <pageSetUpPr fitToPage="1"/>
  </sheetPr>
  <dimension ref="B2:M43"/>
  <sheetViews>
    <sheetView topLeftCell="A10" workbookViewId="0">
      <selection activeCell="D36" sqref="D36"/>
    </sheetView>
  </sheetViews>
  <sheetFormatPr defaultRowHeight="14.25" x14ac:dyDescent="0.45"/>
  <cols>
    <col min="1" max="1" width="3.109375" style="57" customWidth="1"/>
    <col min="2" max="2" width="1.33203125" style="57" customWidth="1"/>
    <col min="3" max="3" width="25.609375" style="57" customWidth="1"/>
    <col min="4" max="4" width="10.94140625" style="57" bestFit="1" customWidth="1"/>
    <col min="5" max="9" width="12.609375" style="57" customWidth="1"/>
    <col min="10" max="10" width="1.33203125" style="57" customWidth="1"/>
    <col min="11" max="11" width="2.609375" style="57" customWidth="1"/>
    <col min="12" max="16384" width="8.88671875" style="57"/>
  </cols>
  <sheetData>
    <row r="2" spans="2:11" x14ac:dyDescent="0.45">
      <c r="B2" s="62"/>
      <c r="C2" s="192"/>
      <c r="D2" s="192"/>
      <c r="E2" s="192"/>
      <c r="F2" s="192"/>
      <c r="G2" s="192"/>
      <c r="H2" s="192"/>
      <c r="I2" s="192"/>
      <c r="J2" s="193"/>
    </row>
    <row r="3" spans="2:11" x14ac:dyDescent="0.45">
      <c r="B3" s="66"/>
      <c r="C3" s="308" t="s">
        <v>165</v>
      </c>
      <c r="D3" s="308"/>
      <c r="E3" s="308"/>
      <c r="F3" s="308"/>
      <c r="G3" s="308"/>
      <c r="H3" s="308"/>
      <c r="I3" s="308"/>
      <c r="J3" s="194"/>
      <c r="K3" s="115"/>
    </row>
    <row r="4" spans="2:11" x14ac:dyDescent="0.45">
      <c r="B4" s="66"/>
      <c r="C4" s="68" t="s">
        <v>161</v>
      </c>
      <c r="D4" s="110"/>
      <c r="E4" s="110"/>
      <c r="F4" s="110"/>
      <c r="G4" s="110"/>
      <c r="H4" s="110"/>
      <c r="I4" s="110"/>
      <c r="J4" s="194"/>
      <c r="K4" s="115"/>
    </row>
    <row r="5" spans="2:11" x14ac:dyDescent="0.45">
      <c r="B5" s="66"/>
      <c r="C5" s="205" t="s">
        <v>128</v>
      </c>
      <c r="D5" s="110"/>
      <c r="E5" s="110"/>
      <c r="F5" s="110"/>
      <c r="G5" s="110"/>
      <c r="H5" s="110"/>
      <c r="I5" s="110"/>
      <c r="J5" s="194"/>
      <c r="K5" s="115"/>
    </row>
    <row r="6" spans="2:11" x14ac:dyDescent="0.45">
      <c r="B6" s="66"/>
      <c r="C6" s="115"/>
      <c r="D6" s="115"/>
      <c r="E6" s="115"/>
      <c r="F6" s="115"/>
      <c r="G6" s="115"/>
      <c r="H6" s="115"/>
      <c r="I6" s="115"/>
      <c r="J6" s="194"/>
      <c r="K6" s="115"/>
    </row>
    <row r="7" spans="2:11" x14ac:dyDescent="0.45">
      <c r="B7" s="66"/>
      <c r="C7" s="115"/>
      <c r="D7" s="115"/>
      <c r="E7" s="115"/>
      <c r="F7" s="115"/>
      <c r="G7" s="115"/>
      <c r="H7" s="115"/>
      <c r="I7" s="115"/>
      <c r="J7" s="194"/>
      <c r="K7" s="115"/>
    </row>
    <row r="8" spans="2:11" x14ac:dyDescent="0.45">
      <c r="B8" s="66"/>
      <c r="C8" s="115"/>
      <c r="D8" s="195"/>
      <c r="E8" s="88" t="s">
        <v>56</v>
      </c>
      <c r="F8" s="88" t="s">
        <v>94</v>
      </c>
      <c r="G8" s="88" t="s">
        <v>77</v>
      </c>
      <c r="H8" s="88" t="s">
        <v>95</v>
      </c>
      <c r="I8" s="117"/>
      <c r="J8" s="194"/>
      <c r="K8" s="115"/>
    </row>
    <row r="9" spans="2:11" x14ac:dyDescent="0.45">
      <c r="B9" s="66"/>
      <c r="C9" s="203" t="s">
        <v>155</v>
      </c>
      <c r="D9" s="92" t="s">
        <v>2</v>
      </c>
      <c r="E9" s="92" t="s">
        <v>57</v>
      </c>
      <c r="F9" s="92" t="s">
        <v>19</v>
      </c>
      <c r="G9" s="92" t="s">
        <v>78</v>
      </c>
      <c r="H9" s="92" t="s">
        <v>96</v>
      </c>
      <c r="I9" s="92" t="s">
        <v>16</v>
      </c>
      <c r="J9" s="194"/>
      <c r="K9" s="115"/>
    </row>
    <row r="10" spans="2:11" x14ac:dyDescent="0.45">
      <c r="B10" s="66"/>
      <c r="C10" s="115" t="str">
        <f>'Depreciation 1'!C10</f>
        <v>Source of Supply Intakes</v>
      </c>
      <c r="D10" s="115">
        <f>'Depreciation 1'!D10</f>
        <v>14447.77</v>
      </c>
      <c r="E10" s="115">
        <f>'Depreciation 1'!E10</f>
        <v>14447.77</v>
      </c>
      <c r="F10" s="115">
        <f>'Depreciation 1'!F10</f>
        <v>0</v>
      </c>
      <c r="G10" s="115">
        <f>'Depreciation 1'!G10</f>
        <v>0</v>
      </c>
      <c r="H10" s="115">
        <f>'Depreciation 1'!H10</f>
        <v>0</v>
      </c>
      <c r="I10" s="115">
        <f>'Depreciation 1'!I10</f>
        <v>0</v>
      </c>
      <c r="J10" s="194"/>
      <c r="K10" s="115"/>
    </row>
    <row r="11" spans="2:11" x14ac:dyDescent="0.45">
      <c r="B11" s="66"/>
      <c r="C11" s="115" t="str">
        <f>'Depreciation 1'!C11</f>
        <v>Pumping Plant Structures</v>
      </c>
      <c r="D11" s="115">
        <f>'Depreciation 1'!D11</f>
        <v>1231.9599999999998</v>
      </c>
      <c r="E11" s="115">
        <f>'Depreciation 1'!E11</f>
        <v>1231.9599999999998</v>
      </c>
      <c r="F11" s="115">
        <f>'Depreciation 1'!F11</f>
        <v>0</v>
      </c>
      <c r="G11" s="115">
        <f>'Depreciation 1'!G11</f>
        <v>0</v>
      </c>
      <c r="H11" s="115">
        <f>'Depreciation 1'!H11</f>
        <v>0</v>
      </c>
      <c r="I11" s="115">
        <f>'Depreciation 1'!I11</f>
        <v>0</v>
      </c>
      <c r="J11" s="194"/>
    </row>
    <row r="12" spans="2:11" x14ac:dyDescent="0.45">
      <c r="B12" s="66"/>
      <c r="C12" s="115" t="str">
        <f>'Depreciation 1'!C12</f>
        <v>Pumping Plant Equipment</v>
      </c>
      <c r="D12" s="115">
        <f>'Depreciation 1'!D12</f>
        <v>9981.130000000001</v>
      </c>
      <c r="E12" s="115">
        <f>'Depreciation 1'!E12</f>
        <v>9981.130000000001</v>
      </c>
      <c r="F12" s="115">
        <f>'Depreciation 1'!F12</f>
        <v>0</v>
      </c>
      <c r="G12" s="115">
        <f>'Depreciation 1'!G12</f>
        <v>0</v>
      </c>
      <c r="H12" s="115">
        <f>'Depreciation 1'!H12</f>
        <v>0</v>
      </c>
      <c r="I12" s="115">
        <f>'Depreciation 1'!I12</f>
        <v>0</v>
      </c>
      <c r="J12" s="194"/>
    </row>
    <row r="13" spans="2:11" x14ac:dyDescent="0.45">
      <c r="B13" s="66"/>
      <c r="C13" s="115" t="str">
        <f>'Depreciation 1'!C13</f>
        <v>Pumping Plant Other</v>
      </c>
      <c r="D13" s="115">
        <f>'Depreciation 1'!D13</f>
        <v>1953.0600000000002</v>
      </c>
      <c r="E13" s="115">
        <f>'Depreciation 1'!E13</f>
        <v>1953.0600000000002</v>
      </c>
      <c r="F13" s="115">
        <f>'Depreciation 1'!F13</f>
        <v>0</v>
      </c>
      <c r="G13" s="115">
        <f>'Depreciation 1'!G13</f>
        <v>0</v>
      </c>
      <c r="H13" s="115">
        <f>'Depreciation 1'!H13</f>
        <v>0</v>
      </c>
      <c r="I13" s="115">
        <f>'Depreciation 1'!I13</f>
        <v>0</v>
      </c>
      <c r="J13" s="194"/>
    </row>
    <row r="14" spans="2:11" x14ac:dyDescent="0.45">
      <c r="B14" s="66"/>
      <c r="C14" s="115" t="str">
        <f>'Depreciation 1'!C14</f>
        <v>Water Treatment Structures</v>
      </c>
      <c r="D14" s="115">
        <f>'Depreciation 1'!D14</f>
        <v>416565.21999999991</v>
      </c>
      <c r="E14" s="115">
        <f>'Depreciation 1'!E14</f>
        <v>416565.21999999991</v>
      </c>
      <c r="F14" s="115">
        <f>'Depreciation 1'!F14</f>
        <v>0</v>
      </c>
      <c r="G14" s="115">
        <f>'Depreciation 1'!G14</f>
        <v>0</v>
      </c>
      <c r="H14" s="115">
        <f>'Depreciation 1'!H14</f>
        <v>0</v>
      </c>
      <c r="I14" s="115">
        <f>'Depreciation 1'!I14</f>
        <v>0</v>
      </c>
      <c r="J14" s="194"/>
      <c r="K14" s="115"/>
    </row>
    <row r="15" spans="2:11" x14ac:dyDescent="0.45">
      <c r="B15" s="66"/>
      <c r="C15" s="115" t="str">
        <f>'Depreciation 1'!C15</f>
        <v>Water Treatment Equipment</v>
      </c>
      <c r="D15" s="115">
        <f>'Depreciation 1'!D15</f>
        <v>36286.550000000003</v>
      </c>
      <c r="E15" s="115">
        <f>'Depreciation 1'!E15</f>
        <v>36286.550000000003</v>
      </c>
      <c r="F15" s="115">
        <f>'Depreciation 1'!F15</f>
        <v>0</v>
      </c>
      <c r="G15" s="115">
        <f>'Depreciation 1'!G15</f>
        <v>0</v>
      </c>
      <c r="H15" s="115">
        <f>'Depreciation 1'!H15</f>
        <v>0</v>
      </c>
      <c r="I15" s="115">
        <f>'Depreciation 1'!I15</f>
        <v>0</v>
      </c>
      <c r="J15" s="194"/>
      <c r="K15" s="115"/>
    </row>
    <row r="16" spans="2:11" x14ac:dyDescent="0.45">
      <c r="B16" s="66"/>
      <c r="C16" s="115" t="str">
        <f>'Depreciation 1'!C16</f>
        <v>Distribution Structures</v>
      </c>
      <c r="D16" s="115">
        <f>'Depreciation 1'!D16</f>
        <v>2008.44</v>
      </c>
      <c r="E16" s="115">
        <f>'Depreciation 1'!E16</f>
        <v>0</v>
      </c>
      <c r="F16" s="115">
        <f>'Depreciation 1'!F16</f>
        <v>2008.44</v>
      </c>
      <c r="G16" s="115">
        <f>'Depreciation 1'!G16</f>
        <v>0</v>
      </c>
      <c r="H16" s="115">
        <f>'Depreciation 1'!H16</f>
        <v>0</v>
      </c>
      <c r="I16" s="115">
        <f>'Depreciation 1'!I16</f>
        <v>0</v>
      </c>
      <c r="J16" s="194"/>
      <c r="K16" s="115"/>
    </row>
    <row r="17" spans="2:13" x14ac:dyDescent="0.45">
      <c r="B17" s="66"/>
      <c r="C17" s="115" t="str">
        <f>'Depreciation 1'!C17</f>
        <v>Distribution Tanks</v>
      </c>
      <c r="D17" s="115">
        <f>'Depreciation 1'!D17</f>
        <v>126788.32999999999</v>
      </c>
      <c r="E17" s="115">
        <f>'Depreciation 1'!E17</f>
        <v>0</v>
      </c>
      <c r="F17" s="115">
        <f>'Depreciation 1'!F17</f>
        <v>0</v>
      </c>
      <c r="G17" s="115">
        <f>'Depreciation 1'!G17</f>
        <v>126788.32999999999</v>
      </c>
      <c r="H17" s="115">
        <f>'Depreciation 1'!H17</f>
        <v>0</v>
      </c>
      <c r="I17" s="115">
        <f>'Depreciation 1'!I17</f>
        <v>0</v>
      </c>
      <c r="J17" s="194"/>
      <c r="K17" s="115"/>
    </row>
    <row r="18" spans="2:13" x14ac:dyDescent="0.45">
      <c r="B18" s="66"/>
      <c r="C18" s="115" t="str">
        <f>'Depreciation 1'!C18</f>
        <v>Distribution Mains</v>
      </c>
      <c r="D18" s="115">
        <f>'Depreciation 1'!D18</f>
        <v>105693.79000000001</v>
      </c>
      <c r="E18" s="115">
        <f>'Depreciation 1'!E18</f>
        <v>0</v>
      </c>
      <c r="F18" s="115">
        <f>'Depreciation 1'!F18</f>
        <v>105693.79000000001</v>
      </c>
      <c r="G18" s="115">
        <f>'Depreciation 1'!G18</f>
        <v>0</v>
      </c>
      <c r="H18" s="115">
        <f>'Depreciation 1'!H18</f>
        <v>0</v>
      </c>
      <c r="I18" s="115">
        <f>'Depreciation 1'!I18</f>
        <v>0</v>
      </c>
      <c r="J18" s="194"/>
      <c r="K18" s="115"/>
    </row>
    <row r="19" spans="2:13" x14ac:dyDescent="0.45">
      <c r="B19" s="66"/>
      <c r="C19" s="115" t="str">
        <f>'Depreciation 1'!C19</f>
        <v>Distribution Replacement</v>
      </c>
      <c r="D19" s="115">
        <f>'Depreciation 1'!D19</f>
        <v>40423.700000000004</v>
      </c>
      <c r="E19" s="115">
        <f>'Depreciation 1'!E19</f>
        <v>0</v>
      </c>
      <c r="F19" s="115">
        <f>'Depreciation 1'!F19</f>
        <v>40423.700000000004</v>
      </c>
      <c r="G19" s="115">
        <f>'Depreciation 1'!G19</f>
        <v>0</v>
      </c>
      <c r="H19" s="115">
        <f>'Depreciation 1'!H19</f>
        <v>0</v>
      </c>
      <c r="I19" s="115">
        <f>'Depreciation 1'!I19</f>
        <v>0</v>
      </c>
      <c r="J19" s="194"/>
      <c r="K19" s="115"/>
    </row>
    <row r="20" spans="2:13" x14ac:dyDescent="0.45">
      <c r="B20" s="66"/>
      <c r="C20" s="115" t="str">
        <f>'Depreciation 1'!C20</f>
        <v>Distribution Meters</v>
      </c>
      <c r="D20" s="115">
        <f>'Depreciation 1'!D20</f>
        <v>94412.014297376329</v>
      </c>
      <c r="E20" s="115">
        <f>'Depreciation 1'!E20</f>
        <v>0</v>
      </c>
      <c r="F20" s="115">
        <f>'Depreciation 1'!F20</f>
        <v>0</v>
      </c>
      <c r="G20" s="115">
        <f>'Depreciation 1'!G20</f>
        <v>0</v>
      </c>
      <c r="H20" s="115">
        <f>'Depreciation 1'!H20</f>
        <v>0</v>
      </c>
      <c r="I20" s="115">
        <f>'Depreciation 1'!I20</f>
        <v>94412.014297376329</v>
      </c>
      <c r="J20" s="194"/>
      <c r="K20" s="115"/>
    </row>
    <row r="21" spans="2:13" x14ac:dyDescent="0.45">
      <c r="B21" s="66"/>
      <c r="C21" s="115" t="str">
        <f>'Depreciation 1'!C21</f>
        <v>Distribution Hydrants</v>
      </c>
      <c r="D21" s="115">
        <f>'Depreciation 1'!D21</f>
        <v>550.94294377204756</v>
      </c>
      <c r="E21" s="115">
        <f>'Depreciation 1'!E21</f>
        <v>0</v>
      </c>
      <c r="F21" s="115">
        <f>'Depreciation 1'!F21</f>
        <v>0</v>
      </c>
      <c r="G21" s="115">
        <f>'Depreciation 1'!G21</f>
        <v>0</v>
      </c>
      <c r="H21" s="115">
        <f>'Depreciation 1'!H21</f>
        <v>0</v>
      </c>
      <c r="I21" s="115">
        <f>'Depreciation 1'!I21</f>
        <v>550.94294377204756</v>
      </c>
      <c r="J21" s="194"/>
    </row>
    <row r="22" spans="2:13" x14ac:dyDescent="0.45">
      <c r="B22" s="66"/>
      <c r="C22" s="115" t="str">
        <f>'Depreciation 1'!C22</f>
        <v>General Structures</v>
      </c>
      <c r="D22" s="115">
        <f>'Depreciation 1'!D22</f>
        <v>11442.604972753303</v>
      </c>
      <c r="E22" s="115">
        <f>'Depreciation 1'!E22</f>
        <v>0</v>
      </c>
      <c r="F22" s="115">
        <f>'Depreciation 1'!F22</f>
        <v>0</v>
      </c>
      <c r="G22" s="115">
        <f>'Depreciation 1'!G22</f>
        <v>0</v>
      </c>
      <c r="H22" s="115">
        <f>'Depreciation 1'!H22</f>
        <v>5721.3024863766514</v>
      </c>
      <c r="I22" s="115">
        <f>'Depreciation 1'!I22</f>
        <v>5721.3024863766514</v>
      </c>
      <c r="J22" s="194"/>
      <c r="K22" s="115"/>
    </row>
    <row r="23" spans="2:13" x14ac:dyDescent="0.45">
      <c r="B23" s="66"/>
      <c r="C23" s="115" t="str">
        <f>'Depreciation 1'!C23</f>
        <v>General Office Furniture</v>
      </c>
      <c r="D23" s="115">
        <f>'Depreciation 1'!D23</f>
        <v>169.8027819893008</v>
      </c>
      <c r="E23" s="115">
        <f>'Depreciation 1'!E23</f>
        <v>0</v>
      </c>
      <c r="F23" s="115">
        <f>'Depreciation 1'!F23</f>
        <v>0</v>
      </c>
      <c r="G23" s="115">
        <f>'Depreciation 1'!G23</f>
        <v>0</v>
      </c>
      <c r="H23" s="115">
        <f>'Depreciation 1'!H23</f>
        <v>84.901390994650399</v>
      </c>
      <c r="I23" s="115">
        <f>'Depreciation 1'!I23</f>
        <v>84.901390994650399</v>
      </c>
      <c r="J23" s="194"/>
      <c r="K23" s="115"/>
    </row>
    <row r="24" spans="2:13" x14ac:dyDescent="0.45">
      <c r="B24" s="66"/>
      <c r="C24" s="115" t="str">
        <f>'Depreciation 1'!C24</f>
        <v>General Transportation</v>
      </c>
      <c r="D24" s="115">
        <f>'Depreciation 1'!D24</f>
        <v>4305.1822880595591</v>
      </c>
      <c r="E24" s="115">
        <f>'Depreciation 1'!E24</f>
        <v>0</v>
      </c>
      <c r="F24" s="115">
        <f>'Depreciation 1'!F24</f>
        <v>0</v>
      </c>
      <c r="G24" s="115">
        <f>'Depreciation 1'!G24</f>
        <v>0</v>
      </c>
      <c r="H24" s="115">
        <f>'Depreciation 1'!H24</f>
        <v>2152.5911440297796</v>
      </c>
      <c r="I24" s="115">
        <f>'Depreciation 1'!I24</f>
        <v>2152.5911440297796</v>
      </c>
      <c r="J24" s="194"/>
      <c r="K24" s="115"/>
    </row>
    <row r="25" spans="2:13" x14ac:dyDescent="0.45">
      <c r="B25" s="66"/>
      <c r="C25" s="115" t="str">
        <f>'Depreciation 1'!C25</f>
        <v>General Tools, Shop, and Garage</v>
      </c>
      <c r="D25" s="115">
        <f>'Depreciation 1'!D25</f>
        <v>3694.1089924131929</v>
      </c>
      <c r="E25" s="115">
        <f>'Depreciation 1'!E25</f>
        <v>0</v>
      </c>
      <c r="F25" s="115">
        <f>'Depreciation 1'!F25</f>
        <v>0</v>
      </c>
      <c r="G25" s="115">
        <f>'Depreciation 1'!G25</f>
        <v>0</v>
      </c>
      <c r="H25" s="115">
        <f>'Depreciation 1'!H25</f>
        <v>1847.0544962065965</v>
      </c>
      <c r="I25" s="115">
        <f>'Depreciation 1'!I25</f>
        <v>1847.0544962065965</v>
      </c>
      <c r="J25" s="194"/>
      <c r="K25" s="115"/>
    </row>
    <row r="26" spans="2:13" x14ac:dyDescent="0.45">
      <c r="B26" s="66"/>
      <c r="C26" s="115" t="str">
        <f>'Depreciation 1'!C26</f>
        <v>General Power Equipment</v>
      </c>
      <c r="D26" s="115">
        <f>'Depreciation 1'!D26</f>
        <v>26455.785743490625</v>
      </c>
      <c r="E26" s="115">
        <f>'Depreciation 1'!E26</f>
        <v>0</v>
      </c>
      <c r="F26" s="115">
        <f>'Depreciation 1'!F26</f>
        <v>0</v>
      </c>
      <c r="G26" s="115">
        <f>'Depreciation 1'!G26</f>
        <v>0</v>
      </c>
      <c r="H26" s="115">
        <f>'Depreciation 1'!H26</f>
        <v>13227.892871745313</v>
      </c>
      <c r="I26" s="115">
        <f>'Depreciation 1'!I26</f>
        <v>13227.892871745313</v>
      </c>
      <c r="J26" s="194"/>
      <c r="K26" s="115"/>
    </row>
    <row r="27" spans="2:13" x14ac:dyDescent="0.45">
      <c r="B27" s="66"/>
      <c r="C27" s="115" t="str">
        <f>'Depreciation 1'!C27</f>
        <v>General Communications Equipment</v>
      </c>
      <c r="D27" s="203">
        <f>'Depreciation 1'!D27</f>
        <v>9461.115163246488</v>
      </c>
      <c r="E27" s="203">
        <f>'Depreciation 1'!E27</f>
        <v>0</v>
      </c>
      <c r="F27" s="203">
        <f>'Depreciation 1'!F27</f>
        <v>0</v>
      </c>
      <c r="G27" s="203">
        <f>'Depreciation 1'!G27</f>
        <v>0</v>
      </c>
      <c r="H27" s="203">
        <f>'Depreciation 1'!H27</f>
        <v>4730.557581623244</v>
      </c>
      <c r="I27" s="203">
        <f>'Depreciation 1'!I27</f>
        <v>4730.557581623244</v>
      </c>
      <c r="J27" s="194"/>
      <c r="K27" s="115"/>
    </row>
    <row r="28" spans="2:13" x14ac:dyDescent="0.45">
      <c r="B28" s="66"/>
      <c r="C28" s="115" t="s">
        <v>156</v>
      </c>
      <c r="D28" s="198">
        <f>SUM(D10:D27)</f>
        <v>905871.5071831008</v>
      </c>
      <c r="E28" s="198">
        <f t="shared" ref="E28:I28" si="0">SUM(E10:E27)</f>
        <v>480465.68999999989</v>
      </c>
      <c r="F28" s="198">
        <f t="shared" si="0"/>
        <v>148125.93000000002</v>
      </c>
      <c r="G28" s="198">
        <f t="shared" si="0"/>
        <v>126788.32999999999</v>
      </c>
      <c r="H28" s="198">
        <f t="shared" si="0"/>
        <v>27764.299970976237</v>
      </c>
      <c r="I28" s="198">
        <f t="shared" si="0"/>
        <v>122727.2572121246</v>
      </c>
      <c r="J28" s="194"/>
      <c r="K28" s="115"/>
      <c r="L28" s="115">
        <f>SUM(E28:I28)</f>
        <v>905871.50718310068</v>
      </c>
      <c r="M28" s="88" t="str">
        <f>IF(L28=D28,"OK","Out of Balance")</f>
        <v>OK</v>
      </c>
    </row>
    <row r="29" spans="2:13" x14ac:dyDescent="0.45">
      <c r="B29" s="66"/>
      <c r="C29" s="115"/>
      <c r="D29" s="198"/>
      <c r="E29" s="198"/>
      <c r="F29" s="198"/>
      <c r="G29" s="198"/>
      <c r="H29" s="198"/>
      <c r="I29" s="198"/>
      <c r="J29" s="194"/>
      <c r="K29" s="115"/>
    </row>
    <row r="30" spans="2:13" x14ac:dyDescent="0.45">
      <c r="B30" s="66"/>
      <c r="C30" s="115" t="s">
        <v>157</v>
      </c>
      <c r="D30" s="198">
        <f>'[2]New Project'!$G$12</f>
        <v>1500166.5053171716</v>
      </c>
      <c r="E30" s="198">
        <f>'[2]New Project'!$B$12+'[2]New Project'!$C$12</f>
        <v>1400688.1992727271</v>
      </c>
      <c r="F30" s="198">
        <f>'[2]New Project'!$D$12</f>
        <v>41642.081600000005</v>
      </c>
      <c r="G30" s="198">
        <f>'[2]New Project'!$E$12</f>
        <v>57836.224444444444</v>
      </c>
      <c r="H30" s="198">
        <v>0</v>
      </c>
      <c r="I30" s="198">
        <v>0</v>
      </c>
      <c r="J30" s="194"/>
      <c r="K30" s="115"/>
      <c r="L30" s="115">
        <f>SUM(E30:I30)</f>
        <v>1500166.5053171716</v>
      </c>
      <c r="M30" s="88" t="str">
        <f>IF(L30=D30,"OK","Out of Balance")</f>
        <v>OK</v>
      </c>
    </row>
    <row r="31" spans="2:13" x14ac:dyDescent="0.45">
      <c r="B31" s="66"/>
      <c r="C31" s="115"/>
      <c r="D31" s="115"/>
      <c r="E31" s="115"/>
      <c r="F31" s="115"/>
      <c r="G31" s="115"/>
      <c r="H31" s="115"/>
      <c r="I31" s="115"/>
      <c r="J31" s="194"/>
      <c r="K31" s="115"/>
    </row>
    <row r="32" spans="2:13" x14ac:dyDescent="0.45">
      <c r="B32" s="66"/>
      <c r="C32" s="58" t="s">
        <v>89</v>
      </c>
      <c r="D32" s="202">
        <f>D28+D30</f>
        <v>2406038.0125002721</v>
      </c>
      <c r="E32" s="202">
        <f t="shared" ref="E32:I32" si="1">E28+E30</f>
        <v>1881153.8892727271</v>
      </c>
      <c r="F32" s="202">
        <f t="shared" si="1"/>
        <v>189768.01160000003</v>
      </c>
      <c r="G32" s="202">
        <f t="shared" si="1"/>
        <v>184624.55444444442</v>
      </c>
      <c r="H32" s="202">
        <f t="shared" si="1"/>
        <v>27764.299970976237</v>
      </c>
      <c r="I32" s="202">
        <f t="shared" si="1"/>
        <v>122727.2572121246</v>
      </c>
      <c r="J32" s="194"/>
      <c r="K32" s="115"/>
      <c r="L32" s="115">
        <f>SUM(E32:I32)</f>
        <v>2406038.0125002726</v>
      </c>
      <c r="M32" s="88" t="str">
        <f>IF(L32=D32,"OK","Out of Balance")</f>
        <v>OK</v>
      </c>
    </row>
    <row r="33" spans="2:11" x14ac:dyDescent="0.45">
      <c r="B33" s="90"/>
      <c r="C33" s="203"/>
      <c r="D33" s="203"/>
      <c r="E33" s="203"/>
      <c r="F33" s="203"/>
      <c r="G33" s="203"/>
      <c r="H33" s="203"/>
      <c r="I33" s="203"/>
      <c r="J33" s="201"/>
      <c r="K33" s="115"/>
    </row>
    <row r="34" spans="2:11" x14ac:dyDescent="0.45">
      <c r="C34" s="115"/>
      <c r="D34" s="115"/>
      <c r="E34" s="204"/>
      <c r="F34" s="202"/>
      <c r="G34" s="202"/>
      <c r="H34" s="204"/>
      <c r="I34" s="204"/>
      <c r="J34" s="115"/>
      <c r="K34" s="204"/>
    </row>
    <row r="35" spans="2:11" x14ac:dyDescent="0.45">
      <c r="C35" s="115" t="s">
        <v>158</v>
      </c>
      <c r="D35" s="191">
        <f>'[2]Water + Joint'!$F$48</f>
        <v>905871.5071831008</v>
      </c>
      <c r="E35" s="125" t="str">
        <f>IF(D35=D28,"OK","Out of Balance")</f>
        <v>OK</v>
      </c>
      <c r="F35" s="115"/>
      <c r="G35" s="115"/>
      <c r="H35" s="115"/>
      <c r="I35" s="115"/>
      <c r="J35" s="115"/>
      <c r="K35" s="115"/>
    </row>
    <row r="37" spans="2:11" x14ac:dyDescent="0.45">
      <c r="D37" s="207"/>
    </row>
    <row r="38" spans="2:11" x14ac:dyDescent="0.45">
      <c r="C38" s="206"/>
      <c r="D38" s="115"/>
    </row>
    <row r="39" spans="2:11" x14ac:dyDescent="0.45">
      <c r="C39" s="207"/>
      <c r="D39" s="115"/>
    </row>
    <row r="40" spans="2:11" x14ac:dyDescent="0.45">
      <c r="C40" s="207"/>
      <c r="D40" s="115"/>
    </row>
    <row r="41" spans="2:11" x14ac:dyDescent="0.45">
      <c r="C41" s="207"/>
      <c r="D41" s="115"/>
    </row>
    <row r="42" spans="2:11" x14ac:dyDescent="0.45">
      <c r="C42" s="207"/>
      <c r="D42" s="115"/>
    </row>
    <row r="43" spans="2:11" x14ac:dyDescent="0.45">
      <c r="C43" s="207"/>
      <c r="D43" s="115"/>
    </row>
  </sheetData>
  <mergeCells count="1">
    <mergeCell ref="C3:I3"/>
  </mergeCells>
  <printOptions horizontalCentered="1"/>
  <pageMargins left="0.7" right="0.7" top="1.25" bottom="0.75" header="0.3" footer="0.3"/>
  <pageSetup scale="9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1B69E-F4F6-469C-964C-562436D97BB7}">
  <sheetPr>
    <pageSetUpPr fitToPage="1"/>
  </sheetPr>
  <dimension ref="B1:Y28"/>
  <sheetViews>
    <sheetView topLeftCell="C4" zoomScaleNormal="100" workbookViewId="0">
      <selection activeCell="G6" sqref="G6"/>
    </sheetView>
  </sheetViews>
  <sheetFormatPr defaultRowHeight="14.25" x14ac:dyDescent="0.45"/>
  <cols>
    <col min="1" max="1" width="1.77734375" style="7" customWidth="1"/>
    <col min="2" max="2" width="32.609375" style="7" customWidth="1"/>
    <col min="3" max="3" width="10.33203125" style="30" bestFit="1" customWidth="1"/>
    <col min="4" max="4" width="9.109375" style="30" bestFit="1" customWidth="1"/>
    <col min="5" max="5" width="10.33203125" style="30" bestFit="1" customWidth="1"/>
    <col min="6" max="6" width="9.109375" style="30" bestFit="1" customWidth="1"/>
    <col min="7" max="7" width="10.33203125" style="30" bestFit="1" customWidth="1"/>
    <col min="8" max="12" width="9.109375" style="30" bestFit="1" customWidth="1"/>
    <col min="13" max="13" width="10.33203125" style="30" bestFit="1" customWidth="1"/>
    <col min="14" max="14" width="9.109375" style="30" bestFit="1" customWidth="1"/>
    <col min="15" max="15" width="8.21875" style="30" bestFit="1" customWidth="1"/>
    <col min="16" max="16" width="2.33203125" style="7" customWidth="1"/>
    <col min="17" max="17" width="9.6640625" style="7" customWidth="1"/>
    <col min="18" max="20" width="8.88671875" style="7"/>
    <col min="21" max="21" width="3.609375" style="7" customWidth="1"/>
    <col min="22" max="16384" width="8.88671875" style="7"/>
  </cols>
  <sheetData>
    <row r="1" spans="2:25" x14ac:dyDescent="0.45">
      <c r="B1" s="147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47"/>
      <c r="Q1" s="147"/>
    </row>
    <row r="2" spans="2:25" x14ac:dyDescent="0.45">
      <c r="B2" s="148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268"/>
      <c r="P2" s="147"/>
      <c r="Q2" s="148"/>
      <c r="R2" s="17"/>
      <c r="S2" s="17"/>
      <c r="T2" s="17"/>
      <c r="U2" s="18"/>
      <c r="V2" s="17"/>
      <c r="W2" s="17"/>
      <c r="X2" s="17"/>
      <c r="Y2" s="18"/>
    </row>
    <row r="3" spans="2:25" x14ac:dyDescent="0.45">
      <c r="B3" s="175" t="s">
        <v>166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269"/>
      <c r="P3" s="147"/>
      <c r="Q3" s="180"/>
      <c r="U3" s="247"/>
      <c r="Y3" s="247"/>
    </row>
    <row r="4" spans="2:25" x14ac:dyDescent="0.45">
      <c r="B4" s="176" t="s">
        <v>162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270"/>
      <c r="P4" s="147"/>
      <c r="Q4" s="180"/>
      <c r="U4" s="247"/>
      <c r="Y4" s="247"/>
    </row>
    <row r="5" spans="2:25" x14ac:dyDescent="0.45">
      <c r="B5" s="309" t="s">
        <v>128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1"/>
      <c r="P5" s="147"/>
      <c r="Q5" s="180"/>
      <c r="U5" s="247"/>
      <c r="Y5" s="247"/>
    </row>
    <row r="6" spans="2:25" x14ac:dyDescent="0.45">
      <c r="B6" s="152" t="s">
        <v>115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271"/>
      <c r="P6" s="147"/>
      <c r="Q6" s="180"/>
      <c r="U6" s="247"/>
      <c r="Y6" s="247"/>
    </row>
    <row r="7" spans="2:25" x14ac:dyDescent="0.4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4"/>
      <c r="P7" s="147"/>
      <c r="Q7" s="249"/>
      <c r="R7" s="52"/>
      <c r="S7" s="52"/>
      <c r="T7" s="52"/>
      <c r="U7" s="250"/>
      <c r="V7" s="52"/>
      <c r="W7" s="52"/>
      <c r="X7" s="52"/>
      <c r="Y7" s="250"/>
    </row>
    <row r="8" spans="2:25" x14ac:dyDescent="0.45">
      <c r="B8" s="154"/>
      <c r="C8" s="155"/>
      <c r="D8" s="156"/>
      <c r="E8" s="155"/>
      <c r="F8" s="157"/>
      <c r="G8" s="155"/>
      <c r="H8" s="157"/>
      <c r="I8" s="155"/>
      <c r="J8" s="157"/>
      <c r="K8" s="155"/>
      <c r="L8" s="157"/>
      <c r="M8" s="156"/>
      <c r="N8" s="156"/>
      <c r="O8" s="157"/>
      <c r="P8" s="147"/>
      <c r="Q8" s="148"/>
      <c r="R8" s="17"/>
      <c r="S8" s="17"/>
      <c r="T8" s="17"/>
      <c r="U8" s="18"/>
      <c r="V8" s="17"/>
      <c r="W8" s="17"/>
      <c r="X8" s="17"/>
      <c r="Y8" s="18"/>
    </row>
    <row r="9" spans="2:25" x14ac:dyDescent="0.45">
      <c r="B9" s="158"/>
      <c r="C9" s="312" t="s">
        <v>116</v>
      </c>
      <c r="D9" s="313"/>
      <c r="E9" s="312" t="s">
        <v>117</v>
      </c>
      <c r="F9" s="313"/>
      <c r="G9" s="312" t="s">
        <v>118</v>
      </c>
      <c r="H9" s="313"/>
      <c r="I9" s="312" t="s">
        <v>119</v>
      </c>
      <c r="J9" s="313"/>
      <c r="K9" s="312" t="s">
        <v>120</v>
      </c>
      <c r="L9" s="313"/>
      <c r="M9" s="161" t="s">
        <v>121</v>
      </c>
      <c r="N9" s="161" t="s">
        <v>121</v>
      </c>
      <c r="O9" s="162" t="s">
        <v>121</v>
      </c>
      <c r="P9" s="147"/>
      <c r="Q9" s="137"/>
      <c r="R9" s="138"/>
      <c r="S9" s="138"/>
      <c r="T9" s="138"/>
      <c r="U9" s="278"/>
      <c r="V9" s="139"/>
      <c r="W9" s="139"/>
      <c r="X9" s="139"/>
      <c r="Y9" s="177"/>
    </row>
    <row r="10" spans="2:25" x14ac:dyDescent="0.45">
      <c r="B10" s="158"/>
      <c r="C10" s="163"/>
      <c r="D10" s="164" t="s">
        <v>122</v>
      </c>
      <c r="E10" s="165"/>
      <c r="F10" s="164" t="s">
        <v>122</v>
      </c>
      <c r="G10" s="165"/>
      <c r="H10" s="164" t="s">
        <v>122</v>
      </c>
      <c r="I10" s="165"/>
      <c r="J10" s="164" t="s">
        <v>122</v>
      </c>
      <c r="K10" s="165"/>
      <c r="L10" s="164" t="s">
        <v>122</v>
      </c>
      <c r="M10" s="161" t="s">
        <v>123</v>
      </c>
      <c r="N10" s="161" t="s">
        <v>123</v>
      </c>
      <c r="O10" s="162" t="s">
        <v>123</v>
      </c>
      <c r="P10" s="147"/>
      <c r="Q10" s="137"/>
      <c r="R10" s="138"/>
      <c r="S10" s="138"/>
      <c r="T10" s="138"/>
      <c r="U10" s="278"/>
      <c r="V10" s="140" t="s">
        <v>5</v>
      </c>
      <c r="W10" s="140" t="s">
        <v>5</v>
      </c>
      <c r="X10" s="140" t="s">
        <v>5</v>
      </c>
      <c r="Y10" s="141" t="s">
        <v>5</v>
      </c>
    </row>
    <row r="11" spans="2:25" x14ac:dyDescent="0.45">
      <c r="B11" s="158"/>
      <c r="C11" s="159" t="s">
        <v>124</v>
      </c>
      <c r="D11" s="160" t="s">
        <v>125</v>
      </c>
      <c r="E11" s="166" t="s">
        <v>124</v>
      </c>
      <c r="F11" s="160" t="s">
        <v>125</v>
      </c>
      <c r="G11" s="166" t="s">
        <v>124</v>
      </c>
      <c r="H11" s="160" t="s">
        <v>125</v>
      </c>
      <c r="I11" s="166" t="s">
        <v>124</v>
      </c>
      <c r="J11" s="160" t="s">
        <v>125</v>
      </c>
      <c r="K11" s="166" t="s">
        <v>124</v>
      </c>
      <c r="L11" s="160" t="s">
        <v>125</v>
      </c>
      <c r="M11" s="166" t="s">
        <v>64</v>
      </c>
      <c r="N11" s="166" t="s">
        <v>126</v>
      </c>
      <c r="O11" s="160" t="s">
        <v>7</v>
      </c>
      <c r="P11" s="180"/>
      <c r="Q11" s="142" t="s">
        <v>56</v>
      </c>
      <c r="R11" s="143" t="s">
        <v>131</v>
      </c>
      <c r="S11" s="143" t="s">
        <v>132</v>
      </c>
      <c r="T11" s="143" t="s">
        <v>133</v>
      </c>
      <c r="U11" s="279"/>
      <c r="V11" s="144" t="s">
        <v>56</v>
      </c>
      <c r="W11" s="145" t="s">
        <v>131</v>
      </c>
      <c r="X11" s="251" t="s">
        <v>132</v>
      </c>
      <c r="Y11" s="146" t="s">
        <v>133</v>
      </c>
    </row>
    <row r="12" spans="2:25" x14ac:dyDescent="0.45">
      <c r="B12" s="266" t="str">
        <f>'[3]Debt Service Schedule'!B12</f>
        <v>WWTP expansion and upgrade</v>
      </c>
      <c r="C12" s="43">
        <f>'[3]Debt Service Schedule'!D12</f>
        <v>386740</v>
      </c>
      <c r="D12" s="43">
        <f>'[3]Debt Service Schedule'!E12</f>
        <v>18394</v>
      </c>
      <c r="E12" s="43">
        <f>'[3]Debt Service Schedule'!F12</f>
        <v>390617</v>
      </c>
      <c r="F12" s="43">
        <f>'[3]Debt Service Schedule'!G12</f>
        <v>10754</v>
      </c>
      <c r="G12" s="43">
        <f>'[3]Debt Service Schedule'!H12</f>
        <v>394532</v>
      </c>
      <c r="H12" s="43">
        <f>'[3]Debt Service Schedule'!I12</f>
        <v>6877</v>
      </c>
      <c r="I12" s="43">
        <f>'[3]Debt Service Schedule'!J12</f>
        <v>0</v>
      </c>
      <c r="J12" s="43">
        <f>'[3]Debt Service Schedule'!K12</f>
        <v>0</v>
      </c>
      <c r="K12" s="43">
        <f>'[3]Debt Service Schedule'!L12</f>
        <v>0</v>
      </c>
      <c r="L12" s="43">
        <f>'[3]Debt Service Schedule'!M12</f>
        <v>0</v>
      </c>
      <c r="M12" s="43">
        <f>SUM(C12:L12)/5</f>
        <v>241582.8</v>
      </c>
      <c r="N12" s="167">
        <f>M12*0.2</f>
        <v>48316.56</v>
      </c>
      <c r="O12" s="277">
        <f>M12+N12</f>
        <v>289899.36</v>
      </c>
      <c r="P12" s="180"/>
      <c r="Q12" s="180">
        <f>$O12*V12</f>
        <v>0</v>
      </c>
      <c r="R12" s="147">
        <f>$O12*W12</f>
        <v>289899.36</v>
      </c>
      <c r="S12" s="147">
        <f>$O12*X12</f>
        <v>0</v>
      </c>
      <c r="T12" s="147">
        <f>$O12*Y12</f>
        <v>0</v>
      </c>
      <c r="U12" s="179"/>
      <c r="V12" s="178">
        <f>'[3]Debt Service Schedule'!W12</f>
        <v>0</v>
      </c>
      <c r="W12" s="178">
        <f>'[3]Debt Service Schedule'!X12</f>
        <v>1</v>
      </c>
      <c r="X12" s="178">
        <f>'[3]Debt Service Schedule'!Y12</f>
        <v>0</v>
      </c>
      <c r="Y12" s="179">
        <f>'[3]Debt Service Schedule'!Z12</f>
        <v>0</v>
      </c>
    </row>
    <row r="13" spans="2:25" x14ac:dyDescent="0.45">
      <c r="B13" s="266" t="str">
        <f>'[3]Debt Service Schedule'!B13</f>
        <v>Gravity and forcemain sewer extension</v>
      </c>
      <c r="C13" s="43">
        <f>'[3]Debt Service Schedule'!D13</f>
        <v>19739</v>
      </c>
      <c r="D13" s="43">
        <f>'[3]Debt Service Schedule'!E13</f>
        <v>1776</v>
      </c>
      <c r="E13" s="43">
        <f>'[3]Debt Service Schedule'!F13</f>
        <v>19937</v>
      </c>
      <c r="F13" s="43">
        <f>'[3]Debt Service Schedule'!G13</f>
        <v>1540</v>
      </c>
      <c r="G13" s="43">
        <f>'[3]Debt Service Schedule'!H13</f>
        <v>20137</v>
      </c>
      <c r="H13" s="43">
        <f>'[3]Debt Service Schedule'!I13</f>
        <v>1300</v>
      </c>
      <c r="I13" s="43">
        <f>'[3]Debt Service Schedule'!J13</f>
        <v>20339</v>
      </c>
      <c r="J13" s="43">
        <f>'[3]Debt Service Schedule'!K13</f>
        <v>1057</v>
      </c>
      <c r="K13" s="43">
        <f>'[3]Debt Service Schedule'!L13</f>
        <v>20534</v>
      </c>
      <c r="L13" s="43">
        <f>'[3]Debt Service Schedule'!M13</f>
        <v>812</v>
      </c>
      <c r="M13" s="43">
        <f t="shared" ref="M13:M22" si="0">SUM(C13:L13)/5</f>
        <v>21434.2</v>
      </c>
      <c r="N13" s="167">
        <f t="shared" ref="N13:N22" si="1">M13*0.2</f>
        <v>4286.84</v>
      </c>
      <c r="O13" s="277">
        <f t="shared" ref="O13:O22" si="2">M13+N13</f>
        <v>25721.040000000001</v>
      </c>
      <c r="P13" s="180"/>
      <c r="Q13" s="180">
        <f t="shared" ref="Q13:Q22" si="3">$O13*V13</f>
        <v>0</v>
      </c>
      <c r="R13" s="147">
        <f t="shared" ref="R13:R22" si="4">$O13*W13</f>
        <v>25721.040000000001</v>
      </c>
      <c r="S13" s="147">
        <f t="shared" ref="S13:S22" si="5">$O13*X13</f>
        <v>0</v>
      </c>
      <c r="T13" s="147">
        <f t="shared" ref="T13:T22" si="6">$O13*Y13</f>
        <v>0</v>
      </c>
      <c r="U13" s="182"/>
      <c r="V13" s="181">
        <f>'[3]Debt Service Schedule'!W13</f>
        <v>0</v>
      </c>
      <c r="W13" s="181">
        <f>'[3]Debt Service Schedule'!X13</f>
        <v>1</v>
      </c>
      <c r="X13" s="181">
        <f>'[3]Debt Service Schedule'!Y13</f>
        <v>0</v>
      </c>
      <c r="Y13" s="182">
        <f>'[3]Debt Service Schedule'!Z13</f>
        <v>0</v>
      </c>
    </row>
    <row r="14" spans="2:25" x14ac:dyDescent="0.45">
      <c r="B14" s="266" t="str">
        <f>'[3]Debt Service Schedule'!B14</f>
        <v>Gravity  and forcemain sewer extension</v>
      </c>
      <c r="C14" s="43">
        <f>'[3]Debt Service Schedule'!D14</f>
        <v>31539</v>
      </c>
      <c r="D14" s="43">
        <f>'[3]Debt Service Schedule'!E14</f>
        <v>3246</v>
      </c>
      <c r="E14" s="43">
        <f>'[3]Debt Service Schedule'!F14</f>
        <v>31856</v>
      </c>
      <c r="F14" s="43">
        <f>'[3]Debt Service Schedule'!G14</f>
        <v>2867</v>
      </c>
      <c r="G14" s="43">
        <f>'[3]Debt Service Schedule'!H14</f>
        <v>32175</v>
      </c>
      <c r="H14" s="43">
        <f>'[3]Debt Service Schedule'!I14</f>
        <v>2482</v>
      </c>
      <c r="I14" s="43">
        <f>'[3]Debt Service Schedule'!J14</f>
        <v>32498</v>
      </c>
      <c r="J14" s="43">
        <f>'[3]Debt Service Schedule'!K14</f>
        <v>2096</v>
      </c>
      <c r="K14" s="43">
        <f>'[3]Debt Service Schedule'!L14</f>
        <v>32823</v>
      </c>
      <c r="L14" s="43">
        <f>'[3]Debt Service Schedule'!M14</f>
        <v>1705</v>
      </c>
      <c r="M14" s="43">
        <f t="shared" si="0"/>
        <v>34657.4</v>
      </c>
      <c r="N14" s="167">
        <f t="shared" si="1"/>
        <v>6931.4800000000005</v>
      </c>
      <c r="O14" s="277">
        <f t="shared" si="2"/>
        <v>41588.880000000005</v>
      </c>
      <c r="P14" s="180"/>
      <c r="Q14" s="180">
        <f t="shared" si="3"/>
        <v>0</v>
      </c>
      <c r="R14" s="147">
        <f t="shared" si="4"/>
        <v>41588.880000000005</v>
      </c>
      <c r="S14" s="147">
        <f t="shared" si="5"/>
        <v>0</v>
      </c>
      <c r="T14" s="147">
        <f t="shared" si="6"/>
        <v>0</v>
      </c>
      <c r="U14" s="182"/>
      <c r="V14" s="181">
        <f>'[3]Debt Service Schedule'!W14</f>
        <v>0</v>
      </c>
      <c r="W14" s="181">
        <f>'[3]Debt Service Schedule'!X14</f>
        <v>1</v>
      </c>
      <c r="X14" s="181">
        <f>'[3]Debt Service Schedule'!Y14</f>
        <v>0</v>
      </c>
      <c r="Y14" s="182">
        <f>'[3]Debt Service Schedule'!Z14</f>
        <v>0</v>
      </c>
    </row>
    <row r="15" spans="2:25" x14ac:dyDescent="0.45">
      <c r="B15" s="266" t="str">
        <f>'[3]Debt Service Schedule'!B15</f>
        <v>WWTP expansion and upgrade</v>
      </c>
      <c r="C15" s="43">
        <f>'[3]Debt Service Schedule'!D15</f>
        <v>95456</v>
      </c>
      <c r="D15" s="43">
        <f>'[3]Debt Service Schedule'!E15</f>
        <v>11700</v>
      </c>
      <c r="E15" s="43">
        <f>'[3]Debt Service Schedule'!F15</f>
        <v>96413</v>
      </c>
      <c r="F15" s="43">
        <f>'[3]Debt Service Schedule'!G15</f>
        <v>10551</v>
      </c>
      <c r="G15" s="43">
        <f>'[3]Debt Service Schedule'!H15</f>
        <v>97379</v>
      </c>
      <c r="H15" s="43">
        <f>'[3]Debt Service Schedule'!I15</f>
        <v>9391</v>
      </c>
      <c r="I15" s="43">
        <f>'[3]Debt Service Schedule'!J15</f>
        <v>98355</v>
      </c>
      <c r="J15" s="43">
        <f>'[3]Debt Service Schedule'!K15</f>
        <v>8220</v>
      </c>
      <c r="K15" s="43">
        <f>'[3]Debt Service Schedule'!L15</f>
        <v>99342</v>
      </c>
      <c r="L15" s="43">
        <f>'[3]Debt Service Schedule'!M15</f>
        <v>7037</v>
      </c>
      <c r="M15" s="43">
        <f t="shared" si="0"/>
        <v>106768.8</v>
      </c>
      <c r="N15" s="167">
        <f t="shared" si="1"/>
        <v>21353.760000000002</v>
      </c>
      <c r="O15" s="277">
        <f t="shared" si="2"/>
        <v>128122.56</v>
      </c>
      <c r="P15" s="180"/>
      <c r="Q15" s="180">
        <f t="shared" si="3"/>
        <v>0</v>
      </c>
      <c r="R15" s="147">
        <f t="shared" si="4"/>
        <v>128122.56</v>
      </c>
      <c r="S15" s="147">
        <f t="shared" si="5"/>
        <v>0</v>
      </c>
      <c r="T15" s="147">
        <f t="shared" si="6"/>
        <v>0</v>
      </c>
      <c r="U15" s="182"/>
      <c r="V15" s="181">
        <f>'[3]Debt Service Schedule'!W15</f>
        <v>0</v>
      </c>
      <c r="W15" s="181">
        <f>'[3]Debt Service Schedule'!X15</f>
        <v>1</v>
      </c>
      <c r="X15" s="181">
        <f>'[3]Debt Service Schedule'!Y15</f>
        <v>0</v>
      </c>
      <c r="Y15" s="182">
        <f>'[3]Debt Service Schedule'!Z15</f>
        <v>0</v>
      </c>
    </row>
    <row r="16" spans="2:25" x14ac:dyDescent="0.45">
      <c r="B16" s="266" t="str">
        <f>'[3]Debt Service Schedule'!B16</f>
        <v>Gravity  and forcemain sewer extension</v>
      </c>
      <c r="C16" s="43">
        <f>'[3]Debt Service Schedule'!D16</f>
        <v>87677</v>
      </c>
      <c r="D16" s="43">
        <f>'[3]Debt Service Schedule'!E16</f>
        <v>10039</v>
      </c>
      <c r="E16" s="43">
        <f>'[3]Debt Service Schedule'!F16</f>
        <v>88336</v>
      </c>
      <c r="F16" s="43">
        <f>'[3]Debt Service Schedule'!G16</f>
        <v>9379</v>
      </c>
      <c r="G16" s="43">
        <f>'[3]Debt Service Schedule'!H16</f>
        <v>89001</v>
      </c>
      <c r="H16" s="43">
        <f>'[3]Debt Service Schedule'!I16</f>
        <v>8714</v>
      </c>
      <c r="I16" s="43">
        <f>'[3]Debt Service Schedule'!J16</f>
        <v>89671</v>
      </c>
      <c r="J16" s="43">
        <f>'[3]Debt Service Schedule'!K16</f>
        <v>8044</v>
      </c>
      <c r="K16" s="43">
        <f>'[3]Debt Service Schedule'!L16</f>
        <v>90346</v>
      </c>
      <c r="L16" s="43">
        <f>'[3]Debt Service Schedule'!M16</f>
        <v>7369</v>
      </c>
      <c r="M16" s="43">
        <f t="shared" si="0"/>
        <v>97715.199999999997</v>
      </c>
      <c r="N16" s="167">
        <f t="shared" si="1"/>
        <v>19543.04</v>
      </c>
      <c r="O16" s="277">
        <f t="shared" si="2"/>
        <v>117258.23999999999</v>
      </c>
      <c r="P16" s="180"/>
      <c r="Q16" s="180">
        <f t="shared" si="3"/>
        <v>0</v>
      </c>
      <c r="R16" s="147">
        <f t="shared" si="4"/>
        <v>117258.23999999999</v>
      </c>
      <c r="S16" s="147">
        <f t="shared" si="5"/>
        <v>0</v>
      </c>
      <c r="T16" s="147">
        <f t="shared" si="6"/>
        <v>0</v>
      </c>
      <c r="U16" s="182"/>
      <c r="V16" s="181">
        <f>'[3]Debt Service Schedule'!W16</f>
        <v>0</v>
      </c>
      <c r="W16" s="181">
        <f>'[3]Debt Service Schedule'!X16</f>
        <v>1</v>
      </c>
      <c r="X16" s="181">
        <f>'[3]Debt Service Schedule'!Y16</f>
        <v>0</v>
      </c>
      <c r="Y16" s="182">
        <f>'[3]Debt Service Schedule'!Z16</f>
        <v>0</v>
      </c>
    </row>
    <row r="17" spans="2:25" x14ac:dyDescent="0.45">
      <c r="B17" s="266" t="str">
        <f>'[3]Debt Service Schedule'!B17</f>
        <v>Gravity  and forcemain sewer extension</v>
      </c>
      <c r="C17" s="43">
        <f>'[3]Debt Service Schedule'!D17</f>
        <v>172292</v>
      </c>
      <c r="D17" s="43">
        <f>'[3]Debt Service Schedule'!E17</f>
        <v>116066</v>
      </c>
      <c r="E17" s="43">
        <f>'[3]Debt Service Schedule'!F17</f>
        <v>177090</v>
      </c>
      <c r="F17" s="43">
        <f>'[3]Debt Service Schedule'!G17</f>
        <v>111268</v>
      </c>
      <c r="G17" s="43">
        <f>'[3]Debt Service Schedule'!H17</f>
        <v>182022</v>
      </c>
      <c r="H17" s="43">
        <f>'[3]Debt Service Schedule'!I17</f>
        <v>106336</v>
      </c>
      <c r="I17" s="43">
        <f>'[3]Debt Service Schedule'!J17</f>
        <v>187091</v>
      </c>
      <c r="J17" s="43">
        <f>'[3]Debt Service Schedule'!K17</f>
        <v>101267</v>
      </c>
      <c r="K17" s="43">
        <f>'[3]Debt Service Schedule'!L17</f>
        <v>192301</v>
      </c>
      <c r="L17" s="43">
        <f>'[3]Debt Service Schedule'!M17</f>
        <v>96056</v>
      </c>
      <c r="M17" s="43">
        <f t="shared" si="0"/>
        <v>288357.8</v>
      </c>
      <c r="N17" s="167">
        <f t="shared" si="1"/>
        <v>57671.56</v>
      </c>
      <c r="O17" s="277">
        <f t="shared" si="2"/>
        <v>346029.36</v>
      </c>
      <c r="P17" s="180"/>
      <c r="Q17" s="180">
        <f t="shared" si="3"/>
        <v>0</v>
      </c>
      <c r="R17" s="147">
        <f t="shared" si="4"/>
        <v>346029.36</v>
      </c>
      <c r="S17" s="147">
        <f t="shared" si="5"/>
        <v>0</v>
      </c>
      <c r="T17" s="147">
        <f t="shared" si="6"/>
        <v>0</v>
      </c>
      <c r="U17" s="182"/>
      <c r="V17" s="181">
        <f>'[3]Debt Service Schedule'!W17</f>
        <v>0</v>
      </c>
      <c r="W17" s="181">
        <f>'[3]Debt Service Schedule'!X17</f>
        <v>1</v>
      </c>
      <c r="X17" s="181">
        <f>'[3]Debt Service Schedule'!Y17</f>
        <v>0</v>
      </c>
      <c r="Y17" s="182">
        <f>'[3]Debt Service Schedule'!Z17</f>
        <v>0</v>
      </c>
    </row>
    <row r="18" spans="2:25" x14ac:dyDescent="0.45">
      <c r="B18" s="266" t="str">
        <f>'[3]Debt Service Schedule'!B18</f>
        <v>Gravity and forcemain sewer extension</v>
      </c>
      <c r="C18" s="43">
        <f>'[3]Debt Service Schedule'!D18</f>
        <v>28630</v>
      </c>
      <c r="D18" s="43">
        <f>'[3]Debt Service Schedule'!E18</f>
        <v>9577</v>
      </c>
      <c r="E18" s="43">
        <f>'[3]Debt Service Schedule'!F18</f>
        <v>29062</v>
      </c>
      <c r="F18" s="43">
        <f>'[3]Debt Service Schedule'!G18</f>
        <v>9145</v>
      </c>
      <c r="G18" s="43">
        <f>'[3]Debt Service Schedule'!H18</f>
        <v>29501</v>
      </c>
      <c r="H18" s="43">
        <f>'[3]Debt Service Schedule'!I18</f>
        <v>8706</v>
      </c>
      <c r="I18" s="43">
        <f>'[3]Debt Service Schedule'!J18</f>
        <v>29947</v>
      </c>
      <c r="J18" s="43">
        <f>'[3]Debt Service Schedule'!K18</f>
        <v>8260</v>
      </c>
      <c r="K18" s="43">
        <f>'[3]Debt Service Schedule'!L18</f>
        <v>30399</v>
      </c>
      <c r="L18" s="43">
        <f>'[3]Debt Service Schedule'!M18</f>
        <v>7808</v>
      </c>
      <c r="M18" s="43">
        <f t="shared" si="0"/>
        <v>38207</v>
      </c>
      <c r="N18" s="167">
        <f t="shared" si="1"/>
        <v>7641.4000000000005</v>
      </c>
      <c r="O18" s="277">
        <f t="shared" si="2"/>
        <v>45848.4</v>
      </c>
      <c r="P18" s="180"/>
      <c r="Q18" s="180">
        <f t="shared" si="3"/>
        <v>0</v>
      </c>
      <c r="R18" s="147">
        <f t="shared" si="4"/>
        <v>45848.4</v>
      </c>
      <c r="S18" s="147">
        <f t="shared" si="5"/>
        <v>0</v>
      </c>
      <c r="T18" s="147">
        <f t="shared" si="6"/>
        <v>0</v>
      </c>
      <c r="U18" s="182"/>
      <c r="V18" s="181">
        <f>'[3]Debt Service Schedule'!W18</f>
        <v>0</v>
      </c>
      <c r="W18" s="181">
        <f>'[3]Debt Service Schedule'!X18</f>
        <v>1</v>
      </c>
      <c r="X18" s="181">
        <f>'[3]Debt Service Schedule'!Y18</f>
        <v>0</v>
      </c>
      <c r="Y18" s="182">
        <f>'[3]Debt Service Schedule'!Z18</f>
        <v>0</v>
      </c>
    </row>
    <row r="19" spans="2:25" x14ac:dyDescent="0.45">
      <c r="B19" s="266" t="str">
        <f>'[3]Debt Service Schedule'!B19</f>
        <v>New WTP, Raw Water Line, Storage Tank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f>SUM(C19:L19)/5</f>
        <v>0</v>
      </c>
      <c r="N19" s="167">
        <f>M19*0.2</f>
        <v>0</v>
      </c>
      <c r="O19" s="277">
        <f>M19+N19</f>
        <v>0</v>
      </c>
      <c r="P19" s="180"/>
      <c r="Q19" s="180">
        <f>$O19*V19</f>
        <v>0</v>
      </c>
      <c r="R19" s="147">
        <f>$O19*W19</f>
        <v>0</v>
      </c>
      <c r="S19" s="147">
        <f>$O19*X19</f>
        <v>0</v>
      </c>
      <c r="T19" s="147">
        <f>$O19*Y19</f>
        <v>0</v>
      </c>
      <c r="U19" s="182"/>
      <c r="V19" s="181">
        <f>'[3]Debt Service Schedule'!W19</f>
        <v>1</v>
      </c>
      <c r="W19" s="181">
        <f>'[3]Debt Service Schedule'!X19</f>
        <v>0</v>
      </c>
      <c r="X19" s="181">
        <f>'[3]Debt Service Schedule'!Y19</f>
        <v>0</v>
      </c>
      <c r="Y19" s="182">
        <f>'[3]Debt Service Schedule'!Z19</f>
        <v>0</v>
      </c>
    </row>
    <row r="20" spans="2:25" x14ac:dyDescent="0.45">
      <c r="B20" s="266" t="str">
        <f>'[3]Debt Service Schedule'!B20</f>
        <v>Right to use water source (Cave Run Lake)</v>
      </c>
      <c r="C20" s="246">
        <f>'[3]Debt Service Schedule'!D20</f>
        <v>160000</v>
      </c>
      <c r="D20" s="246">
        <f>'[3]Debt Service Schedule'!E20</f>
        <v>123313</v>
      </c>
      <c r="E20" s="246">
        <f>'[3]Debt Service Schedule'!F20</f>
        <v>165000</v>
      </c>
      <c r="F20" s="246">
        <f>'[3]Debt Service Schedule'!G20</f>
        <v>115188</v>
      </c>
      <c r="G20" s="246">
        <f>'[3]Debt Service Schedule'!H20</f>
        <v>175000</v>
      </c>
      <c r="H20" s="246">
        <f>'[3]Debt Service Schedule'!I20</f>
        <v>106688</v>
      </c>
      <c r="I20" s="246">
        <f>'[3]Debt Service Schedule'!J20</f>
        <v>185000</v>
      </c>
      <c r="J20" s="246">
        <f>'[3]Debt Service Schedule'!K20</f>
        <v>97688</v>
      </c>
      <c r="K20" s="246">
        <f>'[3]Debt Service Schedule'!L20</f>
        <v>195000</v>
      </c>
      <c r="L20" s="43">
        <f>'[3]Debt Service Schedule'!M20</f>
        <v>88188</v>
      </c>
      <c r="M20" s="43">
        <f t="shared" si="0"/>
        <v>282213</v>
      </c>
      <c r="N20" s="167">
        <f t="shared" si="1"/>
        <v>56442.600000000006</v>
      </c>
      <c r="O20" s="277">
        <f t="shared" si="2"/>
        <v>338655.6</v>
      </c>
      <c r="P20" s="180"/>
      <c r="Q20" s="180">
        <f t="shared" si="3"/>
        <v>246180.50587961884</v>
      </c>
      <c r="R20" s="147">
        <f t="shared" si="4"/>
        <v>92475.094120381124</v>
      </c>
      <c r="S20" s="147">
        <f t="shared" si="5"/>
        <v>0</v>
      </c>
      <c r="T20" s="147">
        <f t="shared" si="6"/>
        <v>0</v>
      </c>
      <c r="U20" s="182"/>
      <c r="V20" s="181">
        <f>'[3]Debt Service Schedule'!W20</f>
        <v>0.72693469672321631</v>
      </c>
      <c r="W20" s="181">
        <f>'[3]Debt Service Schedule'!X20</f>
        <v>0.27306530327678363</v>
      </c>
      <c r="X20" s="181">
        <f>'[3]Debt Service Schedule'!Y20</f>
        <v>0</v>
      </c>
      <c r="Y20" s="182">
        <f>'[3]Debt Service Schedule'!Z20</f>
        <v>0</v>
      </c>
    </row>
    <row r="21" spans="2:25" x14ac:dyDescent="0.45">
      <c r="B21" s="266" t="str">
        <f>'[3]Debt Service Schedule'!B21</f>
        <v>WTP and WWTP expansion and system upgrade</v>
      </c>
      <c r="C21" s="43">
        <f>'[3]Debt Service Schedule'!D21</f>
        <v>0</v>
      </c>
      <c r="D21" s="43">
        <f>'[3]Debt Service Schedule'!E21</f>
        <v>115368</v>
      </c>
      <c r="E21" s="43">
        <f>'[3]Debt Service Schedule'!F21</f>
        <v>50402.64</v>
      </c>
      <c r="F21" s="43">
        <f>'[3]Debt Service Schedule'!G21</f>
        <v>64965.36</v>
      </c>
      <c r="G21" s="43">
        <f>'[3]Debt Service Schedule'!H21</f>
        <v>49103.33</v>
      </c>
      <c r="H21" s="43">
        <f>'[3]Debt Service Schedule'!I21</f>
        <v>66264.67</v>
      </c>
      <c r="I21" s="43">
        <f>'[3]Debt Service Schedule'!J21</f>
        <v>47778.04</v>
      </c>
      <c r="J21" s="43">
        <f>'[3]Debt Service Schedule'!K21</f>
        <v>67589.960000000006</v>
      </c>
      <c r="K21" s="43">
        <f>'[3]Debt Service Schedule'!L21</f>
        <v>46426.239999999998</v>
      </c>
      <c r="L21" s="43">
        <f>'[3]Debt Service Schedule'!M21</f>
        <v>68941.759999999995</v>
      </c>
      <c r="M21" s="43">
        <f t="shared" si="0"/>
        <v>115368</v>
      </c>
      <c r="N21" s="167">
        <f t="shared" si="1"/>
        <v>23073.600000000002</v>
      </c>
      <c r="O21" s="277">
        <f t="shared" si="2"/>
        <v>138441.60000000001</v>
      </c>
      <c r="P21" s="180"/>
      <c r="Q21" s="180">
        <f t="shared" si="3"/>
        <v>138441.60000000001</v>
      </c>
      <c r="R21" s="147">
        <f t="shared" si="4"/>
        <v>0</v>
      </c>
      <c r="S21" s="147">
        <f t="shared" si="5"/>
        <v>0</v>
      </c>
      <c r="T21" s="147">
        <f t="shared" si="6"/>
        <v>0</v>
      </c>
      <c r="U21" s="182"/>
      <c r="V21" s="181">
        <f>'[3]Debt Service Schedule'!W21</f>
        <v>1</v>
      </c>
      <c r="W21" s="181">
        <f>'[3]Debt Service Schedule'!X21</f>
        <v>0</v>
      </c>
      <c r="X21" s="181">
        <f>'[3]Debt Service Schedule'!Y21</f>
        <v>0</v>
      </c>
      <c r="Y21" s="182">
        <f>'[3]Debt Service Schedule'!Z21</f>
        <v>0</v>
      </c>
    </row>
    <row r="22" spans="2:25" x14ac:dyDescent="0.45">
      <c r="B22" s="266" t="str">
        <f>'[3]Debt Service Schedule'!B22</f>
        <v>Fleet vehicles</v>
      </c>
      <c r="C22" s="43">
        <f>'[3]Debt Service Schedule'!D22</f>
        <v>174975.35</v>
      </c>
      <c r="D22" s="43">
        <f>'[3]Debt Service Schedule'!E22</f>
        <v>34221.71</v>
      </c>
      <c r="E22" s="43">
        <f>'[3]Debt Service Schedule'!F22</f>
        <v>113651.62</v>
      </c>
      <c r="F22" s="43">
        <f>'[3]Debt Service Schedule'!G22</f>
        <v>23606.47</v>
      </c>
      <c r="G22" s="43">
        <f>'[3]Debt Service Schedule'!H22</f>
        <v>89917.09</v>
      </c>
      <c r="H22" s="43">
        <f>'[3]Debt Service Schedule'!I22</f>
        <v>19297.87</v>
      </c>
      <c r="I22" s="43">
        <f>'[3]Debt Service Schedule'!J22</f>
        <v>67709.13</v>
      </c>
      <c r="J22" s="43">
        <f>'[3]Debt Service Schedule'!K22</f>
        <v>15981.52</v>
      </c>
      <c r="K22" s="43">
        <f>'[3]Debt Service Schedule'!L22</f>
        <v>40283.54</v>
      </c>
      <c r="L22" s="43">
        <f>'[3]Debt Service Schedule'!M22</f>
        <v>10226.08</v>
      </c>
      <c r="M22" s="43">
        <f t="shared" si="0"/>
        <v>117974.076</v>
      </c>
      <c r="N22" s="167">
        <f t="shared" si="1"/>
        <v>23594.815200000001</v>
      </c>
      <c r="O22" s="277">
        <f t="shared" si="2"/>
        <v>141568.89120000001</v>
      </c>
      <c r="P22" s="180"/>
      <c r="Q22" s="249">
        <f t="shared" si="3"/>
        <v>42797.572799999994</v>
      </c>
      <c r="R22" s="252">
        <f t="shared" si="4"/>
        <v>40798.099200000004</v>
      </c>
      <c r="S22" s="252">
        <f t="shared" si="5"/>
        <v>28986.6096</v>
      </c>
      <c r="T22" s="252">
        <f t="shared" si="6"/>
        <v>28986.6096</v>
      </c>
      <c r="U22" s="182"/>
      <c r="V22" s="181">
        <f>'[3]Debt Service Schedule'!W22</f>
        <v>0.30230916154833876</v>
      </c>
      <c r="W22" s="181">
        <f>'[3]Debt Service Schedule'!X22</f>
        <v>0.28818548237665365</v>
      </c>
      <c r="X22" s="181">
        <f>'[3]Debt Service Schedule'!Y22</f>
        <v>0.20475267803750374</v>
      </c>
      <c r="Y22" s="182">
        <f>'[3]Debt Service Schedule'!Z22</f>
        <v>0.20475267803750374</v>
      </c>
    </row>
    <row r="23" spans="2:25" x14ac:dyDescent="0.45">
      <c r="B23" s="267" t="s">
        <v>127</v>
      </c>
      <c r="C23" s="168">
        <f t="shared" ref="C23:O23" si="7">SUM(C12:C22)</f>
        <v>1157048.3500000001</v>
      </c>
      <c r="D23" s="169">
        <f t="shared" si="7"/>
        <v>443700.71</v>
      </c>
      <c r="E23" s="168">
        <f t="shared" si="7"/>
        <v>1162365.2599999998</v>
      </c>
      <c r="F23" s="169">
        <f t="shared" si="7"/>
        <v>359263.82999999996</v>
      </c>
      <c r="G23" s="168">
        <f t="shared" si="7"/>
        <v>1158767.4200000002</v>
      </c>
      <c r="H23" s="169">
        <f t="shared" si="7"/>
        <v>336056.54</v>
      </c>
      <c r="I23" s="168">
        <f t="shared" si="7"/>
        <v>758388.17</v>
      </c>
      <c r="J23" s="169">
        <f t="shared" si="7"/>
        <v>310203.48000000004</v>
      </c>
      <c r="K23" s="168">
        <f t="shared" si="7"/>
        <v>747454.78</v>
      </c>
      <c r="L23" s="169">
        <f t="shared" si="7"/>
        <v>288142.84000000003</v>
      </c>
      <c r="M23" s="168">
        <f t="shared" si="7"/>
        <v>1344278.2760000001</v>
      </c>
      <c r="N23" s="169">
        <f t="shared" si="7"/>
        <v>268855.65519999998</v>
      </c>
      <c r="O23" s="170">
        <f t="shared" si="7"/>
        <v>1613133.9312</v>
      </c>
      <c r="P23" s="147"/>
      <c r="Q23" s="248">
        <f>SUM(Q12:Q22)</f>
        <v>427419.67867961887</v>
      </c>
      <c r="R23" s="183">
        <f>SUM(R12:R22)</f>
        <v>1127741.0333203811</v>
      </c>
      <c r="S23" s="183">
        <f>SUM(S12:S22)</f>
        <v>28986.6096</v>
      </c>
      <c r="T23" s="183">
        <f>SUM(T12:T22)</f>
        <v>28986.6096</v>
      </c>
      <c r="U23" s="247"/>
      <c r="Y23" s="247"/>
    </row>
    <row r="24" spans="2:25" x14ac:dyDescent="0.45">
      <c r="B24" s="171"/>
      <c r="C24" s="172"/>
      <c r="D24" s="173"/>
      <c r="E24" s="172"/>
      <c r="F24" s="174"/>
      <c r="G24" s="172"/>
      <c r="H24" s="174"/>
      <c r="I24" s="172"/>
      <c r="J24" s="174"/>
      <c r="K24" s="172"/>
      <c r="L24" s="174"/>
      <c r="M24" s="173"/>
      <c r="N24" s="173"/>
      <c r="O24" s="174"/>
      <c r="P24" s="147"/>
      <c r="Q24" s="249"/>
      <c r="R24" s="52"/>
      <c r="S24" s="52"/>
      <c r="T24" s="52"/>
      <c r="U24" s="250"/>
      <c r="V24" s="52"/>
      <c r="W24" s="52"/>
      <c r="X24" s="52"/>
      <c r="Y24" s="250"/>
    </row>
    <row r="26" spans="2:25" x14ac:dyDescent="0.45">
      <c r="K26" s="30" t="s">
        <v>113</v>
      </c>
      <c r="M26" s="30">
        <f>'[3]Debt Service Schedule'!$Q$23-'[3]Debt Service Schedule'!$Q$19</f>
        <v>1344278.2760000001</v>
      </c>
      <c r="O26" s="30">
        <f>'[3]Debt Service Schedule'!$Q$30</f>
        <v>1613133.9312</v>
      </c>
      <c r="Q26" s="129">
        <f>SUM(Q23:T23)</f>
        <v>1613133.9312</v>
      </c>
    </row>
    <row r="28" spans="2:25" x14ac:dyDescent="0.45">
      <c r="M28" s="184" t="str">
        <f>IF(M23=M26,"OK","Out of Balance")</f>
        <v>OK</v>
      </c>
      <c r="O28" s="184" t="str">
        <f>IF(O23=O26,"OK","Out of Balance")</f>
        <v>OK</v>
      </c>
      <c r="Q28" s="185" t="str">
        <f>IF(Q26=O26,"OK","Out of Balance")</f>
        <v>OK</v>
      </c>
    </row>
  </sheetData>
  <mergeCells count="6">
    <mergeCell ref="B5:O5"/>
    <mergeCell ref="C9:D9"/>
    <mergeCell ref="E9:F9"/>
    <mergeCell ref="G9:H9"/>
    <mergeCell ref="I9:J9"/>
    <mergeCell ref="K9:L9"/>
  </mergeCells>
  <printOptions horizontalCentered="1" verticalCentered="1"/>
  <pageMargins left="0.25" right="0.25" top="0.75" bottom="0.75" header="0.3" footer="0.3"/>
  <pageSetup scale="56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AB132-5541-41DD-BAA7-FF6F751D1C88}">
  <sheetPr>
    <pageSetUpPr fitToPage="1"/>
  </sheetPr>
  <dimension ref="B1:Y28"/>
  <sheetViews>
    <sheetView zoomScaleNormal="100" workbookViewId="0">
      <selection activeCell="U25" sqref="A1:U25"/>
    </sheetView>
  </sheetViews>
  <sheetFormatPr defaultRowHeight="14.25" x14ac:dyDescent="0.45"/>
  <cols>
    <col min="1" max="1" width="1.77734375" style="7" customWidth="1"/>
    <col min="2" max="2" width="32.609375" style="7" customWidth="1"/>
    <col min="3" max="3" width="10.33203125" style="30" hidden="1" customWidth="1"/>
    <col min="4" max="4" width="9.109375" style="30" hidden="1" customWidth="1"/>
    <col min="5" max="5" width="10.33203125" style="30" hidden="1" customWidth="1"/>
    <col min="6" max="6" width="9.109375" style="30" hidden="1" customWidth="1"/>
    <col min="7" max="7" width="10.33203125" style="30" bestFit="1" customWidth="1"/>
    <col min="8" max="12" width="9.109375" style="30" bestFit="1" customWidth="1"/>
    <col min="13" max="13" width="10.33203125" style="30" bestFit="1" customWidth="1"/>
    <col min="14" max="14" width="9.109375" style="30" bestFit="1" customWidth="1"/>
    <col min="15" max="15" width="8.21875" style="30" bestFit="1" customWidth="1"/>
    <col min="16" max="16" width="2.33203125" style="7" customWidth="1"/>
    <col min="17" max="17" width="9.6640625" style="7" customWidth="1"/>
    <col min="18" max="20" width="8.88671875" style="7"/>
    <col min="21" max="21" width="3.609375" style="7" customWidth="1"/>
    <col min="22" max="16384" width="8.88671875" style="7"/>
  </cols>
  <sheetData>
    <row r="1" spans="2:25" x14ac:dyDescent="0.45">
      <c r="B1" s="147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47"/>
      <c r="Q1" s="147"/>
    </row>
    <row r="2" spans="2:25" x14ac:dyDescent="0.45">
      <c r="B2" s="148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268"/>
      <c r="P2" s="147"/>
      <c r="Q2" s="148"/>
      <c r="R2" s="17"/>
      <c r="S2" s="17"/>
      <c r="T2" s="17"/>
      <c r="U2" s="18"/>
    </row>
    <row r="3" spans="2:25" x14ac:dyDescent="0.45">
      <c r="B3" s="175" t="s">
        <v>167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269"/>
      <c r="P3" s="147"/>
      <c r="Q3" s="180"/>
      <c r="U3" s="247"/>
    </row>
    <row r="4" spans="2:25" x14ac:dyDescent="0.45">
      <c r="B4" s="176" t="s">
        <v>163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270"/>
      <c r="P4" s="147"/>
      <c r="Q4" s="180"/>
      <c r="U4" s="247"/>
    </row>
    <row r="5" spans="2:25" x14ac:dyDescent="0.45">
      <c r="B5" s="309" t="s">
        <v>128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1"/>
      <c r="P5" s="147"/>
      <c r="Q5" s="180"/>
      <c r="U5" s="247"/>
    </row>
    <row r="6" spans="2:25" x14ac:dyDescent="0.45">
      <c r="B6" s="152" t="s">
        <v>164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271"/>
      <c r="P6" s="147"/>
      <c r="Q6" s="180"/>
      <c r="U6" s="247"/>
    </row>
    <row r="7" spans="2:25" x14ac:dyDescent="0.4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4"/>
      <c r="P7" s="147"/>
      <c r="Q7" s="249"/>
      <c r="U7" s="250"/>
    </row>
    <row r="8" spans="2:25" x14ac:dyDescent="0.45">
      <c r="B8" s="154"/>
      <c r="C8" s="155"/>
      <c r="D8" s="156"/>
      <c r="E8" s="155"/>
      <c r="F8" s="157"/>
      <c r="G8" s="155"/>
      <c r="H8" s="157"/>
      <c r="I8" s="155"/>
      <c r="J8" s="157"/>
      <c r="K8" s="155"/>
      <c r="L8" s="157"/>
      <c r="M8" s="156"/>
      <c r="N8" s="156"/>
      <c r="O8" s="157"/>
      <c r="P8" s="147"/>
      <c r="Q8" s="148"/>
      <c r="R8" s="17"/>
      <c r="S8" s="17"/>
      <c r="T8" s="17"/>
      <c r="U8" s="18"/>
      <c r="V8" s="17"/>
      <c r="W8" s="17"/>
      <c r="X8" s="17"/>
      <c r="Y8" s="18"/>
    </row>
    <row r="9" spans="2:25" x14ac:dyDescent="0.45">
      <c r="B9" s="158"/>
      <c r="C9" s="312"/>
      <c r="D9" s="313"/>
      <c r="E9" s="312"/>
      <c r="F9" s="313"/>
      <c r="G9" s="312" t="s">
        <v>118</v>
      </c>
      <c r="H9" s="313"/>
      <c r="I9" s="312" t="s">
        <v>119</v>
      </c>
      <c r="J9" s="313"/>
      <c r="K9" s="312" t="s">
        <v>120</v>
      </c>
      <c r="L9" s="313"/>
      <c r="M9" s="161" t="s">
        <v>121</v>
      </c>
      <c r="N9" s="161" t="s">
        <v>121</v>
      </c>
      <c r="O9" s="162" t="s">
        <v>121</v>
      </c>
      <c r="P9" s="147"/>
      <c r="Q9" s="137"/>
      <c r="R9" s="138"/>
      <c r="S9" s="138"/>
      <c r="T9" s="138"/>
      <c r="U9" s="278"/>
      <c r="V9" s="139"/>
      <c r="W9" s="139"/>
      <c r="X9" s="139"/>
      <c r="Y9" s="177"/>
    </row>
    <row r="10" spans="2:25" x14ac:dyDescent="0.45">
      <c r="B10" s="158"/>
      <c r="C10" s="163"/>
      <c r="D10" s="164"/>
      <c r="E10" s="165"/>
      <c r="F10" s="164"/>
      <c r="G10" s="165"/>
      <c r="H10" s="164" t="s">
        <v>122</v>
      </c>
      <c r="I10" s="165"/>
      <c r="J10" s="164" t="s">
        <v>122</v>
      </c>
      <c r="K10" s="165"/>
      <c r="L10" s="164" t="s">
        <v>122</v>
      </c>
      <c r="M10" s="161" t="s">
        <v>123</v>
      </c>
      <c r="N10" s="161" t="s">
        <v>123</v>
      </c>
      <c r="O10" s="162" t="s">
        <v>123</v>
      </c>
      <c r="P10" s="147"/>
      <c r="Q10" s="137"/>
      <c r="R10" s="138"/>
      <c r="S10" s="138"/>
      <c r="T10" s="138"/>
      <c r="U10" s="278"/>
      <c r="V10" s="140" t="s">
        <v>5</v>
      </c>
      <c r="W10" s="140" t="s">
        <v>5</v>
      </c>
      <c r="X10" s="140" t="s">
        <v>5</v>
      </c>
      <c r="Y10" s="141" t="s">
        <v>5</v>
      </c>
    </row>
    <row r="11" spans="2:25" x14ac:dyDescent="0.45">
      <c r="B11" s="158"/>
      <c r="C11" s="159"/>
      <c r="D11" s="160"/>
      <c r="E11" s="166"/>
      <c r="F11" s="160"/>
      <c r="G11" s="166" t="s">
        <v>124</v>
      </c>
      <c r="H11" s="160" t="s">
        <v>125</v>
      </c>
      <c r="I11" s="166" t="s">
        <v>124</v>
      </c>
      <c r="J11" s="160" t="s">
        <v>125</v>
      </c>
      <c r="K11" s="166" t="s">
        <v>124</v>
      </c>
      <c r="L11" s="160" t="s">
        <v>125</v>
      </c>
      <c r="M11" s="166" t="s">
        <v>64</v>
      </c>
      <c r="N11" s="166" t="s">
        <v>126</v>
      </c>
      <c r="O11" s="160" t="s">
        <v>7</v>
      </c>
      <c r="P11" s="180"/>
      <c r="Q11" s="142" t="s">
        <v>56</v>
      </c>
      <c r="R11" s="143" t="s">
        <v>131</v>
      </c>
      <c r="S11" s="143" t="s">
        <v>132</v>
      </c>
      <c r="T11" s="143" t="s">
        <v>133</v>
      </c>
      <c r="U11" s="279"/>
      <c r="V11" s="144" t="s">
        <v>56</v>
      </c>
      <c r="W11" s="145" t="s">
        <v>131</v>
      </c>
      <c r="X11" s="251" t="s">
        <v>132</v>
      </c>
      <c r="Y11" s="146" t="s">
        <v>133</v>
      </c>
    </row>
    <row r="12" spans="2:25" x14ac:dyDescent="0.45">
      <c r="B12" s="266" t="str">
        <f>'[3]Debt Service Schedule'!B12</f>
        <v>WWTP expansion and upgrade</v>
      </c>
      <c r="C12" s="43"/>
      <c r="D12" s="43"/>
      <c r="E12" s="43"/>
      <c r="F12" s="43"/>
      <c r="G12" s="43">
        <f>'[3]Debt Service Schedule'!H12</f>
        <v>394532</v>
      </c>
      <c r="H12" s="43">
        <f>'[3]Debt Service Schedule'!I12</f>
        <v>6877</v>
      </c>
      <c r="I12" s="43">
        <f>'[3]Debt Service Schedule'!J12</f>
        <v>0</v>
      </c>
      <c r="J12" s="43">
        <f>'[3]Debt Service Schedule'!K12</f>
        <v>0</v>
      </c>
      <c r="K12" s="43">
        <f>'[3]Debt Service Schedule'!L12</f>
        <v>0</v>
      </c>
      <c r="L12" s="43">
        <f>'[3]Debt Service Schedule'!M12</f>
        <v>0</v>
      </c>
      <c r="M12" s="43">
        <f>SUM(G12:L12)/3</f>
        <v>133803</v>
      </c>
      <c r="N12" s="167">
        <f>M12*0.2</f>
        <v>26760.600000000002</v>
      </c>
      <c r="O12" s="277">
        <f>M12+N12</f>
        <v>160563.6</v>
      </c>
      <c r="P12" s="180"/>
      <c r="Q12" s="180">
        <f>$O12*V12</f>
        <v>0</v>
      </c>
      <c r="R12" s="147">
        <f>$O12*W12</f>
        <v>160563.6</v>
      </c>
      <c r="S12" s="147">
        <f>$O12*X12</f>
        <v>0</v>
      </c>
      <c r="T12" s="147">
        <f>$O12*Y12</f>
        <v>0</v>
      </c>
      <c r="U12" s="179"/>
      <c r="V12" s="178">
        <f>'[3]Debt Service Schedule'!W12</f>
        <v>0</v>
      </c>
      <c r="W12" s="178">
        <f>'[3]Debt Service Schedule'!X12</f>
        <v>1</v>
      </c>
      <c r="X12" s="178">
        <f>'[3]Debt Service Schedule'!Y12</f>
        <v>0</v>
      </c>
      <c r="Y12" s="179">
        <f>'[3]Debt Service Schedule'!Z12</f>
        <v>0</v>
      </c>
    </row>
    <row r="13" spans="2:25" x14ac:dyDescent="0.45">
      <c r="B13" s="266" t="str">
        <f>'[3]Debt Service Schedule'!B13</f>
        <v>Gravity and forcemain sewer extension</v>
      </c>
      <c r="C13" s="43"/>
      <c r="D13" s="43"/>
      <c r="E13" s="43"/>
      <c r="F13" s="43"/>
      <c r="G13" s="43">
        <f>'[3]Debt Service Schedule'!H13</f>
        <v>20137</v>
      </c>
      <c r="H13" s="43">
        <f>'[3]Debt Service Schedule'!I13</f>
        <v>1300</v>
      </c>
      <c r="I13" s="43">
        <f>'[3]Debt Service Schedule'!J13</f>
        <v>20339</v>
      </c>
      <c r="J13" s="43">
        <f>'[3]Debt Service Schedule'!K13</f>
        <v>1057</v>
      </c>
      <c r="K13" s="43">
        <f>'[3]Debt Service Schedule'!L13</f>
        <v>20534</v>
      </c>
      <c r="L13" s="43">
        <f>'[3]Debt Service Schedule'!M13</f>
        <v>812</v>
      </c>
      <c r="M13" s="43">
        <f t="shared" ref="M13:M22" si="0">SUM(G13:L13)/3</f>
        <v>21393</v>
      </c>
      <c r="N13" s="167">
        <f t="shared" ref="N13:N22" si="1">M13*0.2</f>
        <v>4278.6000000000004</v>
      </c>
      <c r="O13" s="277">
        <f t="shared" ref="O13:O22" si="2">M13+N13</f>
        <v>25671.599999999999</v>
      </c>
      <c r="P13" s="180"/>
      <c r="Q13" s="180">
        <f t="shared" ref="Q13:T22" si="3">$O13*V13</f>
        <v>0</v>
      </c>
      <c r="R13" s="147">
        <f t="shared" si="3"/>
        <v>25671.599999999999</v>
      </c>
      <c r="S13" s="147">
        <f t="shared" si="3"/>
        <v>0</v>
      </c>
      <c r="T13" s="147">
        <f t="shared" si="3"/>
        <v>0</v>
      </c>
      <c r="U13" s="182"/>
      <c r="V13" s="181">
        <f>'[3]Debt Service Schedule'!W13</f>
        <v>0</v>
      </c>
      <c r="W13" s="181">
        <f>'[3]Debt Service Schedule'!X13</f>
        <v>1</v>
      </c>
      <c r="X13" s="181">
        <f>'[3]Debt Service Schedule'!Y13</f>
        <v>0</v>
      </c>
      <c r="Y13" s="182">
        <f>'[3]Debt Service Schedule'!Z13</f>
        <v>0</v>
      </c>
    </row>
    <row r="14" spans="2:25" x14ac:dyDescent="0.45">
      <c r="B14" s="266" t="str">
        <f>'[3]Debt Service Schedule'!B14</f>
        <v>Gravity  and forcemain sewer extension</v>
      </c>
      <c r="C14" s="43"/>
      <c r="D14" s="43"/>
      <c r="E14" s="43"/>
      <c r="F14" s="43"/>
      <c r="G14" s="43">
        <f>'[3]Debt Service Schedule'!H14</f>
        <v>32175</v>
      </c>
      <c r="H14" s="43">
        <f>'[3]Debt Service Schedule'!I14</f>
        <v>2482</v>
      </c>
      <c r="I14" s="43">
        <f>'[3]Debt Service Schedule'!J14</f>
        <v>32498</v>
      </c>
      <c r="J14" s="43">
        <f>'[3]Debt Service Schedule'!K14</f>
        <v>2096</v>
      </c>
      <c r="K14" s="43">
        <f>'[3]Debt Service Schedule'!L14</f>
        <v>32823</v>
      </c>
      <c r="L14" s="43">
        <f>'[3]Debt Service Schedule'!M14</f>
        <v>1705</v>
      </c>
      <c r="M14" s="43">
        <f t="shared" si="0"/>
        <v>34593</v>
      </c>
      <c r="N14" s="167">
        <f t="shared" si="1"/>
        <v>6918.6</v>
      </c>
      <c r="O14" s="277">
        <f t="shared" si="2"/>
        <v>41511.599999999999</v>
      </c>
      <c r="P14" s="180"/>
      <c r="Q14" s="180">
        <f t="shared" si="3"/>
        <v>0</v>
      </c>
      <c r="R14" s="147">
        <f t="shared" si="3"/>
        <v>41511.599999999999</v>
      </c>
      <c r="S14" s="147">
        <f t="shared" si="3"/>
        <v>0</v>
      </c>
      <c r="T14" s="147">
        <f t="shared" si="3"/>
        <v>0</v>
      </c>
      <c r="U14" s="182"/>
      <c r="V14" s="181">
        <f>'[3]Debt Service Schedule'!W14</f>
        <v>0</v>
      </c>
      <c r="W14" s="181">
        <f>'[3]Debt Service Schedule'!X14</f>
        <v>1</v>
      </c>
      <c r="X14" s="181">
        <f>'[3]Debt Service Schedule'!Y14</f>
        <v>0</v>
      </c>
      <c r="Y14" s="182">
        <f>'[3]Debt Service Schedule'!Z14</f>
        <v>0</v>
      </c>
    </row>
    <row r="15" spans="2:25" x14ac:dyDescent="0.45">
      <c r="B15" s="266" t="str">
        <f>'[3]Debt Service Schedule'!B15</f>
        <v>WWTP expansion and upgrade</v>
      </c>
      <c r="C15" s="43"/>
      <c r="D15" s="43"/>
      <c r="E15" s="43"/>
      <c r="F15" s="43"/>
      <c r="G15" s="43">
        <f>'[3]Debt Service Schedule'!H15</f>
        <v>97379</v>
      </c>
      <c r="H15" s="43">
        <f>'[3]Debt Service Schedule'!I15</f>
        <v>9391</v>
      </c>
      <c r="I15" s="43">
        <f>'[3]Debt Service Schedule'!J15</f>
        <v>98355</v>
      </c>
      <c r="J15" s="43">
        <f>'[3]Debt Service Schedule'!K15</f>
        <v>8220</v>
      </c>
      <c r="K15" s="43">
        <f>'[3]Debt Service Schedule'!L15</f>
        <v>99342</v>
      </c>
      <c r="L15" s="43">
        <f>'[3]Debt Service Schedule'!M15</f>
        <v>7037</v>
      </c>
      <c r="M15" s="43">
        <f t="shared" si="0"/>
        <v>106574.66666666667</v>
      </c>
      <c r="N15" s="167">
        <f t="shared" si="1"/>
        <v>21314.933333333334</v>
      </c>
      <c r="O15" s="277">
        <f t="shared" si="2"/>
        <v>127889.60000000001</v>
      </c>
      <c r="P15" s="180"/>
      <c r="Q15" s="180">
        <f t="shared" si="3"/>
        <v>0</v>
      </c>
      <c r="R15" s="147">
        <f t="shared" si="3"/>
        <v>127889.60000000001</v>
      </c>
      <c r="S15" s="147">
        <f t="shared" si="3"/>
        <v>0</v>
      </c>
      <c r="T15" s="147">
        <f t="shared" si="3"/>
        <v>0</v>
      </c>
      <c r="U15" s="182"/>
      <c r="V15" s="181">
        <f>'[3]Debt Service Schedule'!W15</f>
        <v>0</v>
      </c>
      <c r="W15" s="181">
        <f>'[3]Debt Service Schedule'!X15</f>
        <v>1</v>
      </c>
      <c r="X15" s="181">
        <f>'[3]Debt Service Schedule'!Y15</f>
        <v>0</v>
      </c>
      <c r="Y15" s="182">
        <f>'[3]Debt Service Schedule'!Z15</f>
        <v>0</v>
      </c>
    </row>
    <row r="16" spans="2:25" x14ac:dyDescent="0.45">
      <c r="B16" s="266" t="str">
        <f>'[3]Debt Service Schedule'!B16</f>
        <v>Gravity  and forcemain sewer extension</v>
      </c>
      <c r="C16" s="43"/>
      <c r="D16" s="43"/>
      <c r="E16" s="43"/>
      <c r="F16" s="43"/>
      <c r="G16" s="43">
        <f>'[3]Debt Service Schedule'!H16</f>
        <v>89001</v>
      </c>
      <c r="H16" s="43">
        <f>'[3]Debt Service Schedule'!I16</f>
        <v>8714</v>
      </c>
      <c r="I16" s="43">
        <f>'[3]Debt Service Schedule'!J16</f>
        <v>89671</v>
      </c>
      <c r="J16" s="43">
        <f>'[3]Debt Service Schedule'!K16</f>
        <v>8044</v>
      </c>
      <c r="K16" s="43">
        <f>'[3]Debt Service Schedule'!L16</f>
        <v>90346</v>
      </c>
      <c r="L16" s="43">
        <f>'[3]Debt Service Schedule'!M16</f>
        <v>7369</v>
      </c>
      <c r="M16" s="43">
        <f t="shared" si="0"/>
        <v>97715</v>
      </c>
      <c r="N16" s="167">
        <f t="shared" si="1"/>
        <v>19543</v>
      </c>
      <c r="O16" s="277">
        <f t="shared" si="2"/>
        <v>117258</v>
      </c>
      <c r="P16" s="180"/>
      <c r="Q16" s="180">
        <f t="shared" si="3"/>
        <v>0</v>
      </c>
      <c r="R16" s="147">
        <f t="shared" si="3"/>
        <v>117258</v>
      </c>
      <c r="S16" s="147">
        <f t="shared" si="3"/>
        <v>0</v>
      </c>
      <c r="T16" s="147">
        <f t="shared" si="3"/>
        <v>0</v>
      </c>
      <c r="U16" s="182"/>
      <c r="V16" s="181">
        <f>'[3]Debt Service Schedule'!W16</f>
        <v>0</v>
      </c>
      <c r="W16" s="181">
        <f>'[3]Debt Service Schedule'!X16</f>
        <v>1</v>
      </c>
      <c r="X16" s="181">
        <f>'[3]Debt Service Schedule'!Y16</f>
        <v>0</v>
      </c>
      <c r="Y16" s="182">
        <f>'[3]Debt Service Schedule'!Z16</f>
        <v>0</v>
      </c>
    </row>
    <row r="17" spans="2:25" x14ac:dyDescent="0.45">
      <c r="B17" s="266" t="str">
        <f>'[3]Debt Service Schedule'!B17</f>
        <v>Gravity  and forcemain sewer extension</v>
      </c>
      <c r="C17" s="43"/>
      <c r="D17" s="43"/>
      <c r="E17" s="43"/>
      <c r="F17" s="43"/>
      <c r="G17" s="43">
        <f>'[3]Debt Service Schedule'!H17</f>
        <v>182022</v>
      </c>
      <c r="H17" s="43">
        <f>'[3]Debt Service Schedule'!I17</f>
        <v>106336</v>
      </c>
      <c r="I17" s="43">
        <f>'[3]Debt Service Schedule'!J17</f>
        <v>187091</v>
      </c>
      <c r="J17" s="43">
        <f>'[3]Debt Service Schedule'!K17</f>
        <v>101267</v>
      </c>
      <c r="K17" s="43">
        <f>'[3]Debt Service Schedule'!L17</f>
        <v>192301</v>
      </c>
      <c r="L17" s="43">
        <f>'[3]Debt Service Schedule'!M17</f>
        <v>96056</v>
      </c>
      <c r="M17" s="43">
        <f t="shared" si="0"/>
        <v>288357.66666666669</v>
      </c>
      <c r="N17" s="167">
        <f t="shared" si="1"/>
        <v>57671.53333333334</v>
      </c>
      <c r="O17" s="277">
        <f t="shared" si="2"/>
        <v>346029.2</v>
      </c>
      <c r="P17" s="180"/>
      <c r="Q17" s="180">
        <f t="shared" si="3"/>
        <v>0</v>
      </c>
      <c r="R17" s="147">
        <f t="shared" si="3"/>
        <v>346029.2</v>
      </c>
      <c r="S17" s="147">
        <f t="shared" si="3"/>
        <v>0</v>
      </c>
      <c r="T17" s="147">
        <f t="shared" si="3"/>
        <v>0</v>
      </c>
      <c r="U17" s="182"/>
      <c r="V17" s="181">
        <f>'[3]Debt Service Schedule'!W17</f>
        <v>0</v>
      </c>
      <c r="W17" s="181">
        <f>'[3]Debt Service Schedule'!X17</f>
        <v>1</v>
      </c>
      <c r="X17" s="181">
        <f>'[3]Debt Service Schedule'!Y17</f>
        <v>0</v>
      </c>
      <c r="Y17" s="182">
        <f>'[3]Debt Service Schedule'!Z17</f>
        <v>0</v>
      </c>
    </row>
    <row r="18" spans="2:25" x14ac:dyDescent="0.45">
      <c r="B18" s="266" t="str">
        <f>'[3]Debt Service Schedule'!B18</f>
        <v>Gravity and forcemain sewer extension</v>
      </c>
      <c r="C18" s="43"/>
      <c r="D18" s="43"/>
      <c r="E18" s="43"/>
      <c r="F18" s="43"/>
      <c r="G18" s="43">
        <f>'[3]Debt Service Schedule'!H18</f>
        <v>29501</v>
      </c>
      <c r="H18" s="43">
        <f>'[3]Debt Service Schedule'!I18</f>
        <v>8706</v>
      </c>
      <c r="I18" s="43">
        <f>'[3]Debt Service Schedule'!J18</f>
        <v>29947</v>
      </c>
      <c r="J18" s="43">
        <f>'[3]Debt Service Schedule'!K18</f>
        <v>8260</v>
      </c>
      <c r="K18" s="43">
        <f>'[3]Debt Service Schedule'!L18</f>
        <v>30399</v>
      </c>
      <c r="L18" s="43">
        <f>'[3]Debt Service Schedule'!M18</f>
        <v>7808</v>
      </c>
      <c r="M18" s="43">
        <f t="shared" si="0"/>
        <v>38207</v>
      </c>
      <c r="N18" s="167">
        <f t="shared" si="1"/>
        <v>7641.4000000000005</v>
      </c>
      <c r="O18" s="277">
        <f t="shared" si="2"/>
        <v>45848.4</v>
      </c>
      <c r="P18" s="180"/>
      <c r="Q18" s="180">
        <f t="shared" si="3"/>
        <v>0</v>
      </c>
      <c r="R18" s="147">
        <f t="shared" si="3"/>
        <v>45848.4</v>
      </c>
      <c r="S18" s="147">
        <f t="shared" si="3"/>
        <v>0</v>
      </c>
      <c r="T18" s="147">
        <f t="shared" si="3"/>
        <v>0</v>
      </c>
      <c r="U18" s="182"/>
      <c r="V18" s="181">
        <f>'[3]Debt Service Schedule'!W18</f>
        <v>0</v>
      </c>
      <c r="W18" s="181">
        <f>'[3]Debt Service Schedule'!X18</f>
        <v>1</v>
      </c>
      <c r="X18" s="181">
        <f>'[3]Debt Service Schedule'!Y18</f>
        <v>0</v>
      </c>
      <c r="Y18" s="182">
        <f>'[3]Debt Service Schedule'!Z18</f>
        <v>0</v>
      </c>
    </row>
    <row r="19" spans="2:25" x14ac:dyDescent="0.45">
      <c r="B19" s="266" t="str">
        <f>'[3]Debt Service Schedule'!B19</f>
        <v>New WTP, Raw Water Line, Storage Tank</v>
      </c>
      <c r="C19" s="43"/>
      <c r="D19" s="43"/>
      <c r="E19" s="43"/>
      <c r="F19" s="43"/>
      <c r="G19" s="43">
        <f>'[3]Regional WTP Estimated DS'!$D$87</f>
        <v>930997.1100000001</v>
      </c>
      <c r="H19" s="43">
        <f>'[3]Regional WTP Estimated DS'!$C$87</f>
        <v>150263.01</v>
      </c>
      <c r="I19" s="43">
        <f>'[3]Regional WTP Estimated DS'!$D$88</f>
        <v>935652.09555000009</v>
      </c>
      <c r="J19" s="43">
        <f>'[3]Regional WTP Estimated DS'!$C$88</f>
        <v>145608.02445</v>
      </c>
      <c r="K19" s="43">
        <f>'[3]Regional WTP Estimated DS'!$D$89</f>
        <v>940330.35602775007</v>
      </c>
      <c r="L19" s="43">
        <f>'[3]Regional WTP Estimated DS'!$C$89</f>
        <v>140929.76397225002</v>
      </c>
      <c r="M19" s="43">
        <f t="shared" si="0"/>
        <v>1081260.1200000001</v>
      </c>
      <c r="N19" s="167">
        <f>M19*0.2</f>
        <v>216252.02400000003</v>
      </c>
      <c r="O19" s="277">
        <f>M19+N19</f>
        <v>1297512.1440000001</v>
      </c>
      <c r="P19" s="180"/>
      <c r="Q19" s="180">
        <f>$O19*V19</f>
        <v>1297512.1440000001</v>
      </c>
      <c r="R19" s="147">
        <f>$O19*W19</f>
        <v>0</v>
      </c>
      <c r="S19" s="147">
        <f>$O19*X19</f>
        <v>0</v>
      </c>
      <c r="T19" s="147">
        <f>$O19*Y19</f>
        <v>0</v>
      </c>
      <c r="U19" s="182"/>
      <c r="V19" s="181">
        <f>'[3]Debt Service Schedule'!W19</f>
        <v>1</v>
      </c>
      <c r="W19" s="181">
        <f>'[3]Debt Service Schedule'!X19</f>
        <v>0</v>
      </c>
      <c r="X19" s="181">
        <f>'[3]Debt Service Schedule'!Y19</f>
        <v>0</v>
      </c>
      <c r="Y19" s="182">
        <f>'[3]Debt Service Schedule'!Z19</f>
        <v>0</v>
      </c>
    </row>
    <row r="20" spans="2:25" x14ac:dyDescent="0.45">
      <c r="B20" s="266" t="str">
        <f>'[3]Debt Service Schedule'!B20</f>
        <v>Right to use water source (Cave Run Lake)</v>
      </c>
      <c r="C20" s="246"/>
      <c r="D20" s="246"/>
      <c r="E20" s="246"/>
      <c r="F20" s="246"/>
      <c r="G20" s="246">
        <f>'[3]Debt Service Schedule'!H20</f>
        <v>175000</v>
      </c>
      <c r="H20" s="246">
        <f>'[3]Debt Service Schedule'!I20</f>
        <v>106688</v>
      </c>
      <c r="I20" s="246">
        <f>'[3]Debt Service Schedule'!J20</f>
        <v>185000</v>
      </c>
      <c r="J20" s="246">
        <f>'[3]Debt Service Schedule'!K20</f>
        <v>97688</v>
      </c>
      <c r="K20" s="246">
        <f>'[3]Debt Service Schedule'!L20</f>
        <v>195000</v>
      </c>
      <c r="L20" s="43">
        <f>'[3]Debt Service Schedule'!M20</f>
        <v>88188</v>
      </c>
      <c r="M20" s="43">
        <f t="shared" si="0"/>
        <v>282521.33333333331</v>
      </c>
      <c r="N20" s="167">
        <f t="shared" si="1"/>
        <v>56504.266666666663</v>
      </c>
      <c r="O20" s="277">
        <f t="shared" si="2"/>
        <v>339025.6</v>
      </c>
      <c r="P20" s="180"/>
      <c r="Q20" s="180">
        <f t="shared" si="3"/>
        <v>246449.47171740641</v>
      </c>
      <c r="R20" s="147">
        <f t="shared" si="3"/>
        <v>92576.128282593534</v>
      </c>
      <c r="S20" s="147">
        <f t="shared" si="3"/>
        <v>0</v>
      </c>
      <c r="T20" s="147">
        <f t="shared" si="3"/>
        <v>0</v>
      </c>
      <c r="U20" s="182"/>
      <c r="V20" s="181">
        <f>'[3]Debt Service Schedule'!W20</f>
        <v>0.72693469672321631</v>
      </c>
      <c r="W20" s="181">
        <f>'[3]Debt Service Schedule'!X20</f>
        <v>0.27306530327678363</v>
      </c>
      <c r="X20" s="181">
        <f>'[3]Debt Service Schedule'!Y20</f>
        <v>0</v>
      </c>
      <c r="Y20" s="182">
        <f>'[3]Debt Service Schedule'!Z20</f>
        <v>0</v>
      </c>
    </row>
    <row r="21" spans="2:25" x14ac:dyDescent="0.45">
      <c r="B21" s="266" t="str">
        <f>'[3]Debt Service Schedule'!B21</f>
        <v>WTP and WWTP expansion and system upgrade</v>
      </c>
      <c r="C21" s="43"/>
      <c r="D21" s="43"/>
      <c r="E21" s="43"/>
      <c r="F21" s="43"/>
      <c r="G21" s="43">
        <f>'[3]Debt Service Schedule'!H21</f>
        <v>49103.33</v>
      </c>
      <c r="H21" s="43">
        <f>'[3]Debt Service Schedule'!I21</f>
        <v>66264.67</v>
      </c>
      <c r="I21" s="43">
        <f>'[3]Debt Service Schedule'!J21</f>
        <v>47778.04</v>
      </c>
      <c r="J21" s="43">
        <f>'[3]Debt Service Schedule'!K21</f>
        <v>67589.960000000006</v>
      </c>
      <c r="K21" s="43">
        <f>'[3]Debt Service Schedule'!L21</f>
        <v>46426.239999999998</v>
      </c>
      <c r="L21" s="43">
        <f>'[3]Debt Service Schedule'!M21</f>
        <v>68941.759999999995</v>
      </c>
      <c r="M21" s="43">
        <f t="shared" si="0"/>
        <v>115368</v>
      </c>
      <c r="N21" s="167">
        <f t="shared" si="1"/>
        <v>23073.600000000002</v>
      </c>
      <c r="O21" s="277">
        <f t="shared" si="2"/>
        <v>138441.60000000001</v>
      </c>
      <c r="P21" s="180"/>
      <c r="Q21" s="180">
        <f t="shared" si="3"/>
        <v>138441.60000000001</v>
      </c>
      <c r="R21" s="147">
        <f t="shared" si="3"/>
        <v>0</v>
      </c>
      <c r="S21" s="147">
        <f t="shared" si="3"/>
        <v>0</v>
      </c>
      <c r="T21" s="147">
        <f t="shared" si="3"/>
        <v>0</v>
      </c>
      <c r="U21" s="182"/>
      <c r="V21" s="181">
        <f>'[3]Debt Service Schedule'!W21</f>
        <v>1</v>
      </c>
      <c r="W21" s="181">
        <f>'[3]Debt Service Schedule'!X21</f>
        <v>0</v>
      </c>
      <c r="X21" s="181">
        <f>'[3]Debt Service Schedule'!Y21</f>
        <v>0</v>
      </c>
      <c r="Y21" s="182">
        <f>'[3]Debt Service Schedule'!Z21</f>
        <v>0</v>
      </c>
    </row>
    <row r="22" spans="2:25" x14ac:dyDescent="0.45">
      <c r="B22" s="266" t="str">
        <f>'[3]Debt Service Schedule'!B22</f>
        <v>Fleet vehicles</v>
      </c>
      <c r="C22" s="43"/>
      <c r="D22" s="43"/>
      <c r="E22" s="43"/>
      <c r="F22" s="43"/>
      <c r="G22" s="43">
        <f>'[3]Debt Service Schedule'!H22</f>
        <v>89917.09</v>
      </c>
      <c r="H22" s="43">
        <f>'[3]Debt Service Schedule'!I22</f>
        <v>19297.87</v>
      </c>
      <c r="I22" s="43">
        <f>'[3]Debt Service Schedule'!J22</f>
        <v>67709.13</v>
      </c>
      <c r="J22" s="43">
        <f>'[3]Debt Service Schedule'!K22</f>
        <v>15981.52</v>
      </c>
      <c r="K22" s="43">
        <f>'[3]Debt Service Schedule'!L22</f>
        <v>40283.54</v>
      </c>
      <c r="L22" s="43">
        <f>'[3]Debt Service Schedule'!M22</f>
        <v>10226.08</v>
      </c>
      <c r="M22" s="43">
        <f t="shared" si="0"/>
        <v>81138.409999999989</v>
      </c>
      <c r="N22" s="167">
        <f t="shared" si="1"/>
        <v>16227.681999999999</v>
      </c>
      <c r="O22" s="277">
        <f t="shared" si="2"/>
        <v>97366.09199999999</v>
      </c>
      <c r="P22" s="180"/>
      <c r="Q22" s="249">
        <f t="shared" si="3"/>
        <v>29434.66163575841</v>
      </c>
      <c r="R22" s="252">
        <f t="shared" si="3"/>
        <v>28059.494190149635</v>
      </c>
      <c r="S22" s="252">
        <f t="shared" si="3"/>
        <v>19935.968087045967</v>
      </c>
      <c r="T22" s="252">
        <f t="shared" si="3"/>
        <v>19935.968087045967</v>
      </c>
      <c r="U22" s="182"/>
      <c r="V22" s="181">
        <f>'[3]Debt Service Schedule'!W22</f>
        <v>0.30230916154833876</v>
      </c>
      <c r="W22" s="181">
        <f>'[3]Debt Service Schedule'!X22</f>
        <v>0.28818548237665365</v>
      </c>
      <c r="X22" s="181">
        <f>'[3]Debt Service Schedule'!Y22</f>
        <v>0.20475267803750374</v>
      </c>
      <c r="Y22" s="182">
        <f>'[3]Debt Service Schedule'!Z22</f>
        <v>0.20475267803750374</v>
      </c>
    </row>
    <row r="23" spans="2:25" x14ac:dyDescent="0.45">
      <c r="B23" s="267" t="s">
        <v>127</v>
      </c>
      <c r="C23" s="168"/>
      <c r="D23" s="169"/>
      <c r="E23" s="168"/>
      <c r="F23" s="169"/>
      <c r="G23" s="168">
        <f t="shared" ref="G23:O23" si="4">SUM(G12:G22)</f>
        <v>2089764.5300000003</v>
      </c>
      <c r="H23" s="169">
        <f t="shared" si="4"/>
        <v>486319.55</v>
      </c>
      <c r="I23" s="168">
        <f t="shared" si="4"/>
        <v>1694040.2655500001</v>
      </c>
      <c r="J23" s="169">
        <f t="shared" si="4"/>
        <v>455811.50445000007</v>
      </c>
      <c r="K23" s="168">
        <f t="shared" si="4"/>
        <v>1687785.1360277501</v>
      </c>
      <c r="L23" s="169">
        <f t="shared" si="4"/>
        <v>429072.60397225007</v>
      </c>
      <c r="M23" s="168">
        <f t="shared" si="4"/>
        <v>2280931.1966666672</v>
      </c>
      <c r="N23" s="169">
        <f t="shared" si="4"/>
        <v>456186.23933333333</v>
      </c>
      <c r="O23" s="170">
        <f t="shared" si="4"/>
        <v>2737117.4360000007</v>
      </c>
      <c r="P23" s="147"/>
      <c r="Q23" s="248">
        <f>SUM(Q12:Q22)</f>
        <v>1711837.8773531648</v>
      </c>
      <c r="R23" s="183">
        <f>SUM(R12:R22)</f>
        <v>985407.62247274327</v>
      </c>
      <c r="S23" s="183">
        <f>SUM(S12:S22)</f>
        <v>19935.968087045967</v>
      </c>
      <c r="T23" s="183">
        <f>SUM(T12:T22)</f>
        <v>19935.968087045967</v>
      </c>
      <c r="U23" s="247"/>
      <c r="Y23" s="247"/>
    </row>
    <row r="24" spans="2:25" x14ac:dyDescent="0.45">
      <c r="B24" s="171"/>
      <c r="C24" s="172"/>
      <c r="D24" s="173"/>
      <c r="E24" s="172"/>
      <c r="F24" s="174"/>
      <c r="G24" s="172"/>
      <c r="H24" s="174"/>
      <c r="I24" s="172"/>
      <c r="J24" s="174"/>
      <c r="K24" s="172"/>
      <c r="L24" s="174"/>
      <c r="M24" s="173"/>
      <c r="N24" s="173"/>
      <c r="O24" s="174"/>
      <c r="P24" s="147"/>
      <c r="Q24" s="249"/>
      <c r="R24" s="52"/>
      <c r="S24" s="52"/>
      <c r="T24" s="52"/>
      <c r="U24" s="250"/>
      <c r="V24" s="52"/>
      <c r="W24" s="52"/>
      <c r="X24" s="52"/>
      <c r="Y24" s="250"/>
    </row>
    <row r="26" spans="2:25" x14ac:dyDescent="0.45">
      <c r="G26" s="30">
        <f>G23-G19</f>
        <v>1158767.4200000002</v>
      </c>
      <c r="H26" s="30">
        <f>H23-H19</f>
        <v>336056.54</v>
      </c>
      <c r="I26" s="30">
        <f>I23-I19</f>
        <v>758388.17</v>
      </c>
      <c r="J26" s="30">
        <f t="shared" ref="J26:L26" si="5">J23-J19</f>
        <v>310203.4800000001</v>
      </c>
      <c r="K26" s="30">
        <f t="shared" si="5"/>
        <v>747454.78</v>
      </c>
      <c r="L26" s="30">
        <f t="shared" si="5"/>
        <v>288142.84000000008</v>
      </c>
      <c r="M26" s="30">
        <f>SUM(G26:L26)/3</f>
        <v>1199671.0766666669</v>
      </c>
      <c r="N26" s="30">
        <f>M26*0.2</f>
        <v>239934.21533333338</v>
      </c>
      <c r="O26" s="30">
        <f>M26+N26</f>
        <v>1439605.2920000004</v>
      </c>
      <c r="Q26" s="129">
        <f>SUM(Q23:T23)</f>
        <v>2737117.4359999998</v>
      </c>
    </row>
    <row r="27" spans="2:25" x14ac:dyDescent="0.45">
      <c r="G27" s="184" t="str">
        <f>IF(G26='Debt Service 1'!G23,"OK","Out of Balance")</f>
        <v>OK</v>
      </c>
      <c r="H27" s="184" t="str">
        <f>IF(H26='Debt Service 1'!H23,"OK","Out of Balance")</f>
        <v>OK</v>
      </c>
      <c r="I27" s="184" t="str">
        <f>IF(I26='Debt Service 1'!I23,"OK","Out of Balance")</f>
        <v>OK</v>
      </c>
      <c r="J27" s="184" t="str">
        <f>IF(J26='Debt Service 1'!J23,"OK","Out of Balance")</f>
        <v>OK</v>
      </c>
      <c r="K27" s="184" t="str">
        <f>IF(K26='Debt Service 1'!K23,"OK","Out of Balance")</f>
        <v>OK</v>
      </c>
      <c r="L27" s="184" t="str">
        <f>IF(L26='Debt Service 1'!L23,"OK","Out of Balance")</f>
        <v>OK</v>
      </c>
      <c r="M27" s="184" t="str">
        <f>IF(M26=(M23-M19),"OK","Out of Balance")</f>
        <v>OK</v>
      </c>
      <c r="N27" s="184" t="str">
        <f>IF(N26=(N23-N19),"OK","Out of Balance")</f>
        <v>OK</v>
      </c>
      <c r="O27" s="184" t="str">
        <f>IF(O26=(O23-O19),"OK","Out of Balance")</f>
        <v>OK</v>
      </c>
      <c r="Q27" s="185" t="str">
        <f>IF(Q26=O23,"OK","Out of Balance")</f>
        <v>OK</v>
      </c>
    </row>
    <row r="28" spans="2:25" x14ac:dyDescent="0.45">
      <c r="M28" s="184"/>
      <c r="O28" s="184"/>
      <c r="Q28" s="185"/>
    </row>
  </sheetData>
  <mergeCells count="6">
    <mergeCell ref="B5:O5"/>
    <mergeCell ref="C9:D9"/>
    <mergeCell ref="E9:F9"/>
    <mergeCell ref="G9:H9"/>
    <mergeCell ref="I9:J9"/>
    <mergeCell ref="K9:L9"/>
  </mergeCells>
  <printOptions horizontalCentered="1" verticalCentered="1"/>
  <pageMargins left="0.25" right="0.25" top="0.75" bottom="0.75" header="0.3" footer="0.3"/>
  <pageSetup scale="70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D0DFC-3825-4794-AB48-C9D0AC192887}">
  <sheetPr>
    <pageSetUpPr fitToPage="1"/>
  </sheetPr>
  <dimension ref="B2:P27"/>
  <sheetViews>
    <sheetView workbookViewId="0">
      <selection activeCell="I22" sqref="A1:I22"/>
    </sheetView>
  </sheetViews>
  <sheetFormatPr defaultColWidth="8.88671875" defaultRowHeight="14.25" x14ac:dyDescent="0.45"/>
  <cols>
    <col min="1" max="1" width="2.609375" style="7" customWidth="1"/>
    <col min="2" max="2" width="1.109375" style="7" customWidth="1"/>
    <col min="3" max="3" width="33.0546875" style="7" bestFit="1" customWidth="1"/>
    <col min="4" max="4" width="32.609375" style="7" customWidth="1"/>
    <col min="5" max="8" width="12.609375" style="7" customWidth="1"/>
    <col min="9" max="9" width="2.6640625" style="7" customWidth="1"/>
    <col min="10" max="10" width="10.27734375" style="7" bestFit="1" customWidth="1"/>
    <col min="11" max="13" width="12.609375" style="7" customWidth="1"/>
    <col min="14" max="16384" width="8.88671875" style="7"/>
  </cols>
  <sheetData>
    <row r="2" spans="2:16" x14ac:dyDescent="0.45">
      <c r="B2" s="16"/>
      <c r="C2" s="17"/>
      <c r="D2" s="17"/>
      <c r="E2" s="17"/>
      <c r="F2" s="17"/>
      <c r="G2" s="17"/>
      <c r="H2" s="18"/>
    </row>
    <row r="3" spans="2:16" ht="18" x14ac:dyDescent="0.55000000000000004">
      <c r="B3" s="8"/>
      <c r="C3" s="307" t="s">
        <v>168</v>
      </c>
      <c r="D3" s="307"/>
      <c r="E3" s="307"/>
      <c r="F3" s="307"/>
      <c r="G3" s="307"/>
      <c r="H3" s="314"/>
      <c r="I3" s="12"/>
    </row>
    <row r="4" spans="2:16" ht="18" x14ac:dyDescent="0.55000000000000004">
      <c r="B4" s="8"/>
      <c r="C4" s="11" t="s">
        <v>170</v>
      </c>
      <c r="D4" s="11"/>
      <c r="E4" s="41"/>
      <c r="F4" s="41"/>
      <c r="G4" s="41"/>
      <c r="H4" s="130"/>
      <c r="I4" s="12"/>
    </row>
    <row r="5" spans="2:16" ht="18" x14ac:dyDescent="0.45">
      <c r="B5" s="8"/>
      <c r="C5" s="315" t="s">
        <v>128</v>
      </c>
      <c r="D5" s="315"/>
      <c r="E5" s="315"/>
      <c r="F5" s="315"/>
      <c r="G5" s="315"/>
      <c r="H5" s="316"/>
      <c r="I5" s="113"/>
      <c r="J5" s="113"/>
      <c r="K5" s="113"/>
      <c r="L5" s="113"/>
      <c r="M5" s="113"/>
      <c r="N5" s="113"/>
      <c r="O5" s="113"/>
      <c r="P5" s="112"/>
    </row>
    <row r="6" spans="2:16" x14ac:dyDescent="0.45">
      <c r="B6" s="8"/>
      <c r="C6" s="12"/>
      <c r="D6" s="12"/>
      <c r="E6" s="12"/>
      <c r="F6" s="12"/>
      <c r="G6" s="12"/>
      <c r="H6" s="19"/>
      <c r="I6" s="12"/>
    </row>
    <row r="7" spans="2:16" x14ac:dyDescent="0.45">
      <c r="B7" s="8"/>
      <c r="C7" s="12"/>
      <c r="D7" s="12"/>
      <c r="E7" s="20" t="s">
        <v>97</v>
      </c>
      <c r="F7" s="12"/>
      <c r="G7" s="12"/>
      <c r="H7" s="19"/>
      <c r="I7" s="12"/>
    </row>
    <row r="8" spans="2:16" x14ac:dyDescent="0.45">
      <c r="B8" s="8"/>
      <c r="C8" s="12"/>
      <c r="D8" s="12"/>
      <c r="E8" s="131" t="s">
        <v>64</v>
      </c>
      <c r="F8" s="99" t="s">
        <v>56</v>
      </c>
      <c r="G8" s="99" t="s">
        <v>94</v>
      </c>
      <c r="H8" s="132" t="s">
        <v>77</v>
      </c>
      <c r="I8" s="12"/>
      <c r="K8" s="99" t="s">
        <v>56</v>
      </c>
      <c r="L8" s="99" t="s">
        <v>94</v>
      </c>
      <c r="M8" s="99" t="s">
        <v>77</v>
      </c>
    </row>
    <row r="9" spans="2:16" x14ac:dyDescent="0.45">
      <c r="B9" s="21"/>
      <c r="C9" s="59" t="s">
        <v>98</v>
      </c>
      <c r="D9" s="60" t="s">
        <v>63</v>
      </c>
      <c r="E9" s="131" t="s">
        <v>82</v>
      </c>
      <c r="F9" s="61" t="s">
        <v>57</v>
      </c>
      <c r="G9" s="61" t="s">
        <v>19</v>
      </c>
      <c r="H9" s="133" t="s">
        <v>78</v>
      </c>
      <c r="I9" s="12"/>
      <c r="K9" s="99" t="s">
        <v>57</v>
      </c>
      <c r="L9" s="99" t="s">
        <v>19</v>
      </c>
      <c r="M9" s="99" t="s">
        <v>78</v>
      </c>
    </row>
    <row r="10" spans="2:16" x14ac:dyDescent="0.45">
      <c r="B10" s="8"/>
      <c r="C10" s="186" t="str">
        <f>'Debt Service 1'!B12</f>
        <v>WWTP expansion and upgrade</v>
      </c>
      <c r="D10" s="253" t="s">
        <v>148</v>
      </c>
      <c r="E10" s="109">
        <f>'Debt Service 1'!Q12</f>
        <v>0</v>
      </c>
      <c r="F10" s="29"/>
      <c r="G10" s="29"/>
      <c r="H10" s="50"/>
      <c r="I10" s="12"/>
      <c r="K10" s="259">
        <v>0</v>
      </c>
      <c r="L10" s="259">
        <v>0</v>
      </c>
      <c r="M10" s="259">
        <v>0</v>
      </c>
    </row>
    <row r="11" spans="2:16" x14ac:dyDescent="0.45">
      <c r="B11" s="8"/>
      <c r="C11" s="186" t="str">
        <f>'Debt Service 1'!B13</f>
        <v>Gravity and forcemain sewer extension</v>
      </c>
      <c r="D11" s="253" t="s">
        <v>149</v>
      </c>
      <c r="E11" s="188">
        <f>'Debt Service 1'!Q13</f>
        <v>0</v>
      </c>
      <c r="F11" s="104"/>
      <c r="G11" s="134"/>
      <c r="H11" s="128"/>
      <c r="I11" s="12"/>
      <c r="K11" s="259">
        <v>0</v>
      </c>
      <c r="L11" s="259">
        <v>0</v>
      </c>
      <c r="M11" s="259">
        <v>0</v>
      </c>
    </row>
    <row r="12" spans="2:16" x14ac:dyDescent="0.45">
      <c r="B12" s="8"/>
      <c r="C12" s="186" t="str">
        <f>'Debt Service 1'!B14</f>
        <v>Gravity  and forcemain sewer extension</v>
      </c>
      <c r="D12" s="253" t="s">
        <v>150</v>
      </c>
      <c r="E12" s="188">
        <f>'Debt Service 1'!Q14</f>
        <v>0</v>
      </c>
      <c r="F12" s="104"/>
      <c r="G12" s="129"/>
      <c r="H12" s="128"/>
      <c r="I12" s="12"/>
      <c r="K12" s="259">
        <v>0</v>
      </c>
      <c r="L12" s="259">
        <v>0</v>
      </c>
      <c r="M12" s="259">
        <v>0</v>
      </c>
    </row>
    <row r="13" spans="2:16" x14ac:dyDescent="0.45">
      <c r="B13" s="8"/>
      <c r="C13" s="186" t="str">
        <f>'Debt Service 1'!B15</f>
        <v>WWTP expansion and upgrade</v>
      </c>
      <c r="D13" s="253" t="s">
        <v>148</v>
      </c>
      <c r="E13" s="188">
        <f>'Debt Service 1'!Q15</f>
        <v>0</v>
      </c>
      <c r="F13" s="104"/>
      <c r="G13" s="129"/>
      <c r="H13" s="128"/>
      <c r="I13" s="12"/>
      <c r="K13" s="259">
        <v>0</v>
      </c>
      <c r="L13" s="259">
        <v>0</v>
      </c>
      <c r="M13" s="259">
        <v>0</v>
      </c>
    </row>
    <row r="14" spans="2:16" x14ac:dyDescent="0.45">
      <c r="B14" s="8"/>
      <c r="C14" s="186" t="str">
        <f>'Debt Service 1'!B16</f>
        <v>Gravity  and forcemain sewer extension</v>
      </c>
      <c r="D14" s="253" t="s">
        <v>150</v>
      </c>
      <c r="E14" s="188">
        <f>'Debt Service 1'!Q16</f>
        <v>0</v>
      </c>
      <c r="F14" s="104"/>
      <c r="G14" s="129"/>
      <c r="H14" s="128"/>
      <c r="I14" s="12"/>
      <c r="K14" s="259">
        <v>0</v>
      </c>
      <c r="L14" s="259">
        <v>0</v>
      </c>
      <c r="M14" s="259">
        <v>0</v>
      </c>
    </row>
    <row r="15" spans="2:16" x14ac:dyDescent="0.45">
      <c r="B15" s="8"/>
      <c r="C15" s="186" t="str">
        <f>'Debt Service 1'!B17</f>
        <v>Gravity  and forcemain sewer extension</v>
      </c>
      <c r="D15" s="253" t="s">
        <v>150</v>
      </c>
      <c r="E15" s="188">
        <f>'Debt Service 1'!Q17</f>
        <v>0</v>
      </c>
      <c r="F15" s="104"/>
      <c r="G15" s="129"/>
      <c r="H15" s="128"/>
      <c r="I15" s="12"/>
      <c r="K15" s="259">
        <v>0</v>
      </c>
      <c r="L15" s="259">
        <v>0</v>
      </c>
      <c r="M15" s="259">
        <v>0</v>
      </c>
    </row>
    <row r="16" spans="2:16" x14ac:dyDescent="0.45">
      <c r="B16" s="8"/>
      <c r="C16" s="186" t="str">
        <f>'Debt Service 1'!B18</f>
        <v>Gravity and forcemain sewer extension</v>
      </c>
      <c r="D16" s="253" t="s">
        <v>149</v>
      </c>
      <c r="E16" s="188">
        <f>'Debt Service 1'!Q18</f>
        <v>0</v>
      </c>
      <c r="F16" s="104"/>
      <c r="G16" s="129"/>
      <c r="H16" s="128"/>
      <c r="I16" s="12"/>
      <c r="K16" s="259">
        <v>0</v>
      </c>
      <c r="L16" s="259">
        <v>0</v>
      </c>
      <c r="M16" s="259">
        <v>0</v>
      </c>
    </row>
    <row r="17" spans="2:13" x14ac:dyDescent="0.45">
      <c r="B17" s="8"/>
      <c r="C17" s="186" t="str">
        <f>'Debt Service 1'!B19</f>
        <v>New WTP, Raw Water Line, Storage Tank</v>
      </c>
      <c r="D17" s="253" t="s">
        <v>151</v>
      </c>
      <c r="E17" s="188">
        <f>'Debt Service 1'!Q19</f>
        <v>0</v>
      </c>
      <c r="F17" s="104">
        <f>$E17*K17</f>
        <v>0</v>
      </c>
      <c r="G17" s="104">
        <f t="shared" ref="G17:G20" si="0">$E17*L17</f>
        <v>0</v>
      </c>
      <c r="H17" s="128">
        <f t="shared" ref="H17:H20" si="1">$E17*M17</f>
        <v>0</v>
      </c>
      <c r="I17" s="12"/>
      <c r="K17" s="275">
        <v>0.8</v>
      </c>
      <c r="L17" s="275">
        <v>0.1</v>
      </c>
      <c r="M17" s="275">
        <v>0.1</v>
      </c>
    </row>
    <row r="18" spans="2:13" x14ac:dyDescent="0.45">
      <c r="B18" s="8"/>
      <c r="C18" s="186" t="str">
        <f>'Debt Service 1'!B20</f>
        <v>Right to use water source (Cave Run Lake)</v>
      </c>
      <c r="D18" s="253" t="s">
        <v>152</v>
      </c>
      <c r="E18" s="188">
        <f>'Debt Service 1'!Q20</f>
        <v>246180.50587961884</v>
      </c>
      <c r="F18" s="104">
        <f t="shared" ref="F18:F20" si="2">$E18*K18</f>
        <v>246180.50587961884</v>
      </c>
      <c r="G18" s="104">
        <f t="shared" si="0"/>
        <v>0</v>
      </c>
      <c r="H18" s="128">
        <f t="shared" si="1"/>
        <v>0</v>
      </c>
      <c r="I18" s="12"/>
      <c r="K18" s="275">
        <v>1</v>
      </c>
      <c r="L18" s="275">
        <v>0</v>
      </c>
      <c r="M18" s="275">
        <v>0</v>
      </c>
    </row>
    <row r="19" spans="2:13" x14ac:dyDescent="0.45">
      <c r="B19" s="8"/>
      <c r="C19" s="186" t="str">
        <f>'Debt Service 1'!B21</f>
        <v>WTP and WWTP expansion and system upgrade</v>
      </c>
      <c r="D19" s="254" t="s">
        <v>153</v>
      </c>
      <c r="E19" s="188">
        <f>'Debt Service 1'!Q21</f>
        <v>138441.60000000001</v>
      </c>
      <c r="F19" s="104">
        <f t="shared" si="2"/>
        <v>138441.60000000001</v>
      </c>
      <c r="G19" s="104">
        <f t="shared" si="0"/>
        <v>0</v>
      </c>
      <c r="H19" s="128">
        <f t="shared" si="1"/>
        <v>0</v>
      </c>
      <c r="I19" s="12"/>
      <c r="K19" s="275">
        <v>1</v>
      </c>
      <c r="L19" s="275">
        <v>0</v>
      </c>
      <c r="M19" s="275">
        <v>0</v>
      </c>
    </row>
    <row r="20" spans="2:13" x14ac:dyDescent="0.45">
      <c r="B20" s="8"/>
      <c r="C20" s="186" t="str">
        <f>'Debt Service 1'!B22</f>
        <v>Fleet vehicles</v>
      </c>
      <c r="D20" s="253" t="s">
        <v>154</v>
      </c>
      <c r="E20" s="256">
        <f>'Debt Service 1'!Q22</f>
        <v>42797.572799999994</v>
      </c>
      <c r="F20" s="260">
        <f t="shared" si="2"/>
        <v>12839.271839999998</v>
      </c>
      <c r="G20" s="257">
        <f t="shared" si="0"/>
        <v>25678.543679999995</v>
      </c>
      <c r="H20" s="258">
        <f t="shared" si="1"/>
        <v>4279.7572799999998</v>
      </c>
      <c r="I20" s="12"/>
      <c r="K20" s="275">
        <v>0.3</v>
      </c>
      <c r="L20" s="275">
        <v>0.6</v>
      </c>
      <c r="M20" s="275">
        <v>0.1</v>
      </c>
    </row>
    <row r="21" spans="2:13" x14ac:dyDescent="0.45">
      <c r="B21" s="21"/>
      <c r="C21" s="52" t="s">
        <v>2</v>
      </c>
      <c r="D21" s="255"/>
      <c r="E21" s="189">
        <f>SUM(E10:E20)</f>
        <v>427419.67867961887</v>
      </c>
      <c r="F21" s="190">
        <f>SUM(F10:F20)</f>
        <v>397461.37771961885</v>
      </c>
      <c r="G21" s="190">
        <f>SUM(G10:G20)</f>
        <v>25678.543679999995</v>
      </c>
      <c r="H21" s="189">
        <f>SUM(H10:H20)</f>
        <v>4279.7572799999998</v>
      </c>
      <c r="J21" s="42"/>
    </row>
    <row r="22" spans="2:13" x14ac:dyDescent="0.45">
      <c r="C22" s="12"/>
      <c r="D22" s="12"/>
      <c r="E22" s="12"/>
      <c r="F22" s="12"/>
      <c r="G22" s="12"/>
      <c r="H22" s="12"/>
      <c r="I22" s="12"/>
    </row>
    <row r="23" spans="2:13" x14ac:dyDescent="0.45">
      <c r="D23" s="7" t="s">
        <v>113</v>
      </c>
      <c r="E23" s="30">
        <f>'Debt Service 1'!Q23</f>
        <v>427419.67867961887</v>
      </c>
      <c r="H23" s="42">
        <f>SUM(F21:H21)</f>
        <v>427419.67867961887</v>
      </c>
      <c r="J23" s="42"/>
    </row>
    <row r="24" spans="2:13" x14ac:dyDescent="0.45">
      <c r="E24" s="187"/>
    </row>
    <row r="25" spans="2:13" x14ac:dyDescent="0.45">
      <c r="E25" s="185" t="str">
        <f>IF(E21=E23,"OK","Out of Balance")</f>
        <v>OK</v>
      </c>
      <c r="H25" s="185" t="str">
        <f>IF(H23=E23,"OK","Out of Balance")</f>
        <v>OK</v>
      </c>
      <c r="K25" s="129"/>
    </row>
    <row r="26" spans="2:13" x14ac:dyDescent="0.45">
      <c r="D26" s="40"/>
      <c r="E26" s="30"/>
      <c r="F26" s="30"/>
      <c r="H26" s="30"/>
    </row>
    <row r="27" spans="2:13" x14ac:dyDescent="0.45">
      <c r="F27" s="31"/>
      <c r="H27" s="31"/>
    </row>
  </sheetData>
  <mergeCells count="2">
    <mergeCell ref="C3:H3"/>
    <mergeCell ref="C5:H5"/>
  </mergeCells>
  <pageMargins left="0.25" right="0.25" top="0.75" bottom="0.75" header="0.3" footer="0.3"/>
  <pageSetup scale="91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0C11F-E6BF-4AC0-8F68-0AED7725C942}">
  <sheetPr>
    <pageSetUpPr fitToPage="1"/>
  </sheetPr>
  <dimension ref="B2:P27"/>
  <sheetViews>
    <sheetView topLeftCell="A5" workbookViewId="0">
      <selection activeCell="I22" sqref="A1:I22"/>
    </sheetView>
  </sheetViews>
  <sheetFormatPr defaultColWidth="8.88671875" defaultRowHeight="14.25" x14ac:dyDescent="0.45"/>
  <cols>
    <col min="1" max="1" width="2.609375" style="7" customWidth="1"/>
    <col min="2" max="2" width="1.109375" style="7" customWidth="1"/>
    <col min="3" max="3" width="33.0546875" style="7" bestFit="1" customWidth="1"/>
    <col min="4" max="4" width="32.609375" style="7" customWidth="1"/>
    <col min="5" max="8" width="12.609375" style="7" customWidth="1"/>
    <col min="9" max="9" width="2.6640625" style="7" customWidth="1"/>
    <col min="10" max="10" width="10.27734375" style="7" bestFit="1" customWidth="1"/>
    <col min="11" max="13" width="12.609375" style="7" customWidth="1"/>
    <col min="14" max="16384" width="8.88671875" style="7"/>
  </cols>
  <sheetData>
    <row r="2" spans="2:16" x14ac:dyDescent="0.45">
      <c r="B2" s="16"/>
      <c r="C2" s="17"/>
      <c r="D2" s="17"/>
      <c r="E2" s="17"/>
      <c r="F2" s="17"/>
      <c r="G2" s="17"/>
      <c r="H2" s="18"/>
    </row>
    <row r="3" spans="2:16" ht="18" x14ac:dyDescent="0.55000000000000004">
      <c r="B3" s="8"/>
      <c r="C3" s="307" t="s">
        <v>169</v>
      </c>
      <c r="D3" s="307"/>
      <c r="E3" s="307"/>
      <c r="F3" s="307"/>
      <c r="G3" s="307"/>
      <c r="H3" s="314"/>
      <c r="I3" s="12"/>
    </row>
    <row r="4" spans="2:16" ht="18" x14ac:dyDescent="0.55000000000000004">
      <c r="B4" s="8"/>
      <c r="C4" s="11" t="s">
        <v>171</v>
      </c>
      <c r="D4" s="11"/>
      <c r="E4" s="41"/>
      <c r="F4" s="41"/>
      <c r="G4" s="41"/>
      <c r="H4" s="130"/>
      <c r="I4" s="12"/>
    </row>
    <row r="5" spans="2:16" ht="18" x14ac:dyDescent="0.45">
      <c r="B5" s="8"/>
      <c r="C5" s="315" t="s">
        <v>128</v>
      </c>
      <c r="D5" s="315"/>
      <c r="E5" s="315"/>
      <c r="F5" s="315"/>
      <c r="G5" s="315"/>
      <c r="H5" s="316"/>
      <c r="I5" s="113"/>
      <c r="J5" s="113"/>
      <c r="K5" s="113"/>
      <c r="L5" s="113"/>
      <c r="M5" s="113"/>
      <c r="N5" s="113"/>
      <c r="O5" s="113"/>
      <c r="P5" s="112"/>
    </row>
    <row r="6" spans="2:16" x14ac:dyDescent="0.45">
      <c r="B6" s="8"/>
      <c r="C6" s="12"/>
      <c r="D6" s="12"/>
      <c r="E6" s="12"/>
      <c r="F6" s="12"/>
      <c r="G6" s="12"/>
      <c r="H6" s="19"/>
      <c r="I6" s="12"/>
    </row>
    <row r="7" spans="2:16" x14ac:dyDescent="0.45">
      <c r="B7" s="8"/>
      <c r="C7" s="12"/>
      <c r="D7" s="12"/>
      <c r="E7" s="20" t="s">
        <v>97</v>
      </c>
      <c r="F7" s="12"/>
      <c r="G7" s="12"/>
      <c r="H7" s="19"/>
      <c r="I7" s="12"/>
    </row>
    <row r="8" spans="2:16" x14ac:dyDescent="0.45">
      <c r="B8" s="8"/>
      <c r="C8" s="12"/>
      <c r="D8" s="12"/>
      <c r="E8" s="131" t="s">
        <v>64</v>
      </c>
      <c r="F8" s="99" t="s">
        <v>56</v>
      </c>
      <c r="G8" s="99" t="s">
        <v>94</v>
      </c>
      <c r="H8" s="132" t="s">
        <v>77</v>
      </c>
      <c r="I8" s="12"/>
      <c r="K8" s="99" t="s">
        <v>56</v>
      </c>
      <c r="L8" s="99" t="s">
        <v>94</v>
      </c>
      <c r="M8" s="99" t="s">
        <v>77</v>
      </c>
    </row>
    <row r="9" spans="2:16" x14ac:dyDescent="0.45">
      <c r="B9" s="21"/>
      <c r="C9" s="59" t="s">
        <v>98</v>
      </c>
      <c r="D9" s="60" t="s">
        <v>63</v>
      </c>
      <c r="E9" s="131" t="s">
        <v>82</v>
      </c>
      <c r="F9" s="61" t="s">
        <v>57</v>
      </c>
      <c r="G9" s="61" t="s">
        <v>19</v>
      </c>
      <c r="H9" s="133" t="s">
        <v>78</v>
      </c>
      <c r="I9" s="12"/>
      <c r="K9" s="99" t="s">
        <v>57</v>
      </c>
      <c r="L9" s="99" t="s">
        <v>19</v>
      </c>
      <c r="M9" s="99" t="s">
        <v>78</v>
      </c>
    </row>
    <row r="10" spans="2:16" x14ac:dyDescent="0.45">
      <c r="B10" s="8"/>
      <c r="C10" s="186" t="str">
        <f>'Debt Service 1'!B12</f>
        <v>WWTP expansion and upgrade</v>
      </c>
      <c r="D10" s="66" t="s">
        <v>148</v>
      </c>
      <c r="E10" s="264">
        <f>'Debt Service 2'!Q12</f>
        <v>0</v>
      </c>
      <c r="F10" s="29"/>
      <c r="G10" s="29"/>
      <c r="H10" s="50"/>
      <c r="I10" s="12"/>
      <c r="K10" s="259">
        <v>0</v>
      </c>
      <c r="L10" s="259">
        <v>0</v>
      </c>
      <c r="M10" s="259">
        <v>0</v>
      </c>
    </row>
    <row r="11" spans="2:16" x14ac:dyDescent="0.45">
      <c r="B11" s="8"/>
      <c r="C11" s="186" t="str">
        <f>'Debt Service 1'!B13</f>
        <v>Gravity and forcemain sewer extension</v>
      </c>
      <c r="D11" s="66" t="s">
        <v>149</v>
      </c>
      <c r="E11" s="265">
        <f>'Debt Service 2'!Q13</f>
        <v>0</v>
      </c>
      <c r="F11" s="104"/>
      <c r="G11" s="134"/>
      <c r="H11" s="128"/>
      <c r="I11" s="12"/>
      <c r="K11" s="259">
        <v>0</v>
      </c>
      <c r="L11" s="259">
        <v>0</v>
      </c>
      <c r="M11" s="259">
        <v>0</v>
      </c>
    </row>
    <row r="12" spans="2:16" x14ac:dyDescent="0.45">
      <c r="B12" s="8"/>
      <c r="C12" s="186" t="str">
        <f>'Debt Service 1'!B14</f>
        <v>Gravity  and forcemain sewer extension</v>
      </c>
      <c r="D12" s="66" t="s">
        <v>150</v>
      </c>
      <c r="E12" s="265">
        <f>'Debt Service 2'!Q14</f>
        <v>0</v>
      </c>
      <c r="F12" s="104"/>
      <c r="G12" s="129"/>
      <c r="H12" s="128"/>
      <c r="I12" s="12"/>
      <c r="K12" s="259">
        <v>0</v>
      </c>
      <c r="L12" s="259">
        <v>0</v>
      </c>
      <c r="M12" s="259">
        <v>0</v>
      </c>
    </row>
    <row r="13" spans="2:16" x14ac:dyDescent="0.45">
      <c r="B13" s="8"/>
      <c r="C13" s="186" t="str">
        <f>'Debt Service 1'!B15</f>
        <v>WWTP expansion and upgrade</v>
      </c>
      <c r="D13" s="66" t="s">
        <v>148</v>
      </c>
      <c r="E13" s="265">
        <f>'Debt Service 2'!Q15</f>
        <v>0</v>
      </c>
      <c r="F13" s="104"/>
      <c r="G13" s="129"/>
      <c r="H13" s="128"/>
      <c r="I13" s="12"/>
      <c r="K13" s="259">
        <v>0</v>
      </c>
      <c r="L13" s="259">
        <v>0</v>
      </c>
      <c r="M13" s="259">
        <v>0</v>
      </c>
    </row>
    <row r="14" spans="2:16" x14ac:dyDescent="0.45">
      <c r="B14" s="8"/>
      <c r="C14" s="186" t="str">
        <f>'Debt Service 1'!B16</f>
        <v>Gravity  and forcemain sewer extension</v>
      </c>
      <c r="D14" s="66" t="s">
        <v>150</v>
      </c>
      <c r="E14" s="265">
        <f>'Debt Service 2'!Q16</f>
        <v>0</v>
      </c>
      <c r="F14" s="104"/>
      <c r="G14" s="129"/>
      <c r="H14" s="128"/>
      <c r="I14" s="12"/>
      <c r="K14" s="259">
        <v>0</v>
      </c>
      <c r="L14" s="259">
        <v>0</v>
      </c>
      <c r="M14" s="259">
        <v>0</v>
      </c>
    </row>
    <row r="15" spans="2:16" x14ac:dyDescent="0.45">
      <c r="B15" s="8"/>
      <c r="C15" s="186" t="str">
        <f>'Debt Service 1'!B17</f>
        <v>Gravity  and forcemain sewer extension</v>
      </c>
      <c r="D15" s="66" t="s">
        <v>150</v>
      </c>
      <c r="E15" s="265">
        <f>'Debt Service 2'!Q17</f>
        <v>0</v>
      </c>
      <c r="F15" s="104"/>
      <c r="G15" s="129"/>
      <c r="H15" s="128"/>
      <c r="I15" s="12"/>
      <c r="K15" s="259">
        <v>0</v>
      </c>
      <c r="L15" s="259">
        <v>0</v>
      </c>
      <c r="M15" s="259">
        <v>0</v>
      </c>
    </row>
    <row r="16" spans="2:16" x14ac:dyDescent="0.45">
      <c r="B16" s="8"/>
      <c r="C16" s="186" t="str">
        <f>'Debt Service 1'!B18</f>
        <v>Gravity and forcemain sewer extension</v>
      </c>
      <c r="D16" s="66" t="s">
        <v>149</v>
      </c>
      <c r="E16" s="265">
        <f>'Debt Service 2'!Q18</f>
        <v>0</v>
      </c>
      <c r="F16" s="104"/>
      <c r="G16" s="129"/>
      <c r="H16" s="128"/>
      <c r="I16" s="12"/>
      <c r="K16" s="259">
        <v>0</v>
      </c>
      <c r="L16" s="259">
        <v>0</v>
      </c>
      <c r="M16" s="259">
        <v>0</v>
      </c>
    </row>
    <row r="17" spans="2:13" x14ac:dyDescent="0.45">
      <c r="B17" s="8"/>
      <c r="C17" s="186" t="str">
        <f>'Debt Service 1'!B19</f>
        <v>New WTP, Raw Water Line, Storage Tank</v>
      </c>
      <c r="D17" s="66" t="s">
        <v>151</v>
      </c>
      <c r="E17" s="265">
        <f>'Debt Service 2'!Q19</f>
        <v>1297512.1440000001</v>
      </c>
      <c r="F17" s="104">
        <f>$E17*K17</f>
        <v>1167760.9296000001</v>
      </c>
      <c r="G17" s="104">
        <f t="shared" ref="G17:H20" si="0">$E17*L17</f>
        <v>64875.607200000006</v>
      </c>
      <c r="H17" s="128">
        <f t="shared" si="0"/>
        <v>64875.607200000006</v>
      </c>
      <c r="I17" s="12"/>
      <c r="K17" s="275">
        <v>0.9</v>
      </c>
      <c r="L17" s="275">
        <v>0.05</v>
      </c>
      <c r="M17" s="275">
        <v>0.05</v>
      </c>
    </row>
    <row r="18" spans="2:13" x14ac:dyDescent="0.45">
      <c r="B18" s="8"/>
      <c r="C18" s="186" t="str">
        <f>'Debt Service 1'!B20</f>
        <v>Right to use water source (Cave Run Lake)</v>
      </c>
      <c r="D18" s="66" t="s">
        <v>152</v>
      </c>
      <c r="E18" s="265">
        <f>'Debt Service 2'!Q20</f>
        <v>246449.47171740641</v>
      </c>
      <c r="F18" s="104">
        <f t="shared" ref="F18:F20" si="1">$E18*K18</f>
        <v>246449.47171740641</v>
      </c>
      <c r="G18" s="104">
        <f t="shared" si="0"/>
        <v>0</v>
      </c>
      <c r="H18" s="128">
        <f t="shared" si="0"/>
        <v>0</v>
      </c>
      <c r="I18" s="12"/>
      <c r="K18" s="275">
        <v>1</v>
      </c>
      <c r="L18" s="275">
        <v>0</v>
      </c>
      <c r="M18" s="275">
        <v>0</v>
      </c>
    </row>
    <row r="19" spans="2:13" x14ac:dyDescent="0.45">
      <c r="B19" s="8"/>
      <c r="C19" s="186" t="str">
        <f>'Debt Service 1'!B21</f>
        <v>WTP and WWTP expansion and system upgrade</v>
      </c>
      <c r="D19" s="263" t="s">
        <v>153</v>
      </c>
      <c r="E19" s="265">
        <f>'Debt Service 2'!Q21</f>
        <v>138441.60000000001</v>
      </c>
      <c r="F19" s="104">
        <f t="shared" si="1"/>
        <v>138441.60000000001</v>
      </c>
      <c r="G19" s="104">
        <f t="shared" si="0"/>
        <v>0</v>
      </c>
      <c r="H19" s="128">
        <f t="shared" si="0"/>
        <v>0</v>
      </c>
      <c r="I19" s="12"/>
      <c r="K19" s="275">
        <v>1</v>
      </c>
      <c r="L19" s="275">
        <v>0</v>
      </c>
      <c r="M19" s="275">
        <v>0</v>
      </c>
    </row>
    <row r="20" spans="2:13" x14ac:dyDescent="0.45">
      <c r="B20" s="8"/>
      <c r="C20" s="186" t="str">
        <f>'Debt Service 1'!B22</f>
        <v>Fleet vehicles</v>
      </c>
      <c r="D20" s="253" t="s">
        <v>154</v>
      </c>
      <c r="E20" s="256">
        <f>'Debt Service 2'!Q22</f>
        <v>29434.66163575841</v>
      </c>
      <c r="F20" s="260">
        <f t="shared" si="1"/>
        <v>8830.3984907275226</v>
      </c>
      <c r="G20" s="257">
        <f t="shared" si="0"/>
        <v>17660.796981455045</v>
      </c>
      <c r="H20" s="258">
        <f t="shared" si="0"/>
        <v>2943.4661635758412</v>
      </c>
      <c r="I20" s="12"/>
      <c r="K20" s="275">
        <v>0.3</v>
      </c>
      <c r="L20" s="275">
        <v>0.6</v>
      </c>
      <c r="M20" s="275">
        <v>0.1</v>
      </c>
    </row>
    <row r="21" spans="2:13" x14ac:dyDescent="0.45">
      <c r="B21" s="21"/>
      <c r="C21" s="52" t="s">
        <v>2</v>
      </c>
      <c r="D21" s="255"/>
      <c r="E21" s="189">
        <f>SUM(E10:E20)</f>
        <v>1711837.8773531648</v>
      </c>
      <c r="F21" s="190">
        <f>SUM(F10:F20)</f>
        <v>1561482.399808134</v>
      </c>
      <c r="G21" s="190">
        <f>SUM(G10:G20)</f>
        <v>82536.404181455058</v>
      </c>
      <c r="H21" s="189">
        <f>SUM(H10:H20)</f>
        <v>67819.073363575852</v>
      </c>
      <c r="J21" s="42"/>
    </row>
    <row r="22" spans="2:13" x14ac:dyDescent="0.45">
      <c r="C22" s="12"/>
      <c r="D22" s="12"/>
      <c r="E22" s="12"/>
      <c r="F22" s="12"/>
      <c r="G22" s="12"/>
      <c r="H22" s="12"/>
      <c r="I22" s="12"/>
    </row>
    <row r="23" spans="2:13" x14ac:dyDescent="0.45">
      <c r="D23" s="7" t="s">
        <v>113</v>
      </c>
      <c r="E23" s="30">
        <f>'Debt Service 2'!Q23</f>
        <v>1711837.8773531648</v>
      </c>
      <c r="H23" s="42">
        <f>SUM(F21:H21)</f>
        <v>1711837.8773531648</v>
      </c>
      <c r="J23" s="42"/>
    </row>
    <row r="24" spans="2:13" x14ac:dyDescent="0.45">
      <c r="E24" s="187"/>
    </row>
    <row r="25" spans="2:13" x14ac:dyDescent="0.45">
      <c r="E25" s="185" t="str">
        <f>IF(E21=E23,"OK","Out of Balance")</f>
        <v>OK</v>
      </c>
      <c r="H25" s="185" t="str">
        <f>IF(E23=H23,"OK","Out of Balance")</f>
        <v>OK</v>
      </c>
      <c r="K25" s="129"/>
    </row>
    <row r="26" spans="2:13" x14ac:dyDescent="0.45">
      <c r="D26" s="40"/>
      <c r="E26" s="30"/>
      <c r="F26" s="30"/>
      <c r="H26" s="30"/>
    </row>
    <row r="27" spans="2:13" x14ac:dyDescent="0.45">
      <c r="F27" s="31"/>
      <c r="H27" s="31"/>
    </row>
  </sheetData>
  <mergeCells count="2">
    <mergeCell ref="C3:H3"/>
    <mergeCell ref="C5:H5"/>
  </mergeCells>
  <pageMargins left="0.25" right="0.25" top="0.75" bottom="0.75" header="0.3" footer="0.3"/>
  <pageSetup scale="91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Z46"/>
  <sheetViews>
    <sheetView workbookViewId="0">
      <selection activeCell="D21" sqref="D21"/>
    </sheetView>
  </sheetViews>
  <sheetFormatPr defaultRowHeight="15" x14ac:dyDescent="0.4"/>
  <cols>
    <col min="1" max="1" width="3.44140625" customWidth="1"/>
    <col min="2" max="2" width="2.6640625" customWidth="1"/>
    <col min="3" max="5" width="9.6640625" customWidth="1"/>
    <col min="6" max="6" width="11.94140625" bestFit="1" customWidth="1"/>
    <col min="7" max="8" width="9.6640625" customWidth="1"/>
    <col min="9" max="9" width="2.77734375" customWidth="1"/>
    <col min="10" max="10" width="2.5" customWidth="1"/>
    <col min="26" max="26" width="9.71875" bestFit="1" customWidth="1"/>
  </cols>
  <sheetData>
    <row r="2" spans="2:26" x14ac:dyDescent="0.4">
      <c r="B2" s="2"/>
      <c r="C2" s="3"/>
      <c r="D2" s="3"/>
      <c r="E2" s="3"/>
      <c r="F2" s="3"/>
      <c r="G2" s="3"/>
      <c r="H2" s="3"/>
      <c r="I2" s="4"/>
    </row>
    <row r="3" spans="2:26" ht="18" x14ac:dyDescent="0.55000000000000004">
      <c r="B3" s="111"/>
      <c r="C3" s="317" t="s">
        <v>59</v>
      </c>
      <c r="D3" s="317"/>
      <c r="E3" s="317"/>
      <c r="F3" s="317"/>
      <c r="G3" s="317"/>
      <c r="H3" s="317"/>
      <c r="I3" s="5"/>
    </row>
    <row r="4" spans="2:26" ht="18" x14ac:dyDescent="0.55000000000000004">
      <c r="B4" s="111"/>
      <c r="C4" s="318" t="s">
        <v>129</v>
      </c>
      <c r="D4" s="318"/>
      <c r="E4" s="318"/>
      <c r="F4" s="318"/>
      <c r="G4" s="318"/>
      <c r="H4" s="318"/>
      <c r="I4" s="5"/>
    </row>
    <row r="5" spans="2:26" ht="18" x14ac:dyDescent="0.55000000000000004">
      <c r="B5" s="111"/>
      <c r="C5" s="315" t="s">
        <v>128</v>
      </c>
      <c r="D5" s="315"/>
      <c r="E5" s="315"/>
      <c r="F5" s="315"/>
      <c r="G5" s="315"/>
      <c r="H5" s="315"/>
      <c r="I5" s="5"/>
    </row>
    <row r="6" spans="2:26" x14ac:dyDescent="0.4">
      <c r="B6" s="1"/>
      <c r="C6" s="10"/>
      <c r="D6" s="10"/>
      <c r="E6" s="10"/>
      <c r="F6" s="10"/>
      <c r="G6" s="10"/>
      <c r="H6" s="10"/>
      <c r="I6" s="5"/>
    </row>
    <row r="7" spans="2:26" x14ac:dyDescent="0.4">
      <c r="B7" s="1"/>
      <c r="C7" s="10"/>
      <c r="D7" s="10"/>
      <c r="E7" s="10"/>
      <c r="F7" s="10"/>
      <c r="G7" s="10"/>
      <c r="H7" s="10"/>
      <c r="I7" s="5"/>
    </row>
    <row r="8" spans="2:26" ht="15.4" x14ac:dyDescent="0.45">
      <c r="B8" s="1"/>
      <c r="C8" s="69" t="s">
        <v>20</v>
      </c>
      <c r="D8" s="69"/>
      <c r="E8" s="68"/>
      <c r="F8" s="68"/>
      <c r="G8" s="68"/>
      <c r="H8" s="68"/>
      <c r="I8" s="5"/>
      <c r="L8" s="10"/>
      <c r="M8" s="10" t="s">
        <v>22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ht="6.95" customHeight="1" x14ac:dyDescent="0.45">
      <c r="B9" s="1"/>
      <c r="C9" s="114"/>
      <c r="D9" s="114"/>
      <c r="E9" s="114"/>
      <c r="F9" s="114"/>
      <c r="G9" s="114"/>
      <c r="H9" s="114"/>
      <c r="I9" s="5"/>
      <c r="L9" s="10"/>
      <c r="M9" s="233"/>
      <c r="N9" s="233"/>
      <c r="O9" s="233"/>
      <c r="P9" s="233"/>
      <c r="Q9" s="233"/>
      <c r="R9" s="233"/>
      <c r="S9" s="233"/>
      <c r="T9" s="10"/>
      <c r="U9" s="10"/>
      <c r="V9" s="10"/>
      <c r="W9" s="10"/>
      <c r="X9" s="10"/>
      <c r="Y9" s="10"/>
      <c r="Z9" s="10"/>
    </row>
    <row r="10" spans="2:26" ht="15.4" x14ac:dyDescent="0.45">
      <c r="B10" s="1"/>
      <c r="C10" s="115"/>
      <c r="D10" s="110" t="s">
        <v>21</v>
      </c>
      <c r="E10" s="110"/>
      <c r="F10" s="110"/>
      <c r="G10" s="116" t="s">
        <v>22</v>
      </c>
      <c r="H10" s="110"/>
      <c r="I10" s="5"/>
      <c r="L10" s="10"/>
      <c r="M10" s="233" t="s">
        <v>137</v>
      </c>
      <c r="N10" s="233" t="s">
        <v>138</v>
      </c>
      <c r="O10" s="233" t="s">
        <v>139</v>
      </c>
      <c r="P10" s="233" t="s">
        <v>140</v>
      </c>
      <c r="Q10" s="233">
        <v>2</v>
      </c>
      <c r="R10" s="107" t="s">
        <v>114</v>
      </c>
      <c r="S10" s="107" t="s">
        <v>70</v>
      </c>
      <c r="T10" s="107" t="s">
        <v>65</v>
      </c>
      <c r="U10" s="107" t="s">
        <v>66</v>
      </c>
      <c r="V10" s="107" t="s">
        <v>69</v>
      </c>
      <c r="W10" s="107" t="s">
        <v>67</v>
      </c>
      <c r="X10" s="107" t="s">
        <v>68</v>
      </c>
      <c r="Y10" s="107" t="s">
        <v>142</v>
      </c>
      <c r="Z10" s="10" t="s">
        <v>7</v>
      </c>
    </row>
    <row r="11" spans="2:26" ht="15.4" x14ac:dyDescent="0.45">
      <c r="B11" s="1"/>
      <c r="C11" s="117" t="s">
        <v>23</v>
      </c>
      <c r="D11" s="118" t="s">
        <v>24</v>
      </c>
      <c r="E11" s="118" t="s">
        <v>25</v>
      </c>
      <c r="F11" s="118" t="s">
        <v>26</v>
      </c>
      <c r="G11" s="119" t="s">
        <v>25</v>
      </c>
      <c r="H11" s="118" t="s">
        <v>26</v>
      </c>
      <c r="I11" s="5"/>
      <c r="L11" s="108"/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/>
      <c r="U11" s="108">
        <v>1895.89</v>
      </c>
      <c r="V11" s="108">
        <v>2691.21</v>
      </c>
      <c r="W11" s="108">
        <v>42884.99</v>
      </c>
      <c r="X11" s="108">
        <v>71139.460000000006</v>
      </c>
      <c r="Y11" s="108">
        <v>15180.49</v>
      </c>
      <c r="Z11" s="10"/>
    </row>
    <row r="12" spans="2:26" ht="15.4" x14ac:dyDescent="0.45">
      <c r="B12" s="1"/>
      <c r="C12" s="117" t="s">
        <v>3</v>
      </c>
      <c r="D12" s="117" t="s">
        <v>27</v>
      </c>
      <c r="E12" s="117" t="s">
        <v>28</v>
      </c>
      <c r="F12" s="117" t="s">
        <v>29</v>
      </c>
      <c r="G12" s="120" t="s">
        <v>28</v>
      </c>
      <c r="H12" s="117" t="s">
        <v>29</v>
      </c>
      <c r="I12" s="5"/>
      <c r="L12" s="108"/>
      <c r="M12" s="108"/>
      <c r="N12" s="108"/>
      <c r="O12" s="108"/>
      <c r="P12" s="108"/>
      <c r="Q12" s="108"/>
      <c r="R12" s="108"/>
      <c r="S12" s="108"/>
      <c r="T12" s="108"/>
      <c r="U12" s="108">
        <v>37903.949999999997</v>
      </c>
      <c r="V12" s="108">
        <v>21628.2</v>
      </c>
      <c r="W12" s="108">
        <v>16423.71</v>
      </c>
      <c r="X12" s="108">
        <v>4502.87</v>
      </c>
      <c r="Y12" s="108"/>
      <c r="Z12" s="10"/>
    </row>
    <row r="13" spans="2:26" ht="15.4" x14ac:dyDescent="0.45">
      <c r="B13" s="1"/>
      <c r="C13" s="88">
        <v>24</v>
      </c>
      <c r="D13" s="229">
        <v>15180.49</v>
      </c>
      <c r="E13" s="122">
        <f>D13/5280</f>
        <v>2.8750928030303031</v>
      </c>
      <c r="F13" s="123">
        <f t="shared" ref="F13:F19" si="0">E13*C13</f>
        <v>69.002227272727282</v>
      </c>
      <c r="G13" s="124">
        <f>Y17</f>
        <v>2.8750928030303031</v>
      </c>
      <c r="H13" s="123">
        <f t="shared" ref="H13:H14" si="1">G13*C13</f>
        <v>69.002227272727282</v>
      </c>
      <c r="I13" s="5"/>
      <c r="L13" s="108"/>
      <c r="M13" s="108"/>
      <c r="N13" s="108"/>
      <c r="O13" s="108"/>
      <c r="P13" s="108"/>
      <c r="Q13" s="108"/>
      <c r="R13" s="108"/>
      <c r="S13" s="108"/>
      <c r="T13" s="108"/>
      <c r="U13" s="108">
        <v>6021.32</v>
      </c>
      <c r="V13" s="108">
        <v>39.26</v>
      </c>
      <c r="W13" s="108"/>
      <c r="X13" s="108"/>
      <c r="Y13" s="108"/>
      <c r="Z13" s="10"/>
    </row>
    <row r="14" spans="2:26" ht="15.4" x14ac:dyDescent="0.45">
      <c r="B14" s="1"/>
      <c r="C14" s="125">
        <v>16</v>
      </c>
      <c r="D14" s="229">
        <v>75642.33</v>
      </c>
      <c r="E14" s="122">
        <f>D14/5280</f>
        <v>14.326198863636364</v>
      </c>
      <c r="F14" s="123">
        <f t="shared" si="0"/>
        <v>229.21918181818182</v>
      </c>
      <c r="G14" s="124">
        <f>X17</f>
        <v>14.326198863636364</v>
      </c>
      <c r="H14" s="123">
        <f t="shared" si="1"/>
        <v>229.21918181818182</v>
      </c>
      <c r="I14" s="5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"/>
    </row>
    <row r="15" spans="2:26" ht="16.899999999999999" x14ac:dyDescent="0.65">
      <c r="B15" s="1"/>
      <c r="C15" s="125">
        <v>12</v>
      </c>
      <c r="D15" s="229">
        <v>59308.7</v>
      </c>
      <c r="E15" s="122">
        <f t="shared" ref="E15:E19" si="2">D15/5280</f>
        <v>11.232708333333333</v>
      </c>
      <c r="F15" s="123">
        <f t="shared" si="0"/>
        <v>134.79249999999999</v>
      </c>
      <c r="G15" s="124">
        <f>W17</f>
        <v>11.232708333333333</v>
      </c>
      <c r="H15" s="123">
        <f>G15*C15</f>
        <v>134.79249999999999</v>
      </c>
      <c r="I15" s="5"/>
      <c r="L15" s="108"/>
      <c r="M15" s="108"/>
      <c r="N15" s="108"/>
      <c r="O15" s="108"/>
      <c r="P15" s="108"/>
      <c r="Q15" s="108"/>
      <c r="R15" s="232"/>
      <c r="S15" s="232"/>
      <c r="T15" s="234"/>
      <c r="U15" s="241"/>
      <c r="V15" s="241"/>
      <c r="W15" s="241"/>
      <c r="X15" s="241"/>
      <c r="Y15" s="241"/>
      <c r="Z15" s="39"/>
    </row>
    <row r="16" spans="2:26" ht="15.4" x14ac:dyDescent="0.45">
      <c r="B16" s="1"/>
      <c r="C16" s="125">
        <v>10</v>
      </c>
      <c r="D16" s="229">
        <v>24358.67</v>
      </c>
      <c r="E16" s="122">
        <f t="shared" si="2"/>
        <v>4.6133844696969692</v>
      </c>
      <c r="F16" s="123">
        <f t="shared" si="0"/>
        <v>46.133844696969689</v>
      </c>
      <c r="G16" s="124">
        <f>V17</f>
        <v>4.6133844696969692</v>
      </c>
      <c r="H16" s="123">
        <f>G16*C16</f>
        <v>46.133844696969689</v>
      </c>
      <c r="I16" s="5"/>
      <c r="L16" s="39" t="s">
        <v>141</v>
      </c>
      <c r="M16" s="39">
        <f t="shared" ref="M16:Q16" si="3">SUM(M11:M15)</f>
        <v>0</v>
      </c>
      <c r="N16" s="39">
        <f t="shared" si="3"/>
        <v>0</v>
      </c>
      <c r="O16" s="39">
        <f t="shared" si="3"/>
        <v>0</v>
      </c>
      <c r="P16" s="39">
        <f t="shared" si="3"/>
        <v>0</v>
      </c>
      <c r="Q16" s="39">
        <f t="shared" si="3"/>
        <v>0</v>
      </c>
      <c r="R16" s="39">
        <f t="shared" ref="R16:Y16" si="4">SUM(R11:R15)</f>
        <v>0</v>
      </c>
      <c r="S16" s="39">
        <f t="shared" si="4"/>
        <v>0</v>
      </c>
      <c r="T16" s="108">
        <f t="shared" si="4"/>
        <v>0</v>
      </c>
      <c r="U16" s="108">
        <f t="shared" si="4"/>
        <v>45821.159999999996</v>
      </c>
      <c r="V16" s="108">
        <f t="shared" si="4"/>
        <v>24358.67</v>
      </c>
      <c r="W16" s="108">
        <f t="shared" si="4"/>
        <v>59308.7</v>
      </c>
      <c r="X16" s="108">
        <f t="shared" si="4"/>
        <v>75642.33</v>
      </c>
      <c r="Y16" s="108">
        <f t="shared" si="4"/>
        <v>15180.49</v>
      </c>
      <c r="Z16" s="240">
        <f>SUM(U16:Y16)</f>
        <v>220311.34999999998</v>
      </c>
    </row>
    <row r="17" spans="2:26" ht="15.4" x14ac:dyDescent="0.45">
      <c r="B17" s="1"/>
      <c r="C17" s="125">
        <v>8</v>
      </c>
      <c r="D17" s="229">
        <v>45821.159999999996</v>
      </c>
      <c r="E17" s="122">
        <f t="shared" si="2"/>
        <v>8.6782499999999985</v>
      </c>
      <c r="F17" s="123">
        <f t="shared" si="0"/>
        <v>69.425999999999988</v>
      </c>
      <c r="G17" s="124">
        <f>U17</f>
        <v>8.6782499999999985</v>
      </c>
      <c r="H17" s="123">
        <f>G17*C17</f>
        <v>69.425999999999988</v>
      </c>
      <c r="I17" s="5"/>
      <c r="L17" s="39" t="s">
        <v>29</v>
      </c>
      <c r="M17" s="39">
        <f>M16/5280</f>
        <v>0</v>
      </c>
      <c r="N17" s="39">
        <f t="shared" ref="N17:Z17" si="5">N16/5280</f>
        <v>0</v>
      </c>
      <c r="O17" s="39">
        <f t="shared" si="5"/>
        <v>0</v>
      </c>
      <c r="P17" s="39">
        <f t="shared" si="5"/>
        <v>0</v>
      </c>
      <c r="Q17" s="39">
        <f t="shared" si="5"/>
        <v>0</v>
      </c>
      <c r="R17" s="39">
        <f t="shared" si="5"/>
        <v>0</v>
      </c>
      <c r="S17" s="39">
        <f t="shared" si="5"/>
        <v>0</v>
      </c>
      <c r="T17" s="39">
        <f t="shared" si="5"/>
        <v>0</v>
      </c>
      <c r="U17" s="39">
        <f t="shared" si="5"/>
        <v>8.6782499999999985</v>
      </c>
      <c r="V17" s="39">
        <f t="shared" si="5"/>
        <v>4.6133844696969692</v>
      </c>
      <c r="W17" s="39">
        <f t="shared" si="5"/>
        <v>11.232708333333333</v>
      </c>
      <c r="X17" s="39">
        <f t="shared" si="5"/>
        <v>14.326198863636364</v>
      </c>
      <c r="Y17" s="39">
        <f t="shared" si="5"/>
        <v>2.8750928030303031</v>
      </c>
      <c r="Z17" s="39">
        <f t="shared" si="5"/>
        <v>41.725634469696963</v>
      </c>
    </row>
    <row r="18" spans="2:26" ht="15.4" x14ac:dyDescent="0.45">
      <c r="B18" s="1"/>
      <c r="C18" s="125">
        <v>6</v>
      </c>
      <c r="D18" s="229">
        <v>173038.13</v>
      </c>
      <c r="E18" s="122">
        <f t="shared" si="2"/>
        <v>32.772373106060606</v>
      </c>
      <c r="F18" s="123">
        <f t="shared" si="0"/>
        <v>196.63423863636365</v>
      </c>
      <c r="G18" s="124">
        <f>T16</f>
        <v>0</v>
      </c>
      <c r="H18" s="123">
        <f>G18*C18</f>
        <v>0</v>
      </c>
      <c r="I18" s="5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2:26" ht="15.4" x14ac:dyDescent="0.45">
      <c r="B19" s="1"/>
      <c r="C19" s="125">
        <v>4</v>
      </c>
      <c r="D19" s="230">
        <v>22352.404729999998</v>
      </c>
      <c r="E19" s="122">
        <f t="shared" si="2"/>
        <v>4.2334099867424237</v>
      </c>
      <c r="F19" s="123">
        <f t="shared" si="0"/>
        <v>16.933639946969695</v>
      </c>
      <c r="G19" s="124">
        <f>S16</f>
        <v>0</v>
      </c>
      <c r="H19" s="123">
        <f>G19*C19</f>
        <v>0</v>
      </c>
      <c r="I19" s="5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 ht="15.4" x14ac:dyDescent="0.45">
      <c r="B20" s="1"/>
      <c r="C20" s="125">
        <v>3</v>
      </c>
      <c r="D20" s="230">
        <v>30898.618190000001</v>
      </c>
      <c r="E20" s="122">
        <f t="shared" ref="E20:E25" si="6">D20/5280</f>
        <v>5.8520110208333334</v>
      </c>
      <c r="F20" s="123">
        <f t="shared" ref="F20:F25" si="7">E20*C20</f>
        <v>17.556033062499999</v>
      </c>
      <c r="G20" s="124">
        <f>R16</f>
        <v>0</v>
      </c>
      <c r="H20" s="123">
        <f t="shared" ref="H20:H25" si="8">G20*C20</f>
        <v>0</v>
      </c>
      <c r="I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 ht="15.4" x14ac:dyDescent="0.45">
      <c r="B21" s="1"/>
      <c r="C21" s="125">
        <v>2</v>
      </c>
      <c r="D21" s="230">
        <v>100207.581353</v>
      </c>
      <c r="E21" s="122">
        <f t="shared" si="6"/>
        <v>18.978708589583334</v>
      </c>
      <c r="F21" s="123">
        <f t="shared" si="7"/>
        <v>37.957417179166669</v>
      </c>
      <c r="G21" s="124">
        <f>Q16</f>
        <v>0</v>
      </c>
      <c r="H21" s="123">
        <f t="shared" si="8"/>
        <v>0</v>
      </c>
      <c r="I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2:26" ht="15.4" x14ac:dyDescent="0.45">
      <c r="B22" s="1"/>
      <c r="C22" s="88">
        <v>1.5</v>
      </c>
      <c r="D22" s="230">
        <v>1095.13880223</v>
      </c>
      <c r="E22" s="122">
        <f t="shared" si="6"/>
        <v>0.2074126519375</v>
      </c>
      <c r="F22" s="123">
        <f t="shared" si="7"/>
        <v>0.31111897790624998</v>
      </c>
      <c r="G22" s="124">
        <f>P16</f>
        <v>0</v>
      </c>
      <c r="H22" s="123">
        <f t="shared" si="8"/>
        <v>0</v>
      </c>
      <c r="I22" s="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2:26" ht="15.4" x14ac:dyDescent="0.45">
      <c r="B23" s="1"/>
      <c r="C23" s="88">
        <v>1.25</v>
      </c>
      <c r="D23" s="230">
        <v>776.34857999999997</v>
      </c>
      <c r="E23" s="122">
        <f t="shared" si="6"/>
        <v>0.1470357159090909</v>
      </c>
      <c r="F23" s="123">
        <f t="shared" si="7"/>
        <v>0.18379464488636363</v>
      </c>
      <c r="G23" s="124">
        <f>O16</f>
        <v>0</v>
      </c>
      <c r="H23" s="123">
        <f t="shared" si="8"/>
        <v>0</v>
      </c>
      <c r="I23" s="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2:26" ht="15.4" x14ac:dyDescent="0.45">
      <c r="B24" s="1"/>
      <c r="C24" s="88">
        <v>1</v>
      </c>
      <c r="D24" s="230">
        <v>12018.204175475126</v>
      </c>
      <c r="E24" s="122">
        <f t="shared" si="6"/>
        <v>2.2761750332339252</v>
      </c>
      <c r="F24" s="123">
        <f t="shared" si="7"/>
        <v>2.2761750332339252</v>
      </c>
      <c r="G24" s="124">
        <f>N16</f>
        <v>0</v>
      </c>
      <c r="H24" s="123">
        <f t="shared" si="8"/>
        <v>0</v>
      </c>
      <c r="I24" s="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2:26" ht="15.4" x14ac:dyDescent="0.45">
      <c r="B25" s="1"/>
      <c r="C25" s="88">
        <v>0.75</v>
      </c>
      <c r="D25" s="231">
        <v>349.79463450000003</v>
      </c>
      <c r="E25" s="238">
        <f t="shared" si="6"/>
        <v>6.6248983806818193E-2</v>
      </c>
      <c r="F25" s="239">
        <f t="shared" si="7"/>
        <v>4.9686737855113641E-2</v>
      </c>
      <c r="G25" s="135">
        <f>M16</f>
        <v>0</v>
      </c>
      <c r="H25" s="242">
        <f t="shared" si="8"/>
        <v>0</v>
      </c>
      <c r="I25" s="5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2:26" ht="15.4" x14ac:dyDescent="0.45">
      <c r="B26" s="1"/>
      <c r="C26" s="125"/>
      <c r="D26" s="121"/>
      <c r="E26" s="127"/>
      <c r="F26" s="122"/>
      <c r="G26" s="126"/>
      <c r="H26" s="123"/>
      <c r="I26" s="5"/>
    </row>
    <row r="27" spans="2:26" ht="15.4" x14ac:dyDescent="0.45">
      <c r="B27" s="1"/>
      <c r="C27" s="125" t="s">
        <v>2</v>
      </c>
      <c r="D27" s="121">
        <f>SUM(D13:D26)</f>
        <v>561047.57046520524</v>
      </c>
      <c r="E27" s="122">
        <f t="shared" ref="E27:F27" si="9">SUM(E13:E26)</f>
        <v>106.25900955780399</v>
      </c>
      <c r="F27" s="122">
        <f t="shared" si="9"/>
        <v>820.47585800676052</v>
      </c>
      <c r="G27" s="124">
        <f t="shared" ref="G27" si="10">SUM(G13:G26)</f>
        <v>41.725634469696963</v>
      </c>
      <c r="H27" s="123">
        <f t="shared" ref="H27" si="11">SUM(H13:H26)</f>
        <v>548.57375378787879</v>
      </c>
      <c r="I27" s="5"/>
    </row>
    <row r="28" spans="2:26" ht="15.4" x14ac:dyDescent="0.45">
      <c r="B28" s="1"/>
      <c r="C28" s="57"/>
      <c r="D28" s="57"/>
      <c r="E28" s="57"/>
      <c r="F28" s="67"/>
      <c r="G28" s="57"/>
      <c r="H28" s="57"/>
      <c r="I28" s="5"/>
    </row>
    <row r="29" spans="2:26" ht="15.4" x14ac:dyDescent="0.45">
      <c r="B29" s="1"/>
      <c r="C29" s="57"/>
      <c r="D29" s="57"/>
      <c r="E29" s="57"/>
      <c r="F29" s="57"/>
      <c r="G29" s="57"/>
      <c r="H29" s="57"/>
      <c r="I29" s="5"/>
    </row>
    <row r="30" spans="2:26" ht="15.4" x14ac:dyDescent="0.45">
      <c r="B30" s="1"/>
      <c r="C30" s="57"/>
      <c r="D30" s="57"/>
      <c r="E30" s="57"/>
      <c r="F30" s="57"/>
      <c r="G30" s="57"/>
      <c r="H30" s="57"/>
      <c r="I30" s="5"/>
    </row>
    <row r="31" spans="2:26" ht="15.4" x14ac:dyDescent="0.45">
      <c r="B31" s="1"/>
      <c r="C31" s="57"/>
      <c r="D31" s="69" t="s">
        <v>30</v>
      </c>
      <c r="E31" s="69"/>
      <c r="F31" s="69"/>
      <c r="G31" s="69"/>
      <c r="H31" s="57"/>
      <c r="I31" s="5"/>
    </row>
    <row r="32" spans="2:26" ht="6.95" customHeight="1" x14ac:dyDescent="0.45">
      <c r="B32" s="1"/>
      <c r="C32" s="57"/>
      <c r="D32" s="114"/>
      <c r="E32" s="114"/>
      <c r="F32" s="114"/>
      <c r="G32" s="114"/>
      <c r="H32" s="57"/>
      <c r="I32" s="5"/>
    </row>
    <row r="33" spans="2:9" ht="15.4" x14ac:dyDescent="0.45">
      <c r="B33" s="1"/>
      <c r="C33" s="57"/>
      <c r="D33" s="57"/>
      <c r="E33" s="57"/>
      <c r="F33" s="117" t="s">
        <v>31</v>
      </c>
      <c r="G33" s="117"/>
      <c r="H33" s="57"/>
      <c r="I33" s="5"/>
    </row>
    <row r="34" spans="2:9" ht="15.4" x14ac:dyDescent="0.45">
      <c r="B34" s="1"/>
      <c r="C34" s="57"/>
      <c r="D34" s="57"/>
      <c r="E34" s="57"/>
      <c r="F34" s="117" t="s">
        <v>32</v>
      </c>
      <c r="G34" s="117" t="s">
        <v>4</v>
      </c>
      <c r="H34" s="57"/>
      <c r="I34" s="5"/>
    </row>
    <row r="35" spans="2:9" ht="15.4" x14ac:dyDescent="0.45">
      <c r="B35" s="1"/>
      <c r="C35" s="57"/>
      <c r="D35" s="70" t="s">
        <v>52</v>
      </c>
      <c r="E35" s="70"/>
      <c r="F35" s="288">
        <v>1862101.79</v>
      </c>
      <c r="G35" s="70"/>
      <c r="H35" s="57"/>
      <c r="I35" s="5"/>
    </row>
    <row r="36" spans="2:9" ht="15.4" x14ac:dyDescent="0.45">
      <c r="B36" s="1"/>
      <c r="C36" s="57"/>
      <c r="D36" s="70" t="s">
        <v>110</v>
      </c>
      <c r="E36" s="70"/>
      <c r="F36" s="289">
        <v>412840.7</v>
      </c>
      <c r="G36" s="136">
        <f>F36/F35</f>
        <v>0.2217068380563664</v>
      </c>
      <c r="H36" s="57"/>
      <c r="I36" s="5"/>
    </row>
    <row r="37" spans="2:9" ht="15.4" x14ac:dyDescent="0.45">
      <c r="B37" s="1"/>
      <c r="C37" s="57"/>
      <c r="D37" s="70" t="s">
        <v>143</v>
      </c>
      <c r="E37" s="70"/>
      <c r="F37" s="306">
        <f>676061+471486</f>
        <v>1147547</v>
      </c>
      <c r="G37" s="136">
        <f>F37/F35</f>
        <v>0.61626437725512306</v>
      </c>
      <c r="H37" s="57"/>
      <c r="I37" s="5"/>
    </row>
    <row r="38" spans="2:9" ht="15.4" x14ac:dyDescent="0.45">
      <c r="B38" s="1"/>
      <c r="C38" s="57"/>
      <c r="D38" s="70" t="s">
        <v>33</v>
      </c>
      <c r="E38" s="70"/>
      <c r="F38" s="289">
        <f>SUM(F36:F37)</f>
        <v>1560387.7</v>
      </c>
      <c r="G38" s="70"/>
      <c r="H38" s="57"/>
      <c r="I38" s="5"/>
    </row>
    <row r="39" spans="2:9" ht="15.4" x14ac:dyDescent="0.45">
      <c r="B39" s="1"/>
      <c r="C39" s="57"/>
      <c r="D39" s="70"/>
      <c r="E39" s="70"/>
      <c r="F39" s="290"/>
      <c r="G39" s="136"/>
      <c r="H39" s="57"/>
      <c r="I39" s="5"/>
    </row>
    <row r="40" spans="2:9" ht="15.4" x14ac:dyDescent="0.45">
      <c r="B40" s="1"/>
      <c r="C40" s="57"/>
      <c r="D40" s="70" t="s">
        <v>144</v>
      </c>
      <c r="E40" s="70"/>
      <c r="F40" s="291">
        <v>146024.21</v>
      </c>
      <c r="G40" s="136">
        <f>F40/F35</f>
        <v>7.8419026706375697E-2</v>
      </c>
      <c r="H40" s="57"/>
      <c r="I40" s="5"/>
    </row>
    <row r="41" spans="2:9" ht="15.4" x14ac:dyDescent="0.45">
      <c r="B41" s="1"/>
      <c r="C41" s="57"/>
      <c r="D41" s="70" t="s">
        <v>145</v>
      </c>
      <c r="E41" s="70"/>
      <c r="F41" s="291">
        <f>6380.599+12993.6</f>
        <v>19374.199000000001</v>
      </c>
      <c r="G41" s="136">
        <f>F41/F35</f>
        <v>1.0404479016155181E-2</v>
      </c>
      <c r="H41" s="57"/>
      <c r="I41" s="5"/>
    </row>
    <row r="42" spans="2:9" ht="15.4" x14ac:dyDescent="0.45">
      <c r="B42" s="1"/>
      <c r="C42" s="57"/>
      <c r="D42" s="70" t="s">
        <v>34</v>
      </c>
      <c r="E42" s="70"/>
      <c r="F42" s="290">
        <f>F35-F38-F40-F41</f>
        <v>136315.6810000001</v>
      </c>
      <c r="G42" s="136">
        <f>F42/F35</f>
        <v>7.320527896597967E-2</v>
      </c>
      <c r="H42" s="57"/>
      <c r="I42" s="5"/>
    </row>
    <row r="43" spans="2:9" x14ac:dyDescent="0.4">
      <c r="B43" s="6"/>
      <c r="C43" s="24"/>
      <c r="D43" s="24"/>
      <c r="E43" s="25"/>
      <c r="F43" s="24"/>
      <c r="G43" s="24"/>
      <c r="H43" s="24"/>
      <c r="I43" s="26"/>
    </row>
    <row r="45" spans="2:9" x14ac:dyDescent="0.4">
      <c r="C45" s="9"/>
      <c r="D45" s="100"/>
      <c r="E45" s="101"/>
      <c r="F45" s="102"/>
      <c r="G45" s="103"/>
      <c r="H45" s="102"/>
    </row>
    <row r="46" spans="2:9" x14ac:dyDescent="0.4">
      <c r="F46" s="27"/>
    </row>
  </sheetData>
  <mergeCells count="3">
    <mergeCell ref="C3:H3"/>
    <mergeCell ref="C4:H4"/>
    <mergeCell ref="C5:H5"/>
  </mergeCells>
  <printOptions horizontalCentered="1"/>
  <pageMargins left="0.7" right="0.7" top="1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Water and Shared Trial Balance</vt:lpstr>
      <vt:lpstr>Matrix</vt:lpstr>
      <vt:lpstr>Depreciation 1</vt:lpstr>
      <vt:lpstr>Depreciation 2</vt:lpstr>
      <vt:lpstr>Debt Service 1</vt:lpstr>
      <vt:lpstr>Debt Service 2</vt:lpstr>
      <vt:lpstr>DS Allocation 1</vt:lpstr>
      <vt:lpstr>DS Allocation 2</vt:lpstr>
      <vt:lpstr>System Information </vt:lpstr>
      <vt:lpstr>Wholesale Factors</vt:lpstr>
      <vt:lpstr>Rate Computation 1</vt:lpstr>
      <vt:lpstr>Rate Computation 2</vt:lpstr>
      <vt:lpstr>Analysis</vt:lpstr>
      <vt:lpstr>'Debt Service 1'!Print_Area</vt:lpstr>
      <vt:lpstr>'Debt Service 2'!Print_Area</vt:lpstr>
      <vt:lpstr>'Depreciation 1'!Print_Area</vt:lpstr>
      <vt:lpstr>'Depreciation 2'!Print_Area</vt:lpstr>
      <vt:lpstr>'DS Allocation 1'!Print_Area</vt:lpstr>
      <vt:lpstr>'DS Allocation 2'!Print_Area</vt:lpstr>
      <vt:lpstr>Matrix!Print_Area</vt:lpstr>
      <vt:lpstr>'Rate Computation 1'!Print_Area</vt:lpstr>
      <vt:lpstr>'Rate Computation 2'!Print_Area</vt:lpstr>
      <vt:lpstr>'System Information '!Print_Area</vt:lpstr>
      <vt:lpstr>'Water and Shared Trial Balance'!Print_Area</vt:lpstr>
      <vt:lpstr>'Wholesale Factors'!Print_Area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2024-08-21T19:56:10Z</cp:lastPrinted>
  <dcterms:created xsi:type="dcterms:W3CDTF">2016-05-18T14:12:06Z</dcterms:created>
  <dcterms:modified xsi:type="dcterms:W3CDTF">2024-08-21T20:13:15Z</dcterms:modified>
</cp:coreProperties>
</file>