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-my.sharepoint.com/personal/debbie_gates_duke-energy_com/Documents/Documents/Regulatory/COV19 Regulatory Filings/2024-00191 Rider PMM CPCN/"/>
    </mc:Choice>
  </mc:AlternateContent>
  <xr:revisionPtr revIDLastSave="3" documentId="13_ncr:1_{1D357692-EB46-427E-85E3-4A72CAB1B3E4}" xr6:coauthVersionLast="47" xr6:coauthVersionMax="47" xr10:uidLastSave="{8196F422-5B9D-4024-85C8-13432F510849}"/>
  <bookViews>
    <workbookView xWindow="-108" yWindow="-108" windowWidth="23256" windowHeight="12576" firstSheet="3" activeTab="15" xr2:uid="{00000000-000D-0000-FFFF-FFFF00000000}"/>
  </bookViews>
  <sheets>
    <sheet name=" Summary" sheetId="2" r:id="rId1"/>
    <sheet name="Sheet1" sheetId="21" r:id="rId2"/>
    <sheet name="Sch 1.0" sheetId="3" r:id="rId3"/>
    <sheet name="Sch 1.1" sheetId="4" r:id="rId4"/>
    <sheet name="Sch 1.2" sheetId="5" r:id="rId5"/>
    <sheet name="Sch 2.0" sheetId="7" r:id="rId6"/>
    <sheet name="Sch 2.1 (2)" sheetId="20" state="hidden" r:id="rId7"/>
    <sheet name="Sch 2.1" sheetId="8" r:id="rId8"/>
    <sheet name="Sch 2.2" sheetId="9" r:id="rId9"/>
    <sheet name="Sch 3.0" sheetId="10" r:id="rId10"/>
    <sheet name="Sch 4.1" sheetId="14" r:id="rId11"/>
    <sheet name="Sch 4.2" sheetId="15" r:id="rId12"/>
    <sheet name="Sch 4.3" sheetId="16" r:id="rId13"/>
    <sheet name="Sch 4.4 (old)" sheetId="17" state="hidden" r:id="rId14"/>
    <sheet name="Sch 4.4" sheetId="19" r:id="rId15"/>
    <sheet name="Sch 4.5" sheetId="18" r:id="rId16"/>
  </sheets>
  <definedNames>
    <definedName name="_xlnm.Print_Area" localSheetId="0">' Summary'!$B$4:$H$23</definedName>
    <definedName name="_xlnm.Print_Area" localSheetId="2">'Sch 1.0'!$A$1:$J$23</definedName>
    <definedName name="_xlnm.Print_Area" localSheetId="7">'Sch 2.1'!$A$1:$R$59</definedName>
    <definedName name="_xlnm.Print_Area" localSheetId="8">'Sch 2.2'!$A$1:$I$30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2" i="19" l="1"/>
  <c r="P12" i="8"/>
  <c r="P22" i="19"/>
  <c r="K22" i="19"/>
  <c r="H22" i="19" l="1"/>
  <c r="I23" i="8"/>
  <c r="I22" i="8"/>
  <c r="I21" i="8"/>
  <c r="I12" i="8"/>
  <c r="I11" i="8"/>
  <c r="H23" i="8"/>
  <c r="H22" i="8"/>
  <c r="H21" i="8"/>
  <c r="H12" i="8"/>
  <c r="H11" i="8"/>
  <c r="H10" i="8"/>
  <c r="L42" i="8" l="1"/>
  <c r="L31" i="8"/>
  <c r="L32" i="8" s="1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E23" i="8"/>
  <c r="E22" i="8"/>
  <c r="E21" i="8"/>
  <c r="E20" i="8"/>
  <c r="E19" i="8"/>
  <c r="E18" i="8"/>
  <c r="E17" i="8"/>
  <c r="E16" i="8"/>
  <c r="E15" i="8"/>
  <c r="E14" i="8"/>
  <c r="E13" i="8"/>
  <c r="E12" i="8"/>
  <c r="E10" i="8"/>
  <c r="E11" i="8" s="1"/>
  <c r="D23" i="8"/>
  <c r="D22" i="8"/>
  <c r="D21" i="8"/>
  <c r="D20" i="8"/>
  <c r="D19" i="8"/>
  <c r="D18" i="8"/>
  <c r="D17" i="8"/>
  <c r="D16" i="8"/>
  <c r="D15" i="8"/>
  <c r="D14" i="8"/>
  <c r="D13" i="8"/>
  <c r="D12" i="8"/>
  <c r="C23" i="8"/>
  <c r="C22" i="8"/>
  <c r="C20" i="8"/>
  <c r="C19" i="8"/>
  <c r="C18" i="8"/>
  <c r="C17" i="8"/>
  <c r="C16" i="8"/>
  <c r="C15" i="8"/>
  <c r="C14" i="8"/>
  <c r="C13" i="8"/>
  <c r="C12" i="8"/>
  <c r="D11" i="8"/>
  <c r="D10" i="8"/>
  <c r="C21" i="8"/>
  <c r="C10" i="8"/>
  <c r="Q41" i="19"/>
  <c r="Q40" i="19"/>
  <c r="Q39" i="19"/>
  <c r="Q38" i="19"/>
  <c r="Q37" i="19"/>
  <c r="Q36" i="19"/>
  <c r="Q35" i="19"/>
  <c r="Q34" i="19"/>
  <c r="Q33" i="19"/>
  <c r="Q32" i="19"/>
  <c r="Q31" i="19"/>
  <c r="L42" i="19"/>
  <c r="P43" i="19" s="1"/>
  <c r="M31" i="19"/>
  <c r="C11" i="8" l="1"/>
  <c r="L43" i="19"/>
  <c r="M32" i="19" l="1"/>
  <c r="M33" i="19" s="1"/>
  <c r="M34" i="19" s="1"/>
  <c r="M35" i="19" s="1"/>
  <c r="M36" i="19" s="1"/>
  <c r="M37" i="19" s="1"/>
  <c r="M38" i="19" s="1"/>
  <c r="M39" i="19" s="1"/>
  <c r="M40" i="19" s="1"/>
  <c r="M41" i="19" s="1"/>
  <c r="M42" i="19" s="1"/>
  <c r="Q42" i="19"/>
  <c r="Q47" i="19" s="1"/>
  <c r="A6" i="2" l="1"/>
  <c r="A7" i="2"/>
  <c r="A33" i="14"/>
  <c r="A34" i="14" s="1"/>
  <c r="A31" i="14"/>
  <c r="A30" i="14"/>
  <c r="E22" i="19"/>
  <c r="E23" i="19" s="1"/>
  <c r="C22" i="19"/>
  <c r="C23" i="19" s="1"/>
  <c r="K23" i="19"/>
  <c r="D23" i="19"/>
  <c r="L21" i="19"/>
  <c r="L20" i="19"/>
  <c r="L19" i="19"/>
  <c r="L18" i="19"/>
  <c r="L17" i="19"/>
  <c r="L16" i="19"/>
  <c r="L15" i="19"/>
  <c r="L14" i="19"/>
  <c r="L13" i="19"/>
  <c r="L12" i="19"/>
  <c r="N11" i="19"/>
  <c r="O14" i="19" s="1"/>
  <c r="L11" i="19"/>
  <c r="Q10" i="19"/>
  <c r="F22" i="20"/>
  <c r="O20" i="19" l="1"/>
  <c r="O22" i="19"/>
  <c r="O11" i="19"/>
  <c r="O15" i="19"/>
  <c r="O17" i="19"/>
  <c r="M19" i="19"/>
  <c r="M20" i="19" s="1"/>
  <c r="M21" i="19" s="1"/>
  <c r="O19" i="19"/>
  <c r="F22" i="19"/>
  <c r="F23" i="19" s="1"/>
  <c r="O13" i="19"/>
  <c r="O21" i="19"/>
  <c r="I22" i="19"/>
  <c r="I23" i="19" s="1"/>
  <c r="N23" i="19"/>
  <c r="P14" i="19" s="1"/>
  <c r="O12" i="19"/>
  <c r="O16" i="19"/>
  <c r="O18" i="19"/>
  <c r="L15" i="20"/>
  <c r="L19" i="20" s="1"/>
  <c r="L14" i="20"/>
  <c r="L18" i="20" s="1"/>
  <c r="F17" i="8"/>
  <c r="F15" i="8"/>
  <c r="F13" i="8"/>
  <c r="N12" i="8"/>
  <c r="O23" i="8" s="1"/>
  <c r="P17" i="19" l="1"/>
  <c r="P15" i="19"/>
  <c r="P21" i="19"/>
  <c r="P11" i="19"/>
  <c r="Q11" i="19" s="1"/>
  <c r="P13" i="19"/>
  <c r="P18" i="19"/>
  <c r="L45" i="8"/>
  <c r="D14" i="20"/>
  <c r="D15" i="20"/>
  <c r="D19" i="20" s="1"/>
  <c r="F20" i="8"/>
  <c r="P19" i="19"/>
  <c r="P16" i="19"/>
  <c r="P12" i="19"/>
  <c r="J22" i="19"/>
  <c r="H23" i="19"/>
  <c r="P20" i="19"/>
  <c r="F14" i="8"/>
  <c r="F16" i="8"/>
  <c r="F18" i="8"/>
  <c r="F22" i="8"/>
  <c r="L11" i="20"/>
  <c r="M31" i="8"/>
  <c r="M32" i="8" s="1"/>
  <c r="G14" i="20"/>
  <c r="D18" i="20"/>
  <c r="D24" i="8"/>
  <c r="K24" i="8"/>
  <c r="G22" i="20"/>
  <c r="F19" i="8"/>
  <c r="F21" i="8"/>
  <c r="F23" i="8"/>
  <c r="G15" i="20"/>
  <c r="F11" i="8"/>
  <c r="E24" i="8"/>
  <c r="F12" i="8"/>
  <c r="O17" i="8"/>
  <c r="O12" i="8"/>
  <c r="I13" i="8"/>
  <c r="I14" i="8" s="1"/>
  <c r="I15" i="8" s="1"/>
  <c r="I16" i="8" s="1"/>
  <c r="I17" i="8" s="1"/>
  <c r="I18" i="8" s="1"/>
  <c r="I19" i="8" s="1"/>
  <c r="I20" i="8" s="1"/>
  <c r="O14" i="8"/>
  <c r="O22" i="8"/>
  <c r="C24" i="8"/>
  <c r="O20" i="8"/>
  <c r="O19" i="8"/>
  <c r="N24" i="8"/>
  <c r="O15" i="8"/>
  <c r="F10" i="8"/>
  <c r="O16" i="8"/>
  <c r="O13" i="8"/>
  <c r="O21" i="8"/>
  <c r="J10" i="8"/>
  <c r="O18" i="8"/>
  <c r="F15" i="20" l="1"/>
  <c r="J11" i="8"/>
  <c r="L11" i="8" s="1"/>
  <c r="P37" i="8"/>
  <c r="P40" i="8"/>
  <c r="P35" i="8"/>
  <c r="P38" i="8"/>
  <c r="P43" i="8"/>
  <c r="P36" i="8"/>
  <c r="P33" i="8"/>
  <c r="P41" i="8"/>
  <c r="P39" i="8"/>
  <c r="P44" i="8"/>
  <c r="P34" i="8"/>
  <c r="P42" i="8"/>
  <c r="Q32" i="8"/>
  <c r="M33" i="8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Q31" i="8"/>
  <c r="L22" i="19"/>
  <c r="J23" i="19"/>
  <c r="Q12" i="19"/>
  <c r="Q13" i="19" s="1"/>
  <c r="Q14" i="19" s="1"/>
  <c r="Q15" i="19" s="1"/>
  <c r="Q16" i="19" s="1"/>
  <c r="Q17" i="19" s="1"/>
  <c r="Q18" i="19" s="1"/>
  <c r="Q19" i="19" s="1"/>
  <c r="Q20" i="19" s="1"/>
  <c r="Q21" i="19" s="1"/>
  <c r="F24" i="8"/>
  <c r="F19" i="20"/>
  <c r="J15" i="20"/>
  <c r="G11" i="20"/>
  <c r="G18" i="20"/>
  <c r="K14" i="20"/>
  <c r="K15" i="20"/>
  <c r="K19" i="20" s="1"/>
  <c r="G19" i="20"/>
  <c r="L10" i="8"/>
  <c r="I24" i="8"/>
  <c r="H13" i="8"/>
  <c r="J12" i="8"/>
  <c r="L12" i="8" s="1"/>
  <c r="Q33" i="8" l="1"/>
  <c r="Q34" i="8" s="1"/>
  <c r="Q35" i="8" s="1"/>
  <c r="Q36" i="8" s="1"/>
  <c r="Q37" i="8" s="1"/>
  <c r="Q38" i="8" s="1"/>
  <c r="Q39" i="8" s="1"/>
  <c r="Q40" i="8" s="1"/>
  <c r="Q41" i="8" s="1"/>
  <c r="Q42" i="8" s="1"/>
  <c r="Q43" i="8" s="1"/>
  <c r="Q44" i="8" s="1"/>
  <c r="Q49" i="8" s="1"/>
  <c r="P23" i="19"/>
  <c r="L23" i="19"/>
  <c r="M22" i="19"/>
  <c r="K11" i="20"/>
  <c r="K18" i="20"/>
  <c r="M15" i="20"/>
  <c r="J19" i="20"/>
  <c r="M10" i="8"/>
  <c r="H14" i="8"/>
  <c r="J13" i="8"/>
  <c r="Q22" i="19" l="1"/>
  <c r="Q27" i="19" s="1"/>
  <c r="Q50" i="19" s="1"/>
  <c r="F17" i="14" s="1"/>
  <c r="J14" i="8"/>
  <c r="L14" i="8" s="1"/>
  <c r="P14" i="8" s="1"/>
  <c r="H15" i="8"/>
  <c r="Q10" i="8"/>
  <c r="M11" i="8"/>
  <c r="L13" i="8"/>
  <c r="M12" i="8" l="1"/>
  <c r="M13" i="8" s="1"/>
  <c r="M14" i="8" s="1"/>
  <c r="Q11" i="8"/>
  <c r="Q12" i="8" s="1"/>
  <c r="H16" i="8"/>
  <c r="J15" i="8"/>
  <c r="P13" i="8"/>
  <c r="L15" i="8" l="1"/>
  <c r="M15" i="8" s="1"/>
  <c r="H17" i="8"/>
  <c r="J16" i="8"/>
  <c r="L16" i="8" s="1"/>
  <c r="P16" i="8" s="1"/>
  <c r="Q13" i="8"/>
  <c r="Q14" i="8" s="1"/>
  <c r="M16" i="8" l="1"/>
  <c r="J17" i="8"/>
  <c r="L17" i="8" s="1"/>
  <c r="P17" i="8" s="1"/>
  <c r="H18" i="8"/>
  <c r="P15" i="8"/>
  <c r="M17" i="8" l="1"/>
  <c r="H19" i="8"/>
  <c r="J18" i="8"/>
  <c r="Q15" i="8"/>
  <c r="Q16" i="8" s="1"/>
  <c r="Q17" i="8" s="1"/>
  <c r="H20" i="8" l="1"/>
  <c r="J19" i="8"/>
  <c r="L19" i="8" s="1"/>
  <c r="P19" i="8" s="1"/>
  <c r="L18" i="8"/>
  <c r="M18" i="8" s="1"/>
  <c r="M19" i="8" l="1"/>
  <c r="P18" i="8"/>
  <c r="Q18" i="8" s="1"/>
  <c r="Q19" i="8" s="1"/>
  <c r="J20" i="8"/>
  <c r="L20" i="8" s="1"/>
  <c r="P20" i="8" s="1"/>
  <c r="Q20" i="8" l="1"/>
  <c r="J21" i="8"/>
  <c r="L21" i="8" s="1"/>
  <c r="P21" i="8" s="1"/>
  <c r="M20" i="8"/>
  <c r="M21" i="8" l="1"/>
  <c r="J22" i="8"/>
  <c r="L22" i="8" s="1"/>
  <c r="P22" i="8" s="1"/>
  <c r="Q21" i="8"/>
  <c r="Q22" i="8" l="1"/>
  <c r="J23" i="8"/>
  <c r="H24" i="8"/>
  <c r="M22" i="8"/>
  <c r="L23" i="8" l="1"/>
  <c r="J24" i="8"/>
  <c r="P23" i="8" l="1"/>
  <c r="L24" i="8"/>
  <c r="M23" i="8"/>
  <c r="P24" i="8" l="1"/>
  <c r="Q23" i="8"/>
  <c r="Q28" i="8" s="1"/>
  <c r="Q52" i="8" l="1"/>
  <c r="F16" i="4"/>
  <c r="D22" i="20"/>
  <c r="A15" i="20"/>
  <c r="D11" i="20"/>
  <c r="M26" i="20"/>
  <c r="H26" i="20"/>
  <c r="L22" i="20"/>
  <c r="A19" i="20"/>
  <c r="A20" i="20" s="1"/>
  <c r="A22" i="20" s="1"/>
  <c r="A24" i="20" s="1"/>
  <c r="A26" i="20" s="1"/>
  <c r="A27" i="20" s="1"/>
  <c r="A29" i="20" s="1"/>
  <c r="A31" i="20" s="1"/>
  <c r="H15" i="20"/>
  <c r="K20" i="20"/>
  <c r="K24" i="20" s="1"/>
  <c r="K27" i="20" s="1"/>
  <c r="K29" i="20" s="1"/>
  <c r="F11" i="20" l="1"/>
  <c r="H11" i="20" s="1"/>
  <c r="J11" i="20"/>
  <c r="D20" i="20" l="1"/>
  <c r="D24" i="20" s="1"/>
  <c r="D27" i="20" s="1"/>
  <c r="D29" i="20" s="1"/>
  <c r="F14" i="20"/>
  <c r="H14" i="20" s="1"/>
  <c r="J14" i="20"/>
  <c r="J18" i="20" s="1"/>
  <c r="H19" i="20"/>
  <c r="G20" i="20"/>
  <c r="G24" i="20" s="1"/>
  <c r="G27" i="20" s="1"/>
  <c r="G29" i="20" s="1"/>
  <c r="F18" i="20" l="1"/>
  <c r="H18" i="20" s="1"/>
  <c r="M14" i="20"/>
  <c r="M11" i="20"/>
  <c r="F20" i="20" l="1"/>
  <c r="J20" i="20"/>
  <c r="M19" i="20"/>
  <c r="F24" i="20" l="1"/>
  <c r="H20" i="20"/>
  <c r="J24" i="20"/>
  <c r="M18" i="20"/>
  <c r="L20" i="20"/>
  <c r="L24" i="20" s="1"/>
  <c r="L27" i="20" s="1"/>
  <c r="L29" i="20" s="1"/>
  <c r="F27" i="20" l="1"/>
  <c r="H24" i="20"/>
  <c r="M24" i="20"/>
  <c r="J27" i="20"/>
  <c r="M20" i="20"/>
  <c r="F29" i="20" l="1"/>
  <c r="H29" i="20" s="1"/>
  <c r="H27" i="20"/>
  <c r="J29" i="20"/>
  <c r="M29" i="20" s="1"/>
  <c r="M27" i="20"/>
  <c r="M31" i="20" l="1"/>
  <c r="A37" i="14"/>
  <c r="L46" i="16" l="1"/>
  <c r="M46" i="16" s="1"/>
  <c r="N46" i="16" s="1"/>
  <c r="O46" i="16" s="1"/>
  <c r="P46" i="16" s="1"/>
  <c r="Q46" i="16" s="1"/>
  <c r="G46" i="16"/>
  <c r="H46" i="16" s="1"/>
  <c r="I46" i="16" s="1"/>
  <c r="J46" i="16" s="1"/>
  <c r="K46" i="16" s="1"/>
  <c r="F46" i="16"/>
  <c r="G46" i="7" l="1"/>
  <c r="H46" i="7" s="1"/>
  <c r="I46" i="7" s="1"/>
  <c r="J46" i="7" s="1"/>
  <c r="K46" i="7" s="1"/>
  <c r="L46" i="7" s="1"/>
  <c r="M46" i="7" s="1"/>
  <c r="N46" i="7" s="1"/>
  <c r="O46" i="7" s="1"/>
  <c r="P46" i="7" s="1"/>
  <c r="Q46" i="7" s="1"/>
  <c r="F46" i="7"/>
  <c r="F22" i="4" l="1"/>
  <c r="E14" i="9" l="1"/>
  <c r="I14" i="9"/>
  <c r="G14" i="9"/>
  <c r="R29" i="7"/>
  <c r="E29" i="7"/>
  <c r="R26" i="7" l="1"/>
  <c r="R25" i="7"/>
  <c r="R24" i="7"/>
  <c r="F23" i="14"/>
  <c r="F12" i="14" l="1"/>
  <c r="E46" i="16"/>
  <c r="E44" i="7"/>
  <c r="Q42" i="7"/>
  <c r="P42" i="7"/>
  <c r="O42" i="7"/>
  <c r="N42" i="7"/>
  <c r="M42" i="7"/>
  <c r="L42" i="7"/>
  <c r="K42" i="7"/>
  <c r="J42" i="7"/>
  <c r="I42" i="7"/>
  <c r="H42" i="7"/>
  <c r="G42" i="7"/>
  <c r="F42" i="7"/>
  <c r="Q41" i="7"/>
  <c r="Q44" i="7" s="1"/>
  <c r="P41" i="7"/>
  <c r="P44" i="7" s="1"/>
  <c r="O41" i="7"/>
  <c r="O44" i="7" s="1"/>
  <c r="N41" i="7"/>
  <c r="N44" i="7" s="1"/>
  <c r="M41" i="7"/>
  <c r="M44" i="7" s="1"/>
  <c r="L41" i="7"/>
  <c r="L44" i="7" s="1"/>
  <c r="K41" i="7"/>
  <c r="K44" i="7" s="1"/>
  <c r="J41" i="7"/>
  <c r="J44" i="7" s="1"/>
  <c r="I41" i="7"/>
  <c r="I44" i="7" s="1"/>
  <c r="H41" i="7"/>
  <c r="H44" i="7" s="1"/>
  <c r="G41" i="7"/>
  <c r="G44" i="7" s="1"/>
  <c r="F41" i="7"/>
  <c r="F44" i="7" s="1"/>
  <c r="G36" i="16" l="1"/>
  <c r="H36" i="16"/>
  <c r="I36" i="16"/>
  <c r="J36" i="16"/>
  <c r="K36" i="16"/>
  <c r="L36" i="16"/>
  <c r="M36" i="16"/>
  <c r="N36" i="16"/>
  <c r="O36" i="16"/>
  <c r="P36" i="16"/>
  <c r="Q36" i="16"/>
  <c r="F36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N38" i="16" l="1"/>
  <c r="H26" i="18"/>
  <c r="H25" i="18"/>
  <c r="H24" i="18"/>
  <c r="H23" i="18"/>
  <c r="H22" i="18"/>
  <c r="H21" i="18"/>
  <c r="H20" i="18"/>
  <c r="H19" i="18"/>
  <c r="H18" i="18"/>
  <c r="H17" i="18"/>
  <c r="H16" i="18"/>
  <c r="H15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D26" i="18"/>
  <c r="D25" i="18"/>
  <c r="D24" i="18"/>
  <c r="D23" i="18"/>
  <c r="D22" i="18"/>
  <c r="D21" i="18"/>
  <c r="D20" i="18"/>
  <c r="D19" i="18"/>
  <c r="D18" i="18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H14" i="18" s="1"/>
  <c r="Q42" i="16"/>
  <c r="P42" i="16"/>
  <c r="O42" i="16"/>
  <c r="N42" i="16"/>
  <c r="M42" i="16"/>
  <c r="L42" i="16"/>
  <c r="K42" i="16"/>
  <c r="J42" i="16"/>
  <c r="I42" i="16"/>
  <c r="H42" i="16"/>
  <c r="G42" i="16"/>
  <c r="F42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Q35" i="16"/>
  <c r="Q38" i="16" s="1"/>
  <c r="P35" i="16"/>
  <c r="P38" i="16" s="1"/>
  <c r="O35" i="16"/>
  <c r="O38" i="16" s="1"/>
  <c r="N35" i="16"/>
  <c r="M35" i="16"/>
  <c r="M38" i="16" s="1"/>
  <c r="L35" i="16"/>
  <c r="L38" i="16" s="1"/>
  <c r="K35" i="16"/>
  <c r="K38" i="16" s="1"/>
  <c r="J35" i="16"/>
  <c r="J38" i="16" s="1"/>
  <c r="I35" i="16"/>
  <c r="I38" i="16" s="1"/>
  <c r="H35" i="16"/>
  <c r="H38" i="16" s="1"/>
  <c r="G35" i="16"/>
  <c r="G38" i="16" s="1"/>
  <c r="F35" i="16"/>
  <c r="F38" i="16" s="1"/>
  <c r="E44" i="16"/>
  <c r="R25" i="16" l="1"/>
  <c r="R26" i="16"/>
  <c r="R19" i="16"/>
  <c r="R20" i="16"/>
  <c r="R13" i="16"/>
  <c r="R14" i="16"/>
  <c r="A31" i="4" l="1"/>
  <c r="G36" i="7" l="1"/>
  <c r="H36" i="7"/>
  <c r="I36" i="7"/>
  <c r="J36" i="7"/>
  <c r="K36" i="7"/>
  <c r="L36" i="7"/>
  <c r="M36" i="7"/>
  <c r="N36" i="7"/>
  <c r="O36" i="7"/>
  <c r="P36" i="7"/>
  <c r="Q36" i="7"/>
  <c r="F36" i="7"/>
  <c r="G37" i="7"/>
  <c r="H37" i="7"/>
  <c r="I37" i="7"/>
  <c r="J37" i="7"/>
  <c r="K37" i="7"/>
  <c r="L37" i="7"/>
  <c r="M37" i="7"/>
  <c r="N37" i="7"/>
  <c r="O37" i="7"/>
  <c r="P37" i="7"/>
  <c r="Q37" i="7"/>
  <c r="F37" i="7"/>
  <c r="P35" i="7"/>
  <c r="E38" i="7"/>
  <c r="E46" i="7" s="1"/>
  <c r="P15" i="7"/>
  <c r="Q15" i="7"/>
  <c r="F27" i="7"/>
  <c r="H15" i="9" s="1"/>
  <c r="G27" i="7"/>
  <c r="H16" i="9" s="1"/>
  <c r="H27" i="7"/>
  <c r="H17" i="9" s="1"/>
  <c r="I27" i="7"/>
  <c r="H18" i="9" s="1"/>
  <c r="J27" i="7"/>
  <c r="H19" i="9" s="1"/>
  <c r="K27" i="7"/>
  <c r="H20" i="9" s="1"/>
  <c r="L27" i="7"/>
  <c r="H21" i="9" s="1"/>
  <c r="M27" i="7"/>
  <c r="H22" i="9" s="1"/>
  <c r="N27" i="7"/>
  <c r="H23" i="9" s="1"/>
  <c r="O27" i="7"/>
  <c r="H24" i="9" s="1"/>
  <c r="P27" i="7"/>
  <c r="H25" i="9" s="1"/>
  <c r="Q27" i="7"/>
  <c r="H26" i="9" s="1"/>
  <c r="E27" i="7"/>
  <c r="N15" i="7"/>
  <c r="D23" i="9" s="1"/>
  <c r="O15" i="7"/>
  <c r="Q21" i="7"/>
  <c r="R20" i="7"/>
  <c r="F26" i="9" l="1"/>
  <c r="D24" i="9"/>
  <c r="D25" i="9"/>
  <c r="D26" i="9"/>
  <c r="P38" i="7"/>
  <c r="R19" i="7"/>
  <c r="R13" i="7"/>
  <c r="R14" i="7"/>
  <c r="C16" i="9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15" i="9"/>
  <c r="O16" i="10" l="1"/>
  <c r="O15" i="10"/>
  <c r="O14" i="10"/>
  <c r="O13" i="10"/>
  <c r="A1" i="7" l="1"/>
  <c r="E33" i="16" l="1"/>
  <c r="E12" i="15" l="1"/>
  <c r="F12" i="15" s="1"/>
  <c r="E11" i="15"/>
  <c r="E10" i="15"/>
  <c r="E33" i="7"/>
  <c r="E12" i="5"/>
  <c r="F12" i="5" s="1"/>
  <c r="E11" i="5"/>
  <c r="E10" i="5"/>
  <c r="A15" i="9" l="1"/>
  <c r="D14" i="17"/>
  <c r="A15" i="18"/>
  <c r="F22" i="17" l="1"/>
  <c r="F11" i="17"/>
  <c r="F15" i="17" s="1"/>
  <c r="F19" i="17" s="1"/>
  <c r="F20" i="17" s="1"/>
  <c r="F24" i="17" s="1"/>
  <c r="F27" i="17" s="1"/>
  <c r="F14" i="17" l="1"/>
  <c r="F29" i="17" l="1"/>
  <c r="F30" i="17"/>
  <c r="F31" i="17" l="1"/>
  <c r="E15" i="7" l="1"/>
  <c r="F35" i="7" l="1"/>
  <c r="F38" i="7" s="1"/>
  <c r="I14" i="18" l="1"/>
  <c r="I15" i="18" l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15" i="9"/>
  <c r="I27" i="18" l="1"/>
  <c r="I29" i="18" s="1"/>
  <c r="A2" i="17"/>
  <c r="A2" i="15"/>
  <c r="A3" i="18"/>
  <c r="A2" i="18"/>
  <c r="A3" i="17"/>
  <c r="A2" i="16"/>
  <c r="A3" i="15"/>
  <c r="A3" i="14"/>
  <c r="A2" i="14"/>
  <c r="F14" i="14" l="1"/>
  <c r="G26" i="17"/>
  <c r="H26" i="17" s="1"/>
  <c r="C16" i="18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G15" i="18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A16" i="18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8" i="18" s="1"/>
  <c r="A29" i="18" s="1"/>
  <c r="A19" i="17"/>
  <c r="A20" i="17" s="1"/>
  <c r="A15" i="17"/>
  <c r="E38" i="16"/>
  <c r="A35" i="16"/>
  <c r="Q21" i="16"/>
  <c r="F26" i="18" s="1"/>
  <c r="P21" i="16"/>
  <c r="O21" i="16"/>
  <c r="N21" i="16"/>
  <c r="M21" i="16"/>
  <c r="L21" i="16"/>
  <c r="K21" i="16"/>
  <c r="J21" i="16"/>
  <c r="I21" i="16"/>
  <c r="H21" i="16"/>
  <c r="F21" i="16"/>
  <c r="D17" i="18"/>
  <c r="D16" i="18"/>
  <c r="C13" i="15"/>
  <c r="F11" i="15"/>
  <c r="A11" i="15"/>
  <c r="A12" i="15" s="1"/>
  <c r="A13" i="15" s="1"/>
  <c r="A14" i="14"/>
  <c r="A15" i="14" s="1"/>
  <c r="A16" i="14" s="1"/>
  <c r="A17" i="14" s="1"/>
  <c r="A18" i="14" s="1"/>
  <c r="A19" i="14" s="1"/>
  <c r="A20" i="14" s="1"/>
  <c r="A23" i="14" s="1"/>
  <c r="A24" i="14" s="1"/>
  <c r="G26" i="18" l="1"/>
  <c r="G27" i="18" s="1"/>
  <c r="G29" i="18" s="1"/>
  <c r="H44" i="16"/>
  <c r="A25" i="14"/>
  <c r="A26" i="14" s="1"/>
  <c r="A28" i="14" s="1"/>
  <c r="A22" i="17"/>
  <c r="A24" i="17" s="1"/>
  <c r="A26" i="17" s="1"/>
  <c r="A27" i="17" s="1"/>
  <c r="A29" i="17" s="1"/>
  <c r="R27" i="16"/>
  <c r="R18" i="16"/>
  <c r="R21" i="16" s="1"/>
  <c r="R12" i="16"/>
  <c r="R15" i="16" s="1"/>
  <c r="R24" i="16"/>
  <c r="E13" i="15"/>
  <c r="F10" i="15"/>
  <c r="F13" i="15" s="1"/>
  <c r="F19" i="14" s="1"/>
  <c r="G21" i="16"/>
  <c r="D15" i="18"/>
  <c r="E21" i="16"/>
  <c r="G44" i="16" l="1"/>
  <c r="N44" i="16"/>
  <c r="I44" i="16"/>
  <c r="P44" i="16"/>
  <c r="M44" i="16"/>
  <c r="Q44" i="16"/>
  <c r="O44" i="16"/>
  <c r="L44" i="16"/>
  <c r="J44" i="16"/>
  <c r="K44" i="16"/>
  <c r="F44" i="16"/>
  <c r="D15" i="17" l="1"/>
  <c r="D19" i="17" s="1"/>
  <c r="I16" i="9"/>
  <c r="D18" i="17" l="1"/>
  <c r="D20" i="17" s="1"/>
  <c r="D24" i="17" s="1"/>
  <c r="D27" i="17" s="1"/>
  <c r="I17" i="9"/>
  <c r="I18" i="9" l="1"/>
  <c r="R46" i="16"/>
  <c r="A5" i="2"/>
  <c r="F15" i="14" l="1"/>
  <c r="G22" i="17"/>
  <c r="H22" i="17" s="1"/>
  <c r="I19" i="9"/>
  <c r="A3" i="10"/>
  <c r="A2" i="10"/>
  <c r="A3" i="9"/>
  <c r="A2" i="9"/>
  <c r="A2" i="7"/>
  <c r="A3" i="5"/>
  <c r="A2" i="5"/>
  <c r="A3" i="4"/>
  <c r="A2" i="4"/>
  <c r="I20" i="9" l="1"/>
  <c r="P21" i="7"/>
  <c r="F25" i="9" s="1"/>
  <c r="O21" i="7"/>
  <c r="F24" i="9" s="1"/>
  <c r="N21" i="7"/>
  <c r="F23" i="9" s="1"/>
  <c r="M21" i="7"/>
  <c r="F22" i="9" s="1"/>
  <c r="L21" i="7"/>
  <c r="F21" i="9" s="1"/>
  <c r="K21" i="7"/>
  <c r="F20" i="9" s="1"/>
  <c r="J21" i="7"/>
  <c r="F19" i="9" s="1"/>
  <c r="I21" i="7"/>
  <c r="F18" i="9" s="1"/>
  <c r="H21" i="7"/>
  <c r="F17" i="9" s="1"/>
  <c r="G21" i="7"/>
  <c r="F16" i="9" s="1"/>
  <c r="F21" i="7"/>
  <c r="F15" i="9" s="1"/>
  <c r="G15" i="9" s="1"/>
  <c r="M15" i="7"/>
  <c r="D22" i="9" s="1"/>
  <c r="L15" i="7"/>
  <c r="D21" i="9" s="1"/>
  <c r="K15" i="7"/>
  <c r="D20" i="9" s="1"/>
  <c r="J15" i="7"/>
  <c r="D19" i="9" s="1"/>
  <c r="I15" i="7"/>
  <c r="D18" i="9" s="1"/>
  <c r="H15" i="7"/>
  <c r="D17" i="9" s="1"/>
  <c r="G15" i="7"/>
  <c r="D16" i="9" s="1"/>
  <c r="F15" i="7"/>
  <c r="D15" i="9" s="1"/>
  <c r="G16" i="9" l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E21" i="7"/>
  <c r="R21" i="7"/>
  <c r="M35" i="7"/>
  <c r="M38" i="7" s="1"/>
  <c r="I35" i="7"/>
  <c r="I38" i="7" s="1"/>
  <c r="L35" i="7"/>
  <c r="L38" i="7" s="1"/>
  <c r="N35" i="7"/>
  <c r="N38" i="7" s="1"/>
  <c r="O35" i="7"/>
  <c r="O38" i="7" s="1"/>
  <c r="Q35" i="7"/>
  <c r="Q38" i="7" s="1"/>
  <c r="K35" i="7"/>
  <c r="K38" i="7" s="1"/>
  <c r="H35" i="7"/>
  <c r="H38" i="7" s="1"/>
  <c r="J35" i="7"/>
  <c r="J38" i="7" s="1"/>
  <c r="G35" i="7"/>
  <c r="G38" i="7" s="1"/>
  <c r="D30" i="17"/>
  <c r="D29" i="17"/>
  <c r="I21" i="9"/>
  <c r="R46" i="7" l="1"/>
  <c r="F14" i="4" s="1"/>
  <c r="D31" i="17"/>
  <c r="I22" i="9"/>
  <c r="I23" i="9" l="1"/>
  <c r="I24" i="9" l="1"/>
  <c r="R18" i="7"/>
  <c r="R12" i="7"/>
  <c r="R15" i="7" s="1"/>
  <c r="I25" i="9" l="1"/>
  <c r="I26" i="9" l="1"/>
  <c r="I27" i="9" s="1"/>
  <c r="R27" i="7" l="1"/>
  <c r="E15" i="9" l="1"/>
  <c r="E16" i="9" l="1"/>
  <c r="E17" i="9" l="1"/>
  <c r="E18" i="9" l="1"/>
  <c r="E19" i="9" l="1"/>
  <c r="E20" i="9" l="1"/>
  <c r="E21" i="9" l="1"/>
  <c r="E22" i="9" l="1"/>
  <c r="E23" i="9" l="1"/>
  <c r="E24" i="9" l="1"/>
  <c r="E25" i="9" l="1"/>
  <c r="G27" i="9" l="1"/>
  <c r="G29" i="9" s="1"/>
  <c r="E26" i="9"/>
  <c r="E27" i="9" s="1"/>
  <c r="E29" i="9" s="1"/>
  <c r="F12" i="4" l="1"/>
  <c r="A13" i="4"/>
  <c r="H13" i="3" l="1"/>
  <c r="H14" i="3"/>
  <c r="H15" i="3"/>
  <c r="H12" i="3"/>
  <c r="A14" i="10" l="1"/>
  <c r="A15" i="10" s="1"/>
  <c r="A16" i="10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8" i="9" s="1"/>
  <c r="A29" i="9" s="1"/>
  <c r="I29" i="9" l="1"/>
  <c r="F11" i="5"/>
  <c r="F10" i="5"/>
  <c r="E13" i="5"/>
  <c r="C13" i="5"/>
  <c r="A11" i="5"/>
  <c r="A12" i="5" s="1"/>
  <c r="A13" i="5" s="1"/>
  <c r="A14" i="4"/>
  <c r="A15" i="4" s="1"/>
  <c r="A16" i="4" s="1"/>
  <c r="A17" i="4" s="1"/>
  <c r="A18" i="4" s="1"/>
  <c r="A19" i="4" s="1"/>
  <c r="A22" i="4" s="1"/>
  <c r="A23" i="4" s="1"/>
  <c r="A24" i="4" s="1"/>
  <c r="A25" i="4" s="1"/>
  <c r="D16" i="3"/>
  <c r="A13" i="3"/>
  <c r="A14" i="3" s="1"/>
  <c r="A15" i="3" s="1"/>
  <c r="A16" i="3" s="1"/>
  <c r="A27" i="4" l="1"/>
  <c r="F13" i="4"/>
  <c r="F13" i="5"/>
  <c r="F18" i="4" s="1"/>
  <c r="F15" i="4" l="1"/>
  <c r="F23" i="4" s="1"/>
  <c r="F17" i="4" l="1"/>
  <c r="F19" i="4" s="1"/>
  <c r="F24" i="4" s="1"/>
  <c r="F25" i="4" l="1"/>
  <c r="F27" i="4" s="1"/>
  <c r="E16" i="3" s="1"/>
  <c r="E14" i="3" l="1"/>
  <c r="E12" i="3"/>
  <c r="E15" i="3"/>
  <c r="E13" i="3"/>
  <c r="D14" i="18"/>
  <c r="E14" i="18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l="1"/>
  <c r="E29" i="18" l="1"/>
  <c r="G11" i="17" s="1"/>
  <c r="F16" i="14" l="1"/>
  <c r="F24" i="14" s="1"/>
  <c r="G15" i="17"/>
  <c r="H11" i="17"/>
  <c r="G14" i="17"/>
  <c r="H15" i="17" l="1"/>
  <c r="G19" i="17"/>
  <c r="H19" i="17" s="1"/>
  <c r="G18" i="17"/>
  <c r="H14" i="17"/>
  <c r="G20" i="17" l="1"/>
  <c r="H18" i="17"/>
  <c r="G24" i="17" l="1"/>
  <c r="H20" i="17"/>
  <c r="H24" i="17" l="1"/>
  <c r="G27" i="17"/>
  <c r="H27" i="17" l="1"/>
  <c r="G30" i="17"/>
  <c r="H30" i="17" s="1"/>
  <c r="H35" i="17" s="1"/>
  <c r="G29" i="17"/>
  <c r="G31" i="17" l="1"/>
  <c r="H29" i="17"/>
  <c r="H31" i="17" l="1"/>
  <c r="H33" i="17"/>
  <c r="F18" i="14" s="1"/>
  <c r="F20" i="14" s="1"/>
  <c r="F25" i="14" s="1"/>
  <c r="F26" i="14" l="1"/>
  <c r="F28" i="14" s="1"/>
  <c r="F31" i="14" s="1"/>
  <c r="F34" i="14" s="1"/>
  <c r="F16" i="3" s="1"/>
  <c r="G16" i="3" l="1"/>
  <c r="F14" i="3"/>
  <c r="G14" i="3" s="1"/>
  <c r="I14" i="3" s="1"/>
  <c r="F12" i="3"/>
  <c r="G12" i="3" s="1"/>
  <c r="I12" i="3" s="1"/>
  <c r="F15" i="3"/>
  <c r="G15" i="3" s="1"/>
  <c r="I15" i="3" s="1"/>
  <c r="F13" i="3"/>
  <c r="G13" i="3" s="1"/>
  <c r="I13" i="3" s="1"/>
</calcChain>
</file>

<file path=xl/sharedStrings.xml><?xml version="1.0" encoding="utf-8"?>
<sst xmlns="http://schemas.openxmlformats.org/spreadsheetml/2006/main" count="706" uniqueCount="261">
  <si>
    <t>Duke Energy Kentucky</t>
  </si>
  <si>
    <t>Table of Contents</t>
  </si>
  <si>
    <t>1.0</t>
  </si>
  <si>
    <t>1.1</t>
  </si>
  <si>
    <t>1.2</t>
  </si>
  <si>
    <t>2.0</t>
  </si>
  <si>
    <t>2.1</t>
  </si>
  <si>
    <t>2.2</t>
  </si>
  <si>
    <t>3.0</t>
  </si>
  <si>
    <t>Description</t>
  </si>
  <si>
    <t>Revenue Requirement</t>
  </si>
  <si>
    <t>Cost of Capital</t>
  </si>
  <si>
    <t>Plant Additions and Depreciation</t>
  </si>
  <si>
    <t>Tax Depreciation</t>
  </si>
  <si>
    <t>Billing Determinants</t>
  </si>
  <si>
    <t>Rate Schedule</t>
  </si>
  <si>
    <t>Revenue</t>
  </si>
  <si>
    <t>Requirement</t>
  </si>
  <si>
    <t>Billing</t>
  </si>
  <si>
    <t>Determinants</t>
  </si>
  <si>
    <t>Monthly</t>
  </si>
  <si>
    <t>Total</t>
  </si>
  <si>
    <t>Reference</t>
  </si>
  <si>
    <t>Return on Investment</t>
  </si>
  <si>
    <t>Rate Base</t>
  </si>
  <si>
    <t>Cost of Removal</t>
  </si>
  <si>
    <t>Accumulated Reserve for Depreciation</t>
  </si>
  <si>
    <t>Net PP&amp;E</t>
  </si>
  <si>
    <t>Deferred Taxes on Liberalized Depreciation</t>
  </si>
  <si>
    <t>Net Rate Base</t>
  </si>
  <si>
    <t>Authorized Rate of Return, Adjusted for Income Taxes</t>
  </si>
  <si>
    <t>Operating Expenses</t>
  </si>
  <si>
    <t>Depreciation</t>
  </si>
  <si>
    <t>Property Tax</t>
  </si>
  <si>
    <t>PSC Assessment</t>
  </si>
  <si>
    <t>Total Operating Expenses</t>
  </si>
  <si>
    <t>Total Annual Revenue Requirement</t>
  </si>
  <si>
    <t>Line 4 + Line 5</t>
  </si>
  <si>
    <t>Line 6 * Line 7</t>
  </si>
  <si>
    <t>Sum Lines 9 thru 11</t>
  </si>
  <si>
    <t>Line 8 + Line 12</t>
  </si>
  <si>
    <t>Notes:</t>
  </si>
  <si>
    <t>Capital Structure</t>
  </si>
  <si>
    <t>Ratio</t>
  </si>
  <si>
    <t>Cost</t>
  </si>
  <si>
    <t xml:space="preserve">Weighted </t>
  </si>
  <si>
    <t>Pre-Tax @ Effect.</t>
  </si>
  <si>
    <t>Short term Debt</t>
  </si>
  <si>
    <t>Long term Debt</t>
  </si>
  <si>
    <t>Equity</t>
  </si>
  <si>
    <t>Acct</t>
  </si>
  <si>
    <t>Number</t>
  </si>
  <si>
    <t>Additions</t>
  </si>
  <si>
    <t>Total Additions</t>
  </si>
  <si>
    <t>Retirements</t>
  </si>
  <si>
    <t>Total Retirements</t>
  </si>
  <si>
    <t>Total Cost of removal</t>
  </si>
  <si>
    <t>Month</t>
  </si>
  <si>
    <t xml:space="preserve">Number of </t>
  </si>
  <si>
    <t>Months</t>
  </si>
  <si>
    <t>RS- Residential</t>
  </si>
  <si>
    <t>IT - Interruptible Transportation</t>
  </si>
  <si>
    <t>GS - General Service</t>
  </si>
  <si>
    <t>(A)</t>
  </si>
  <si>
    <t>(B)</t>
  </si>
  <si>
    <t>Thirteen Month Average Additions and Retirements</t>
  </si>
  <si>
    <t>(C)</t>
  </si>
  <si>
    <t>FT - Firm Transportation (Includes DGS)</t>
  </si>
  <si>
    <t>Tax Base In-service subject to :</t>
  </si>
  <si>
    <t>MACRS on Balance</t>
  </si>
  <si>
    <t>Vintage</t>
  </si>
  <si>
    <t xml:space="preserve">Total Tax Depreciation </t>
  </si>
  <si>
    <t>Book Depreciation</t>
  </si>
  <si>
    <t>Tax Depreciation in Excess of Book Depreciation</t>
  </si>
  <si>
    <t>Deferred Taxes @</t>
  </si>
  <si>
    <t>Total Difference</t>
  </si>
  <si>
    <t>Schedule</t>
  </si>
  <si>
    <t xml:space="preserve">MACRS </t>
  </si>
  <si>
    <t>FT - Firm Transportation (CCF)</t>
  </si>
  <si>
    <t>IT - Interruptible Transportation (CCF)</t>
  </si>
  <si>
    <t>Per CCF</t>
  </si>
  <si>
    <t>Line 4 *</t>
  </si>
  <si>
    <t>TOTAL</t>
  </si>
  <si>
    <t>By Month</t>
  </si>
  <si>
    <t>(D)</t>
  </si>
  <si>
    <t>( F)</t>
  </si>
  <si>
    <t>( G)</t>
  </si>
  <si>
    <t>Cumulative</t>
  </si>
  <si>
    <t>Number of months</t>
  </si>
  <si>
    <t>13 Month Average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</si>
  <si>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</si>
  <si>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</si>
  <si>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</si>
  <si>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</si>
  <si>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</si>
  <si>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</si>
  <si>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</si>
  <si>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</si>
  <si>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</si>
  <si>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</si>
  <si>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</si>
  <si>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</si>
  <si>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EOY</t>
  </si>
  <si>
    <t xml:space="preserve"> </t>
  </si>
  <si>
    <t>Rate</t>
  </si>
  <si>
    <t>Annual</t>
  </si>
  <si>
    <t>13 month</t>
  </si>
  <si>
    <t>Average</t>
  </si>
  <si>
    <t>Total Accumulated Depreciation Reserve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</si>
  <si>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</si>
  <si>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</si>
  <si>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</si>
  <si>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</si>
  <si>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</si>
  <si>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</si>
  <si>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</si>
  <si>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</si>
  <si>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</si>
  <si>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</si>
  <si>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</si>
  <si>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</si>
  <si>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Accumulated Depreciation Reserve</t>
  </si>
  <si>
    <t>(Q)</t>
  </si>
  <si>
    <t>Accumulated Deferred Taxes on Liberalized Depreciation</t>
  </si>
  <si>
    <r>
      <t xml:space="preserve">Gas Plant Investments </t>
    </r>
    <r>
      <rPr>
        <b/>
        <u/>
        <vertAlign val="superscript"/>
        <sz val="11"/>
        <color theme="1"/>
        <rFont val="Calibri"/>
        <family val="2"/>
        <scheme val="minor"/>
      </rPr>
      <t>(1)</t>
    </r>
  </si>
  <si>
    <t>( E)</t>
  </si>
  <si>
    <t>( H)</t>
  </si>
  <si>
    <t>Accumlated Deferred Income Tax</t>
  </si>
  <si>
    <t>Collections/(Refunds) for prior years</t>
  </si>
  <si>
    <t>Adjusted Revenue Requirement</t>
  </si>
  <si>
    <t>Total (Over)/Under Collections</t>
  </si>
  <si>
    <t>Bonus Depreciation- 50%</t>
  </si>
  <si>
    <t>Tax Rate of 24.925%</t>
  </si>
  <si>
    <t>Excess Deferred Income Taxes (EDIT)</t>
  </si>
  <si>
    <t>Pipeline Modernization Mechanism ("Rider PMM")</t>
  </si>
  <si>
    <t>Rider PMM by Rate Schedule</t>
  </si>
  <si>
    <t>Line</t>
  </si>
  <si>
    <t>No.</t>
  </si>
  <si>
    <t>Approved KyPSC</t>
  </si>
  <si>
    <t>Case No. 2021-00190</t>
  </si>
  <si>
    <t>Rider PMM</t>
  </si>
  <si>
    <t>PMM Investment</t>
  </si>
  <si>
    <t>December 31, 2023</t>
  </si>
  <si>
    <t>PMM Rates by Rate Schedule</t>
  </si>
  <si>
    <t>PMM Additions and Retirements</t>
  </si>
  <si>
    <t>Capital structure approved in Case No. 2021-00190</t>
  </si>
  <si>
    <t>Total PMM Plant Additions</t>
  </si>
  <si>
    <t>PMM Capex</t>
  </si>
  <si>
    <t>Net PMM Investment  - Property, Plant and Equipment</t>
  </si>
  <si>
    <t>Required Return on PMM Related Investment</t>
  </si>
  <si>
    <t>PMM Rider Billing Determinants by Rate Schedule</t>
  </si>
  <si>
    <t>Sch. 1.1</t>
  </si>
  <si>
    <t>Sch. 4.1</t>
  </si>
  <si>
    <t>Sch. 2.2</t>
  </si>
  <si>
    <t>Sch. 2.0</t>
  </si>
  <si>
    <t>Sch. 2.1</t>
  </si>
  <si>
    <t>Sch. 1.2</t>
  </si>
  <si>
    <t>Sch. 4.5</t>
  </si>
  <si>
    <t>Sch. 4.3</t>
  </si>
  <si>
    <t>Sch. 4.4</t>
  </si>
  <si>
    <t>Sch. 4.2</t>
  </si>
  <si>
    <t>Tax Year 2023</t>
  </si>
  <si>
    <t>Balance @ 12/31/2022</t>
  </si>
  <si>
    <t>Test Year 12/31/23 PMM Investment Summary</t>
  </si>
  <si>
    <t>PMM Revenue Requirement for 2023</t>
  </si>
  <si>
    <t>Mains - Feeder</t>
  </si>
  <si>
    <t>ROE represents rate approved for use in natural gas capital riders.</t>
  </si>
  <si>
    <t>Tax Year 2024</t>
  </si>
  <si>
    <t>Capital structure and cost of debt approved in Case No. 2021-00190</t>
  </si>
  <si>
    <t>Sch. 3.0</t>
  </si>
  <si>
    <t>Gross Distribution Plant</t>
  </si>
  <si>
    <t>Land and Land Rights</t>
  </si>
  <si>
    <t>System M&amp;R Station Equipment</t>
  </si>
  <si>
    <t>A</t>
  </si>
  <si>
    <t>B</t>
  </si>
  <si>
    <t>H</t>
  </si>
  <si>
    <t>projected</t>
  </si>
  <si>
    <t>Tax Rate</t>
  </si>
  <si>
    <t>Forecasted ADIT</t>
  </si>
  <si>
    <t>Book Adds/Retires - 15 YR MACRS</t>
  </si>
  <si>
    <t>Book Adds/Retires - Non-Depreciable Land</t>
  </si>
  <si>
    <t>Total MACRS Depreciation</t>
  </si>
  <si>
    <t>Days to Prorate</t>
  </si>
  <si>
    <t>Future Days in Period</t>
  </si>
  <si>
    <t>Total Book Additions/ Retirements</t>
  </si>
  <si>
    <t>Book Adds/Retires - 20 YR MACRS</t>
  </si>
  <si>
    <t>C</t>
  </si>
  <si>
    <t>A + B + C = D</t>
  </si>
  <si>
    <t>A * 5% = E</t>
  </si>
  <si>
    <t>B * 3.75% = F</t>
  </si>
  <si>
    <t>E + F = G</t>
  </si>
  <si>
    <t>G  -H = I</t>
  </si>
  <si>
    <t>Book/Tax Difference</t>
  </si>
  <si>
    <t>Accumulated Book/Tax Difference</t>
  </si>
  <si>
    <t>J</t>
  </si>
  <si>
    <t>K</t>
  </si>
  <si>
    <t>L</t>
  </si>
  <si>
    <t>Prorated Book/Tax Difference</t>
  </si>
  <si>
    <t>Prorated Accumulated Book/Tax Difference</t>
  </si>
  <si>
    <t>N</t>
  </si>
  <si>
    <t>Return on equity approved in Case No. 2021-00190 for use in natural gas capital riders</t>
  </si>
  <si>
    <t>Natural gas revenue is defined to include base, gas cost and miscellaneous revenue</t>
  </si>
  <si>
    <t>The cap for the annual PMM revenue requirement is no more than 5% increase in natural gas revenue per year</t>
  </si>
  <si>
    <t>4.1</t>
  </si>
  <si>
    <t>Revenue Requirement - True Up</t>
  </si>
  <si>
    <t>4.2</t>
  </si>
  <si>
    <t>Cost of Captial - True Up</t>
  </si>
  <si>
    <t>4.3</t>
  </si>
  <si>
    <t>Plant Additions and Depreciation - True Up</t>
  </si>
  <si>
    <t>4.4</t>
  </si>
  <si>
    <t>PMM Additions and Retirements - True Up</t>
  </si>
  <si>
    <r>
      <t>RS - Residential (CCF)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</si>
  <si>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>GS - General Service (CCF)</t>
    </r>
    <r>
      <rPr>
        <vertAlign val="superscript"/>
        <sz val="11"/>
        <color theme="1"/>
        <rFont val="Calibri"/>
        <family val="2"/>
        <scheme val="minor"/>
      </rPr>
      <t xml:space="preserve"> (1) (2)</t>
    </r>
  </si>
  <si>
    <t xml:space="preserve">(1) General Service includes Commercial, Industrial, OPA, Street Lighting and Interdepartmental. </t>
  </si>
  <si>
    <t>per  CCF</t>
  </si>
  <si>
    <t>2025 Projected</t>
  </si>
  <si>
    <t>Forecasted PMM Revenue Requirement for 2025</t>
  </si>
  <si>
    <t>December 31, 2025</t>
  </si>
  <si>
    <t>Projected 2025 Depreciation Expense</t>
  </si>
  <si>
    <t>Projected 2025 Additions</t>
  </si>
  <si>
    <t>Balance @ 12/31/2024</t>
  </si>
  <si>
    <t>Test Year 12/31/25 PMM Investment Summary</t>
  </si>
  <si>
    <t>for the Twelve Month Ending December, 2025</t>
  </si>
  <si>
    <t>Actual 2023 Additions</t>
  </si>
  <si>
    <t>Actual 2023 Depreciation Expense</t>
  </si>
  <si>
    <t>Copy Sch 2.1 from the 2022 AS Filed</t>
  </si>
  <si>
    <t>2023 Billed Revenues</t>
  </si>
  <si>
    <t>2023 Projection Filing</t>
  </si>
  <si>
    <r>
      <rPr>
        <b/>
        <sz val="11"/>
        <color rgb="FF0000FF"/>
        <rFont val="Calibri"/>
        <family val="2"/>
        <scheme val="minor"/>
      </rPr>
      <t xml:space="preserve">2023 </t>
    </r>
    <r>
      <rPr>
        <b/>
        <sz val="11"/>
        <color theme="1"/>
        <rFont val="Calibri"/>
        <family val="2"/>
        <scheme val="minor"/>
      </rPr>
      <t>True Up</t>
    </r>
  </si>
  <si>
    <t>(2) PSC Assessment using Fiscal Year 2023 rate of 0.1302%</t>
  </si>
  <si>
    <t>(2) Per Order 2022-00229, all Rider PMM rates should be in volumetric format for the 2025 calendar year.</t>
  </si>
  <si>
    <t>2025 Projection Filing</t>
  </si>
  <si>
    <t>A * Tax Rate Table = E</t>
  </si>
  <si>
    <t>B * Tax Rate Table = F</t>
  </si>
  <si>
    <t>15 Yr MACRS for Tax</t>
  </si>
  <si>
    <t>20 Yr MACRS for Tax</t>
  </si>
  <si>
    <t>n/a</t>
  </si>
  <si>
    <t>TAX RATE TABLE</t>
  </si>
  <si>
    <t>MACRS 15</t>
  </si>
  <si>
    <t>MACRS 20</t>
  </si>
  <si>
    <t>Line No.</t>
  </si>
  <si>
    <t>Total ASRP Plant Additions</t>
  </si>
  <si>
    <t>Tax Year 2025</t>
  </si>
  <si>
    <t xml:space="preserve">15 Yr MACRS </t>
  </si>
  <si>
    <t xml:space="preserve">20 Yr MACRS </t>
  </si>
  <si>
    <t>Cost of Removal Book/Tax Difference</t>
  </si>
  <si>
    <t>Prorated 2024 Book/Tax Difference</t>
  </si>
  <si>
    <t>Total Forecasted ADIT</t>
  </si>
  <si>
    <r>
      <t xml:space="preserve">(1) See Schedule 2.2 for detail of </t>
    </r>
    <r>
      <rPr>
        <sz val="11"/>
        <color rgb="FF0000FF"/>
        <rFont val="Calibri"/>
        <family val="2"/>
        <scheme val="minor"/>
      </rPr>
      <t xml:space="preserve">2025 </t>
    </r>
    <r>
      <rPr>
        <sz val="11"/>
        <color theme="1"/>
        <rFont val="Calibri"/>
        <family val="2"/>
        <scheme val="minor"/>
      </rPr>
      <t>PMM eligible additions.</t>
    </r>
  </si>
  <si>
    <t>1st Yr 15 Yr MACRS for Tax - 5%</t>
  </si>
  <si>
    <t>1st Yr 20 Yr MACRS for Tax - 3.75%</t>
  </si>
  <si>
    <t>(Sum Line 8 thru 10) * (0.1302% / (1-0.1302%))</t>
  </si>
  <si>
    <t>Deferred Taxes on Liberalized Depreciation - True Up</t>
  </si>
  <si>
    <t>(1) See Sch 4.5 for detail of 2023 PMM eligible additions.</t>
  </si>
  <si>
    <t>Actuals</t>
  </si>
  <si>
    <t>Year 1</t>
  </si>
  <si>
    <t>Year 2</t>
  </si>
  <si>
    <t>Year 3</t>
  </si>
  <si>
    <t>Book vs Tax Depreciation</t>
  </si>
  <si>
    <t>(3)  Under collection is driven by the actual in-service date later than the projected in-service date</t>
  </si>
  <si>
    <t>(I * L) / K =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</si>
</sst>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[$-409]mmm\-yy;@"/>
    <numFmt numFmtId="168" formatCode="_(&quot;$&quot;* #,##0.00000_);_(&quot;$&quot;* \(#,##0.00000\);_(&quot;$&quot;* &quot;-&quot;?????_);_(@_)"/>
    <numFmt numFmtId="169" formatCode="0.0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rgb="FF0070C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A1CC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8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0" fillId="0" borderId="0" xfId="1" applyNumberFormat="1" applyFont="1" applyAlignment="1">
      <alignment horizontal="center"/>
    </xf>
    <xf numFmtId="165" fontId="0" fillId="0" borderId="0" xfId="3" applyNumberFormat="1" applyFont="1"/>
    <xf numFmtId="165" fontId="0" fillId="0" borderId="2" xfId="3" applyNumberFormat="1" applyFont="1" applyBorder="1"/>
    <xf numFmtId="10" fontId="0" fillId="0" borderId="0" xfId="0" applyNumberFormat="1"/>
    <xf numFmtId="0" fontId="0" fillId="0" borderId="0" xfId="0" quotePrefix="1"/>
    <xf numFmtId="0" fontId="2" fillId="0" borderId="0" xfId="0" quotePrefix="1" applyFont="1" applyAlignment="1">
      <alignment horizontal="center"/>
    </xf>
    <xf numFmtId="165" fontId="0" fillId="0" borderId="0" xfId="3" quotePrefix="1" applyNumberFormat="1" applyFont="1"/>
    <xf numFmtId="164" fontId="0" fillId="0" borderId="0" xfId="1" applyNumberFormat="1" applyFont="1" applyBorder="1"/>
    <xf numFmtId="164" fontId="7" fillId="0" borderId="0" xfId="1" applyNumberFormat="1" applyFont="1" applyBorder="1"/>
    <xf numFmtId="0" fontId="0" fillId="0" borderId="0" xfId="0" applyFont="1"/>
    <xf numFmtId="0" fontId="0" fillId="0" borderId="0" xfId="0" applyBorder="1"/>
    <xf numFmtId="164" fontId="0" fillId="0" borderId="0" xfId="0" applyNumberFormat="1" applyBorder="1"/>
    <xf numFmtId="164" fontId="6" fillId="0" borderId="0" xfId="1" applyNumberFormat="1" applyFont="1"/>
    <xf numFmtId="0" fontId="2" fillId="0" borderId="0" xfId="0" applyFont="1" applyAlignment="1">
      <alignment horizontal="left"/>
    </xf>
    <xf numFmtId="167" fontId="0" fillId="0" borderId="0" xfId="0" applyNumberFormat="1"/>
    <xf numFmtId="10" fontId="4" fillId="0" borderId="0" xfId="3" applyNumberFormat="1" applyFont="1" applyBorder="1"/>
    <xf numFmtId="166" fontId="5" fillId="0" borderId="0" xfId="2" applyNumberFormat="1" applyFont="1"/>
    <xf numFmtId="164" fontId="5" fillId="0" borderId="0" xfId="1" applyNumberFormat="1" applyFont="1"/>
    <xf numFmtId="1" fontId="0" fillId="0" borderId="0" xfId="3" quotePrefix="1" applyNumberFormat="1" applyFont="1"/>
    <xf numFmtId="1" fontId="0" fillId="0" borderId="0" xfId="3" applyNumberFormat="1" applyFont="1" applyBorder="1"/>
    <xf numFmtId="164" fontId="5" fillId="0" borderId="0" xfId="1" applyNumberFormat="1" applyFont="1" applyBorder="1"/>
    <xf numFmtId="0" fontId="8" fillId="0" borderId="0" xfId="0" applyFont="1"/>
    <xf numFmtId="3" fontId="0" fillId="0" borderId="0" xfId="0" applyNumberFormat="1"/>
    <xf numFmtId="3" fontId="0" fillId="0" borderId="0" xfId="0" applyNumberFormat="1" applyBorder="1"/>
    <xf numFmtId="0" fontId="0" fillId="0" borderId="0" xfId="0" applyFill="1"/>
    <xf numFmtId="167" fontId="0" fillId="0" borderId="0" xfId="0" applyNumberFormat="1" applyAlignment="1">
      <alignment wrapText="1"/>
    </xf>
    <xf numFmtId="168" fontId="0" fillId="0" borderId="0" xfId="2" applyNumberFormat="1" applyFont="1" applyAlignment="1">
      <alignment horizontal="center"/>
    </xf>
    <xf numFmtId="165" fontId="0" fillId="0" borderId="0" xfId="0" applyNumberFormat="1"/>
    <xf numFmtId="0" fontId="0" fillId="0" borderId="0" xfId="0" applyFill="1" applyBorder="1"/>
    <xf numFmtId="37" fontId="0" fillId="0" borderId="0" xfId="0" applyNumberFormat="1"/>
    <xf numFmtId="165" fontId="0" fillId="0" borderId="0" xfId="3" quotePrefix="1" applyNumberFormat="1" applyFont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43" fontId="0" fillId="0" borderId="0" xfId="0" applyNumberFormat="1"/>
    <xf numFmtId="167" fontId="0" fillId="0" borderId="0" xfId="0" applyNumberFormat="1" applyAlignment="1">
      <alignment horizontal="left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Font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0" fillId="0" borderId="0" xfId="0" applyBorder="1" applyAlignment="1">
      <alignment horizontal="center"/>
    </xf>
    <xf numFmtId="0" fontId="5" fillId="0" borderId="0" xfId="0" applyFont="1" applyFill="1"/>
    <xf numFmtId="164" fontId="1" fillId="0" borderId="0" xfId="1" applyNumberFormat="1" applyFont="1" applyBorder="1"/>
    <xf numFmtId="0" fontId="0" fillId="0" borderId="0" xfId="0" applyAlignment="1">
      <alignment horizontal="center" vertical="center"/>
    </xf>
    <xf numFmtId="42" fontId="0" fillId="0" borderId="0" xfId="1" applyNumberFormat="1" applyFont="1" applyAlignment="1">
      <alignment horizontal="center"/>
    </xf>
    <xf numFmtId="42" fontId="0" fillId="0" borderId="1" xfId="1" applyNumberFormat="1" applyFont="1" applyBorder="1"/>
    <xf numFmtId="42" fontId="0" fillId="0" borderId="2" xfId="1" applyNumberFormat="1" applyFont="1" applyBorder="1"/>
    <xf numFmtId="42" fontId="0" fillId="0" borderId="0" xfId="1" applyNumberFormat="1" applyFont="1"/>
    <xf numFmtId="42" fontId="0" fillId="0" borderId="3" xfId="0" applyNumberFormat="1" applyBorder="1"/>
    <xf numFmtId="0" fontId="2" fillId="0" borderId="0" xfId="0" applyFont="1" applyAlignment="1">
      <alignment horizontal="center"/>
    </xf>
    <xf numFmtId="42" fontId="0" fillId="0" borderId="0" xfId="0" applyNumberFormat="1" applyBorder="1"/>
    <xf numFmtId="42" fontId="0" fillId="0" borderId="0" xfId="1" applyNumberFormat="1" applyFont="1" applyBorder="1"/>
    <xf numFmtId="42" fontId="0" fillId="0" borderId="2" xfId="0" applyNumberFormat="1" applyBorder="1"/>
    <xf numFmtId="42" fontId="0" fillId="0" borderId="0" xfId="1" applyNumberFormat="1" applyFont="1" applyFill="1"/>
    <xf numFmtId="42" fontId="0" fillId="0" borderId="1" xfId="0" applyNumberFormat="1" applyBorder="1"/>
    <xf numFmtId="42" fontId="0" fillId="0" borderId="4" xfId="0" applyNumberFormat="1" applyBorder="1"/>
    <xf numFmtId="42" fontId="0" fillId="0" borderId="0" xfId="0" applyNumberFormat="1"/>
    <xf numFmtId="42" fontId="0" fillId="0" borderId="1" xfId="0" applyNumberFormat="1" applyFill="1" applyBorder="1"/>
    <xf numFmtId="42" fontId="0" fillId="0" borderId="0" xfId="0" applyNumberFormat="1" applyFill="1" applyBorder="1"/>
    <xf numFmtId="0" fontId="0" fillId="0" borderId="0" xfId="0" applyAlignment="1">
      <alignment horizontal="center"/>
    </xf>
    <xf numFmtId="165" fontId="5" fillId="0" borderId="0" xfId="3" applyNumberFormat="1" applyFont="1"/>
    <xf numFmtId="0" fontId="5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4" fontId="6" fillId="0" borderId="0" xfId="1" applyNumberFormat="1" applyFont="1" applyFill="1"/>
    <xf numFmtId="10" fontId="4" fillId="0" borderId="0" xfId="3" applyNumberFormat="1" applyFont="1" applyFill="1" applyBorder="1"/>
    <xf numFmtId="164" fontId="5" fillId="0" borderId="0" xfId="1" applyNumberFormat="1" applyFont="1" applyFill="1" applyBorder="1"/>
    <xf numFmtId="3" fontId="0" fillId="0" borderId="0" xfId="0" applyNumberFormat="1" applyFill="1" applyBorder="1"/>
    <xf numFmtId="42" fontId="0" fillId="0" borderId="4" xfId="0" applyNumberFormat="1" applyFill="1" applyBorder="1"/>
    <xf numFmtId="42" fontId="5" fillId="0" borderId="4" xfId="1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quotePrefix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42" fontId="4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42" fontId="0" fillId="0" borderId="0" xfId="1" applyNumberFormat="1" applyFont="1" applyFill="1" applyBorder="1"/>
    <xf numFmtId="42" fontId="0" fillId="0" borderId="5" xfId="1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42" fontId="5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2" xfId="0" applyFill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164" fontId="0" fillId="0" borderId="0" xfId="1" applyNumberFormat="1" applyFont="1" applyFill="1" applyBorder="1"/>
    <xf numFmtId="37" fontId="0" fillId="0" borderId="0" xfId="0" applyNumberFormat="1" applyBorder="1"/>
    <xf numFmtId="41" fontId="5" fillId="0" borderId="0" xfId="1" applyNumberFormat="1" applyFont="1" applyFill="1" applyBorder="1"/>
    <xf numFmtId="41" fontId="5" fillId="0" borderId="2" xfId="1" applyNumberFormat="1" applyFont="1" applyFill="1" applyBorder="1"/>
    <xf numFmtId="41" fontId="0" fillId="0" borderId="0" xfId="0" applyNumberFormat="1"/>
    <xf numFmtId="41" fontId="0" fillId="0" borderId="0" xfId="3" applyNumberFormat="1" applyFont="1" applyBorder="1"/>
    <xf numFmtId="41" fontId="0" fillId="0" borderId="2" xfId="0" applyNumberFormat="1" applyBorder="1"/>
    <xf numFmtId="41" fontId="4" fillId="0" borderId="0" xfId="3" applyNumberFormat="1" applyFont="1"/>
    <xf numFmtId="41" fontId="0" fillId="0" borderId="0" xfId="0" applyNumberFormat="1" applyBorder="1"/>
    <xf numFmtId="41" fontId="0" fillId="0" borderId="0" xfId="1" quotePrefix="1" applyNumberFormat="1" applyFont="1"/>
    <xf numFmtId="41" fontId="5" fillId="0" borderId="0" xfId="1" applyNumberFormat="1" applyFont="1" applyBorder="1"/>
    <xf numFmtId="41" fontId="5" fillId="0" borderId="2" xfId="1" applyNumberFormat="1" applyFont="1" applyBorder="1"/>
    <xf numFmtId="41" fontId="12" fillId="0" borderId="0" xfId="0" applyNumberFormat="1" applyFont="1"/>
    <xf numFmtId="41" fontId="12" fillId="0" borderId="0" xfId="0" applyNumberFormat="1" applyFont="1" applyBorder="1"/>
    <xf numFmtId="41" fontId="12" fillId="0" borderId="0" xfId="3" applyNumberFormat="1" applyFont="1" applyFill="1" applyBorder="1"/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Fill="1"/>
    <xf numFmtId="165" fontId="0" fillId="0" borderId="2" xfId="0" applyNumberFormat="1" applyFill="1" applyBorder="1"/>
    <xf numFmtId="42" fontId="12" fillId="0" borderId="0" xfId="1" applyNumberFormat="1" applyFont="1" applyBorder="1"/>
    <xf numFmtId="42" fontId="12" fillId="0" borderId="0" xfId="1" applyNumberFormat="1" applyFont="1" applyAlignment="1">
      <alignment horizontal="center"/>
    </xf>
    <xf numFmtId="165" fontId="0" fillId="0" borderId="0" xfId="0" applyNumberFormat="1" applyFill="1"/>
    <xf numFmtId="0" fontId="3" fillId="0" borderId="0" xfId="0" applyFont="1" applyBorder="1" applyAlignment="1">
      <alignment horizontal="center"/>
    </xf>
    <xf numFmtId="17" fontId="1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42" fontId="5" fillId="0" borderId="2" xfId="1" applyNumberFormat="1" applyFont="1" applyFill="1" applyBorder="1"/>
    <xf numFmtId="42" fontId="0" fillId="0" borderId="2" xfId="1" applyNumberFormat="1" applyFont="1" applyFill="1" applyBorder="1"/>
    <xf numFmtId="0" fontId="0" fillId="0" borderId="0" xfId="3" quotePrefix="1" applyNumberFormat="1" applyFont="1" applyAlignment="1">
      <alignment horizontal="center"/>
    </xf>
    <xf numFmtId="41" fontId="5" fillId="0" borderId="0" xfId="0" applyNumberFormat="1" applyFont="1" applyFill="1" applyBorder="1"/>
    <xf numFmtId="41" fontId="0" fillId="0" borderId="0" xfId="0" applyNumberFormat="1" applyFill="1" applyBorder="1"/>
    <xf numFmtId="42" fontId="5" fillId="0" borderId="0" xfId="1" applyNumberFormat="1" applyFont="1" applyBorder="1"/>
    <xf numFmtId="41" fontId="0" fillId="0" borderId="0" xfId="3" applyNumberFormat="1" applyFont="1" applyFill="1" applyBorder="1"/>
    <xf numFmtId="41" fontId="0" fillId="0" borderId="2" xfId="0" applyNumberFormat="1" applyFill="1" applyBorder="1"/>
    <xf numFmtId="41" fontId="0" fillId="0" borderId="0" xfId="0" applyNumberFormat="1" applyFill="1"/>
    <xf numFmtId="41" fontId="4" fillId="0" borderId="0" xfId="3" applyNumberFormat="1" applyFont="1" applyFill="1"/>
    <xf numFmtId="41" fontId="0" fillId="0" borderId="0" xfId="1" applyNumberFormat="1" applyFont="1"/>
    <xf numFmtId="41" fontId="0" fillId="0" borderId="2" xfId="1" applyNumberFormat="1" applyFont="1" applyBorder="1"/>
    <xf numFmtId="41" fontId="5" fillId="0" borderId="0" xfId="1" applyNumberFormat="1" applyFont="1"/>
    <xf numFmtId="42" fontId="5" fillId="0" borderId="0" xfId="2" applyNumberFormat="1" applyFont="1"/>
    <xf numFmtId="41" fontId="0" fillId="0" borderId="0" xfId="1" applyNumberFormat="1" applyFont="1" applyAlignment="1">
      <alignment horizontal="center"/>
    </xf>
    <xf numFmtId="41" fontId="0" fillId="0" borderId="2" xfId="1" applyNumberFormat="1" applyFont="1" applyFill="1" applyBorder="1"/>
    <xf numFmtId="41" fontId="12" fillId="0" borderId="2" xfId="1" applyNumberFormat="1" applyFont="1" applyBorder="1"/>
    <xf numFmtId="0" fontId="12" fillId="0" borderId="0" xfId="0" applyFont="1"/>
    <xf numFmtId="0" fontId="12" fillId="0" borderId="0" xfId="0" applyFont="1" applyBorder="1"/>
    <xf numFmtId="37" fontId="12" fillId="0" borderId="0" xfId="3" applyNumberFormat="1" applyFont="1" applyFill="1" applyBorder="1"/>
    <xf numFmtId="0" fontId="2" fillId="0" borderId="0" xfId="0" applyFont="1" applyFill="1" applyAlignment="1">
      <alignment horizontal="left"/>
    </xf>
    <xf numFmtId="167" fontId="0" fillId="0" borderId="0" xfId="0" applyNumberFormat="1" applyFill="1" applyAlignment="1">
      <alignment horizontal="right"/>
    </xf>
    <xf numFmtId="167" fontId="0" fillId="0" borderId="0" xfId="0" applyNumberFormat="1" applyFill="1"/>
    <xf numFmtId="42" fontId="12" fillId="0" borderId="0" xfId="1" applyNumberFormat="1" applyFont="1" applyFill="1" applyBorder="1"/>
    <xf numFmtId="0" fontId="13" fillId="0" borderId="0" xfId="0" quotePrefix="1" applyFont="1" applyFill="1" applyAlignment="1">
      <alignment horizontal="center"/>
    </xf>
    <xf numFmtId="0" fontId="10" fillId="0" borderId="2" xfId="0" applyFont="1" applyFill="1" applyBorder="1" applyAlignment="1">
      <alignment horizontal="centerContinuous"/>
    </xf>
    <xf numFmtId="0" fontId="0" fillId="0" borderId="0" xfId="0" quotePrefix="1" applyFill="1"/>
    <xf numFmtId="0" fontId="0" fillId="0" borderId="0" xfId="3" quotePrefix="1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42" fontId="12" fillId="0" borderId="2" xfId="1" applyNumberFormat="1" applyFont="1" applyFill="1" applyBorder="1"/>
    <xf numFmtId="165" fontId="1" fillId="0" borderId="0" xfId="3" applyNumberFormat="1" applyFont="1" applyBorder="1" applyAlignment="1">
      <alignment horizontal="center"/>
    </xf>
    <xf numFmtId="165" fontId="12" fillId="0" borderId="0" xfId="3" applyNumberFormat="1" applyFont="1" applyFill="1"/>
    <xf numFmtId="165" fontId="12" fillId="0" borderId="2" xfId="3" applyNumberFormat="1" applyFont="1" applyFill="1" applyBorder="1"/>
    <xf numFmtId="165" fontId="12" fillId="0" borderId="2" xfId="0" applyNumberFormat="1" applyFont="1" applyFill="1" applyBorder="1"/>
    <xf numFmtId="0" fontId="0" fillId="0" borderId="0" xfId="0" applyFill="1" applyAlignment="1">
      <alignment horizontal="centerContinuous"/>
    </xf>
    <xf numFmtId="15" fontId="13" fillId="0" borderId="0" xfId="0" quotePrefix="1" applyNumberFormat="1" applyFont="1" applyFill="1" applyAlignment="1">
      <alignment horizontal="center"/>
    </xf>
    <xf numFmtId="42" fontId="0" fillId="0" borderId="0" xfId="1" applyNumberFormat="1" applyFont="1" applyFill="1" applyAlignment="1">
      <alignment horizontal="center"/>
    </xf>
    <xf numFmtId="41" fontId="0" fillId="0" borderId="0" xfId="1" applyNumberFormat="1" applyFont="1" applyFill="1" applyAlignment="1">
      <alignment horizontal="center"/>
    </xf>
    <xf numFmtId="42" fontId="0" fillId="0" borderId="1" xfId="1" applyNumberFormat="1" applyFont="1" applyFill="1" applyBorder="1"/>
    <xf numFmtId="165" fontId="12" fillId="0" borderId="0" xfId="1" applyNumberFormat="1" applyFont="1" applyFill="1"/>
    <xf numFmtId="165" fontId="12" fillId="0" borderId="2" xfId="1" applyNumberFormat="1" applyFont="1" applyFill="1" applyBorder="1"/>
    <xf numFmtId="165" fontId="12" fillId="0" borderId="1" xfId="1" applyNumberFormat="1" applyFont="1" applyFill="1" applyBorder="1"/>
    <xf numFmtId="0" fontId="10" fillId="0" borderId="0" xfId="0" applyFont="1" applyFill="1" applyAlignment="1">
      <alignment horizontal="centerContinuous"/>
    </xf>
    <xf numFmtId="42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42" fontId="5" fillId="0" borderId="0" xfId="1" applyNumberFormat="1" applyFont="1" applyFill="1" applyBorder="1"/>
    <xf numFmtId="0" fontId="0" fillId="0" borderId="0" xfId="3" quotePrefix="1" applyNumberFormat="1" applyFont="1" applyFill="1" applyBorder="1" applyAlignment="1">
      <alignment horizontal="center"/>
    </xf>
    <xf numFmtId="165" fontId="0" fillId="0" borderId="0" xfId="3" quotePrefix="1" applyNumberFormat="1" applyFont="1" applyBorder="1" applyAlignment="1">
      <alignment horizontal="center"/>
    </xf>
    <xf numFmtId="44" fontId="5" fillId="0" borderId="0" xfId="2" applyFont="1" applyFill="1" applyBorder="1"/>
    <xf numFmtId="41" fontId="5" fillId="0" borderId="0" xfId="3" applyNumberFormat="1" applyFont="1" applyFill="1" applyBorder="1"/>
    <xf numFmtId="42" fontId="12" fillId="0" borderId="2" xfId="1" applyNumberFormat="1" applyFont="1" applyBorder="1"/>
    <xf numFmtId="0" fontId="17" fillId="0" borderId="0" xfId="0" applyFont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0" fillId="0" borderId="2" xfId="0" applyBorder="1" applyAlignment="1">
      <alignment horizontal="left" indent="1"/>
    </xf>
    <xf numFmtId="167" fontId="0" fillId="0" borderId="0" xfId="0" applyNumberFormat="1" applyAlignment="1">
      <alignment horizontal="left" wrapText="1"/>
    </xf>
    <xf numFmtId="164" fontId="0" fillId="0" borderId="0" xfId="1" applyNumberFormat="1" applyFont="1" applyAlignmen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left" wrapText="1"/>
    </xf>
    <xf numFmtId="164" fontId="0" fillId="0" borderId="2" xfId="1" applyNumberFormat="1" applyFont="1" applyBorder="1" applyAlignment="1">
      <alignment horizontal="left" wrapText="1"/>
    </xf>
    <xf numFmtId="164" fontId="0" fillId="0" borderId="0" xfId="0" applyNumberFormat="1" applyAlignment="1">
      <alignment horizontal="left"/>
    </xf>
    <xf numFmtId="164" fontId="0" fillId="0" borderId="5" xfId="1" applyNumberFormat="1" applyFont="1" applyBorder="1" applyAlignment="1"/>
    <xf numFmtId="164" fontId="0" fillId="0" borderId="0" xfId="1" applyNumberFormat="1" applyFont="1" applyBorder="1" applyAlignment="1"/>
    <xf numFmtId="164" fontId="0" fillId="0" borderId="1" xfId="1" applyNumberFormat="1" applyFont="1" applyBorder="1" applyAlignmen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1" applyNumberFormat="1" applyFont="1" applyBorder="1" applyAlignment="1">
      <alignment horizontal="left" wrapText="1"/>
    </xf>
    <xf numFmtId="0" fontId="0" fillId="0" borderId="0" xfId="0" applyAlignment="1">
      <alignment wrapText="1"/>
    </xf>
    <xf numFmtId="0" fontId="16" fillId="0" borderId="0" xfId="0" applyFont="1" applyFill="1" applyAlignment="1">
      <alignment horizontal="left"/>
    </xf>
    <xf numFmtId="43" fontId="0" fillId="0" borderId="0" xfId="0" applyNumberFormat="1" applyAlignment="1">
      <alignment horizontal="center"/>
    </xf>
    <xf numFmtId="0" fontId="0" fillId="3" borderId="0" xfId="0" applyFill="1"/>
    <xf numFmtId="169" fontId="12" fillId="0" borderId="0" xfId="3" applyNumberFormat="1" applyFont="1" applyFill="1"/>
    <xf numFmtId="0" fontId="2" fillId="2" borderId="2" xfId="0" applyFont="1" applyFill="1" applyBorder="1" applyAlignment="1">
      <alignment horizontal="center"/>
    </xf>
    <xf numFmtId="165" fontId="12" fillId="2" borderId="0" xfId="3" quotePrefix="1" applyNumberFormat="1" applyFont="1" applyFill="1"/>
    <xf numFmtId="0" fontId="19" fillId="0" borderId="0" xfId="0" applyFont="1"/>
    <xf numFmtId="0" fontId="10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  <xf numFmtId="3" fontId="15" fillId="0" borderId="0" xfId="4" applyNumberFormat="1" applyFont="1" applyFill="1" applyBorder="1"/>
    <xf numFmtId="44" fontId="0" fillId="0" borderId="0" xfId="2" applyNumberFormat="1" applyFont="1" applyAlignment="1">
      <alignment horizontal="center"/>
    </xf>
    <xf numFmtId="42" fontId="0" fillId="0" borderId="0" xfId="0" applyNumberFormat="1" applyFont="1" applyFill="1" applyAlignment="1">
      <alignment horizontal="center"/>
    </xf>
    <xf numFmtId="10" fontId="14" fillId="0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0" xfId="0" applyFont="1" applyFill="1" applyAlignment="1">
      <alignment horizontal="center" wrapText="1"/>
    </xf>
    <xf numFmtId="164" fontId="0" fillId="0" borderId="5" xfId="1" applyNumberFormat="1" applyFont="1" applyBorder="1"/>
    <xf numFmtId="164" fontId="0" fillId="0" borderId="0" xfId="1" applyNumberFormat="1" applyFont="1" applyBorder="1" applyAlignment="1">
      <alignment horizontal="left" indent="1"/>
    </xf>
    <xf numFmtId="164" fontId="0" fillId="0" borderId="0" xfId="1" applyNumberFormat="1" applyFont="1" applyBorder="1" applyAlignment="1">
      <alignment horizontal="center" wrapText="1"/>
    </xf>
    <xf numFmtId="164" fontId="0" fillId="0" borderId="0" xfId="1" applyNumberFormat="1" applyFont="1" applyFill="1" applyAlignment="1"/>
    <xf numFmtId="164" fontId="0" fillId="0" borderId="2" xfId="1" applyNumberFormat="1" applyFont="1" applyBorder="1" applyAlignment="1"/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3" fontId="0" fillId="0" borderId="0" xfId="3" applyNumberFormat="1" applyFont="1" applyBorder="1"/>
    <xf numFmtId="3" fontId="0" fillId="0" borderId="0" xfId="3" applyNumberFormat="1" applyFont="1" applyFill="1" applyBorder="1"/>
    <xf numFmtId="3" fontId="0" fillId="0" borderId="2" xfId="0" applyNumberFormat="1" applyBorder="1"/>
    <xf numFmtId="3" fontId="4" fillId="0" borderId="0" xfId="3" applyNumberFormat="1" applyFont="1"/>
    <xf numFmtId="3" fontId="4" fillId="0" borderId="0" xfId="3" applyNumberFormat="1" applyFont="1" applyFill="1"/>
    <xf numFmtId="3" fontId="20" fillId="0" borderId="0" xfId="3" applyNumberFormat="1" applyFont="1" applyFill="1" applyBorder="1"/>
    <xf numFmtId="3" fontId="0" fillId="0" borderId="4" xfId="0" applyNumberFormat="1" applyBorder="1"/>
    <xf numFmtId="3" fontId="20" fillId="0" borderId="0" xfId="0" applyNumberFormat="1" applyFont="1"/>
    <xf numFmtId="10" fontId="0" fillId="0" borderId="0" xfId="3" quotePrefix="1" applyNumberFormat="1" applyFont="1"/>
    <xf numFmtId="0" fontId="2" fillId="0" borderId="0" xfId="0" applyFont="1" applyAlignment="1">
      <alignment horizontal="right"/>
    </xf>
    <xf numFmtId="42" fontId="5" fillId="0" borderId="0" xfId="0" applyNumberFormat="1" applyFont="1"/>
    <xf numFmtId="44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15" fontId="3" fillId="0" borderId="0" xfId="0" quotePrefix="1" applyNumberFormat="1" applyFont="1" applyFill="1" applyAlignment="1">
      <alignment horizontal="center"/>
    </xf>
    <xf numFmtId="165" fontId="0" fillId="0" borderId="0" xfId="3" applyNumberFormat="1" applyFont="1" applyFill="1"/>
    <xf numFmtId="165" fontId="0" fillId="0" borderId="2" xfId="3" applyNumberFormat="1" applyFont="1" applyFill="1" applyBorder="1"/>
    <xf numFmtId="0" fontId="14" fillId="0" borderId="2" xfId="0" applyFont="1" applyFill="1" applyBorder="1" applyAlignment="1">
      <alignment horizontal="centerContinuous"/>
    </xf>
    <xf numFmtId="165" fontId="0" fillId="0" borderId="0" xfId="3" quotePrefix="1" applyNumberFormat="1" applyFont="1" applyFill="1" applyAlignment="1">
      <alignment horizontal="center"/>
    </xf>
    <xf numFmtId="42" fontId="0" fillId="0" borderId="2" xfId="0" applyNumberFormat="1" applyFill="1" applyBorder="1"/>
    <xf numFmtId="165" fontId="0" fillId="0" borderId="0" xfId="3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/>
    <xf numFmtId="10" fontId="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7" fontId="0" fillId="0" borderId="0" xfId="0" applyNumberFormat="1" applyFill="1" applyAlignment="1">
      <alignment horizontal="left"/>
    </xf>
    <xf numFmtId="0" fontId="0" fillId="0" borderId="0" xfId="0" quotePrefix="1" applyFont="1" applyFill="1" applyAlignment="1">
      <alignment horizontal="left"/>
    </xf>
    <xf numFmtId="0" fontId="2" fillId="0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2" fillId="0" borderId="0" xfId="0" applyFont="1" applyFill="1"/>
    <xf numFmtId="37" fontId="0" fillId="0" borderId="0" xfId="0" applyNumberFormat="1" applyFill="1"/>
    <xf numFmtId="167" fontId="12" fillId="0" borderId="0" xfId="0" applyNumberFormat="1" applyFont="1" applyFill="1" applyAlignment="1">
      <alignment horizontal="right"/>
    </xf>
    <xf numFmtId="0" fontId="0" fillId="0" borderId="0" xfId="1" quotePrefix="1" applyNumberFormat="1" applyFont="1" applyFill="1" applyAlignment="1">
      <alignment horizontal="center"/>
    </xf>
    <xf numFmtId="42" fontId="1" fillId="0" borderId="0" xfId="1" applyNumberFormat="1" applyFont="1" applyFill="1" applyBorder="1"/>
    <xf numFmtId="167" fontId="12" fillId="0" borderId="0" xfId="0" applyNumberFormat="1" applyFont="1" applyFill="1"/>
    <xf numFmtId="41" fontId="12" fillId="0" borderId="0" xfId="1" applyNumberFormat="1" applyFont="1" applyFill="1" applyBorder="1"/>
    <xf numFmtId="164" fontId="7" fillId="0" borderId="0" xfId="1" applyNumberFormat="1" applyFont="1" applyFill="1" applyBorder="1"/>
    <xf numFmtId="10" fontId="0" fillId="0" borderId="0" xfId="0" applyNumberFormat="1" applyFill="1"/>
    <xf numFmtId="164" fontId="0" fillId="0" borderId="0" xfId="0" applyNumberFormat="1" applyFill="1" applyBorder="1"/>
    <xf numFmtId="164" fontId="0" fillId="0" borderId="0" xfId="0" applyNumberFormat="1" applyFill="1"/>
    <xf numFmtId="164" fontId="0" fillId="0" borderId="6" xfId="1" applyNumberFormat="1" applyFont="1" applyFill="1" applyBorder="1"/>
    <xf numFmtId="0" fontId="0" fillId="0" borderId="2" xfId="0" applyFill="1" applyBorder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64" fontId="2" fillId="0" borderId="6" xfId="0" applyNumberFormat="1" applyFont="1" applyFill="1" applyBorder="1"/>
    <xf numFmtId="164" fontId="0" fillId="0" borderId="6" xfId="0" applyNumberFormat="1" applyFill="1" applyBorder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0000FF"/>
      <color rgb="FF00FF00"/>
      <color rgb="FF0A1CC2"/>
      <color rgb="FF0070C0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23"/>
  <sheetViews>
    <sheetView view="pageLayout" zoomScaleNormal="100" workbookViewId="0">
      <selection activeCell="E10" sqref="E10"/>
    </sheetView>
  </sheetViews>
  <sheetFormatPr defaultRowHeight="14.4" x14ac:dyDescent="0.3"/>
  <cols>
    <col min="4" max="4" width="2.5546875" customWidth="1"/>
    <col min="5" max="5" width="48" customWidth="1"/>
    <col min="6" max="6" width="13" customWidth="1"/>
    <col min="8" max="8" width="25" customWidth="1"/>
  </cols>
  <sheetData>
    <row r="5" spans="1:12" x14ac:dyDescent="0.3">
      <c r="A5" s="277" t="str">
        <f>'Sch 1.0'!A2:J2</f>
        <v>Duke Energy Kentucky</v>
      </c>
      <c r="B5" s="277"/>
      <c r="C5" s="277"/>
      <c r="D5" s="277"/>
      <c r="E5" s="277"/>
      <c r="F5" s="277"/>
      <c r="G5" s="277"/>
      <c r="H5" s="102"/>
      <c r="I5" s="102"/>
      <c r="J5" s="102"/>
      <c r="K5" s="102"/>
    </row>
    <row r="6" spans="1:12" x14ac:dyDescent="0.3">
      <c r="A6" s="277" t="str">
        <f>'Sch 1.0'!A3:J3</f>
        <v>Pipeline Modernization Mechanism ("Rider PMM")</v>
      </c>
      <c r="B6" s="277"/>
      <c r="C6" s="277"/>
      <c r="D6" s="277"/>
      <c r="E6" s="277"/>
      <c r="F6" s="277"/>
      <c r="G6" s="277"/>
      <c r="H6" s="102"/>
      <c r="I6" s="102"/>
      <c r="J6" s="102"/>
      <c r="K6" s="102"/>
    </row>
    <row r="7" spans="1:12" x14ac:dyDescent="0.3">
      <c r="A7" s="278" t="str">
        <f>"Forecasted Period Ending "&amp;'Sch 1.1'!F7</f>
        <v>Forecasted Period Ending December 31, 2025</v>
      </c>
      <c r="B7" s="278"/>
      <c r="C7" s="278"/>
      <c r="D7" s="278"/>
      <c r="E7" s="278"/>
      <c r="F7" s="278"/>
      <c r="G7" s="278"/>
      <c r="H7" s="174"/>
      <c r="I7" s="174"/>
      <c r="J7" s="174"/>
      <c r="K7" s="174"/>
      <c r="L7" s="124"/>
    </row>
    <row r="8" spans="1:12" x14ac:dyDescent="0.3">
      <c r="A8" s="277" t="s">
        <v>1</v>
      </c>
      <c r="B8" s="277"/>
      <c r="C8" s="277"/>
      <c r="D8" s="277"/>
      <c r="E8" s="277"/>
      <c r="F8" s="277"/>
      <c r="G8" s="277"/>
      <c r="H8" s="102"/>
      <c r="I8" s="102"/>
      <c r="J8" s="102"/>
      <c r="K8" s="102"/>
    </row>
    <row r="11" spans="1:12" x14ac:dyDescent="0.3">
      <c r="C11" s="9" t="s">
        <v>76</v>
      </c>
      <c r="D11" s="10"/>
      <c r="E11" s="11" t="s">
        <v>9</v>
      </c>
      <c r="F11" s="10"/>
    </row>
    <row r="12" spans="1:12" x14ac:dyDescent="0.3">
      <c r="C12" s="6" t="s">
        <v>2</v>
      </c>
      <c r="E12" s="7" t="s">
        <v>143</v>
      </c>
    </row>
    <row r="13" spans="1:12" x14ac:dyDescent="0.3">
      <c r="C13" s="6" t="s">
        <v>3</v>
      </c>
      <c r="E13" s="7" t="s">
        <v>10</v>
      </c>
    </row>
    <row r="14" spans="1:12" x14ac:dyDescent="0.3">
      <c r="C14" s="6" t="s">
        <v>4</v>
      </c>
      <c r="E14" s="7" t="s">
        <v>11</v>
      </c>
    </row>
    <row r="15" spans="1:12" x14ac:dyDescent="0.3">
      <c r="C15" s="6" t="s">
        <v>5</v>
      </c>
      <c r="E15" s="7" t="s">
        <v>12</v>
      </c>
    </row>
    <row r="16" spans="1:12" x14ac:dyDescent="0.3">
      <c r="C16" s="6" t="s">
        <v>6</v>
      </c>
      <c r="E16" s="7" t="s">
        <v>28</v>
      </c>
    </row>
    <row r="17" spans="3:9" x14ac:dyDescent="0.3">
      <c r="C17" s="6" t="s">
        <v>7</v>
      </c>
      <c r="E17" s="7" t="s">
        <v>144</v>
      </c>
      <c r="I17" s="121"/>
    </row>
    <row r="18" spans="3:9" x14ac:dyDescent="0.3">
      <c r="C18" s="6" t="s">
        <v>8</v>
      </c>
      <c r="E18" s="7" t="s">
        <v>14</v>
      </c>
      <c r="I18" s="121"/>
    </row>
    <row r="19" spans="3:9" x14ac:dyDescent="0.3">
      <c r="C19" s="6" t="s">
        <v>203</v>
      </c>
      <c r="E19" s="7" t="s">
        <v>204</v>
      </c>
    </row>
    <row r="20" spans="3:9" x14ac:dyDescent="0.3">
      <c r="C20" s="6" t="s">
        <v>205</v>
      </c>
      <c r="E20" s="7" t="s">
        <v>206</v>
      </c>
    </row>
    <row r="21" spans="3:9" x14ac:dyDescent="0.3">
      <c r="C21" s="6" t="s">
        <v>207</v>
      </c>
      <c r="E21" s="7" t="s">
        <v>208</v>
      </c>
    </row>
    <row r="22" spans="3:9" x14ac:dyDescent="0.3">
      <c r="C22" s="6" t="s">
        <v>209</v>
      </c>
      <c r="E22" s="7" t="s">
        <v>252</v>
      </c>
    </row>
    <row r="23" spans="3:9" x14ac:dyDescent="0.3">
      <c r="C23" s="122">
        <v>4.5</v>
      </c>
      <c r="E23" s="7" t="s">
        <v>210</v>
      </c>
    </row>
  </sheetData>
  <mergeCells count="4">
    <mergeCell ref="A5:G5"/>
    <mergeCell ref="A6:G6"/>
    <mergeCell ref="A7:G7"/>
    <mergeCell ref="A8:G8"/>
  </mergeCells>
  <printOptions horizontalCentered="1"/>
  <pageMargins left="0.7" right="0.7" top="0.75" bottom="0.75" header="0.3" footer="0.3"/>
  <pageSetup orientation="landscape" r:id="rId1"/>
  <headerFooter>
    <oddHeader xml:space="preserve">&amp;RKyPSC Case No. 2024-00191
Exhibit 3
Summary
Page &amp;P of &amp;N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22"/>
  <sheetViews>
    <sheetView view="pageLayout" topLeftCell="I1" zoomScaleNormal="92" workbookViewId="0">
      <selection sqref="A1:R1"/>
    </sheetView>
  </sheetViews>
  <sheetFormatPr defaultRowHeight="14.4" x14ac:dyDescent="0.3"/>
  <cols>
    <col min="1" max="1" width="6.5546875" customWidth="1"/>
    <col min="2" max="2" width="38.77734375" customWidth="1"/>
    <col min="3" max="15" width="12.77734375" customWidth="1"/>
    <col min="16" max="19" width="15.5546875" customWidth="1"/>
    <col min="20" max="20" width="14" customWidth="1"/>
  </cols>
  <sheetData>
    <row r="1" spans="1:16" x14ac:dyDescent="0.3">
      <c r="A1" s="5"/>
      <c r="E1" s="5"/>
      <c r="F1" s="5"/>
      <c r="G1" s="5"/>
    </row>
    <row r="2" spans="1:16" x14ac:dyDescent="0.3">
      <c r="A2" s="102" t="str">
        <f>'Sch 1.0'!A2</f>
        <v>Duke Energy Kentucky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6" x14ac:dyDescent="0.3">
      <c r="A3" s="102" t="str">
        <f>'Sch 1.0'!A3</f>
        <v>Pipeline Modernization Mechanism ("Rider PMM")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6" x14ac:dyDescent="0.3">
      <c r="A4" s="102" t="s">
        <v>150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6" x14ac:dyDescent="0.3">
      <c r="A5" s="131" t="s">
        <v>222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1:16" x14ac:dyDescent="0.3">
      <c r="A6" s="5"/>
      <c r="C6" s="36"/>
      <c r="D6" s="208"/>
      <c r="E6" s="5"/>
      <c r="F6" s="5"/>
      <c r="G6" s="5"/>
    </row>
    <row r="7" spans="1:16" x14ac:dyDescent="0.3">
      <c r="A7" s="25"/>
      <c r="E7" s="5"/>
      <c r="F7" s="5"/>
      <c r="G7" s="5"/>
    </row>
    <row r="8" spans="1:16" x14ac:dyDescent="0.3">
      <c r="A8" s="5"/>
      <c r="E8" s="5"/>
      <c r="F8" s="5"/>
      <c r="G8" s="5"/>
    </row>
    <row r="9" spans="1:16" x14ac:dyDescent="0.3">
      <c r="A9" s="97" t="s">
        <v>136</v>
      </c>
      <c r="B9" s="4"/>
      <c r="C9" s="4"/>
      <c r="D9" s="4"/>
      <c r="E9" s="4"/>
      <c r="F9" s="4"/>
      <c r="G9" s="4"/>
    </row>
    <row r="10" spans="1:16" x14ac:dyDescent="0.3">
      <c r="A10" s="9" t="s">
        <v>137</v>
      </c>
      <c r="B10" s="9" t="s">
        <v>15</v>
      </c>
      <c r="C10" s="130">
        <v>45658</v>
      </c>
      <c r="D10" s="130">
        <v>45689</v>
      </c>
      <c r="E10" s="130">
        <v>45717</v>
      </c>
      <c r="F10" s="130">
        <v>45748</v>
      </c>
      <c r="G10" s="130">
        <v>45778</v>
      </c>
      <c r="H10" s="130">
        <v>45809</v>
      </c>
      <c r="I10" s="130">
        <v>45839</v>
      </c>
      <c r="J10" s="130">
        <v>45870</v>
      </c>
      <c r="K10" s="130">
        <v>45901</v>
      </c>
      <c r="L10" s="130">
        <v>45931</v>
      </c>
      <c r="M10" s="130">
        <v>45962</v>
      </c>
      <c r="N10" s="130">
        <v>45992</v>
      </c>
      <c r="O10" s="9" t="s">
        <v>21</v>
      </c>
    </row>
    <row r="11" spans="1:16" x14ac:dyDescent="0.3">
      <c r="B11" s="17" t="s">
        <v>63</v>
      </c>
      <c r="C11" s="17" t="s">
        <v>64</v>
      </c>
      <c r="D11" s="17" t="s">
        <v>66</v>
      </c>
      <c r="E11" s="17" t="s">
        <v>84</v>
      </c>
      <c r="F11" s="17" t="s">
        <v>109</v>
      </c>
      <c r="G11" s="17" t="s">
        <v>110</v>
      </c>
      <c r="H11" s="17" t="s">
        <v>111</v>
      </c>
      <c r="I11" s="17" t="s">
        <v>112</v>
      </c>
      <c r="J11" s="17" t="s">
        <v>113</v>
      </c>
      <c r="K11" s="17" t="s">
        <v>114</v>
      </c>
      <c r="L11" s="17" t="s">
        <v>115</v>
      </c>
      <c r="M11" s="17" t="s">
        <v>116</v>
      </c>
      <c r="N11" s="17" t="s">
        <v>117</v>
      </c>
      <c r="O11" s="17" t="s">
        <v>118</v>
      </c>
      <c r="P11" s="17"/>
    </row>
    <row r="12" spans="1:16" x14ac:dyDescent="0.3"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6" ht="15" customHeight="1" x14ac:dyDescent="0.3">
      <c r="A13" s="55">
        <v>1</v>
      </c>
      <c r="B13" s="37" t="s">
        <v>211</v>
      </c>
      <c r="C13" s="212">
        <v>13140152</v>
      </c>
      <c r="D13" s="212">
        <v>12515291</v>
      </c>
      <c r="E13" s="212">
        <v>9561735</v>
      </c>
      <c r="F13" s="212">
        <v>5412219</v>
      </c>
      <c r="G13" s="212">
        <v>2332424</v>
      </c>
      <c r="H13" s="212">
        <v>1395072</v>
      </c>
      <c r="I13" s="212">
        <v>1017912</v>
      </c>
      <c r="J13" s="212">
        <v>894128</v>
      </c>
      <c r="K13" s="212">
        <v>993998</v>
      </c>
      <c r="L13" s="212">
        <v>1351999</v>
      </c>
      <c r="M13" s="212">
        <v>4153937</v>
      </c>
      <c r="N13" s="212">
        <v>9415603</v>
      </c>
      <c r="O13" s="2">
        <f>SUM(C13:N13)</f>
        <v>62184470</v>
      </c>
    </row>
    <row r="14" spans="1:16" ht="15" customHeight="1" x14ac:dyDescent="0.3">
      <c r="A14" s="55">
        <f>A13+1</f>
        <v>2</v>
      </c>
      <c r="B14" s="37" t="s">
        <v>212</v>
      </c>
      <c r="C14" s="212">
        <v>7253123</v>
      </c>
      <c r="D14" s="212">
        <v>7044876</v>
      </c>
      <c r="E14" s="212">
        <v>5328727</v>
      </c>
      <c r="F14" s="212">
        <v>2515086</v>
      </c>
      <c r="G14" s="212">
        <v>1556514</v>
      </c>
      <c r="H14" s="212">
        <v>989359</v>
      </c>
      <c r="I14" s="212">
        <v>584177</v>
      </c>
      <c r="J14" s="212">
        <v>445616</v>
      </c>
      <c r="K14" s="212">
        <v>604940</v>
      </c>
      <c r="L14" s="212">
        <v>766037</v>
      </c>
      <c r="M14" s="212">
        <v>2138504</v>
      </c>
      <c r="N14" s="212">
        <v>5075302</v>
      </c>
      <c r="O14" s="2">
        <f>SUM(C14:N14)</f>
        <v>34302261</v>
      </c>
    </row>
    <row r="15" spans="1:16" ht="15" customHeight="1" x14ac:dyDescent="0.3">
      <c r="A15" s="55">
        <f>A14+1</f>
        <v>3</v>
      </c>
      <c r="B15" s="26" t="s">
        <v>78</v>
      </c>
      <c r="C15" s="212">
        <v>3985467</v>
      </c>
      <c r="D15" s="212">
        <v>3378305</v>
      </c>
      <c r="E15" s="212">
        <v>3023142</v>
      </c>
      <c r="F15" s="212">
        <v>2263781</v>
      </c>
      <c r="G15" s="212">
        <v>1945176</v>
      </c>
      <c r="H15" s="212">
        <v>1822219</v>
      </c>
      <c r="I15" s="212">
        <v>1611283</v>
      </c>
      <c r="J15" s="212">
        <v>1642614</v>
      </c>
      <c r="K15" s="212">
        <v>1695846</v>
      </c>
      <c r="L15" s="212">
        <v>2008994</v>
      </c>
      <c r="M15" s="212">
        <v>2603770</v>
      </c>
      <c r="N15" s="212">
        <v>3239664</v>
      </c>
      <c r="O15" s="2">
        <f>SUM(C15:N15)</f>
        <v>29220261</v>
      </c>
    </row>
    <row r="16" spans="1:16" ht="15" customHeight="1" x14ac:dyDescent="0.3">
      <c r="A16" s="55">
        <f>A15+1</f>
        <v>4</v>
      </c>
      <c r="B16" s="26" t="s">
        <v>79</v>
      </c>
      <c r="C16" s="212">
        <v>1485308</v>
      </c>
      <c r="D16" s="212">
        <v>1397972</v>
      </c>
      <c r="E16" s="212">
        <v>1400586</v>
      </c>
      <c r="F16" s="212">
        <v>1320447</v>
      </c>
      <c r="G16" s="212">
        <v>1333355</v>
      </c>
      <c r="H16" s="212">
        <v>1341269</v>
      </c>
      <c r="I16" s="212">
        <v>1341490</v>
      </c>
      <c r="J16" s="212">
        <v>1342314</v>
      </c>
      <c r="K16" s="212">
        <v>1348501</v>
      </c>
      <c r="L16" s="212">
        <v>1490207</v>
      </c>
      <c r="M16" s="212">
        <v>1498570</v>
      </c>
      <c r="N16" s="212">
        <v>1490251</v>
      </c>
      <c r="O16" s="2">
        <f>SUM(C16:N16)</f>
        <v>16790270</v>
      </c>
    </row>
    <row r="17" spans="1:20" x14ac:dyDescent="0.3">
      <c r="C17" s="36"/>
      <c r="D17" s="36"/>
      <c r="E17" s="36"/>
      <c r="F17" s="36"/>
      <c r="G17" s="36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spans="1:20" x14ac:dyDescent="0.3">
      <c r="A18" s="16"/>
      <c r="B18" s="16" t="s">
        <v>213</v>
      </c>
    </row>
    <row r="19" spans="1:20" x14ac:dyDescent="0.3">
      <c r="B19" s="16" t="s">
        <v>230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T19" s="34"/>
    </row>
    <row r="20" spans="1:20" x14ac:dyDescent="0.3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T20" s="34"/>
    </row>
    <row r="21" spans="1:20" x14ac:dyDescent="0.3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T21" s="34"/>
    </row>
    <row r="22" spans="1:20" x14ac:dyDescent="0.3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T22" s="34"/>
    </row>
  </sheetData>
  <printOptions horizontalCentered="1"/>
  <pageMargins left="0.7" right="0.7" top="0.75" bottom="0.75" header="0.3" footer="0.3"/>
  <pageSetup scale="57" orientation="landscape" r:id="rId1"/>
  <headerFooter>
    <oddHeader xml:space="preserve">&amp;RKyPSC Case No. 2024-00191
Exhibit 3
Schedule 3.0
Page &amp;P of &amp;N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M39"/>
  <sheetViews>
    <sheetView view="pageLayout" zoomScaleNormal="100" workbookViewId="0">
      <selection sqref="A1:R1"/>
    </sheetView>
  </sheetViews>
  <sheetFormatPr defaultRowHeight="14.4" x14ac:dyDescent="0.3"/>
  <cols>
    <col min="1" max="1" width="8.21875" bestFit="1" customWidth="1"/>
    <col min="2" max="2" width="4.5546875" customWidth="1"/>
    <col min="3" max="3" width="6.5546875" customWidth="1"/>
    <col min="4" max="4" width="43" customWidth="1"/>
    <col min="5" max="5" width="7.5546875" customWidth="1"/>
    <col min="6" max="6" width="24.21875" customWidth="1"/>
    <col min="7" max="7" width="1.21875" customWidth="1"/>
    <col min="8" max="8" width="10.77734375" customWidth="1"/>
  </cols>
  <sheetData>
    <row r="1" spans="1:12" x14ac:dyDescent="0.3">
      <c r="A1" s="89"/>
      <c r="E1" s="89"/>
      <c r="F1" s="89"/>
      <c r="G1" s="98"/>
      <c r="H1" s="89"/>
      <c r="I1" s="89"/>
    </row>
    <row r="2" spans="1:12" x14ac:dyDescent="0.3">
      <c r="A2" s="102" t="str">
        <f>'Sch 1.0'!A2:J2</f>
        <v>Duke Energy Kentucky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2" x14ac:dyDescent="0.3">
      <c r="A3" s="102" t="str">
        <f>'Sch 1.0'!A3:J3</f>
        <v>Pipeline Modernization Mechanism ("Rider PMM")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2" x14ac:dyDescent="0.3">
      <c r="A4" s="131" t="s">
        <v>164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2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98"/>
    </row>
    <row r="6" spans="1:12" x14ac:dyDescent="0.3">
      <c r="A6" s="99" t="s">
        <v>136</v>
      </c>
      <c r="B6" s="243"/>
      <c r="C6" s="243"/>
      <c r="D6" s="36"/>
      <c r="E6" s="36"/>
      <c r="F6" s="99" t="s">
        <v>141</v>
      </c>
      <c r="G6" s="99"/>
      <c r="H6" s="99"/>
      <c r="I6" s="83"/>
      <c r="J6" s="36"/>
      <c r="K6" s="36"/>
    </row>
    <row r="7" spans="1:12" x14ac:dyDescent="0.3">
      <c r="A7" s="75" t="s">
        <v>137</v>
      </c>
      <c r="B7" s="244"/>
      <c r="C7" s="244"/>
      <c r="D7" s="36"/>
      <c r="E7" s="36"/>
      <c r="F7" s="245" t="s">
        <v>142</v>
      </c>
      <c r="G7" s="245"/>
      <c r="H7" s="75" t="s">
        <v>22</v>
      </c>
      <c r="I7" s="36"/>
      <c r="J7" s="36"/>
      <c r="K7" s="36"/>
    </row>
    <row r="8" spans="1:12" x14ac:dyDescent="0.3">
      <c r="A8" s="10"/>
      <c r="B8" s="282" t="s">
        <v>63</v>
      </c>
      <c r="C8" s="282"/>
      <c r="D8" s="282"/>
      <c r="F8" s="88" t="s">
        <v>64</v>
      </c>
      <c r="G8" s="97"/>
      <c r="H8" s="88" t="s">
        <v>66</v>
      </c>
    </row>
    <row r="10" spans="1:12" x14ac:dyDescent="0.3">
      <c r="B10" s="8" t="s">
        <v>23</v>
      </c>
    </row>
    <row r="11" spans="1:12" x14ac:dyDescent="0.3">
      <c r="B11" s="10" t="s">
        <v>24</v>
      </c>
    </row>
    <row r="12" spans="1:12" x14ac:dyDescent="0.3">
      <c r="A12" s="89">
        <v>1</v>
      </c>
      <c r="C12" t="s">
        <v>148</v>
      </c>
      <c r="F12" s="145">
        <f>'Sch 4.5'!E29-'Sch 4.5'!G29</f>
        <v>2455305</v>
      </c>
      <c r="G12" s="28"/>
      <c r="H12" t="s">
        <v>157</v>
      </c>
    </row>
    <row r="13" spans="1:12" x14ac:dyDescent="0.3">
      <c r="A13" s="89"/>
      <c r="F13" s="28"/>
      <c r="G13" s="28"/>
    </row>
    <row r="14" spans="1:12" x14ac:dyDescent="0.3">
      <c r="A14" s="89">
        <f>A12+1</f>
        <v>2</v>
      </c>
      <c r="C14" t="s">
        <v>25</v>
      </c>
      <c r="F14" s="144">
        <f>'Sch 4.5'!I29</f>
        <v>9632</v>
      </c>
      <c r="G14" s="29"/>
      <c r="H14" t="s">
        <v>157</v>
      </c>
    </row>
    <row r="15" spans="1:12" x14ac:dyDescent="0.3">
      <c r="A15" s="89">
        <f t="shared" ref="A15:A20" si="0">A14+1</f>
        <v>3</v>
      </c>
      <c r="C15" t="s">
        <v>26</v>
      </c>
      <c r="F15" s="109">
        <f>-'Sch 4.3'!R46</f>
        <v>0</v>
      </c>
      <c r="G15" s="79"/>
      <c r="H15" s="53" t="s">
        <v>158</v>
      </c>
    </row>
    <row r="16" spans="1:12" x14ac:dyDescent="0.3">
      <c r="A16" s="89">
        <f t="shared" si="0"/>
        <v>4</v>
      </c>
      <c r="D16" t="s">
        <v>27</v>
      </c>
      <c r="F16" s="142">
        <f>SUM(F12:F15)</f>
        <v>2464937</v>
      </c>
      <c r="G16" s="1"/>
    </row>
    <row r="17" spans="1:13" x14ac:dyDescent="0.3">
      <c r="A17" s="89">
        <f t="shared" si="0"/>
        <v>5</v>
      </c>
      <c r="C17" t="s">
        <v>123</v>
      </c>
      <c r="F17" s="109">
        <f>-'Sch 4.4'!Q50</f>
        <v>-975.34017500000004</v>
      </c>
      <c r="G17" s="32"/>
      <c r="H17" t="s">
        <v>159</v>
      </c>
    </row>
    <row r="18" spans="1:13" x14ac:dyDescent="0.3">
      <c r="A18" s="89">
        <f t="shared" si="0"/>
        <v>6</v>
      </c>
      <c r="D18" t="s">
        <v>29</v>
      </c>
      <c r="F18" s="142">
        <f>SUM(F16:F17)</f>
        <v>2463961.659825</v>
      </c>
      <c r="G18" s="1"/>
      <c r="H18" t="s">
        <v>37</v>
      </c>
    </row>
    <row r="19" spans="1:13" x14ac:dyDescent="0.3">
      <c r="A19" s="89">
        <f t="shared" si="0"/>
        <v>7</v>
      </c>
      <c r="C19" t="s">
        <v>30</v>
      </c>
      <c r="F19" s="72">
        <f>'Sch 4.2'!F13</f>
        <v>8.0869999999999997E-2</v>
      </c>
      <c r="G19" s="72"/>
      <c r="H19" t="s">
        <v>160</v>
      </c>
    </row>
    <row r="20" spans="1:13" x14ac:dyDescent="0.3">
      <c r="A20" s="89">
        <f t="shared" si="0"/>
        <v>8</v>
      </c>
      <c r="C20" t="s">
        <v>149</v>
      </c>
      <c r="F20" s="58">
        <f>ROUND(F18*F19,0)</f>
        <v>199261</v>
      </c>
      <c r="G20" s="63"/>
      <c r="H20" t="s">
        <v>38</v>
      </c>
    </row>
    <row r="22" spans="1:13" x14ac:dyDescent="0.3">
      <c r="B22" s="10" t="s">
        <v>31</v>
      </c>
    </row>
    <row r="23" spans="1:13" x14ac:dyDescent="0.3">
      <c r="A23" s="89">
        <f>A20+1</f>
        <v>9</v>
      </c>
      <c r="C23" t="s">
        <v>32</v>
      </c>
      <c r="F23" s="145">
        <f>SUM('Sch 4.3'!F38:Q38)-SUM('Sch 4.3'!F44:Q44)</f>
        <v>0</v>
      </c>
      <c r="G23" s="59"/>
      <c r="H23" t="s">
        <v>158</v>
      </c>
    </row>
    <row r="24" spans="1:13" x14ac:dyDescent="0.3">
      <c r="A24" s="89">
        <f>A23+1</f>
        <v>10</v>
      </c>
      <c r="C24" t="s">
        <v>33</v>
      </c>
      <c r="F24" s="142">
        <f>ROUND(F16*I24,0)</f>
        <v>31081</v>
      </c>
      <c r="G24" s="1"/>
      <c r="H24" t="s">
        <v>81</v>
      </c>
      <c r="I24" s="205">
        <v>1.26091E-2</v>
      </c>
      <c r="J24" s="209"/>
    </row>
    <row r="25" spans="1:13" x14ac:dyDescent="0.3">
      <c r="A25" s="122">
        <f>A24+1</f>
        <v>11</v>
      </c>
      <c r="C25" t="s">
        <v>34</v>
      </c>
      <c r="F25" s="147">
        <f>ROUND(SUM(F20:F24)*(0.001302/(1-0.001302)),0)</f>
        <v>300</v>
      </c>
      <c r="G25" s="106"/>
      <c r="H25" s="36" t="s">
        <v>251</v>
      </c>
      <c r="I25" s="36"/>
      <c r="J25" s="36"/>
      <c r="K25" s="36"/>
      <c r="M25" s="209"/>
    </row>
    <row r="26" spans="1:13" x14ac:dyDescent="0.3">
      <c r="A26" s="122">
        <f>A25+1</f>
        <v>12</v>
      </c>
      <c r="C26" t="s">
        <v>35</v>
      </c>
      <c r="F26" s="68">
        <f>SUM(F23:F25)</f>
        <v>31381</v>
      </c>
      <c r="G26" s="68"/>
      <c r="H26" t="s">
        <v>39</v>
      </c>
    </row>
    <row r="28" spans="1:13" ht="15" thickBot="1" x14ac:dyDescent="0.35">
      <c r="A28" s="89">
        <f>A26+1</f>
        <v>13</v>
      </c>
      <c r="B28" s="10" t="s">
        <v>36</v>
      </c>
      <c r="F28" s="60">
        <f>F20+F26</f>
        <v>230642</v>
      </c>
      <c r="G28" s="62"/>
      <c r="H28" t="s">
        <v>40</v>
      </c>
    </row>
    <row r="30" spans="1:13" x14ac:dyDescent="0.3">
      <c r="A30" s="240">
        <f>+A28+1</f>
        <v>14</v>
      </c>
      <c r="D30" t="s">
        <v>128</v>
      </c>
      <c r="F30" s="148">
        <v>0</v>
      </c>
      <c r="G30" s="54"/>
    </row>
    <row r="31" spans="1:13" x14ac:dyDescent="0.3">
      <c r="A31" s="240">
        <f>+A30+1</f>
        <v>15</v>
      </c>
      <c r="D31" t="s">
        <v>129</v>
      </c>
      <c r="F31" s="62">
        <f>F28-F30</f>
        <v>230642</v>
      </c>
      <c r="G31" s="62"/>
    </row>
    <row r="33" spans="1:8" x14ac:dyDescent="0.3">
      <c r="A33" s="240">
        <f>+A31+1</f>
        <v>16</v>
      </c>
      <c r="D33" t="s">
        <v>226</v>
      </c>
      <c r="F33" s="148">
        <v>796641</v>
      </c>
      <c r="G33" s="107"/>
      <c r="H33" s="209"/>
    </row>
    <row r="34" spans="1:8" ht="15" thickBot="1" x14ac:dyDescent="0.35">
      <c r="A34" s="240">
        <f>+A33+1</f>
        <v>17</v>
      </c>
      <c r="D34" t="s">
        <v>130</v>
      </c>
      <c r="F34" s="66">
        <f>F31-F33</f>
        <v>-565999</v>
      </c>
      <c r="G34" s="62"/>
    </row>
    <row r="35" spans="1:8" ht="15" thickTop="1" x14ac:dyDescent="0.3"/>
    <row r="36" spans="1:8" x14ac:dyDescent="0.3">
      <c r="A36" s="89" t="s">
        <v>41</v>
      </c>
    </row>
    <row r="37" spans="1:8" x14ac:dyDescent="0.3">
      <c r="A37" s="36" t="str">
        <f>"(1) Property taxes using an effective rate of "&amp;TEXT(I24,"0.00000%")</f>
        <v>(1) Property taxes using an effective rate of 1.26091%</v>
      </c>
    </row>
    <row r="38" spans="1:8" x14ac:dyDescent="0.3">
      <c r="A38" t="s">
        <v>229</v>
      </c>
      <c r="B38" s="36"/>
      <c r="C38" s="36"/>
      <c r="D38" s="36"/>
    </row>
    <row r="39" spans="1:8" x14ac:dyDescent="0.3">
      <c r="A39" t="s">
        <v>259</v>
      </c>
    </row>
  </sheetData>
  <mergeCells count="1">
    <mergeCell ref="B8:D8"/>
  </mergeCells>
  <printOptions horizontalCentered="1"/>
  <pageMargins left="0.7" right="0.7" top="0.75" bottom="0.75" header="0.3" footer="0.3"/>
  <pageSetup scale="86" orientation="landscape" r:id="rId1"/>
  <headerFooter>
    <oddHeader xml:space="preserve">&amp;RKyPSC Case No. 2024-00191
Exhibit 3
Schedule 4.1
Page &amp;P of &amp;N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K19"/>
  <sheetViews>
    <sheetView view="pageLayout" zoomScaleNormal="100" workbookViewId="0">
      <selection sqref="A1:R1"/>
    </sheetView>
  </sheetViews>
  <sheetFormatPr defaultRowHeight="14.4" x14ac:dyDescent="0.3"/>
  <cols>
    <col min="1" max="1" width="8.21875" bestFit="1" customWidth="1"/>
    <col min="2" max="2" width="19.77734375" customWidth="1"/>
    <col min="3" max="3" width="13.5546875" customWidth="1"/>
    <col min="4" max="4" width="17.44140625" customWidth="1"/>
    <col min="5" max="5" width="16.77734375" customWidth="1"/>
    <col min="6" max="6" width="17.77734375" customWidth="1"/>
  </cols>
  <sheetData>
    <row r="1" spans="1:11" x14ac:dyDescent="0.3">
      <c r="A1" s="89"/>
      <c r="E1" s="89"/>
      <c r="F1" s="89"/>
      <c r="H1" s="89"/>
    </row>
    <row r="2" spans="1:11" x14ac:dyDescent="0.3">
      <c r="A2" s="102" t="str">
        <f>'Sch 1.0'!A2:J2</f>
        <v>Duke Energy Kentucky</v>
      </c>
      <c r="B2" s="102"/>
      <c r="C2" s="102"/>
      <c r="D2" s="102"/>
      <c r="E2" s="102"/>
      <c r="F2" s="102"/>
      <c r="H2" s="102"/>
      <c r="I2" s="102"/>
    </row>
    <row r="3" spans="1:11" x14ac:dyDescent="0.3">
      <c r="A3" s="102" t="str">
        <f>'Sch 1.0'!A4:J4</f>
        <v>Rider PMM by Rate Schedule</v>
      </c>
      <c r="B3" s="102"/>
      <c r="C3" s="102"/>
      <c r="D3" s="102"/>
      <c r="E3" s="102"/>
      <c r="F3" s="102"/>
      <c r="H3" s="102"/>
      <c r="I3" s="102"/>
    </row>
    <row r="4" spans="1:11" x14ac:dyDescent="0.3">
      <c r="A4" s="102" t="s">
        <v>11</v>
      </c>
      <c r="B4" s="102"/>
      <c r="C4" s="102"/>
      <c r="D4" s="102"/>
      <c r="E4" s="102"/>
      <c r="F4" s="102"/>
      <c r="H4" s="102"/>
      <c r="I4" s="102"/>
    </row>
    <row r="5" spans="1:11" x14ac:dyDescent="0.3">
      <c r="A5" s="98"/>
      <c r="B5" s="98"/>
      <c r="C5" s="98"/>
      <c r="D5" s="98"/>
      <c r="E5" s="98"/>
      <c r="F5" s="98"/>
      <c r="H5" s="98"/>
      <c r="I5" s="98"/>
      <c r="J5" s="98"/>
      <c r="K5" s="98"/>
    </row>
    <row r="6" spans="1:11" x14ac:dyDescent="0.3">
      <c r="A6" s="97" t="s">
        <v>136</v>
      </c>
      <c r="B6" s="88"/>
      <c r="C6" s="88"/>
      <c r="D6" s="88"/>
      <c r="E6" s="88" t="s">
        <v>45</v>
      </c>
      <c r="F6" s="88" t="s">
        <v>46</v>
      </c>
    </row>
    <row r="7" spans="1:11" x14ac:dyDescent="0.3">
      <c r="A7" s="75" t="s">
        <v>137</v>
      </c>
      <c r="B7" s="75" t="s">
        <v>42</v>
      </c>
      <c r="C7" s="75" t="s">
        <v>43</v>
      </c>
      <c r="D7" s="75" t="s">
        <v>44</v>
      </c>
      <c r="E7" s="75" t="s">
        <v>44</v>
      </c>
      <c r="F7" s="75" t="s">
        <v>132</v>
      </c>
    </row>
    <row r="8" spans="1:11" x14ac:dyDescent="0.3">
      <c r="A8" s="75"/>
      <c r="B8" s="76" t="s">
        <v>63</v>
      </c>
      <c r="C8" s="99" t="s">
        <v>64</v>
      </c>
      <c r="D8" s="99" t="s">
        <v>66</v>
      </c>
      <c r="E8" s="99" t="s">
        <v>84</v>
      </c>
      <c r="F8" s="99" t="s">
        <v>109</v>
      </c>
    </row>
    <row r="9" spans="1:11" x14ac:dyDescent="0.3">
      <c r="A9" s="36"/>
      <c r="B9" s="36"/>
      <c r="C9" s="36"/>
      <c r="D9" s="36"/>
      <c r="E9" s="36"/>
      <c r="F9" s="36"/>
    </row>
    <row r="10" spans="1:11" x14ac:dyDescent="0.3">
      <c r="A10" s="83">
        <v>1</v>
      </c>
      <c r="B10" s="36" t="s">
        <v>47</v>
      </c>
      <c r="C10" s="163">
        <v>2.6169999999999999E-2</v>
      </c>
      <c r="D10" s="163">
        <v>1.6670000000000001E-2</v>
      </c>
      <c r="E10" s="246">
        <f>ROUND(C10*D10,5)</f>
        <v>4.4000000000000002E-4</v>
      </c>
      <c r="F10" s="128">
        <f>E10</f>
        <v>4.4000000000000002E-4</v>
      </c>
    </row>
    <row r="11" spans="1:11" x14ac:dyDescent="0.3">
      <c r="A11" s="83">
        <f>A10+1</f>
        <v>2</v>
      </c>
      <c r="B11" s="36" t="s">
        <v>48</v>
      </c>
      <c r="C11" s="163">
        <v>0.46039000000000002</v>
      </c>
      <c r="D11" s="163">
        <v>3.6560000000000002E-2</v>
      </c>
      <c r="E11" s="246">
        <f>ROUND(C11*D11,5)</f>
        <v>1.6830000000000001E-2</v>
      </c>
      <c r="F11" s="128">
        <f>E11</f>
        <v>1.6830000000000001E-2</v>
      </c>
    </row>
    <row r="12" spans="1:11" x14ac:dyDescent="0.3">
      <c r="A12" s="83">
        <f>A11+1</f>
        <v>3</v>
      </c>
      <c r="B12" s="36" t="s">
        <v>49</v>
      </c>
      <c r="C12" s="164">
        <v>0.51344000000000001</v>
      </c>
      <c r="D12" s="163">
        <v>9.2999999999999999E-2</v>
      </c>
      <c r="E12" s="247">
        <f>ROUND(C12*D12,5)</f>
        <v>4.7750000000000001E-2</v>
      </c>
      <c r="F12" s="125">
        <f>ROUND(E12/(1-0.24925),5)</f>
        <v>6.3600000000000004E-2</v>
      </c>
    </row>
    <row r="13" spans="1:11" x14ac:dyDescent="0.3">
      <c r="A13" s="83">
        <f>A12+1</f>
        <v>4</v>
      </c>
      <c r="B13" s="36" t="s">
        <v>21</v>
      </c>
      <c r="C13" s="246">
        <f>SUM(C10:C12)</f>
        <v>1</v>
      </c>
      <c r="D13" s="36"/>
      <c r="E13" s="128">
        <f>SUM(E10:E12)</f>
        <v>6.5019999999999994E-2</v>
      </c>
      <c r="F13" s="128">
        <f>SUM(F10:F12)</f>
        <v>8.0869999999999997E-2</v>
      </c>
    </row>
    <row r="14" spans="1:11" x14ac:dyDescent="0.3">
      <c r="A14" s="36"/>
      <c r="B14" s="36"/>
      <c r="C14" s="36"/>
      <c r="D14" s="36"/>
      <c r="E14" s="36"/>
      <c r="F14" s="36"/>
    </row>
    <row r="15" spans="1:11" x14ac:dyDescent="0.3">
      <c r="A15" s="36"/>
      <c r="B15" s="36"/>
      <c r="C15" s="36"/>
      <c r="D15" s="36"/>
      <c r="E15" s="36"/>
      <c r="F15" s="36"/>
    </row>
    <row r="16" spans="1:11" x14ac:dyDescent="0.3">
      <c r="A16" s="36"/>
      <c r="B16" s="36"/>
      <c r="C16" s="36"/>
      <c r="D16" s="36"/>
      <c r="E16" s="36"/>
      <c r="F16" s="36"/>
    </row>
    <row r="17" spans="1:6" x14ac:dyDescent="0.3">
      <c r="A17" s="36"/>
      <c r="B17" s="36"/>
      <c r="C17" s="36"/>
      <c r="D17" s="36"/>
      <c r="E17" s="36"/>
      <c r="F17" s="36"/>
    </row>
    <row r="18" spans="1:6" x14ac:dyDescent="0.3">
      <c r="A18" s="36"/>
      <c r="B18" s="36" t="s">
        <v>145</v>
      </c>
      <c r="C18" s="36"/>
      <c r="D18" s="36"/>
      <c r="E18" s="36"/>
      <c r="F18" s="36"/>
    </row>
    <row r="19" spans="1:6" x14ac:dyDescent="0.3">
      <c r="A19" s="36"/>
      <c r="B19" s="36" t="s">
        <v>166</v>
      </c>
      <c r="C19" s="36"/>
      <c r="D19" s="36"/>
      <c r="E19" s="36"/>
      <c r="F19" s="36"/>
    </row>
  </sheetData>
  <printOptions horizontalCentered="1"/>
  <pageMargins left="0.7" right="0.7" top="0.75" bottom="0.75" header="0.3" footer="0.3"/>
  <pageSetup orientation="landscape" r:id="rId1"/>
  <headerFooter>
    <oddHeader xml:space="preserve">&amp;RKyPSC Case No. 2024-00191
Exhibit 3
Schedule 4.2
Page &amp;P of &amp;N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S50"/>
  <sheetViews>
    <sheetView view="pageLayout" topLeftCell="D1" zoomScaleNormal="100" zoomScaleSheetLayoutView="93" workbookViewId="0">
      <selection sqref="A1:R1"/>
    </sheetView>
  </sheetViews>
  <sheetFormatPr defaultRowHeight="14.4" x14ac:dyDescent="0.3"/>
  <cols>
    <col min="1" max="1" width="8.21875" bestFit="1" customWidth="1"/>
    <col min="2" max="2" width="30.44140625" customWidth="1"/>
    <col min="3" max="4" width="13.5546875" customWidth="1"/>
    <col min="5" max="5" width="15.21875" bestFit="1" customWidth="1"/>
    <col min="6" max="12" width="11.77734375" customWidth="1"/>
    <col min="13" max="14" width="12.21875" bestFit="1" customWidth="1"/>
    <col min="15" max="16" width="11.77734375" customWidth="1"/>
    <col min="17" max="17" width="12.5546875" bestFit="1" customWidth="1"/>
    <col min="18" max="18" width="13" bestFit="1" customWidth="1"/>
    <col min="19" max="19" width="10.5546875" bestFit="1" customWidth="1"/>
  </cols>
  <sheetData>
    <row r="1" spans="1:18" x14ac:dyDescent="0.3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 x14ac:dyDescent="0.3">
      <c r="A2" s="102" t="str">
        <f>'Sch 1.0'!A3:J3</f>
        <v>Pipeline Modernization Mechanism ("Rider PMM")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x14ac:dyDescent="0.3">
      <c r="A3" s="102" t="s">
        <v>32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x14ac:dyDescent="0.3">
      <c r="A4" s="89"/>
    </row>
    <row r="5" spans="1:18" s="36" customForma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R5" s="99"/>
    </row>
    <row r="6" spans="1:18" s="36" customFormat="1" x14ac:dyDescent="0.3">
      <c r="A6" s="99" t="s">
        <v>136</v>
      </c>
      <c r="B6" s="99"/>
      <c r="C6" s="99" t="s">
        <v>50</v>
      </c>
      <c r="D6" s="99"/>
      <c r="E6" s="99" t="s">
        <v>102</v>
      </c>
      <c r="F6" s="248" t="s">
        <v>223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99" t="s">
        <v>102</v>
      </c>
    </row>
    <row r="7" spans="1:18" s="36" customFormat="1" x14ac:dyDescent="0.3">
      <c r="A7" s="75" t="s">
        <v>137</v>
      </c>
      <c r="B7" s="75" t="s">
        <v>9</v>
      </c>
      <c r="C7" s="75" t="s">
        <v>51</v>
      </c>
      <c r="D7" s="75"/>
      <c r="E7" s="156">
        <v>2022</v>
      </c>
      <c r="F7" s="75" t="s">
        <v>91</v>
      </c>
      <c r="G7" s="75" t="s">
        <v>92</v>
      </c>
      <c r="H7" s="75" t="s">
        <v>93</v>
      </c>
      <c r="I7" s="75" t="s">
        <v>94</v>
      </c>
      <c r="J7" s="75" t="s">
        <v>95</v>
      </c>
      <c r="K7" s="75" t="s">
        <v>96</v>
      </c>
      <c r="L7" s="75" t="s">
        <v>97</v>
      </c>
      <c r="M7" s="75" t="s">
        <v>98</v>
      </c>
      <c r="N7" s="75" t="s">
        <v>99</v>
      </c>
      <c r="O7" s="75" t="s">
        <v>100</v>
      </c>
      <c r="P7" s="75" t="s">
        <v>101</v>
      </c>
      <c r="Q7" s="75" t="s">
        <v>90</v>
      </c>
      <c r="R7" s="156">
        <v>2023</v>
      </c>
    </row>
    <row r="8" spans="1:18" s="36" customFormat="1" x14ac:dyDescent="0.3">
      <c r="B8" s="76" t="s">
        <v>63</v>
      </c>
      <c r="C8" s="76" t="s">
        <v>64</v>
      </c>
      <c r="D8" s="76" t="s">
        <v>66</v>
      </c>
      <c r="E8" s="76" t="s">
        <v>84</v>
      </c>
      <c r="F8" s="76" t="s">
        <v>109</v>
      </c>
      <c r="G8" s="76" t="s">
        <v>110</v>
      </c>
      <c r="H8" s="76" t="s">
        <v>111</v>
      </c>
      <c r="I8" s="76" t="s">
        <v>112</v>
      </c>
      <c r="J8" s="76" t="s">
        <v>113</v>
      </c>
      <c r="K8" s="76" t="s">
        <v>114</v>
      </c>
      <c r="L8" s="76" t="s">
        <v>115</v>
      </c>
      <c r="M8" s="76" t="s">
        <v>116</v>
      </c>
      <c r="N8" s="76" t="s">
        <v>117</v>
      </c>
      <c r="O8" s="76" t="s">
        <v>118</v>
      </c>
      <c r="P8" s="76" t="s">
        <v>119</v>
      </c>
      <c r="Q8" s="76" t="s">
        <v>120</v>
      </c>
      <c r="R8" s="76" t="s">
        <v>122</v>
      </c>
    </row>
    <row r="9" spans="1:18" s="36" customFormat="1" x14ac:dyDescent="0.3"/>
    <row r="10" spans="1:18" s="36" customFormat="1" ht="16.2" x14ac:dyDescent="0.3">
      <c r="B10" s="244" t="s">
        <v>124</v>
      </c>
    </row>
    <row r="11" spans="1:18" s="36" customFormat="1" x14ac:dyDescent="0.3">
      <c r="B11" s="244" t="s">
        <v>52</v>
      </c>
      <c r="R11" s="40"/>
    </row>
    <row r="12" spans="1:18" s="36" customFormat="1" x14ac:dyDescent="0.3">
      <c r="A12" s="83">
        <v>1</v>
      </c>
      <c r="B12" s="36" t="s">
        <v>165</v>
      </c>
      <c r="C12" s="159">
        <v>376</v>
      </c>
      <c r="D12" s="249"/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26203210</v>
      </c>
      <c r="R12" s="70">
        <f>SUM(E12:Q12)</f>
        <v>26203210</v>
      </c>
    </row>
    <row r="13" spans="1:18" s="36" customFormat="1" x14ac:dyDescent="0.3">
      <c r="A13" s="83">
        <v>2</v>
      </c>
      <c r="B13" s="36" t="s">
        <v>172</v>
      </c>
      <c r="C13" s="159">
        <v>378</v>
      </c>
      <c r="D13" s="249"/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70">
        <f>SUM(E13:Q13)</f>
        <v>0</v>
      </c>
    </row>
    <row r="14" spans="1:18" s="36" customFormat="1" x14ac:dyDescent="0.3">
      <c r="A14" s="83">
        <v>3</v>
      </c>
      <c r="B14" s="36" t="s">
        <v>171</v>
      </c>
      <c r="C14" s="159">
        <v>374</v>
      </c>
      <c r="D14" s="249"/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1">
        <v>5857760</v>
      </c>
      <c r="R14" s="250">
        <f>SUM(E14:Q14)</f>
        <v>5857760</v>
      </c>
    </row>
    <row r="15" spans="1:18" s="36" customFormat="1" x14ac:dyDescent="0.3">
      <c r="A15" s="83">
        <v>4</v>
      </c>
      <c r="B15" s="36" t="s">
        <v>53</v>
      </c>
      <c r="C15" s="251"/>
      <c r="D15" s="251"/>
      <c r="E15" s="92">
        <f t="shared" ref="E15:Q15" si="0">SUM(E12:E14)</f>
        <v>0</v>
      </c>
      <c r="F15" s="92">
        <f t="shared" si="0"/>
        <v>0</v>
      </c>
      <c r="G15" s="92">
        <f t="shared" si="0"/>
        <v>0</v>
      </c>
      <c r="H15" s="92">
        <f t="shared" si="0"/>
        <v>0</v>
      </c>
      <c r="I15" s="92">
        <f t="shared" si="0"/>
        <v>0</v>
      </c>
      <c r="J15" s="92">
        <f t="shared" si="0"/>
        <v>0</v>
      </c>
      <c r="K15" s="92">
        <f t="shared" si="0"/>
        <v>0</v>
      </c>
      <c r="L15" s="92">
        <f t="shared" si="0"/>
        <v>0</v>
      </c>
      <c r="M15" s="92">
        <f t="shared" si="0"/>
        <v>0</v>
      </c>
      <c r="N15" s="92">
        <f t="shared" si="0"/>
        <v>0</v>
      </c>
      <c r="O15" s="92">
        <f t="shared" si="0"/>
        <v>0</v>
      </c>
      <c r="P15" s="92">
        <f t="shared" si="0"/>
        <v>0</v>
      </c>
      <c r="Q15" s="92">
        <f t="shared" si="0"/>
        <v>32060970</v>
      </c>
      <c r="R15" s="92">
        <f>SUM(R12:R14)</f>
        <v>32060970</v>
      </c>
    </row>
    <row r="16" spans="1:18" s="36" customFormat="1" x14ac:dyDescent="0.3">
      <c r="A16" s="83"/>
      <c r="C16" s="251"/>
      <c r="D16" s="2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06"/>
    </row>
    <row r="17" spans="1:19" s="36" customFormat="1" x14ac:dyDescent="0.3">
      <c r="B17" s="244" t="s">
        <v>54</v>
      </c>
      <c r="C17" s="83"/>
      <c r="D17" s="83"/>
      <c r="E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252"/>
    </row>
    <row r="18" spans="1:19" s="36" customFormat="1" x14ac:dyDescent="0.3">
      <c r="A18" s="83">
        <v>5</v>
      </c>
      <c r="B18" s="36" t="s">
        <v>165</v>
      </c>
      <c r="C18" s="159">
        <v>376</v>
      </c>
      <c r="D18" s="249"/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142000</v>
      </c>
      <c r="R18" s="70">
        <f>SUM(E18:Q18)</f>
        <v>142000</v>
      </c>
    </row>
    <row r="19" spans="1:19" s="36" customFormat="1" x14ac:dyDescent="0.3">
      <c r="A19" s="252">
        <v>6</v>
      </c>
      <c r="B19" s="36" t="s">
        <v>172</v>
      </c>
      <c r="C19" s="180">
        <v>378</v>
      </c>
      <c r="D19" s="249"/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70">
        <f>SUM(E19:Q19)</f>
        <v>0</v>
      </c>
    </row>
    <row r="20" spans="1:19" s="36" customFormat="1" x14ac:dyDescent="0.3">
      <c r="A20" s="252">
        <v>7</v>
      </c>
      <c r="B20" s="40" t="s">
        <v>171</v>
      </c>
      <c r="C20" s="180">
        <v>374</v>
      </c>
      <c r="D20" s="249"/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250">
        <f>SUM(E20:Q20)</f>
        <v>0</v>
      </c>
    </row>
    <row r="21" spans="1:19" s="36" customFormat="1" x14ac:dyDescent="0.3">
      <c r="A21" s="83">
        <v>8</v>
      </c>
      <c r="B21" s="36" t="s">
        <v>55</v>
      </c>
      <c r="C21" s="83"/>
      <c r="D21" s="83"/>
      <c r="E21" s="65">
        <f t="shared" ref="E21:R21" si="1">SUM(E18:E18)</f>
        <v>0</v>
      </c>
      <c r="F21" s="65">
        <f t="shared" si="1"/>
        <v>0</v>
      </c>
      <c r="G21" s="65">
        <f t="shared" si="1"/>
        <v>0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  <c r="N21" s="65">
        <f t="shared" si="1"/>
        <v>0</v>
      </c>
      <c r="O21" s="65">
        <f t="shared" si="1"/>
        <v>0</v>
      </c>
      <c r="P21" s="65">
        <f t="shared" si="1"/>
        <v>0</v>
      </c>
      <c r="Q21" s="65">
        <f t="shared" si="1"/>
        <v>142000</v>
      </c>
      <c r="R21" s="92">
        <f t="shared" si="1"/>
        <v>142000</v>
      </c>
    </row>
    <row r="22" spans="1:19" s="36" customFormat="1" x14ac:dyDescent="0.3">
      <c r="C22" s="83"/>
      <c r="D22" s="83"/>
      <c r="E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1:19" s="36" customFormat="1" x14ac:dyDescent="0.3">
      <c r="B23" s="244" t="s">
        <v>25</v>
      </c>
      <c r="C23" s="83"/>
      <c r="D23" s="83"/>
      <c r="E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252"/>
      <c r="S23" s="40"/>
    </row>
    <row r="24" spans="1:19" s="36" customFormat="1" x14ac:dyDescent="0.3">
      <c r="A24" s="83">
        <v>9</v>
      </c>
      <c r="B24" s="36" t="s">
        <v>165</v>
      </c>
      <c r="C24" s="159">
        <v>376</v>
      </c>
      <c r="D24" s="249"/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125221</v>
      </c>
      <c r="R24" s="70">
        <f>SUM(E24:Q24)</f>
        <v>125221</v>
      </c>
      <c r="S24" s="40"/>
    </row>
    <row r="25" spans="1:19" s="36" customFormat="1" x14ac:dyDescent="0.3">
      <c r="A25" s="83">
        <v>10</v>
      </c>
      <c r="B25" s="36" t="s">
        <v>172</v>
      </c>
      <c r="C25" s="180">
        <v>378</v>
      </c>
      <c r="D25" s="249"/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70">
        <f>SUM(E25:Q25)</f>
        <v>0</v>
      </c>
      <c r="S25" s="40"/>
    </row>
    <row r="26" spans="1:19" s="36" customFormat="1" x14ac:dyDescent="0.3">
      <c r="A26" s="83">
        <v>11</v>
      </c>
      <c r="B26" s="40" t="s">
        <v>171</v>
      </c>
      <c r="C26" s="180">
        <v>374</v>
      </c>
      <c r="D26" s="249"/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250">
        <f>SUM(E26:Q26)</f>
        <v>0</v>
      </c>
      <c r="S26" s="40"/>
    </row>
    <row r="27" spans="1:19" s="36" customFormat="1" x14ac:dyDescent="0.3">
      <c r="A27" s="83">
        <v>12</v>
      </c>
      <c r="B27" s="253" t="s">
        <v>56</v>
      </c>
      <c r="E27" s="65">
        <f t="shared" ref="E27:Q27" si="2">SUM(E24:E24)</f>
        <v>0</v>
      </c>
      <c r="F27" s="65">
        <f t="shared" si="2"/>
        <v>0</v>
      </c>
      <c r="G27" s="65">
        <f t="shared" si="2"/>
        <v>0</v>
      </c>
      <c r="H27" s="65">
        <f t="shared" si="2"/>
        <v>0</v>
      </c>
      <c r="I27" s="65">
        <f t="shared" si="2"/>
        <v>0</v>
      </c>
      <c r="J27" s="65">
        <f t="shared" si="2"/>
        <v>0</v>
      </c>
      <c r="K27" s="65">
        <f t="shared" si="2"/>
        <v>0</v>
      </c>
      <c r="L27" s="65">
        <f t="shared" si="2"/>
        <v>0</v>
      </c>
      <c r="M27" s="65">
        <f t="shared" si="2"/>
        <v>0</v>
      </c>
      <c r="N27" s="65">
        <f t="shared" si="2"/>
        <v>0</v>
      </c>
      <c r="O27" s="65">
        <f t="shared" si="2"/>
        <v>0</v>
      </c>
      <c r="P27" s="65">
        <f t="shared" si="2"/>
        <v>0</v>
      </c>
      <c r="Q27" s="65">
        <f t="shared" si="2"/>
        <v>125221</v>
      </c>
      <c r="R27" s="70">
        <f>SUM(E27:Q27)</f>
        <v>125221</v>
      </c>
      <c r="S27" s="40"/>
    </row>
    <row r="28" spans="1:19" s="36" customFormat="1" x14ac:dyDescent="0.3">
      <c r="R28" s="40"/>
      <c r="S28" s="40"/>
    </row>
    <row r="29" spans="1:19" s="36" customFormat="1" x14ac:dyDescent="0.3">
      <c r="B29" s="244"/>
      <c r="C29" s="254"/>
      <c r="D29" s="254"/>
      <c r="E29" s="255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106"/>
      <c r="S29" s="40"/>
    </row>
    <row r="30" spans="1:19" s="36" customFormat="1" x14ac:dyDescent="0.3">
      <c r="A30" s="83"/>
      <c r="B30" s="256"/>
      <c r="C30" s="254"/>
      <c r="D30" s="254" t="s">
        <v>105</v>
      </c>
      <c r="E30" s="84"/>
      <c r="H30" s="257"/>
      <c r="I30" s="76"/>
      <c r="J30" s="76"/>
      <c r="K30" s="76"/>
      <c r="L30" s="76"/>
      <c r="M30" s="76"/>
      <c r="N30" s="76"/>
      <c r="O30" s="76"/>
      <c r="P30" s="76"/>
      <c r="Q30" s="76"/>
      <c r="R30" s="51"/>
    </row>
    <row r="31" spans="1:19" s="36" customFormat="1" x14ac:dyDescent="0.3">
      <c r="A31" s="83"/>
      <c r="B31" s="256"/>
      <c r="D31" s="99" t="s">
        <v>32</v>
      </c>
      <c r="E31" s="99" t="s">
        <v>103</v>
      </c>
      <c r="R31" s="99" t="s">
        <v>106</v>
      </c>
    </row>
    <row r="32" spans="1:19" s="36" customFormat="1" x14ac:dyDescent="0.3">
      <c r="A32" s="83"/>
      <c r="D32" s="99" t="s">
        <v>104</v>
      </c>
      <c r="E32" s="99" t="s">
        <v>102</v>
      </c>
      <c r="F32" s="248" t="s">
        <v>224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258" t="s">
        <v>107</v>
      </c>
    </row>
    <row r="33" spans="1:18" s="36" customFormat="1" x14ac:dyDescent="0.3">
      <c r="A33" s="83"/>
      <c r="B33" s="244" t="s">
        <v>121</v>
      </c>
      <c r="D33" s="99"/>
      <c r="E33" s="100">
        <f>E7</f>
        <v>2022</v>
      </c>
      <c r="F33" s="75" t="s">
        <v>91</v>
      </c>
      <c r="G33" s="75" t="s">
        <v>92</v>
      </c>
      <c r="H33" s="75" t="s">
        <v>93</v>
      </c>
      <c r="I33" s="75" t="s">
        <v>94</v>
      </c>
      <c r="J33" s="75" t="s">
        <v>95</v>
      </c>
      <c r="K33" s="75" t="s">
        <v>96</v>
      </c>
      <c r="L33" s="75" t="s">
        <v>97</v>
      </c>
      <c r="M33" s="75" t="s">
        <v>98</v>
      </c>
      <c r="N33" s="75" t="s">
        <v>99</v>
      </c>
      <c r="O33" s="75" t="s">
        <v>100</v>
      </c>
      <c r="P33" s="75" t="s">
        <v>101</v>
      </c>
      <c r="Q33" s="75" t="s">
        <v>90</v>
      </c>
    </row>
    <row r="34" spans="1:18" s="36" customFormat="1" x14ac:dyDescent="0.3">
      <c r="A34" s="83"/>
      <c r="B34" s="244" t="s">
        <v>52</v>
      </c>
      <c r="D34" s="99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8" s="36" customFormat="1" x14ac:dyDescent="0.3">
      <c r="A35" s="83">
        <f>A27+1</f>
        <v>13</v>
      </c>
      <c r="B35" s="36" t="s">
        <v>165</v>
      </c>
      <c r="C35" s="159">
        <v>376</v>
      </c>
      <c r="D35" s="215">
        <v>1.49E-2</v>
      </c>
      <c r="E35" s="155">
        <v>0</v>
      </c>
      <c r="F35" s="92">
        <f>ROUND(SUM($E$12:E12)*0.0149/12,0)</f>
        <v>0</v>
      </c>
      <c r="G35" s="92">
        <f>ROUND(SUM($E$12:F12)*0.0149/12,0)</f>
        <v>0</v>
      </c>
      <c r="H35" s="92">
        <f>ROUND(SUM($E$12:G12)*0.0149/12,0)</f>
        <v>0</v>
      </c>
      <c r="I35" s="92">
        <f>ROUND(SUM($E$12:H12)*0.0149/12,0)</f>
        <v>0</v>
      </c>
      <c r="J35" s="92">
        <f>ROUND(SUM($E$12:I12)*0.0149/12,0)</f>
        <v>0</v>
      </c>
      <c r="K35" s="92">
        <f>ROUND(SUM($E$12:J12)*0.0149/12,0)</f>
        <v>0</v>
      </c>
      <c r="L35" s="92">
        <f>ROUND(SUM($E$12:K12)*0.0149/12,0)</f>
        <v>0</v>
      </c>
      <c r="M35" s="92">
        <f>ROUND(SUM($E$12:L12)*0.0149/12,0)</f>
        <v>0</v>
      </c>
      <c r="N35" s="92">
        <f>ROUND(SUM($E$12:M12)*0.0149/12,0)</f>
        <v>0</v>
      </c>
      <c r="O35" s="92">
        <f>ROUND(SUM($E$12:N12)*0.0149/12,0)</f>
        <v>0</v>
      </c>
      <c r="P35" s="92">
        <f>ROUND(SUM($E$12:O12)*0.0149/12,0)</f>
        <v>0</v>
      </c>
      <c r="Q35" s="92">
        <f>ROUND(SUM($E$12:P12)*0.0149/12,0)</f>
        <v>0</v>
      </c>
      <c r="R35" s="106"/>
    </row>
    <row r="36" spans="1:18" s="36" customFormat="1" x14ac:dyDescent="0.3">
      <c r="A36" s="83">
        <v>14</v>
      </c>
      <c r="B36" s="36" t="s">
        <v>172</v>
      </c>
      <c r="C36" s="159">
        <v>378</v>
      </c>
      <c r="D36" s="215">
        <v>2.0400000000000001E-2</v>
      </c>
      <c r="E36" s="155">
        <v>0</v>
      </c>
      <c r="F36" s="92">
        <f>ROUND(SUM($E$13:E13)*0.0204/12,0)</f>
        <v>0</v>
      </c>
      <c r="G36" s="92">
        <f>ROUND(SUM($E$13:F13)*0.0204/12,0)</f>
        <v>0</v>
      </c>
      <c r="H36" s="92">
        <f>ROUND(SUM($E$13:G13)*0.0204/12,0)</f>
        <v>0</v>
      </c>
      <c r="I36" s="92">
        <f>ROUND(SUM($E$13:H13)*0.0204/12,0)</f>
        <v>0</v>
      </c>
      <c r="J36" s="92">
        <f>ROUND(SUM($E$13:I13)*0.0204/12,0)</f>
        <v>0</v>
      </c>
      <c r="K36" s="92">
        <f>ROUND(SUM($E$13:J13)*0.0204/12,0)</f>
        <v>0</v>
      </c>
      <c r="L36" s="92">
        <f>ROUND(SUM($E$13:K13)*0.0204/12,0)</f>
        <v>0</v>
      </c>
      <c r="M36" s="92">
        <f>ROUND(SUM($E$13:L13)*0.0204/12,0)</f>
        <v>0</v>
      </c>
      <c r="N36" s="92">
        <f>ROUND(SUM($E$13:M13)*0.0204/12,0)</f>
        <v>0</v>
      </c>
      <c r="O36" s="92">
        <f>ROUND(SUM($E$13:N13)*0.0204/12,0)</f>
        <v>0</v>
      </c>
      <c r="P36" s="92">
        <f>ROUND(SUM($E$13:O13)*0.0204/12,0)</f>
        <v>0</v>
      </c>
      <c r="Q36" s="92">
        <f>ROUND(SUM($E$13:P13)*0.0204/12,0)</f>
        <v>0</v>
      </c>
      <c r="R36" s="106"/>
    </row>
    <row r="37" spans="1:18" s="36" customFormat="1" x14ac:dyDescent="0.3">
      <c r="A37" s="83">
        <v>15</v>
      </c>
      <c r="B37" s="36" t="s">
        <v>171</v>
      </c>
      <c r="C37" s="159">
        <v>374</v>
      </c>
      <c r="D37" s="215">
        <v>0</v>
      </c>
      <c r="E37" s="161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06"/>
    </row>
    <row r="38" spans="1:18" s="36" customFormat="1" x14ac:dyDescent="0.3">
      <c r="A38" s="83">
        <v>16</v>
      </c>
      <c r="B38" s="36" t="s">
        <v>53</v>
      </c>
      <c r="C38" s="251"/>
      <c r="D38" s="251"/>
      <c r="E38" s="65">
        <f>SUM(E35:E35)</f>
        <v>0</v>
      </c>
      <c r="F38" s="65">
        <f>SUM(F35:F37)</f>
        <v>0</v>
      </c>
      <c r="G38" s="65">
        <f t="shared" ref="G38:Q38" si="3">SUM(G35:G37)</f>
        <v>0</v>
      </c>
      <c r="H38" s="65">
        <f t="shared" si="3"/>
        <v>0</v>
      </c>
      <c r="I38" s="65">
        <f t="shared" si="3"/>
        <v>0</v>
      </c>
      <c r="J38" s="65">
        <f t="shared" si="3"/>
        <v>0</v>
      </c>
      <c r="K38" s="65">
        <f t="shared" si="3"/>
        <v>0</v>
      </c>
      <c r="L38" s="65">
        <f t="shared" si="3"/>
        <v>0</v>
      </c>
      <c r="M38" s="65">
        <f t="shared" si="3"/>
        <v>0</v>
      </c>
      <c r="N38" s="65">
        <f t="shared" si="3"/>
        <v>0</v>
      </c>
      <c r="O38" s="65">
        <f t="shared" si="3"/>
        <v>0</v>
      </c>
      <c r="P38" s="65">
        <f t="shared" si="3"/>
        <v>0</v>
      </c>
      <c r="Q38" s="65">
        <f t="shared" si="3"/>
        <v>0</v>
      </c>
      <c r="R38" s="106"/>
    </row>
    <row r="39" spans="1:18" s="36" customFormat="1" x14ac:dyDescent="0.3">
      <c r="A39" s="83"/>
      <c r="C39" s="251"/>
      <c r="D39" s="251"/>
      <c r="F39" s="51"/>
      <c r="R39" s="40"/>
    </row>
    <row r="40" spans="1:18" s="36" customFormat="1" x14ac:dyDescent="0.3">
      <c r="A40" s="83"/>
      <c r="B40" s="244" t="s">
        <v>54</v>
      </c>
      <c r="D40" s="99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</row>
    <row r="41" spans="1:18" s="36" customFormat="1" x14ac:dyDescent="0.3">
      <c r="A41" s="83">
        <v>17</v>
      </c>
      <c r="B41" s="36" t="s">
        <v>165</v>
      </c>
      <c r="C41" s="159">
        <v>376</v>
      </c>
      <c r="D41" s="215">
        <v>1.49E-2</v>
      </c>
      <c r="E41" s="155">
        <v>0</v>
      </c>
      <c r="F41" s="92">
        <f>ROUND(SUM($E$18:E18)*0.0149/12,0)</f>
        <v>0</v>
      </c>
      <c r="G41" s="92">
        <f>ROUND(SUM($E$18:F18)*0.0149/12,0)</f>
        <v>0</v>
      </c>
      <c r="H41" s="92">
        <f>ROUND(SUM($E$18:G18)*0.0149/12,0)</f>
        <v>0</v>
      </c>
      <c r="I41" s="92">
        <f>ROUND(SUM($E$18:H18)*0.0149/12,0)</f>
        <v>0</v>
      </c>
      <c r="J41" s="92">
        <f>ROUND(SUM($E$18:I18)*0.0149/12,0)</f>
        <v>0</v>
      </c>
      <c r="K41" s="92">
        <f>ROUND(SUM($E$18:J18)*0.0149/12,0)</f>
        <v>0</v>
      </c>
      <c r="L41" s="92">
        <f>ROUND(SUM($E$18:K18)*0.0149/12,0)</f>
        <v>0</v>
      </c>
      <c r="M41" s="92">
        <f>ROUND(SUM($E$18:L18)*0.0149/12,0)</f>
        <v>0</v>
      </c>
      <c r="N41" s="92">
        <f>ROUND(SUM($E$18:M18)*0.0149/12,0)</f>
        <v>0</v>
      </c>
      <c r="O41" s="92">
        <f>ROUND(SUM($E$18:N18)*0.0149/12,0)</f>
        <v>0</v>
      </c>
      <c r="P41" s="92">
        <f>ROUND(SUM($E$18:O18)*0.0149/12,0)</f>
        <v>0</v>
      </c>
      <c r="Q41" s="92">
        <f>ROUND(SUM($E$18:P18)*0.0149/12,0)</f>
        <v>0</v>
      </c>
      <c r="R41" s="106"/>
    </row>
    <row r="42" spans="1:18" s="36" customFormat="1" x14ac:dyDescent="0.3">
      <c r="A42" s="83">
        <v>18</v>
      </c>
      <c r="B42" s="36" t="s">
        <v>172</v>
      </c>
      <c r="C42" s="159">
        <v>378</v>
      </c>
      <c r="D42" s="215">
        <v>2.0400000000000001E-2</v>
      </c>
      <c r="E42" s="155">
        <v>0</v>
      </c>
      <c r="F42" s="92">
        <f>ROUND(SUM($E$19:E19)*0.0204/12,0)</f>
        <v>0</v>
      </c>
      <c r="G42" s="92">
        <f>ROUND(SUM($E$19:F19)*0.0204/12,0)</f>
        <v>0</v>
      </c>
      <c r="H42" s="92">
        <f>ROUND(SUM($E$19:G19)*0.0204/12,0)</f>
        <v>0</v>
      </c>
      <c r="I42" s="92">
        <f>ROUND(SUM($E$19:H19)*0.0204/12,0)</f>
        <v>0</v>
      </c>
      <c r="J42" s="92">
        <f>ROUND(SUM($E$19:I19)*0.0204/12,0)</f>
        <v>0</v>
      </c>
      <c r="K42" s="92">
        <f>ROUND(SUM($E$19:J19)*0.0204/12,0)</f>
        <v>0</v>
      </c>
      <c r="L42" s="92">
        <f>ROUND(SUM($E$19:K19)*0.0204/12,0)</f>
        <v>0</v>
      </c>
      <c r="M42" s="92">
        <f>ROUND(SUM($E$19:L19)*0.0204/12,0)</f>
        <v>0</v>
      </c>
      <c r="N42" s="92">
        <f>ROUND(SUM($E$19:M19)*0.0204/12,0)</f>
        <v>0</v>
      </c>
      <c r="O42" s="92">
        <f>ROUND(SUM($E$19:N19)*0.0204/12,0)</f>
        <v>0</v>
      </c>
      <c r="P42" s="92">
        <f>ROUND(SUM($E$19:O19)*0.0204/12,0)</f>
        <v>0</v>
      </c>
      <c r="Q42" s="92">
        <f>ROUND(SUM($E$19:P19)*0.0204/12,0)</f>
        <v>0</v>
      </c>
      <c r="R42" s="106"/>
    </row>
    <row r="43" spans="1:18" s="36" customFormat="1" x14ac:dyDescent="0.3">
      <c r="A43" s="83">
        <v>19</v>
      </c>
      <c r="B43" s="36" t="s">
        <v>171</v>
      </c>
      <c r="C43" s="159">
        <v>374</v>
      </c>
      <c r="D43" s="215">
        <v>0</v>
      </c>
      <c r="E43" s="161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06"/>
    </row>
    <row r="44" spans="1:18" s="36" customFormat="1" x14ac:dyDescent="0.3">
      <c r="A44" s="83">
        <v>20</v>
      </c>
      <c r="B44" s="36" t="s">
        <v>55</v>
      </c>
      <c r="C44" s="251"/>
      <c r="D44" s="251"/>
      <c r="E44" s="65">
        <f t="shared" ref="E44:Q44" si="4">SUM(E41:E41)</f>
        <v>0</v>
      </c>
      <c r="F44" s="65">
        <f t="shared" si="4"/>
        <v>0</v>
      </c>
      <c r="G44" s="65">
        <f t="shared" si="4"/>
        <v>0</v>
      </c>
      <c r="H44" s="65">
        <f t="shared" si="4"/>
        <v>0</v>
      </c>
      <c r="I44" s="65">
        <f t="shared" si="4"/>
        <v>0</v>
      </c>
      <c r="J44" s="65">
        <f t="shared" si="4"/>
        <v>0</v>
      </c>
      <c r="K44" s="65">
        <f t="shared" si="4"/>
        <v>0</v>
      </c>
      <c r="L44" s="65">
        <f t="shared" si="4"/>
        <v>0</v>
      </c>
      <c r="M44" s="65">
        <f t="shared" si="4"/>
        <v>0</v>
      </c>
      <c r="N44" s="65">
        <f t="shared" si="4"/>
        <v>0</v>
      </c>
      <c r="O44" s="65">
        <f t="shared" si="4"/>
        <v>0</v>
      </c>
      <c r="P44" s="65">
        <f t="shared" si="4"/>
        <v>0</v>
      </c>
      <c r="Q44" s="65">
        <f t="shared" si="4"/>
        <v>0</v>
      </c>
      <c r="R44" s="106"/>
    </row>
    <row r="45" spans="1:18" s="36" customFormat="1" x14ac:dyDescent="0.3">
      <c r="A45" s="83"/>
      <c r="C45" s="251"/>
      <c r="D45" s="251"/>
      <c r="F45" s="51"/>
      <c r="R45" s="40"/>
    </row>
    <row r="46" spans="1:18" s="36" customFormat="1" ht="15" thickBot="1" x14ac:dyDescent="0.35">
      <c r="A46" s="83">
        <v>21</v>
      </c>
      <c r="B46" s="244" t="s">
        <v>108</v>
      </c>
      <c r="C46" s="83"/>
      <c r="D46" s="83"/>
      <c r="E46" s="69">
        <f>+E38-E44</f>
        <v>0</v>
      </c>
      <c r="F46" s="69">
        <f>E46+F38-F44</f>
        <v>0</v>
      </c>
      <c r="G46" s="69">
        <f t="shared" ref="G46:Q46" si="5">F46+G38-G44</f>
        <v>0</v>
      </c>
      <c r="H46" s="69">
        <f t="shared" si="5"/>
        <v>0</v>
      </c>
      <c r="I46" s="69">
        <f t="shared" si="5"/>
        <v>0</v>
      </c>
      <c r="J46" s="69">
        <f t="shared" si="5"/>
        <v>0</v>
      </c>
      <c r="K46" s="69">
        <f t="shared" si="5"/>
        <v>0</v>
      </c>
      <c r="L46" s="69">
        <f>K46+L38-L44</f>
        <v>0</v>
      </c>
      <c r="M46" s="69">
        <f t="shared" si="5"/>
        <v>0</v>
      </c>
      <c r="N46" s="69">
        <f t="shared" si="5"/>
        <v>0</v>
      </c>
      <c r="O46" s="69">
        <f t="shared" si="5"/>
        <v>0</v>
      </c>
      <c r="P46" s="69">
        <f t="shared" si="5"/>
        <v>0</v>
      </c>
      <c r="Q46" s="69">
        <f t="shared" si="5"/>
        <v>0</v>
      </c>
      <c r="R46" s="69">
        <f>AVERAGE(E46:Q46)</f>
        <v>0</v>
      </c>
    </row>
    <row r="47" spans="1:18" s="36" customFormat="1" ht="15" thickTop="1" x14ac:dyDescent="0.3">
      <c r="A47" s="83"/>
      <c r="C47" s="83"/>
      <c r="D47" s="83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</row>
    <row r="48" spans="1:18" s="36" customFormat="1" x14ac:dyDescent="0.3"/>
    <row r="49" spans="1:1" s="36" customFormat="1" x14ac:dyDescent="0.3">
      <c r="A49" s="36" t="s">
        <v>41</v>
      </c>
    </row>
    <row r="50" spans="1:1" s="36" customFormat="1" x14ac:dyDescent="0.3">
      <c r="A50" s="158" t="s">
        <v>253</v>
      </c>
    </row>
  </sheetData>
  <mergeCells count="1">
    <mergeCell ref="A1:R1"/>
  </mergeCells>
  <printOptions horizontalCentered="1"/>
  <pageMargins left="0.7" right="0.7" top="0.75" bottom="0.75" header="0.3" footer="0.3"/>
  <pageSetup scale="51" orientation="landscape" r:id="rId1"/>
  <headerFooter>
    <oddHeader xml:space="preserve">&amp;RKyPSC Case No. 2024-00191
Exhibit 3
Schedule 4.3
Page &amp;P of &amp;N
</oddHeader>
  </headerFooter>
  <ignoredErrors>
    <ignoredError sqref="G35:Q35 G41:Q4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J36"/>
  <sheetViews>
    <sheetView zoomScaleNormal="100" workbookViewId="0">
      <selection activeCell="L29" sqref="L29"/>
    </sheetView>
  </sheetViews>
  <sheetFormatPr defaultRowHeight="14.4" x14ac:dyDescent="0.3"/>
  <cols>
    <col min="1" max="1" width="8.21875" bestFit="1" customWidth="1"/>
    <col min="2" max="2" width="35.77734375" customWidth="1"/>
    <col min="3" max="3" width="13.5546875" customWidth="1"/>
    <col min="4" max="4" width="13.21875" customWidth="1"/>
    <col min="5" max="5" width="3.77734375" customWidth="1"/>
    <col min="6" max="8" width="13.21875" customWidth="1"/>
  </cols>
  <sheetData>
    <row r="1" spans="1:10" x14ac:dyDescent="0.3">
      <c r="A1" s="89"/>
      <c r="B1" s="33"/>
      <c r="D1" s="89"/>
    </row>
    <row r="2" spans="1:10" x14ac:dyDescent="0.3">
      <c r="A2" s="102" t="str">
        <f>'Sch 1.0'!A2:J2</f>
        <v>Duke Energy Kentucky</v>
      </c>
      <c r="B2" s="102"/>
      <c r="C2" s="102"/>
      <c r="D2" s="102"/>
      <c r="E2" s="102"/>
      <c r="F2" s="102"/>
      <c r="G2" s="102"/>
      <c r="H2" s="102"/>
      <c r="J2" s="121" t="s">
        <v>225</v>
      </c>
    </row>
    <row r="3" spans="1:10" x14ac:dyDescent="0.3">
      <c r="A3" s="102" t="str">
        <f>'Sch 1.0'!A3:J3</f>
        <v>Pipeline Modernization Mechanism ("Rider PMM")</v>
      </c>
      <c r="B3" s="102"/>
      <c r="C3" s="102"/>
      <c r="D3" s="102"/>
      <c r="E3" s="102"/>
      <c r="F3" s="102"/>
      <c r="G3" s="102"/>
      <c r="H3" s="102"/>
    </row>
    <row r="4" spans="1:10" x14ac:dyDescent="0.3">
      <c r="A4" s="102" t="s">
        <v>28</v>
      </c>
      <c r="B4" s="102"/>
      <c r="C4" s="102"/>
      <c r="D4" s="102"/>
      <c r="E4" s="102"/>
      <c r="F4" s="102"/>
      <c r="G4" s="102"/>
      <c r="H4" s="102"/>
    </row>
    <row r="5" spans="1:10" x14ac:dyDescent="0.3">
      <c r="A5" s="104"/>
      <c r="B5" s="104"/>
      <c r="C5" s="104"/>
      <c r="D5" s="104"/>
      <c r="E5" s="104"/>
      <c r="F5" s="104"/>
      <c r="G5" s="104"/>
      <c r="H5" s="104"/>
    </row>
    <row r="6" spans="1:10" ht="15" customHeight="1" x14ac:dyDescent="0.3">
      <c r="A6" s="89"/>
      <c r="D6" s="206" t="s">
        <v>161</v>
      </c>
      <c r="E6" s="8"/>
      <c r="F6" s="160" t="s">
        <v>167</v>
      </c>
      <c r="G6" s="160"/>
      <c r="H6" s="101"/>
    </row>
    <row r="7" spans="1:10" x14ac:dyDescent="0.3">
      <c r="A7" s="97" t="s">
        <v>136</v>
      </c>
      <c r="B7" s="88"/>
      <c r="C7" s="88"/>
      <c r="D7" s="88" t="s">
        <v>70</v>
      </c>
      <c r="F7" s="95"/>
      <c r="G7" s="95" t="s">
        <v>70</v>
      </c>
      <c r="H7" s="36"/>
    </row>
    <row r="8" spans="1:10" x14ac:dyDescent="0.3">
      <c r="A8" s="9" t="s">
        <v>137</v>
      </c>
      <c r="B8" s="9"/>
      <c r="C8" s="9"/>
      <c r="D8" s="103">
        <v>2023</v>
      </c>
      <c r="F8" s="103">
        <v>2023</v>
      </c>
      <c r="G8" s="103">
        <v>2024</v>
      </c>
      <c r="H8" s="75" t="s">
        <v>82</v>
      </c>
    </row>
    <row r="9" spans="1:10" x14ac:dyDescent="0.3">
      <c r="B9" s="90" t="s">
        <v>63</v>
      </c>
      <c r="C9" s="90" t="s">
        <v>64</v>
      </c>
      <c r="D9" s="90" t="s">
        <v>66</v>
      </c>
      <c r="F9" s="76" t="s">
        <v>84</v>
      </c>
      <c r="G9" s="76" t="s">
        <v>109</v>
      </c>
      <c r="H9" s="76" t="s">
        <v>110</v>
      </c>
    </row>
    <row r="10" spans="1:10" x14ac:dyDescent="0.3">
      <c r="A10" s="89"/>
      <c r="F10" s="36"/>
      <c r="G10" s="36"/>
      <c r="H10" s="36"/>
    </row>
    <row r="11" spans="1:10" x14ac:dyDescent="0.3">
      <c r="A11" s="89">
        <v>1</v>
      </c>
      <c r="B11" t="s">
        <v>146</v>
      </c>
      <c r="C11" s="18"/>
      <c r="D11" s="137">
        <v>0</v>
      </c>
      <c r="E11" s="68"/>
      <c r="F11" s="96">
        <f>D11</f>
        <v>0</v>
      </c>
      <c r="G11" s="137">
        <f>'Sch 4.5'!$E$29</f>
        <v>2466228</v>
      </c>
      <c r="H11" s="70">
        <f>SUM(F11:G11)</f>
        <v>2466228</v>
      </c>
    </row>
    <row r="12" spans="1:10" ht="16.2" x14ac:dyDescent="0.45">
      <c r="A12" s="89"/>
      <c r="C12" s="18"/>
      <c r="D12" s="24"/>
      <c r="F12" s="77"/>
      <c r="G12" s="24"/>
      <c r="H12" s="77"/>
    </row>
    <row r="13" spans="1:10" x14ac:dyDescent="0.3">
      <c r="A13" s="89"/>
      <c r="B13" t="s">
        <v>68</v>
      </c>
      <c r="C13" s="30"/>
      <c r="D13" s="27"/>
      <c r="F13" s="78"/>
      <c r="G13" s="27"/>
      <c r="H13" s="78"/>
    </row>
    <row r="14" spans="1:10" x14ac:dyDescent="0.3">
      <c r="A14" s="89">
        <v>2</v>
      </c>
      <c r="B14" t="s">
        <v>131</v>
      </c>
      <c r="C14" s="31"/>
      <c r="D14" s="111">
        <f>D11</f>
        <v>0</v>
      </c>
      <c r="E14" s="110"/>
      <c r="F14" s="138">
        <f>F11</f>
        <v>0</v>
      </c>
      <c r="G14" s="111">
        <f>G11</f>
        <v>2466228</v>
      </c>
      <c r="H14" s="108">
        <f>SUM(F14:G14)</f>
        <v>2466228</v>
      </c>
    </row>
    <row r="15" spans="1:10" x14ac:dyDescent="0.3">
      <c r="A15" s="89">
        <f t="shared" ref="A15:A20" si="0">A14+1</f>
        <v>3</v>
      </c>
      <c r="B15" t="s">
        <v>77</v>
      </c>
      <c r="C15" s="31"/>
      <c r="D15" s="112">
        <f>ROUND(D11/2,0)</f>
        <v>0</v>
      </c>
      <c r="E15" s="110"/>
      <c r="F15" s="112">
        <f>ROUND(F11/2,0)</f>
        <v>0</v>
      </c>
      <c r="G15" s="112">
        <f>ROUND(G11/2,0)</f>
        <v>1233114</v>
      </c>
      <c r="H15" s="139">
        <f>SUM(F15:G15)</f>
        <v>1233114</v>
      </c>
    </row>
    <row r="16" spans="1:10" x14ac:dyDescent="0.3">
      <c r="A16" s="89"/>
      <c r="B16" s="10"/>
      <c r="C16" s="31"/>
      <c r="D16" s="110"/>
      <c r="E16" s="110"/>
      <c r="F16" s="140"/>
      <c r="G16" s="110"/>
      <c r="H16" s="140"/>
    </row>
    <row r="17" spans="1:8" x14ac:dyDescent="0.3">
      <c r="A17" s="89"/>
      <c r="B17" s="21" t="s">
        <v>13</v>
      </c>
      <c r="C17" s="18"/>
      <c r="D17" s="113"/>
      <c r="E17" s="110"/>
      <c r="F17" s="141"/>
      <c r="G17" s="113"/>
      <c r="H17" s="141"/>
    </row>
    <row r="18" spans="1:8" x14ac:dyDescent="0.3">
      <c r="A18" s="89">
        <v>4</v>
      </c>
      <c r="B18" t="s">
        <v>131</v>
      </c>
      <c r="C18" s="31"/>
      <c r="D18" s="111">
        <f>ROUND(D14*0.5,0)</f>
        <v>0</v>
      </c>
      <c r="E18" s="110"/>
      <c r="F18" s="111">
        <v>0</v>
      </c>
      <c r="G18" s="111">
        <f>ROUND(G14*0.5,0)</f>
        <v>1233114</v>
      </c>
      <c r="H18" s="108">
        <f>SUM(F18:G18)</f>
        <v>1233114</v>
      </c>
    </row>
    <row r="19" spans="1:8" x14ac:dyDescent="0.3">
      <c r="A19" s="89">
        <f t="shared" si="0"/>
        <v>5</v>
      </c>
      <c r="B19" t="s">
        <v>69</v>
      </c>
      <c r="C19" s="31"/>
      <c r="D19" s="112">
        <f>ROUND(D15*0.0375,0)</f>
        <v>0</v>
      </c>
      <c r="E19" s="110"/>
      <c r="F19" s="112">
        <f>ROUND(F15*0.07219,0)</f>
        <v>0</v>
      </c>
      <c r="G19" s="112">
        <f>ROUND(G15*0.0375,0)</f>
        <v>46242</v>
      </c>
      <c r="H19" s="108">
        <f>SUM(F19:G19)</f>
        <v>46242</v>
      </c>
    </row>
    <row r="20" spans="1:8" x14ac:dyDescent="0.3">
      <c r="A20" s="89">
        <f t="shared" si="0"/>
        <v>6</v>
      </c>
      <c r="B20" s="21" t="s">
        <v>71</v>
      </c>
      <c r="C20" s="31"/>
      <c r="D20" s="67">
        <f>D18+D19</f>
        <v>0</v>
      </c>
      <c r="E20" s="110"/>
      <c r="F20" s="81">
        <f>F18+F19</f>
        <v>0</v>
      </c>
      <c r="G20" s="67">
        <f>G18+G19</f>
        <v>1279356</v>
      </c>
      <c r="H20" s="81">
        <f>SUM(F20:G20)</f>
        <v>1279356</v>
      </c>
    </row>
    <row r="21" spans="1:8" x14ac:dyDescent="0.3">
      <c r="A21" s="89"/>
      <c r="B21" s="21"/>
      <c r="C21" s="31"/>
      <c r="D21" s="110"/>
      <c r="E21" s="110"/>
      <c r="F21" s="140"/>
      <c r="G21" s="110"/>
      <c r="H21" s="140"/>
    </row>
    <row r="22" spans="1:8" x14ac:dyDescent="0.3">
      <c r="A22" s="89">
        <f>A20+1</f>
        <v>7</v>
      </c>
      <c r="B22" s="21" t="s">
        <v>72</v>
      </c>
      <c r="D22" s="114">
        <v>0</v>
      </c>
      <c r="E22" s="110"/>
      <c r="F22" s="135">
        <f>D22</f>
        <v>0</v>
      </c>
      <c r="G22" s="114">
        <f>'Sch 4.3'!$R$46</f>
        <v>0</v>
      </c>
      <c r="H22" s="136">
        <f>SUM(F22:G22)</f>
        <v>0</v>
      </c>
    </row>
    <row r="23" spans="1:8" x14ac:dyDescent="0.3">
      <c r="A23" s="89"/>
      <c r="B23" s="21"/>
      <c r="D23" s="114"/>
      <c r="E23" s="110"/>
      <c r="F23" s="136"/>
      <c r="G23" s="114"/>
      <c r="H23" s="136"/>
    </row>
    <row r="24" spans="1:8" x14ac:dyDescent="0.3">
      <c r="A24" s="89">
        <f>A22+1</f>
        <v>8</v>
      </c>
      <c r="B24" s="21" t="s">
        <v>73</v>
      </c>
      <c r="D24" s="114">
        <f>D20-D22</f>
        <v>0</v>
      </c>
      <c r="E24" s="110"/>
      <c r="F24" s="136">
        <f>F20-F22</f>
        <v>0</v>
      </c>
      <c r="G24" s="114">
        <f>G20-G22</f>
        <v>1279356</v>
      </c>
      <c r="H24" s="108">
        <f>SUM(F24:G24)</f>
        <v>1279356</v>
      </c>
    </row>
    <row r="25" spans="1:8" x14ac:dyDescent="0.3">
      <c r="A25" s="89"/>
      <c r="B25" s="21"/>
      <c r="D25" s="114"/>
      <c r="E25" s="110"/>
      <c r="F25" s="136"/>
      <c r="G25" s="114"/>
      <c r="H25" s="136"/>
    </row>
    <row r="26" spans="1:8" x14ac:dyDescent="0.3">
      <c r="A26" s="89">
        <f>A24+1</f>
        <v>9</v>
      </c>
      <c r="B26" s="21" t="s">
        <v>25</v>
      </c>
      <c r="D26" s="114">
        <v>0</v>
      </c>
      <c r="E26" s="110"/>
      <c r="F26" s="136">
        <v>0</v>
      </c>
      <c r="G26" s="114">
        <f>'Sch 4.5'!$I$29</f>
        <v>9632</v>
      </c>
      <c r="H26" s="136">
        <f>SUM(F26:G26)</f>
        <v>9632</v>
      </c>
    </row>
    <row r="27" spans="1:8" x14ac:dyDescent="0.3">
      <c r="A27" s="89">
        <f>A26+1</f>
        <v>10</v>
      </c>
      <c r="B27" s="21" t="s">
        <v>75</v>
      </c>
      <c r="D27" s="67">
        <f>D24+D26</f>
        <v>0</v>
      </c>
      <c r="E27" s="68"/>
      <c r="F27" s="81">
        <f>F24+F26</f>
        <v>0</v>
      </c>
      <c r="G27" s="67">
        <f>G24+G26</f>
        <v>1288988</v>
      </c>
      <c r="H27" s="82">
        <f>SUM(F27:G27)</f>
        <v>1288988</v>
      </c>
    </row>
    <row r="28" spans="1:8" x14ac:dyDescent="0.3">
      <c r="A28" s="89"/>
      <c r="B28" s="21"/>
      <c r="D28" s="35"/>
      <c r="F28" s="80"/>
      <c r="G28" s="35"/>
      <c r="H28" s="80"/>
    </row>
    <row r="29" spans="1:8" x14ac:dyDescent="0.3">
      <c r="A29" s="94">
        <f>A27+1</f>
        <v>11</v>
      </c>
      <c r="B29" t="s">
        <v>74</v>
      </c>
      <c r="C29" s="207">
        <v>0.24925115</v>
      </c>
      <c r="D29" s="110">
        <f>ROUND(D27*$C$29,0)</f>
        <v>0</v>
      </c>
      <c r="E29" s="110"/>
      <c r="F29" s="140">
        <f>ROUND(F27*$C$29,0)</f>
        <v>0</v>
      </c>
      <c r="G29" s="110">
        <f>ROUND(G27*$C$29,0)</f>
        <v>321282</v>
      </c>
      <c r="H29" s="108">
        <f>SUM(F29:G29)</f>
        <v>321282</v>
      </c>
    </row>
    <row r="30" spans="1:8" x14ac:dyDescent="0.3">
      <c r="A30" s="94">
        <v>12</v>
      </c>
      <c r="B30" t="s">
        <v>133</v>
      </c>
      <c r="C30" s="207">
        <v>0.13549266299999999</v>
      </c>
      <c r="D30" s="110">
        <f>ROUND(D27*$C$30,0)</f>
        <v>0</v>
      </c>
      <c r="E30" s="110"/>
      <c r="F30" s="110">
        <f>ROUND(F27*$C$30,0)</f>
        <v>0</v>
      </c>
      <c r="G30" s="110">
        <f>ROUND(G27*$C$30,0)</f>
        <v>174648</v>
      </c>
      <c r="H30" s="108">
        <f>SUM(F30:G30)</f>
        <v>174648</v>
      </c>
    </row>
    <row r="31" spans="1:8" x14ac:dyDescent="0.3">
      <c r="A31" s="94"/>
      <c r="D31" s="67">
        <f>SUM(D29:D30)</f>
        <v>0</v>
      </c>
      <c r="E31" s="110"/>
      <c r="F31" s="67">
        <f>SUM(F29:F30)</f>
        <v>0</v>
      </c>
      <c r="G31" s="67">
        <f>SUM(G29:G30)</f>
        <v>495930</v>
      </c>
      <c r="H31" s="67">
        <f>SUM(H29:H30)</f>
        <v>495930</v>
      </c>
    </row>
    <row r="32" spans="1:8" x14ac:dyDescent="0.3">
      <c r="A32" s="94"/>
    </row>
    <row r="33" spans="1:8" ht="15" thickBot="1" x14ac:dyDescent="0.35">
      <c r="A33" s="94">
        <v>13</v>
      </c>
      <c r="B33" t="s">
        <v>127</v>
      </c>
      <c r="H33" s="69">
        <f>D29+H29</f>
        <v>321282</v>
      </c>
    </row>
    <row r="34" spans="1:8" ht="15.6" thickTop="1" thickBot="1" x14ac:dyDescent="0.35">
      <c r="A34" s="94"/>
      <c r="H34" s="69"/>
    </row>
    <row r="35" spans="1:8" ht="15.6" thickTop="1" thickBot="1" x14ac:dyDescent="0.35">
      <c r="A35" s="6">
        <v>14</v>
      </c>
      <c r="B35" t="s">
        <v>133</v>
      </c>
      <c r="H35" s="69">
        <f>D30+H30</f>
        <v>174648</v>
      </c>
    </row>
    <row r="36" spans="1:8" ht="15" thickTop="1" x14ac:dyDescent="0.3"/>
  </sheetData>
  <pageMargins left="0.7" right="0.7" top="0.75" bottom="0.75" header="0.3" footer="0.3"/>
  <pageSetup scale="77" orientation="landscape" r:id="rId1"/>
  <headerFooter>
    <oddHeader xml:space="preserve">&amp;RExhibit 1
Schedule 4.4
Page &amp;P of &amp;N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8A0E-3B24-45B5-B4AD-07D29DAEA84F}">
  <sheetPr>
    <tabColor rgb="FFFFFF00"/>
    <pageSetUpPr fitToPage="1"/>
  </sheetPr>
  <dimension ref="A1:V55"/>
  <sheetViews>
    <sheetView view="pageLayout" topLeftCell="H1" zoomScale="94" zoomScaleNormal="100" zoomScalePageLayoutView="94" workbookViewId="0">
      <selection sqref="A1:R1"/>
    </sheetView>
  </sheetViews>
  <sheetFormatPr defaultRowHeight="14.4" x14ac:dyDescent="0.3"/>
  <cols>
    <col min="1" max="1" width="10.21875" customWidth="1"/>
    <col min="2" max="2" width="11.77734375" customWidth="1"/>
    <col min="3" max="3" width="18.44140625" customWidth="1"/>
    <col min="4" max="4" width="19.44140625" customWidth="1"/>
    <col min="5" max="5" width="18.21875" customWidth="1"/>
    <col min="6" max="6" width="11.44140625" bestFit="1" customWidth="1"/>
    <col min="7" max="7" width="3.77734375" customWidth="1"/>
    <col min="8" max="8" width="14" customWidth="1"/>
    <col min="9" max="9" width="16.21875" customWidth="1"/>
    <col min="10" max="10" width="13.44140625" customWidth="1"/>
    <col min="11" max="11" width="18.77734375" bestFit="1" customWidth="1"/>
    <col min="12" max="12" width="15.44140625" customWidth="1"/>
    <col min="13" max="13" width="15.21875" customWidth="1"/>
    <col min="14" max="14" width="12.44140625" customWidth="1"/>
    <col min="15" max="15" width="11.77734375" customWidth="1"/>
    <col min="16" max="16" width="14.77734375" customWidth="1"/>
    <col min="17" max="17" width="13.21875" customWidth="1"/>
    <col min="18" max="18" width="23.44140625" bestFit="1" customWidth="1"/>
  </cols>
  <sheetData>
    <row r="1" spans="1:18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x14ac:dyDescent="0.3">
      <c r="A2" s="102" t="s">
        <v>134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x14ac:dyDescent="0.3">
      <c r="A3" s="102" t="s">
        <v>28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x14ac:dyDescent="0.3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P4" s="102"/>
      <c r="Q4" s="102"/>
      <c r="R4" s="102"/>
    </row>
    <row r="5" spans="1:18" ht="15.6" x14ac:dyDescent="0.3">
      <c r="A5" s="185" t="s">
        <v>103</v>
      </c>
      <c r="B5" s="8"/>
      <c r="C5" s="8"/>
      <c r="D5" s="8"/>
      <c r="E5" s="8"/>
      <c r="F5" s="8"/>
      <c r="G5" s="8"/>
      <c r="H5" s="8"/>
      <c r="I5" s="8"/>
      <c r="J5" s="8"/>
      <c r="K5" s="8"/>
      <c r="N5" s="152"/>
      <c r="O5" s="131"/>
    </row>
    <row r="7" spans="1:18" x14ac:dyDescent="0.3">
      <c r="A7" s="186" t="s">
        <v>227</v>
      </c>
      <c r="B7" s="204"/>
      <c r="C7" s="187" t="s">
        <v>173</v>
      </c>
      <c r="D7" s="187" t="s">
        <v>174</v>
      </c>
      <c r="E7" s="187" t="s">
        <v>186</v>
      </c>
      <c r="F7" s="187" t="s">
        <v>187</v>
      </c>
      <c r="G7" s="186"/>
      <c r="H7" s="187" t="s">
        <v>188</v>
      </c>
      <c r="I7" s="187" t="s">
        <v>189</v>
      </c>
      <c r="J7" s="187" t="s">
        <v>190</v>
      </c>
      <c r="K7" s="187" t="s">
        <v>175</v>
      </c>
      <c r="L7" s="276" t="s">
        <v>191</v>
      </c>
      <c r="M7" s="276" t="s">
        <v>194</v>
      </c>
      <c r="N7" s="276" t="s">
        <v>195</v>
      </c>
      <c r="O7" s="276" t="s">
        <v>196</v>
      </c>
      <c r="P7" s="276" t="s">
        <v>260</v>
      </c>
      <c r="Q7" s="276" t="s">
        <v>199</v>
      </c>
    </row>
    <row r="8" spans="1:18" ht="15" customHeight="1" x14ac:dyDescent="0.3">
      <c r="H8" s="239"/>
      <c r="I8" s="239"/>
      <c r="J8" s="239"/>
      <c r="L8" s="239"/>
      <c r="M8" s="201"/>
      <c r="N8" s="239"/>
      <c r="O8" s="239"/>
      <c r="P8" s="239"/>
      <c r="Q8" s="239"/>
    </row>
    <row r="9" spans="1:18" ht="57.6" x14ac:dyDescent="0.3">
      <c r="B9" s="188" t="s">
        <v>57</v>
      </c>
      <c r="C9" s="198" t="s">
        <v>179</v>
      </c>
      <c r="D9" s="198" t="s">
        <v>185</v>
      </c>
      <c r="E9" s="198" t="s">
        <v>180</v>
      </c>
      <c r="F9" s="198" t="s">
        <v>184</v>
      </c>
      <c r="G9" s="210"/>
      <c r="H9" s="198" t="s">
        <v>249</v>
      </c>
      <c r="I9" s="198" t="s">
        <v>250</v>
      </c>
      <c r="J9" s="198" t="s">
        <v>181</v>
      </c>
      <c r="K9" s="188" t="s">
        <v>72</v>
      </c>
      <c r="L9" s="198" t="s">
        <v>192</v>
      </c>
      <c r="M9" s="198" t="s">
        <v>193</v>
      </c>
      <c r="N9" s="198" t="s">
        <v>182</v>
      </c>
      <c r="O9" s="198" t="s">
        <v>183</v>
      </c>
      <c r="P9" s="198" t="s">
        <v>197</v>
      </c>
      <c r="Q9" s="198" t="s">
        <v>198</v>
      </c>
    </row>
    <row r="10" spans="1:18" x14ac:dyDescent="0.3">
      <c r="B10" s="189">
        <v>44896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90"/>
      <c r="M10" s="191">
        <v>0</v>
      </c>
      <c r="N10" s="190"/>
      <c r="O10" s="190"/>
      <c r="P10" s="190"/>
      <c r="Q10" s="190">
        <f>+M10</f>
        <v>0</v>
      </c>
    </row>
    <row r="11" spans="1:18" x14ac:dyDescent="0.3">
      <c r="A11" t="s">
        <v>254</v>
      </c>
      <c r="B11" s="189">
        <v>44927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90">
        <f>+M11-M10</f>
        <v>0</v>
      </c>
      <c r="M11" s="191">
        <v>0</v>
      </c>
      <c r="N11" s="190">
        <f>+B11-B10</f>
        <v>31</v>
      </c>
      <c r="O11" s="190">
        <f>365-SUM(N$11:N11)+1</f>
        <v>335</v>
      </c>
      <c r="P11" s="190">
        <f t="shared" ref="P11:P21" si="0">+L11*O11/N$23</f>
        <v>0</v>
      </c>
      <c r="Q11" s="190">
        <f>+Q10+P11</f>
        <v>0</v>
      </c>
    </row>
    <row r="12" spans="1:18" x14ac:dyDescent="0.3">
      <c r="A12" t="s">
        <v>254</v>
      </c>
      <c r="B12" s="189">
        <v>44958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90">
        <f>+M12-M11</f>
        <v>0</v>
      </c>
      <c r="M12" s="191">
        <v>0</v>
      </c>
      <c r="N12" s="190">
        <v>28</v>
      </c>
      <c r="O12" s="190">
        <f>365-SUM(N$11:N12)+1</f>
        <v>307</v>
      </c>
      <c r="P12" s="190">
        <f t="shared" si="0"/>
        <v>0</v>
      </c>
      <c r="Q12" s="190">
        <f t="shared" ref="Q12:Q22" si="1">+Q11+P12</f>
        <v>0</v>
      </c>
    </row>
    <row r="13" spans="1:18" x14ac:dyDescent="0.3">
      <c r="A13" t="s">
        <v>254</v>
      </c>
      <c r="B13" s="189">
        <v>44986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90">
        <f t="shared" ref="L13:L18" si="2">+M13-M12</f>
        <v>0</v>
      </c>
      <c r="M13" s="191">
        <v>0</v>
      </c>
      <c r="N13" s="190">
        <v>31</v>
      </c>
      <c r="O13" s="190">
        <f>365-SUM(N$11:N13)+1</f>
        <v>276</v>
      </c>
      <c r="P13" s="190">
        <f t="shared" si="0"/>
        <v>0</v>
      </c>
      <c r="Q13" s="190">
        <f t="shared" si="1"/>
        <v>0</v>
      </c>
    </row>
    <row r="14" spans="1:18" x14ac:dyDescent="0.3">
      <c r="A14" t="s">
        <v>254</v>
      </c>
      <c r="B14" s="189">
        <v>45017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90">
        <f t="shared" si="2"/>
        <v>0</v>
      </c>
      <c r="M14" s="191">
        <v>0</v>
      </c>
      <c r="N14" s="190">
        <v>30</v>
      </c>
      <c r="O14" s="190">
        <f>365-SUM(N$11:N14)+1</f>
        <v>246</v>
      </c>
      <c r="P14" s="190">
        <f t="shared" si="0"/>
        <v>0</v>
      </c>
      <c r="Q14" s="190">
        <f t="shared" si="1"/>
        <v>0</v>
      </c>
    </row>
    <row r="15" spans="1:18" x14ac:dyDescent="0.3">
      <c r="A15" t="s">
        <v>254</v>
      </c>
      <c r="B15" s="189">
        <v>45047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90">
        <f t="shared" si="2"/>
        <v>0</v>
      </c>
      <c r="M15" s="191">
        <v>0</v>
      </c>
      <c r="N15" s="190">
        <v>31</v>
      </c>
      <c r="O15" s="190">
        <f>365-SUM(N$11:N15)+1</f>
        <v>215</v>
      </c>
      <c r="P15" s="190">
        <f t="shared" si="0"/>
        <v>0</v>
      </c>
      <c r="Q15" s="190">
        <f t="shared" si="1"/>
        <v>0</v>
      </c>
    </row>
    <row r="16" spans="1:18" x14ac:dyDescent="0.3">
      <c r="A16" t="s">
        <v>254</v>
      </c>
      <c r="B16" s="189">
        <v>45078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90">
        <f t="shared" si="2"/>
        <v>0</v>
      </c>
      <c r="M16" s="191">
        <v>0</v>
      </c>
      <c r="N16" s="190">
        <v>30</v>
      </c>
      <c r="O16" s="190">
        <f>365-SUM(N$11:N16)+1</f>
        <v>185</v>
      </c>
      <c r="P16" s="190">
        <f t="shared" si="0"/>
        <v>0</v>
      </c>
      <c r="Q16" s="190">
        <f t="shared" si="1"/>
        <v>0</v>
      </c>
    </row>
    <row r="17" spans="1:18" x14ac:dyDescent="0.3">
      <c r="A17" t="s">
        <v>254</v>
      </c>
      <c r="B17" s="189">
        <v>45108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90">
        <f t="shared" si="2"/>
        <v>0</v>
      </c>
      <c r="M17" s="191">
        <v>0</v>
      </c>
      <c r="N17" s="190">
        <v>31</v>
      </c>
      <c r="O17" s="190">
        <f>365-SUM(N$11:N17)+1</f>
        <v>154</v>
      </c>
      <c r="P17" s="190">
        <f t="shared" si="0"/>
        <v>0</v>
      </c>
      <c r="Q17" s="190">
        <f t="shared" si="1"/>
        <v>0</v>
      </c>
    </row>
    <row r="18" spans="1:18" x14ac:dyDescent="0.3">
      <c r="A18" t="s">
        <v>254</v>
      </c>
      <c r="B18" s="189">
        <v>45139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90">
        <f t="shared" si="2"/>
        <v>0</v>
      </c>
      <c r="M18" s="191">
        <v>0</v>
      </c>
      <c r="N18" s="190">
        <v>31</v>
      </c>
      <c r="O18" s="190">
        <f>365-SUM(N$11:N18)+1</f>
        <v>123</v>
      </c>
      <c r="P18" s="190">
        <f t="shared" si="0"/>
        <v>0</v>
      </c>
      <c r="Q18" s="190">
        <f t="shared" si="1"/>
        <v>0</v>
      </c>
    </row>
    <row r="19" spans="1:18" x14ac:dyDescent="0.3">
      <c r="A19" t="s">
        <v>254</v>
      </c>
      <c r="B19" s="189">
        <v>45170</v>
      </c>
      <c r="C19" s="192"/>
      <c r="D19" s="192"/>
      <c r="E19" s="192"/>
      <c r="F19" s="192"/>
      <c r="G19" s="200"/>
      <c r="H19" s="192"/>
      <c r="I19" s="192"/>
      <c r="J19" s="192"/>
      <c r="K19" s="192"/>
      <c r="L19" s="190">
        <f>J19-K19</f>
        <v>0</v>
      </c>
      <c r="M19" s="191">
        <f>M18+L19</f>
        <v>0</v>
      </c>
      <c r="N19" s="190">
        <v>30</v>
      </c>
      <c r="O19" s="190">
        <f>365-SUM(N$11:N19)+1</f>
        <v>93</v>
      </c>
      <c r="P19" s="190">
        <f>+L19*O19/N$23</f>
        <v>0</v>
      </c>
      <c r="Q19" s="190">
        <f t="shared" si="1"/>
        <v>0</v>
      </c>
    </row>
    <row r="20" spans="1:18" x14ac:dyDescent="0.3">
      <c r="A20" t="s">
        <v>254</v>
      </c>
      <c r="B20" s="189">
        <v>45200</v>
      </c>
      <c r="C20" s="192"/>
      <c r="D20" s="192"/>
      <c r="E20" s="192"/>
      <c r="F20" s="192"/>
      <c r="G20" s="200"/>
      <c r="H20" s="192"/>
      <c r="I20" s="192"/>
      <c r="J20" s="192"/>
      <c r="K20" s="192"/>
      <c r="L20" s="190">
        <f>J20-K20</f>
        <v>0</v>
      </c>
      <c r="M20" s="191">
        <f>M19+L20</f>
        <v>0</v>
      </c>
      <c r="N20" s="190">
        <v>31</v>
      </c>
      <c r="O20" s="190">
        <f>365-SUM(N$11:N20)+1</f>
        <v>62</v>
      </c>
      <c r="P20" s="190">
        <f t="shared" si="0"/>
        <v>0</v>
      </c>
      <c r="Q20" s="190">
        <f t="shared" si="1"/>
        <v>0</v>
      </c>
    </row>
    <row r="21" spans="1:18" x14ac:dyDescent="0.3">
      <c r="A21" t="s">
        <v>254</v>
      </c>
      <c r="B21" s="189">
        <v>45231</v>
      </c>
      <c r="C21" s="192"/>
      <c r="D21" s="192"/>
      <c r="E21" s="192"/>
      <c r="F21" s="192"/>
      <c r="G21" s="200"/>
      <c r="H21" s="192"/>
      <c r="I21" s="192"/>
      <c r="J21" s="192"/>
      <c r="K21" s="192"/>
      <c r="L21" s="190">
        <f>J21-K21</f>
        <v>0</v>
      </c>
      <c r="M21" s="191">
        <f>M20+L21</f>
        <v>0</v>
      </c>
      <c r="N21" s="190">
        <v>30</v>
      </c>
      <c r="O21" s="190">
        <f>365-SUM(N$11:N21)+1</f>
        <v>32</v>
      </c>
      <c r="P21" s="190">
        <f t="shared" si="0"/>
        <v>0</v>
      </c>
      <c r="Q21" s="190">
        <f t="shared" si="1"/>
        <v>0</v>
      </c>
    </row>
    <row r="22" spans="1:18" ht="14.55" customHeight="1" x14ac:dyDescent="0.3">
      <c r="A22" t="s">
        <v>254</v>
      </c>
      <c r="B22" s="189">
        <v>45261</v>
      </c>
      <c r="C22" s="193">
        <f>+'Sch 4.3'!Q12-'Sch 4.3'!Q18</f>
        <v>26061210</v>
      </c>
      <c r="D22" s="193">
        <v>0</v>
      </c>
      <c r="E22" s="193">
        <f>+'Sch 4.3'!Q14</f>
        <v>5857760</v>
      </c>
      <c r="F22" s="193">
        <f>SUM(C22:E22)</f>
        <v>31918970</v>
      </c>
      <c r="G22" s="200"/>
      <c r="H22" s="193">
        <f>((C22)*B54)</f>
        <v>1303060.5</v>
      </c>
      <c r="I22" s="193">
        <f>(D22)*3.75%</f>
        <v>0</v>
      </c>
      <c r="J22" s="193">
        <f>H22+I22</f>
        <v>1303060.5</v>
      </c>
      <c r="K22" s="193">
        <f>+'Sch 4.3'!Q38-'Sch 4.3'!Q44</f>
        <v>0</v>
      </c>
      <c r="L22" s="190">
        <f>J22-K22</f>
        <v>1303060.5</v>
      </c>
      <c r="M22" s="191">
        <f>M21+L22</f>
        <v>1303060.5</v>
      </c>
      <c r="N22" s="190">
        <v>31</v>
      </c>
      <c r="O22" s="190">
        <f>365-SUM(N$11:N22)+1</f>
        <v>1</v>
      </c>
      <c r="P22" s="190">
        <f>+L22*O22/N$23</f>
        <v>3570.0287671232877</v>
      </c>
      <c r="Q22" s="222">
        <f t="shared" si="1"/>
        <v>3570.0287671232877</v>
      </c>
    </row>
    <row r="23" spans="1:18" ht="15" thickBot="1" x14ac:dyDescent="0.35">
      <c r="B23" s="7" t="s">
        <v>21</v>
      </c>
      <c r="C23" s="194">
        <f>SUM(C19:C22)</f>
        <v>26061210</v>
      </c>
      <c r="D23" s="194">
        <f>SUM(D19:D22)</f>
        <v>0</v>
      </c>
      <c r="E23" s="194">
        <f>SUM(E19:E22)</f>
        <v>5857760</v>
      </c>
      <c r="F23" s="194">
        <f>SUM(F19:F22)</f>
        <v>31918970</v>
      </c>
      <c r="G23" s="194"/>
      <c r="H23" s="194">
        <f>SUM(H19:H22)</f>
        <v>1303060.5</v>
      </c>
      <c r="I23" s="194">
        <f>SUM(I19:I22)</f>
        <v>0</v>
      </c>
      <c r="J23" s="194">
        <f>SUM(J19:J22)</f>
        <v>1303060.5</v>
      </c>
      <c r="K23" s="194">
        <f>SUM(K19:K22)</f>
        <v>0</v>
      </c>
      <c r="L23" s="195">
        <f>SUM(L11:L22)</f>
        <v>1303060.5</v>
      </c>
      <c r="M23" s="196"/>
      <c r="N23" s="197">
        <f>SUM(N11:N22)</f>
        <v>365</v>
      </c>
      <c r="O23" s="190"/>
      <c r="P23" s="195">
        <f>SUM(P11:P22)</f>
        <v>3570.0287671232877</v>
      </c>
      <c r="Q23" s="99"/>
    </row>
    <row r="24" spans="1:18" ht="14.55" customHeight="1" thickTop="1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196"/>
      <c r="M24" s="196"/>
      <c r="N24" s="196"/>
      <c r="O24" s="190"/>
      <c r="P24" s="196"/>
      <c r="Q24" s="99"/>
    </row>
    <row r="25" spans="1:18" x14ac:dyDescent="0.3">
      <c r="C25" s="203" t="s">
        <v>158</v>
      </c>
      <c r="D25" s="203" t="s">
        <v>158</v>
      </c>
      <c r="E25" s="203" t="s">
        <v>158</v>
      </c>
      <c r="F25" s="203" t="s">
        <v>158</v>
      </c>
      <c r="K25" s="203" t="s">
        <v>158</v>
      </c>
      <c r="P25" t="s">
        <v>177</v>
      </c>
      <c r="Q25" s="246">
        <v>0.24925</v>
      </c>
    </row>
    <row r="26" spans="1:18" ht="15" thickBot="1" x14ac:dyDescent="0.35">
      <c r="Q26" s="36"/>
    </row>
    <row r="27" spans="1:18" ht="15" thickBot="1" x14ac:dyDescent="0.35">
      <c r="L27" s="241"/>
      <c r="M27" s="241"/>
      <c r="P27" s="8" t="s">
        <v>178</v>
      </c>
      <c r="Q27" s="271">
        <f>Q22*Q25</f>
        <v>889.82967020547949</v>
      </c>
      <c r="R27" t="s">
        <v>258</v>
      </c>
    </row>
    <row r="28" spans="1:18" x14ac:dyDescent="0.3">
      <c r="F28" s="199"/>
      <c r="G28" s="199"/>
      <c r="L28" s="22"/>
      <c r="M28" s="22"/>
      <c r="Q28" s="83"/>
    </row>
    <row r="29" spans="1:18" x14ac:dyDescent="0.3">
      <c r="Q29" s="36"/>
    </row>
    <row r="30" spans="1:18" ht="57.6" x14ac:dyDescent="0.3">
      <c r="K30" s="188" t="s">
        <v>57</v>
      </c>
      <c r="L30" s="198" t="s">
        <v>245</v>
      </c>
      <c r="M30" s="198" t="s">
        <v>193</v>
      </c>
      <c r="N30" s="198" t="s">
        <v>182</v>
      </c>
      <c r="O30" s="198" t="s">
        <v>183</v>
      </c>
      <c r="P30" s="198" t="s">
        <v>246</v>
      </c>
      <c r="Q30" s="272" t="s">
        <v>198</v>
      </c>
    </row>
    <row r="31" spans="1:18" x14ac:dyDescent="0.3">
      <c r="J31" t="s">
        <v>254</v>
      </c>
      <c r="K31" s="189">
        <v>44927</v>
      </c>
      <c r="L31" s="190">
        <v>0</v>
      </c>
      <c r="M31" s="191">
        <f>+L31</f>
        <v>0</v>
      </c>
      <c r="N31" s="190">
        <v>31</v>
      </c>
      <c r="O31" s="190">
        <v>335</v>
      </c>
      <c r="P31" s="190">
        <v>0</v>
      </c>
      <c r="Q31" s="273">
        <f>+P31</f>
        <v>0</v>
      </c>
    </row>
    <row r="32" spans="1:18" x14ac:dyDescent="0.3">
      <c r="J32" t="s">
        <v>254</v>
      </c>
      <c r="K32" s="189">
        <v>44958</v>
      </c>
      <c r="L32" s="190">
        <v>0</v>
      </c>
      <c r="M32" s="191">
        <f t="shared" ref="M32:M42" si="3">M31+L32</f>
        <v>0</v>
      </c>
      <c r="N32" s="190">
        <v>28</v>
      </c>
      <c r="O32" s="190">
        <v>307</v>
      </c>
      <c r="P32" s="190">
        <v>0</v>
      </c>
      <c r="Q32" s="273">
        <f t="shared" ref="Q32:Q41" si="4">+P32</f>
        <v>0</v>
      </c>
    </row>
    <row r="33" spans="10:18" x14ac:dyDescent="0.3">
      <c r="J33" t="s">
        <v>254</v>
      </c>
      <c r="K33" s="189">
        <v>44986</v>
      </c>
      <c r="L33" s="190">
        <v>0</v>
      </c>
      <c r="M33" s="191">
        <f t="shared" si="3"/>
        <v>0</v>
      </c>
      <c r="N33" s="190">
        <v>31</v>
      </c>
      <c r="O33" s="190">
        <v>276</v>
      </c>
      <c r="P33" s="190">
        <v>0</v>
      </c>
      <c r="Q33" s="273">
        <f t="shared" si="4"/>
        <v>0</v>
      </c>
    </row>
    <row r="34" spans="10:18" x14ac:dyDescent="0.3">
      <c r="J34" t="s">
        <v>254</v>
      </c>
      <c r="K34" s="189">
        <v>45017</v>
      </c>
      <c r="L34" s="190">
        <v>0</v>
      </c>
      <c r="M34" s="191">
        <f t="shared" si="3"/>
        <v>0</v>
      </c>
      <c r="N34" s="190">
        <v>30</v>
      </c>
      <c r="O34" s="190">
        <v>246</v>
      </c>
      <c r="P34" s="190">
        <v>0</v>
      </c>
      <c r="Q34" s="273">
        <f t="shared" si="4"/>
        <v>0</v>
      </c>
    </row>
    <row r="35" spans="10:18" x14ac:dyDescent="0.3">
      <c r="J35" t="s">
        <v>254</v>
      </c>
      <c r="K35" s="189">
        <v>45047</v>
      </c>
      <c r="L35" s="190">
        <v>0</v>
      </c>
      <c r="M35" s="191">
        <f t="shared" si="3"/>
        <v>0</v>
      </c>
      <c r="N35" s="190">
        <v>31</v>
      </c>
      <c r="O35" s="190">
        <v>215</v>
      </c>
      <c r="P35" s="190">
        <v>0</v>
      </c>
      <c r="Q35" s="273">
        <f t="shared" si="4"/>
        <v>0</v>
      </c>
    </row>
    <row r="36" spans="10:18" x14ac:dyDescent="0.3">
      <c r="J36" t="s">
        <v>254</v>
      </c>
      <c r="K36" s="189">
        <v>45078</v>
      </c>
      <c r="L36" s="190">
        <v>0</v>
      </c>
      <c r="M36" s="191">
        <f t="shared" si="3"/>
        <v>0</v>
      </c>
      <c r="N36" s="190">
        <v>30</v>
      </c>
      <c r="O36" s="190">
        <v>185</v>
      </c>
      <c r="P36" s="190">
        <v>0</v>
      </c>
      <c r="Q36" s="273">
        <f t="shared" si="4"/>
        <v>0</v>
      </c>
    </row>
    <row r="37" spans="10:18" x14ac:dyDescent="0.3">
      <c r="J37" t="s">
        <v>254</v>
      </c>
      <c r="K37" s="189">
        <v>45108</v>
      </c>
      <c r="L37" s="190">
        <v>0</v>
      </c>
      <c r="M37" s="191">
        <f t="shared" si="3"/>
        <v>0</v>
      </c>
      <c r="N37" s="190">
        <v>31</v>
      </c>
      <c r="O37" s="190">
        <v>154</v>
      </c>
      <c r="P37" s="190">
        <v>0</v>
      </c>
      <c r="Q37" s="273">
        <f t="shared" si="4"/>
        <v>0</v>
      </c>
    </row>
    <row r="38" spans="10:18" x14ac:dyDescent="0.3">
      <c r="J38" t="s">
        <v>254</v>
      </c>
      <c r="K38" s="189">
        <v>45139</v>
      </c>
      <c r="L38" s="190">
        <v>0</v>
      </c>
      <c r="M38" s="191">
        <f t="shared" si="3"/>
        <v>0</v>
      </c>
      <c r="N38" s="190">
        <v>31</v>
      </c>
      <c r="O38" s="190">
        <v>123</v>
      </c>
      <c r="P38" s="190">
        <v>0</v>
      </c>
      <c r="Q38" s="273">
        <f t="shared" si="4"/>
        <v>0</v>
      </c>
    </row>
    <row r="39" spans="10:18" x14ac:dyDescent="0.3">
      <c r="J39" t="s">
        <v>254</v>
      </c>
      <c r="K39" s="189">
        <v>45170</v>
      </c>
      <c r="L39" s="190">
        <v>0</v>
      </c>
      <c r="M39" s="191">
        <f t="shared" si="3"/>
        <v>0</v>
      </c>
      <c r="N39" s="190">
        <v>30</v>
      </c>
      <c r="O39" s="190">
        <v>93</v>
      </c>
      <c r="P39" s="190">
        <v>0</v>
      </c>
      <c r="Q39" s="273">
        <f t="shared" si="4"/>
        <v>0</v>
      </c>
    </row>
    <row r="40" spans="10:18" x14ac:dyDescent="0.3">
      <c r="J40" t="s">
        <v>254</v>
      </c>
      <c r="K40" s="189">
        <v>45200</v>
      </c>
      <c r="L40" s="190">
        <v>0</v>
      </c>
      <c r="M40" s="191">
        <f t="shared" si="3"/>
        <v>0</v>
      </c>
      <c r="N40" s="190">
        <v>31</v>
      </c>
      <c r="O40" s="190">
        <v>62</v>
      </c>
      <c r="P40" s="190">
        <v>0</v>
      </c>
      <c r="Q40" s="273">
        <f t="shared" si="4"/>
        <v>0</v>
      </c>
    </row>
    <row r="41" spans="10:18" x14ac:dyDescent="0.3">
      <c r="J41" t="s">
        <v>254</v>
      </c>
      <c r="K41" s="189">
        <v>45231</v>
      </c>
      <c r="L41" s="190">
        <v>0</v>
      </c>
      <c r="M41" s="191">
        <f t="shared" si="3"/>
        <v>0</v>
      </c>
      <c r="N41" s="190">
        <v>30</v>
      </c>
      <c r="O41" s="190">
        <v>32</v>
      </c>
      <c r="P41" s="190">
        <v>0</v>
      </c>
      <c r="Q41" s="273">
        <f t="shared" si="4"/>
        <v>0</v>
      </c>
    </row>
    <row r="42" spans="10:18" x14ac:dyDescent="0.3">
      <c r="J42" t="s">
        <v>254</v>
      </c>
      <c r="K42" s="189">
        <v>45261</v>
      </c>
      <c r="L42" s="190">
        <f>+'Sch 4.3'!Q24</f>
        <v>125221</v>
      </c>
      <c r="M42" s="191">
        <f t="shared" si="3"/>
        <v>125221</v>
      </c>
      <c r="N42" s="190">
        <v>31</v>
      </c>
      <c r="O42" s="190">
        <v>1</v>
      </c>
      <c r="P42" s="190">
        <f>+L42*O42/N$43</f>
        <v>343.07123287671232</v>
      </c>
      <c r="Q42" s="222">
        <f t="shared" ref="Q42" si="5">Q41+P42</f>
        <v>343.07123287671232</v>
      </c>
    </row>
    <row r="43" spans="10:18" ht="15" thickBot="1" x14ac:dyDescent="0.35">
      <c r="K43" s="7" t="s">
        <v>21</v>
      </c>
      <c r="L43" s="195">
        <f>SUM(L31:L42)</f>
        <v>125221</v>
      </c>
      <c r="M43" s="196"/>
      <c r="N43" s="197">
        <v>365</v>
      </c>
      <c r="O43" s="190"/>
      <c r="P43" s="195">
        <f>SUM(P31:P42)</f>
        <v>343.07123287671232</v>
      </c>
      <c r="Q43" s="99"/>
    </row>
    <row r="44" spans="10:18" ht="15" thickTop="1" x14ac:dyDescent="0.3">
      <c r="Q44" s="36"/>
    </row>
    <row r="45" spans="10:18" x14ac:dyDescent="0.3">
      <c r="P45" t="s">
        <v>177</v>
      </c>
      <c r="Q45" s="246">
        <v>0.24925</v>
      </c>
    </row>
    <row r="46" spans="10:18" ht="15" thickBot="1" x14ac:dyDescent="0.35">
      <c r="Q46" s="36"/>
    </row>
    <row r="47" spans="10:18" ht="15" thickBot="1" x14ac:dyDescent="0.35">
      <c r="P47" s="8" t="s">
        <v>178</v>
      </c>
      <c r="Q47" s="271">
        <f>Q42*Q45</f>
        <v>85.510504794520543</v>
      </c>
      <c r="R47" t="s">
        <v>25</v>
      </c>
    </row>
    <row r="48" spans="10:18" x14ac:dyDescent="0.3">
      <c r="Q48" s="36"/>
    </row>
    <row r="49" spans="1:22" ht="15" thickBot="1" x14ac:dyDescent="0.35">
      <c r="Q49" s="36"/>
    </row>
    <row r="50" spans="1:22" ht="15" thickBot="1" x14ac:dyDescent="0.35">
      <c r="P50" s="236" t="s">
        <v>247</v>
      </c>
      <c r="Q50" s="275">
        <f>Q27+Q47</f>
        <v>975.34017500000004</v>
      </c>
    </row>
    <row r="51" spans="1:22" x14ac:dyDescent="0.3">
      <c r="Q51" s="36"/>
    </row>
    <row r="52" spans="1:22" x14ac:dyDescent="0.3">
      <c r="A52" s="8" t="s">
        <v>237</v>
      </c>
    </row>
    <row r="53" spans="1:22" x14ac:dyDescent="0.3">
      <c r="A53" t="s">
        <v>103</v>
      </c>
      <c r="B53" s="240" t="s">
        <v>255</v>
      </c>
      <c r="C53" s="240" t="s">
        <v>256</v>
      </c>
      <c r="D53" s="240" t="s">
        <v>257</v>
      </c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</row>
    <row r="54" spans="1:22" x14ac:dyDescent="0.3">
      <c r="A54" t="s">
        <v>238</v>
      </c>
      <c r="B54">
        <v>0.05</v>
      </c>
      <c r="C54">
        <v>9.5000000000000001E-2</v>
      </c>
      <c r="D54">
        <v>8.5500000000000007E-2</v>
      </c>
    </row>
    <row r="55" spans="1:22" x14ac:dyDescent="0.3">
      <c r="A55" t="s">
        <v>239</v>
      </c>
      <c r="B55">
        <v>3.7499999999999999E-2</v>
      </c>
      <c r="C55">
        <v>7.2190000000000004E-2</v>
      </c>
      <c r="D55">
        <v>6.6769999999999996E-2</v>
      </c>
    </row>
  </sheetData>
  <printOptions horizontalCentered="1"/>
  <pageMargins left="0.7" right="0.7" top="0.75" bottom="0.75" header="0.3" footer="0.3"/>
  <pageSetup scale="46" orientation="landscape" r:id="rId1"/>
  <headerFooter>
    <oddHeader xml:space="preserve">&amp;RKyPSC Case No. 2024-00191
Exhibit 3
Schedule 4.4
Page &amp;P of &amp;N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L33"/>
  <sheetViews>
    <sheetView tabSelected="1" view="pageLayout" zoomScaleNormal="100" workbookViewId="0">
      <selection sqref="A1:R1"/>
    </sheetView>
  </sheetViews>
  <sheetFormatPr defaultRowHeight="14.4" x14ac:dyDescent="0.3"/>
  <cols>
    <col min="1" max="1" width="8.21875" bestFit="1" customWidth="1"/>
    <col min="2" max="2" width="22.21875" customWidth="1"/>
    <col min="3" max="3" width="10.77734375" customWidth="1"/>
    <col min="4" max="4" width="13.5546875" customWidth="1"/>
    <col min="5" max="6" width="17.44140625" customWidth="1"/>
    <col min="7" max="8" width="16.77734375" customWidth="1"/>
    <col min="9" max="9" width="17.77734375" customWidth="1"/>
    <col min="10" max="10" width="4.21875" customWidth="1"/>
  </cols>
  <sheetData>
    <row r="1" spans="1:12" x14ac:dyDescent="0.3">
      <c r="A1" s="89"/>
      <c r="G1" s="89"/>
      <c r="H1" s="91"/>
      <c r="I1" s="89"/>
    </row>
    <row r="2" spans="1:12" x14ac:dyDescent="0.3">
      <c r="A2" s="102" t="str">
        <f>'Sch 1.0'!A2:J2</f>
        <v>Duke Energy Kentucky</v>
      </c>
      <c r="B2" s="102"/>
      <c r="C2" s="102"/>
      <c r="D2" s="102"/>
      <c r="E2" s="102"/>
      <c r="F2" s="102"/>
      <c r="G2" s="102"/>
      <c r="H2" s="102"/>
      <c r="I2" s="102"/>
      <c r="K2" s="102"/>
      <c r="L2" s="102"/>
    </row>
    <row r="3" spans="1:12" x14ac:dyDescent="0.3">
      <c r="A3" s="102" t="str">
        <f>'Sch 1.0'!A3:J3</f>
        <v>Pipeline Modernization Mechanism ("Rider PMM")</v>
      </c>
      <c r="B3" s="102"/>
      <c r="C3" s="102"/>
      <c r="D3" s="102"/>
      <c r="E3" s="102"/>
      <c r="F3" s="102"/>
      <c r="G3" s="102"/>
      <c r="H3" s="102"/>
      <c r="I3" s="102"/>
      <c r="K3" s="102"/>
      <c r="L3" s="102"/>
    </row>
    <row r="4" spans="1:12" x14ac:dyDescent="0.3">
      <c r="A4" s="102" t="s">
        <v>65</v>
      </c>
      <c r="B4" s="102"/>
      <c r="C4" s="102"/>
      <c r="D4" s="102"/>
      <c r="E4" s="102"/>
      <c r="F4" s="102"/>
      <c r="G4" s="102"/>
      <c r="H4" s="102"/>
      <c r="I4" s="102"/>
      <c r="K4" s="102"/>
      <c r="L4" s="102"/>
    </row>
    <row r="5" spans="1:12" x14ac:dyDescent="0.3">
      <c r="A5" s="98"/>
      <c r="B5" s="98"/>
      <c r="C5" s="98"/>
      <c r="D5" s="98"/>
      <c r="E5" s="98"/>
      <c r="F5" s="98"/>
      <c r="G5" s="98"/>
      <c r="H5" s="98"/>
      <c r="I5" s="98"/>
      <c r="K5" s="98"/>
      <c r="L5" s="98"/>
    </row>
    <row r="6" spans="1:12" x14ac:dyDescent="0.3">
      <c r="A6" s="89"/>
      <c r="G6" s="89"/>
      <c r="H6" s="91"/>
      <c r="I6" s="89"/>
    </row>
    <row r="7" spans="1:12" s="36" customFormat="1" x14ac:dyDescent="0.3">
      <c r="A7" s="259" t="s">
        <v>163</v>
      </c>
      <c r="B7" s="260"/>
      <c r="C7" s="260"/>
      <c r="G7" s="83"/>
      <c r="H7" s="83"/>
      <c r="I7" s="83"/>
    </row>
    <row r="8" spans="1:12" s="36" customFormat="1" x14ac:dyDescent="0.3">
      <c r="A8" s="83"/>
      <c r="G8" s="83"/>
      <c r="H8" s="83"/>
      <c r="I8" s="83"/>
    </row>
    <row r="9" spans="1:12" s="36" customFormat="1" x14ac:dyDescent="0.3">
      <c r="A9" s="99" t="s">
        <v>136</v>
      </c>
      <c r="B9" s="99"/>
      <c r="C9" s="99" t="s">
        <v>58</v>
      </c>
      <c r="D9" s="283" t="s">
        <v>147</v>
      </c>
      <c r="E9" s="283"/>
      <c r="F9" s="283" t="s">
        <v>54</v>
      </c>
      <c r="G9" s="283"/>
      <c r="H9" s="283" t="s">
        <v>25</v>
      </c>
      <c r="I9" s="283"/>
    </row>
    <row r="10" spans="1:12" s="36" customFormat="1" x14ac:dyDescent="0.3">
      <c r="A10" s="75" t="s">
        <v>137</v>
      </c>
      <c r="B10" s="75" t="s">
        <v>57</v>
      </c>
      <c r="C10" s="75" t="s">
        <v>59</v>
      </c>
      <c r="D10" s="75" t="s">
        <v>83</v>
      </c>
      <c r="E10" s="75" t="s">
        <v>87</v>
      </c>
      <c r="F10" s="75" t="s">
        <v>83</v>
      </c>
      <c r="G10" s="75" t="s">
        <v>87</v>
      </c>
      <c r="H10" s="75" t="s">
        <v>83</v>
      </c>
      <c r="I10" s="75" t="s">
        <v>87</v>
      </c>
    </row>
    <row r="11" spans="1:12" s="36" customFormat="1" x14ac:dyDescent="0.3">
      <c r="B11" s="76" t="s">
        <v>63</v>
      </c>
      <c r="C11" s="76" t="s">
        <v>64</v>
      </c>
      <c r="D11" s="76" t="s">
        <v>66</v>
      </c>
      <c r="E11" s="76" t="s">
        <v>84</v>
      </c>
      <c r="F11" s="76" t="s">
        <v>109</v>
      </c>
      <c r="G11" s="76" t="s">
        <v>110</v>
      </c>
      <c r="H11" s="76" t="s">
        <v>111</v>
      </c>
      <c r="I11" s="76" t="s">
        <v>112</v>
      </c>
    </row>
    <row r="12" spans="1:12" s="36" customFormat="1" x14ac:dyDescent="0.3">
      <c r="G12" s="261"/>
      <c r="H12" s="261"/>
    </row>
    <row r="13" spans="1:12" s="36" customFormat="1" x14ac:dyDescent="0.3">
      <c r="G13" s="261"/>
      <c r="H13" s="261"/>
    </row>
    <row r="14" spans="1:12" s="36" customFormat="1" x14ac:dyDescent="0.3">
      <c r="A14" s="83">
        <v>1</v>
      </c>
      <c r="B14" s="262" t="s">
        <v>162</v>
      </c>
      <c r="C14" s="263">
        <v>13</v>
      </c>
      <c r="D14" s="155">
        <f>+'Sch 4.3'!E15</f>
        <v>0</v>
      </c>
      <c r="E14" s="264">
        <f>D14</f>
        <v>0</v>
      </c>
      <c r="F14" s="155">
        <f>+'Sch 4.3'!$E$21</f>
        <v>0</v>
      </c>
      <c r="G14" s="155">
        <v>0</v>
      </c>
      <c r="H14" s="155">
        <f>+'Sch 4.3'!E27</f>
        <v>0</v>
      </c>
      <c r="I14" s="264">
        <f>H14</f>
        <v>0</v>
      </c>
    </row>
    <row r="15" spans="1:12" s="36" customFormat="1" x14ac:dyDescent="0.3">
      <c r="A15" s="83">
        <f>A14+1</f>
        <v>2</v>
      </c>
      <c r="B15" s="265">
        <v>44927</v>
      </c>
      <c r="C15" s="263">
        <v>12</v>
      </c>
      <c r="D15" s="266">
        <f>+'Sch 4.3'!F15</f>
        <v>0</v>
      </c>
      <c r="E15" s="108">
        <f>E14+D15</f>
        <v>0</v>
      </c>
      <c r="F15" s="266">
        <f>+'Sch 4.3'!$F$21</f>
        <v>0</v>
      </c>
      <c r="G15" s="108">
        <f>G14+F15</f>
        <v>0</v>
      </c>
      <c r="H15" s="266">
        <f>+'Sch 4.3'!$F$27</f>
        <v>0</v>
      </c>
      <c r="I15" s="108">
        <f>I14+H15</f>
        <v>0</v>
      </c>
      <c r="J15" s="106"/>
    </row>
    <row r="16" spans="1:12" s="36" customFormat="1" ht="16.2" x14ac:dyDescent="0.45">
      <c r="A16" s="83">
        <f>A15+1</f>
        <v>3</v>
      </c>
      <c r="B16" s="265">
        <v>44958</v>
      </c>
      <c r="C16" s="263">
        <f>C15-1</f>
        <v>11</v>
      </c>
      <c r="D16" s="266">
        <f>+'Sch 4.3'!G$15</f>
        <v>0</v>
      </c>
      <c r="E16" s="108">
        <f t="shared" ref="E16:E26" si="0">E15+D16</f>
        <v>0</v>
      </c>
      <c r="F16" s="266">
        <f>+'Sch 4.3'!$G$21</f>
        <v>0</v>
      </c>
      <c r="G16" s="108">
        <f t="shared" ref="G16:G26" si="1">G15+F16</f>
        <v>0</v>
      </c>
      <c r="H16" s="266">
        <f>+'Sch 4.3'!$G$27</f>
        <v>0</v>
      </c>
      <c r="I16" s="108">
        <f t="shared" ref="I16:I26" si="2">I15+H16</f>
        <v>0</v>
      </c>
      <c r="J16" s="267"/>
    </row>
    <row r="17" spans="1:10" s="36" customFormat="1" x14ac:dyDescent="0.3">
      <c r="A17" s="83">
        <f t="shared" ref="A17:A26" si="3">A16+1</f>
        <v>4</v>
      </c>
      <c r="B17" s="265">
        <v>44986</v>
      </c>
      <c r="C17" s="263">
        <f t="shared" ref="C17:C26" si="4">C16-1</f>
        <v>10</v>
      </c>
      <c r="D17" s="266">
        <f>+'Sch 4.3'!H$15</f>
        <v>0</v>
      </c>
      <c r="E17" s="108">
        <f t="shared" si="0"/>
        <v>0</v>
      </c>
      <c r="F17" s="266">
        <f>+'Sch 4.3'!$H$21</f>
        <v>0</v>
      </c>
      <c r="G17" s="108">
        <f t="shared" si="1"/>
        <v>0</v>
      </c>
      <c r="H17" s="266">
        <f>+'Sch 4.3'!$H$27</f>
        <v>0</v>
      </c>
      <c r="I17" s="108">
        <f t="shared" si="2"/>
        <v>0</v>
      </c>
      <c r="J17" s="106"/>
    </row>
    <row r="18" spans="1:10" s="36" customFormat="1" x14ac:dyDescent="0.3">
      <c r="A18" s="83">
        <f t="shared" si="3"/>
        <v>5</v>
      </c>
      <c r="B18" s="265">
        <v>45017</v>
      </c>
      <c r="C18" s="263">
        <f t="shared" si="4"/>
        <v>9</v>
      </c>
      <c r="D18" s="266">
        <f>+'Sch 4.3'!I$15</f>
        <v>0</v>
      </c>
      <c r="E18" s="108">
        <f t="shared" si="0"/>
        <v>0</v>
      </c>
      <c r="F18" s="266">
        <f>+'Sch 4.3'!$I$21</f>
        <v>0</v>
      </c>
      <c r="G18" s="108">
        <f t="shared" si="1"/>
        <v>0</v>
      </c>
      <c r="H18" s="266">
        <f>+'Sch 4.3'!$I$27</f>
        <v>0</v>
      </c>
      <c r="I18" s="108">
        <f t="shared" si="2"/>
        <v>0</v>
      </c>
      <c r="J18" s="268"/>
    </row>
    <row r="19" spans="1:10" s="36" customFormat="1" x14ac:dyDescent="0.3">
      <c r="A19" s="83">
        <f t="shared" si="3"/>
        <v>6</v>
      </c>
      <c r="B19" s="265">
        <v>45047</v>
      </c>
      <c r="C19" s="263">
        <f t="shared" si="4"/>
        <v>8</v>
      </c>
      <c r="D19" s="266">
        <f>+'Sch 4.3'!J$15</f>
        <v>0</v>
      </c>
      <c r="E19" s="108">
        <f t="shared" si="0"/>
        <v>0</v>
      </c>
      <c r="F19" s="266">
        <f>+'Sch 4.3'!$J$21</f>
        <v>0</v>
      </c>
      <c r="G19" s="108">
        <f t="shared" si="1"/>
        <v>0</v>
      </c>
      <c r="H19" s="266">
        <f>+'Sch 4.3'!$J$27</f>
        <v>0</v>
      </c>
      <c r="I19" s="108">
        <f t="shared" si="2"/>
        <v>0</v>
      </c>
    </row>
    <row r="20" spans="1:10" s="36" customFormat="1" x14ac:dyDescent="0.3">
      <c r="A20" s="83">
        <f t="shared" si="3"/>
        <v>7</v>
      </c>
      <c r="B20" s="265">
        <v>45078</v>
      </c>
      <c r="C20" s="263">
        <f t="shared" si="4"/>
        <v>7</v>
      </c>
      <c r="D20" s="266">
        <f>+'Sch 4.3'!K$15</f>
        <v>0</v>
      </c>
      <c r="E20" s="108">
        <f t="shared" si="0"/>
        <v>0</v>
      </c>
      <c r="F20" s="266">
        <f>+'Sch 4.3'!$K$21</f>
        <v>0</v>
      </c>
      <c r="G20" s="108">
        <f t="shared" si="1"/>
        <v>0</v>
      </c>
      <c r="H20" s="266">
        <f>+'Sch 4.3'!$K$27</f>
        <v>0</v>
      </c>
      <c r="I20" s="108">
        <f t="shared" si="2"/>
        <v>0</v>
      </c>
      <c r="J20" s="51"/>
    </row>
    <row r="21" spans="1:10" s="36" customFormat="1" ht="16.2" x14ac:dyDescent="0.45">
      <c r="A21" s="83">
        <f t="shared" si="3"/>
        <v>8</v>
      </c>
      <c r="B21" s="265">
        <v>45108</v>
      </c>
      <c r="C21" s="263">
        <f t="shared" si="4"/>
        <v>6</v>
      </c>
      <c r="D21" s="266">
        <f>+'Sch 4.3'!L$15</f>
        <v>0</v>
      </c>
      <c r="E21" s="108">
        <f t="shared" si="0"/>
        <v>0</v>
      </c>
      <c r="F21" s="266">
        <f>+'Sch 4.3'!$L$21</f>
        <v>0</v>
      </c>
      <c r="G21" s="108">
        <f t="shared" si="1"/>
        <v>0</v>
      </c>
      <c r="H21" s="266">
        <f>+'Sch 4.3'!$L$27</f>
        <v>0</v>
      </c>
      <c r="I21" s="108">
        <f t="shared" si="2"/>
        <v>0</v>
      </c>
      <c r="J21" s="267"/>
    </row>
    <row r="22" spans="1:10" s="36" customFormat="1" x14ac:dyDescent="0.3">
      <c r="A22" s="83">
        <f t="shared" si="3"/>
        <v>9</v>
      </c>
      <c r="B22" s="265">
        <v>45139</v>
      </c>
      <c r="C22" s="263">
        <f t="shared" si="4"/>
        <v>5</v>
      </c>
      <c r="D22" s="266">
        <f>+'Sch 4.3'!M$15</f>
        <v>0</v>
      </c>
      <c r="E22" s="108">
        <f t="shared" si="0"/>
        <v>0</v>
      </c>
      <c r="F22" s="266">
        <f>+'Sch 4.3'!$M$21</f>
        <v>0</v>
      </c>
      <c r="G22" s="108">
        <f t="shared" si="1"/>
        <v>0</v>
      </c>
      <c r="H22" s="266">
        <f>+'Sch 4.3'!$M$27</f>
        <v>0</v>
      </c>
      <c r="I22" s="108">
        <f t="shared" si="2"/>
        <v>0</v>
      </c>
      <c r="J22" s="106"/>
    </row>
    <row r="23" spans="1:10" s="36" customFormat="1" x14ac:dyDescent="0.3">
      <c r="A23" s="83">
        <f t="shared" si="3"/>
        <v>10</v>
      </c>
      <c r="B23" s="265">
        <v>45170</v>
      </c>
      <c r="C23" s="263">
        <f t="shared" si="4"/>
        <v>4</v>
      </c>
      <c r="D23" s="266">
        <f>+'Sch 4.3'!N$15</f>
        <v>0</v>
      </c>
      <c r="E23" s="108">
        <f t="shared" si="0"/>
        <v>0</v>
      </c>
      <c r="F23" s="266">
        <f>+'Sch 4.3'!$N$21</f>
        <v>0</v>
      </c>
      <c r="G23" s="108">
        <f t="shared" si="1"/>
        <v>0</v>
      </c>
      <c r="H23" s="266">
        <f>+'Sch 4.3'!$N$27</f>
        <v>0</v>
      </c>
      <c r="I23" s="108">
        <f t="shared" si="2"/>
        <v>0</v>
      </c>
      <c r="J23" s="40"/>
    </row>
    <row r="24" spans="1:10" s="36" customFormat="1" x14ac:dyDescent="0.3">
      <c r="A24" s="83">
        <f t="shared" si="3"/>
        <v>11</v>
      </c>
      <c r="B24" s="265">
        <v>45200</v>
      </c>
      <c r="C24" s="263">
        <f t="shared" si="4"/>
        <v>3</v>
      </c>
      <c r="D24" s="266">
        <f>+'Sch 4.3'!O$15</f>
        <v>0</v>
      </c>
      <c r="E24" s="108">
        <f t="shared" si="0"/>
        <v>0</v>
      </c>
      <c r="F24" s="266">
        <f>+'Sch 4.3'!$O$21</f>
        <v>0</v>
      </c>
      <c r="G24" s="108">
        <f t="shared" si="1"/>
        <v>0</v>
      </c>
      <c r="H24" s="266">
        <f>+'Sch 4.3'!$O$27</f>
        <v>0</v>
      </c>
      <c r="I24" s="108">
        <f t="shared" si="2"/>
        <v>0</v>
      </c>
      <c r="J24" s="269"/>
    </row>
    <row r="25" spans="1:10" s="36" customFormat="1" x14ac:dyDescent="0.3">
      <c r="A25" s="83">
        <f t="shared" si="3"/>
        <v>12</v>
      </c>
      <c r="B25" s="265">
        <v>45231</v>
      </c>
      <c r="C25" s="263">
        <f t="shared" si="4"/>
        <v>2</v>
      </c>
      <c r="D25" s="266">
        <f>+'Sch 4.3'!P$15</f>
        <v>0</v>
      </c>
      <c r="E25" s="108">
        <f t="shared" si="0"/>
        <v>0</v>
      </c>
      <c r="F25" s="266">
        <f>+'Sch 4.3'!$P$21</f>
        <v>0</v>
      </c>
      <c r="G25" s="108">
        <f t="shared" si="1"/>
        <v>0</v>
      </c>
      <c r="H25" s="266">
        <f>+'Sch 4.3'!$P$27</f>
        <v>0</v>
      </c>
      <c r="I25" s="108">
        <f t="shared" si="2"/>
        <v>0</v>
      </c>
      <c r="J25" s="40"/>
    </row>
    <row r="26" spans="1:10" s="36" customFormat="1" x14ac:dyDescent="0.3">
      <c r="A26" s="83">
        <f t="shared" si="3"/>
        <v>13</v>
      </c>
      <c r="B26" s="265">
        <v>45261</v>
      </c>
      <c r="C26" s="263">
        <f t="shared" si="4"/>
        <v>1</v>
      </c>
      <c r="D26" s="266">
        <f>+'Sch 4.3'!Q$15</f>
        <v>32060970</v>
      </c>
      <c r="E26" s="109">
        <f t="shared" si="0"/>
        <v>32060970</v>
      </c>
      <c r="F26" s="266">
        <f>+'Sch 4.3'!$Q$21</f>
        <v>142000</v>
      </c>
      <c r="G26" s="109">
        <f t="shared" si="1"/>
        <v>142000</v>
      </c>
      <c r="H26" s="266">
        <f>+'Sch 4.3'!$Q$27</f>
        <v>125221</v>
      </c>
      <c r="I26" s="109">
        <f t="shared" si="2"/>
        <v>125221</v>
      </c>
      <c r="J26" s="40"/>
    </row>
    <row r="27" spans="1:10" s="36" customFormat="1" x14ac:dyDescent="0.3">
      <c r="A27" s="83"/>
      <c r="E27" s="140">
        <f>SUM(E14:E26)</f>
        <v>32060970</v>
      </c>
      <c r="G27" s="140">
        <f>SUM(G14:G26)</f>
        <v>142000</v>
      </c>
      <c r="H27" s="270"/>
      <c r="I27" s="140">
        <f>SUM(I14:I26)</f>
        <v>125221</v>
      </c>
      <c r="J27" s="270"/>
    </row>
    <row r="28" spans="1:10" x14ac:dyDescent="0.3">
      <c r="A28" s="89">
        <f>A26+1</f>
        <v>14</v>
      </c>
      <c r="B28" t="s">
        <v>88</v>
      </c>
      <c r="E28" s="149">
        <v>13</v>
      </c>
      <c r="F28" s="149"/>
      <c r="G28" s="149">
        <v>13</v>
      </c>
      <c r="H28" s="150"/>
      <c r="I28" s="151">
        <v>13</v>
      </c>
    </row>
    <row r="29" spans="1:10" ht="15" thickBot="1" x14ac:dyDescent="0.35">
      <c r="A29" s="89">
        <f>A28+1</f>
        <v>15</v>
      </c>
      <c r="B29" t="s">
        <v>89</v>
      </c>
      <c r="E29" s="69">
        <f>ROUND(E27/E28,0)</f>
        <v>2466228</v>
      </c>
      <c r="F29" s="70"/>
      <c r="G29" s="69">
        <f>ROUND(G27/G28,0)</f>
        <v>10923</v>
      </c>
      <c r="H29" s="70"/>
      <c r="I29" s="69">
        <f>ROUND(I27/I28,0)</f>
        <v>9632</v>
      </c>
    </row>
    <row r="30" spans="1:10" ht="15" thickTop="1" x14ac:dyDescent="0.3">
      <c r="H30" s="22"/>
    </row>
    <row r="31" spans="1:10" x14ac:dyDescent="0.3">
      <c r="A31" s="89"/>
      <c r="E31" s="41"/>
      <c r="G31" s="41"/>
      <c r="H31" s="41"/>
      <c r="I31" s="41"/>
    </row>
    <row r="32" spans="1:10" x14ac:dyDescent="0.3">
      <c r="F32" s="44"/>
    </row>
    <row r="33" spans="5:5" x14ac:dyDescent="0.3">
      <c r="E33" s="110"/>
    </row>
  </sheetData>
  <mergeCells count="3">
    <mergeCell ref="D9:E9"/>
    <mergeCell ref="F9:G9"/>
    <mergeCell ref="H9:I9"/>
  </mergeCells>
  <printOptions horizontalCentered="1"/>
  <pageMargins left="0.7" right="0.7" top="0.75" bottom="0.75" header="0.3" footer="0.3"/>
  <pageSetup scale="75" orientation="landscape" r:id="rId1"/>
  <headerFooter>
    <oddHeader xml:space="preserve">&amp;RKyPSC Case No. 2024-00191
Exhibit 3
Schedule 4.5
Page &amp;P of &amp;N
</oddHeader>
  </headerFooter>
  <ignoredErrors>
    <ignoredError sqref="F15:F26 H15:H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5294-093C-4823-97FB-E327377E4E73}">
  <dimension ref="A1"/>
  <sheetViews>
    <sheetView workbookViewId="0">
      <selection sqref="A1:R1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50"/>
  <sheetViews>
    <sheetView view="pageLayout" zoomScaleNormal="100" workbookViewId="0">
      <selection sqref="A1:R1"/>
    </sheetView>
  </sheetViews>
  <sheetFormatPr defaultRowHeight="14.4" x14ac:dyDescent="0.3"/>
  <cols>
    <col min="1" max="1" width="6.77734375" style="5" customWidth="1"/>
    <col min="2" max="2" width="35.44140625" customWidth="1"/>
    <col min="3" max="3" width="3.44140625" customWidth="1"/>
    <col min="4" max="4" width="20.77734375" customWidth="1"/>
    <col min="5" max="5" width="16.77734375" style="5" bestFit="1" customWidth="1"/>
    <col min="6" max="7" width="16.77734375" style="89" customWidth="1"/>
    <col min="8" max="8" width="15.44140625" style="5" customWidth="1"/>
    <col min="9" max="9" width="12.77734375" style="5" customWidth="1"/>
    <col min="10" max="10" width="15.21875" customWidth="1"/>
  </cols>
  <sheetData>
    <row r="2" spans="1:10" x14ac:dyDescent="0.3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3">
      <c r="A3" s="102" t="s">
        <v>134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3">
      <c r="A4" s="102" t="s">
        <v>135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3">
      <c r="A5" s="98"/>
      <c r="B5" s="98"/>
      <c r="C5" s="98"/>
      <c r="D5" s="98"/>
      <c r="E5" s="98"/>
      <c r="F5" s="98"/>
      <c r="G5" s="98"/>
      <c r="H5" s="98"/>
      <c r="I5" s="98"/>
      <c r="J5" s="98"/>
    </row>
    <row r="6" spans="1:10" x14ac:dyDescent="0.3">
      <c r="D6" s="99" t="s">
        <v>45</v>
      </c>
    </row>
    <row r="7" spans="1:10" x14ac:dyDescent="0.3">
      <c r="A7" s="3"/>
      <c r="B7" s="8"/>
      <c r="C7" s="8"/>
      <c r="D7" s="99" t="s">
        <v>170</v>
      </c>
      <c r="E7" s="3" t="s">
        <v>215</v>
      </c>
      <c r="F7" s="99" t="s">
        <v>228</v>
      </c>
      <c r="G7" s="88"/>
      <c r="H7" s="3" t="s">
        <v>18</v>
      </c>
    </row>
    <row r="8" spans="1:10" x14ac:dyDescent="0.3">
      <c r="A8" s="3" t="s">
        <v>136</v>
      </c>
      <c r="B8" s="8"/>
      <c r="C8" s="8"/>
      <c r="D8" s="3" t="s">
        <v>138</v>
      </c>
      <c r="E8" s="3" t="s">
        <v>16</v>
      </c>
      <c r="F8" s="99" t="s">
        <v>16</v>
      </c>
      <c r="G8" s="88"/>
      <c r="H8" s="3" t="s">
        <v>19</v>
      </c>
      <c r="I8" s="3" t="s">
        <v>20</v>
      </c>
    </row>
    <row r="9" spans="1:10" x14ac:dyDescent="0.3">
      <c r="A9" s="9" t="s">
        <v>137</v>
      </c>
      <c r="B9" s="10" t="s">
        <v>15</v>
      </c>
      <c r="C9" s="10"/>
      <c r="D9" s="9" t="s">
        <v>139</v>
      </c>
      <c r="E9" s="9" t="s">
        <v>17</v>
      </c>
      <c r="F9" s="75" t="s">
        <v>17</v>
      </c>
      <c r="G9" s="9" t="s">
        <v>21</v>
      </c>
      <c r="H9" s="9" t="s">
        <v>214</v>
      </c>
      <c r="I9" s="9" t="s">
        <v>140</v>
      </c>
    </row>
    <row r="10" spans="1:10" x14ac:dyDescent="0.3">
      <c r="B10" s="17" t="s">
        <v>63</v>
      </c>
      <c r="C10" s="61"/>
      <c r="D10" s="61" t="s">
        <v>64</v>
      </c>
      <c r="E10" s="61" t="s">
        <v>66</v>
      </c>
      <c r="F10" s="99" t="s">
        <v>84</v>
      </c>
      <c r="G10" s="88" t="s">
        <v>109</v>
      </c>
      <c r="H10" s="61" t="s">
        <v>110</v>
      </c>
      <c r="I10" s="61" t="s">
        <v>111</v>
      </c>
    </row>
    <row r="11" spans="1:10" x14ac:dyDescent="0.3">
      <c r="A11" s="71"/>
      <c r="B11" s="17"/>
      <c r="E11" s="71"/>
      <c r="F11" s="83"/>
      <c r="H11" s="71"/>
      <c r="I11" s="71"/>
    </row>
    <row r="12" spans="1:10" x14ac:dyDescent="0.3">
      <c r="A12" s="5">
        <v>1</v>
      </c>
      <c r="B12" s="26" t="s">
        <v>60</v>
      </c>
      <c r="D12" s="171">
        <v>0.86931999999999998</v>
      </c>
      <c r="E12" s="56">
        <f>ROUND($E$16*D12,0)</f>
        <v>8118021</v>
      </c>
      <c r="F12" s="168">
        <f>ROUND($F$16*D12,0)</f>
        <v>-492034</v>
      </c>
      <c r="G12" s="56">
        <f>E12+F12</f>
        <v>7625987</v>
      </c>
      <c r="H12" s="12">
        <f>'Sch 3.0'!O13</f>
        <v>62184470</v>
      </c>
      <c r="I12" s="213">
        <f>G12/H12</f>
        <v>0.12263491190002906</v>
      </c>
      <c r="J12" t="s">
        <v>80</v>
      </c>
    </row>
    <row r="13" spans="1:10" x14ac:dyDescent="0.3">
      <c r="A13" s="5">
        <f>A12+1</f>
        <v>2</v>
      </c>
      <c r="B13" s="26" t="s">
        <v>62</v>
      </c>
      <c r="D13" s="171">
        <v>0.12506</v>
      </c>
      <c r="E13" s="146">
        <f>ROUND($E$16*D13,0)</f>
        <v>1167855</v>
      </c>
      <c r="F13" s="169">
        <f>ROUND($F$16*D13,0)</f>
        <v>-70784</v>
      </c>
      <c r="G13" s="146">
        <f>E13+F13</f>
        <v>1097071</v>
      </c>
      <c r="H13" s="12">
        <f>'Sch 3.0'!O14</f>
        <v>34302261</v>
      </c>
      <c r="I13" s="213">
        <f>G13/H13</f>
        <v>3.1982469027333212E-2</v>
      </c>
      <c r="J13" t="s">
        <v>80</v>
      </c>
    </row>
    <row r="14" spans="1:10" x14ac:dyDescent="0.3">
      <c r="A14" s="5">
        <f>A13+1</f>
        <v>3</v>
      </c>
      <c r="B14" s="26" t="s">
        <v>67</v>
      </c>
      <c r="D14" s="171">
        <v>3.4099999999999998E-3</v>
      </c>
      <c r="E14" s="146">
        <f>ROUND($E$16*D14,0)</f>
        <v>31844</v>
      </c>
      <c r="F14" s="169">
        <f>ROUND($F$16*D14,0)</f>
        <v>-1930</v>
      </c>
      <c r="G14" s="146">
        <f>E14+F14</f>
        <v>29914</v>
      </c>
      <c r="H14" s="12">
        <f>'Sch 3.0'!O15</f>
        <v>29220261</v>
      </c>
      <c r="I14" s="38">
        <f>G14/H14</f>
        <v>1.0237417112735577E-3</v>
      </c>
      <c r="J14" t="s">
        <v>80</v>
      </c>
    </row>
    <row r="15" spans="1:10" x14ac:dyDescent="0.3">
      <c r="A15" s="5">
        <f>A14+1</f>
        <v>4</v>
      </c>
      <c r="B15" s="26" t="s">
        <v>61</v>
      </c>
      <c r="D15" s="172">
        <v>2.2100000000000002E-3</v>
      </c>
      <c r="E15" s="146">
        <f>ROUND($E$16*D15,0)</f>
        <v>20638</v>
      </c>
      <c r="F15" s="169">
        <f>ROUND($F$16*D15,0)</f>
        <v>-1251</v>
      </c>
      <c r="G15" s="146">
        <f>E15+F15</f>
        <v>19387</v>
      </c>
      <c r="H15" s="12">
        <f>'Sch 3.0'!O16</f>
        <v>16790270</v>
      </c>
      <c r="I15" s="38">
        <f>G15/H15</f>
        <v>1.1546568339877799E-3</v>
      </c>
      <c r="J15" t="s">
        <v>80</v>
      </c>
    </row>
    <row r="16" spans="1:10" ht="15" thickBot="1" x14ac:dyDescent="0.35">
      <c r="A16" s="5">
        <f>A15+1</f>
        <v>5</v>
      </c>
      <c r="B16" t="s">
        <v>21</v>
      </c>
      <c r="D16" s="173">
        <f>SUM(D10:D15)</f>
        <v>1</v>
      </c>
      <c r="E16" s="57">
        <f>'Sch 1.1'!F27</f>
        <v>9338357</v>
      </c>
      <c r="F16" s="170">
        <f>'Sch 4.1'!F34</f>
        <v>-565999</v>
      </c>
      <c r="G16" s="57">
        <f>E16+F16</f>
        <v>8772358</v>
      </c>
      <c r="H16" s="19"/>
    </row>
    <row r="17" spans="1:9" ht="15" thickTop="1" x14ac:dyDescent="0.3">
      <c r="E17" s="83" t="s">
        <v>151</v>
      </c>
      <c r="F17" s="83" t="s">
        <v>152</v>
      </c>
      <c r="G17" s="83"/>
      <c r="H17" s="83" t="s">
        <v>169</v>
      </c>
    </row>
    <row r="20" spans="1:9" x14ac:dyDescent="0.3">
      <c r="B20" s="36" t="s">
        <v>202</v>
      </c>
      <c r="C20" s="36"/>
      <c r="D20" s="36"/>
      <c r="E20" s="83"/>
      <c r="F20" s="83"/>
      <c r="G20" s="83"/>
    </row>
    <row r="21" spans="1:9" x14ac:dyDescent="0.3">
      <c r="B21" s="36" t="s">
        <v>201</v>
      </c>
      <c r="C21" s="36"/>
      <c r="D21" s="36"/>
      <c r="E21" s="83"/>
    </row>
    <row r="22" spans="1:9" x14ac:dyDescent="0.3">
      <c r="F22" s="123"/>
      <c r="G22" s="175"/>
    </row>
    <row r="23" spans="1:9" x14ac:dyDescent="0.3">
      <c r="D23" s="121"/>
    </row>
    <row r="24" spans="1:9" x14ac:dyDescent="0.3">
      <c r="E24" s="175"/>
      <c r="F24" s="175"/>
      <c r="G24" s="175"/>
    </row>
    <row r="25" spans="1:9" x14ac:dyDescent="0.3">
      <c r="A25" s="122"/>
      <c r="E25" s="175"/>
      <c r="F25" s="175"/>
      <c r="G25" s="175"/>
      <c r="H25" s="122"/>
      <c r="I25" s="122"/>
    </row>
    <row r="26" spans="1:9" x14ac:dyDescent="0.3">
      <c r="A26" s="122"/>
      <c r="E26" s="175"/>
      <c r="F26" s="175"/>
      <c r="G26" s="175"/>
      <c r="H26" s="122"/>
      <c r="I26" s="122"/>
    </row>
    <row r="27" spans="1:9" x14ac:dyDescent="0.3">
      <c r="A27" s="122"/>
      <c r="E27" s="175"/>
      <c r="F27" s="175"/>
      <c r="G27" s="175"/>
      <c r="H27" s="122"/>
      <c r="I27" s="122"/>
    </row>
    <row r="28" spans="1:9" x14ac:dyDescent="0.3">
      <c r="A28" s="122"/>
      <c r="E28" s="175"/>
      <c r="F28" s="175"/>
      <c r="G28" s="175"/>
      <c r="H28" s="122"/>
      <c r="I28" s="122"/>
    </row>
    <row r="29" spans="1:9" x14ac:dyDescent="0.3">
      <c r="E29" s="175"/>
      <c r="F29" s="175"/>
      <c r="H29" s="177"/>
      <c r="I29" s="176"/>
    </row>
    <row r="30" spans="1:9" x14ac:dyDescent="0.3">
      <c r="E30" s="175"/>
      <c r="G30" s="175"/>
    </row>
    <row r="31" spans="1:9" x14ac:dyDescent="0.3">
      <c r="E31" s="175"/>
      <c r="G31" s="175"/>
    </row>
    <row r="32" spans="1:9" x14ac:dyDescent="0.3">
      <c r="E32" s="175"/>
      <c r="G32" s="175"/>
    </row>
    <row r="33" spans="4:8" x14ac:dyDescent="0.3">
      <c r="E33" s="175"/>
    </row>
    <row r="36" spans="4:8" x14ac:dyDescent="0.3">
      <c r="F36" s="176"/>
      <c r="G36" s="176"/>
      <c r="H36" s="176"/>
    </row>
    <row r="37" spans="4:8" x14ac:dyDescent="0.3">
      <c r="F37" s="176"/>
      <c r="G37" s="176"/>
    </row>
    <row r="38" spans="4:8" x14ac:dyDescent="0.3">
      <c r="F38" s="176"/>
      <c r="G38" s="176"/>
    </row>
    <row r="39" spans="4:8" x14ac:dyDescent="0.3">
      <c r="F39" s="176"/>
      <c r="G39" s="176"/>
      <c r="H39" s="176"/>
    </row>
    <row r="40" spans="4:8" x14ac:dyDescent="0.3">
      <c r="F40" s="176"/>
      <c r="G40" s="176"/>
    </row>
    <row r="41" spans="4:8" x14ac:dyDescent="0.3">
      <c r="F41" s="176"/>
      <c r="G41" s="176"/>
    </row>
    <row r="42" spans="4:8" x14ac:dyDescent="0.3">
      <c r="F42" s="176"/>
      <c r="G42" s="176"/>
    </row>
    <row r="43" spans="4:8" x14ac:dyDescent="0.3">
      <c r="F43" s="176"/>
      <c r="G43" s="176"/>
      <c r="H43" s="176"/>
    </row>
    <row r="44" spans="4:8" x14ac:dyDescent="0.3">
      <c r="F44" s="176"/>
      <c r="G44" s="176"/>
    </row>
    <row r="45" spans="4:8" x14ac:dyDescent="0.3">
      <c r="F45" s="176"/>
      <c r="G45" s="176"/>
    </row>
    <row r="46" spans="4:8" x14ac:dyDescent="0.3">
      <c r="D46" s="33"/>
      <c r="F46" s="176"/>
      <c r="G46" s="176"/>
    </row>
    <row r="47" spans="4:8" x14ac:dyDescent="0.3">
      <c r="D47" s="127"/>
      <c r="E47" s="175"/>
      <c r="F47" s="176"/>
      <c r="G47" s="176"/>
    </row>
    <row r="48" spans="4:8" x14ac:dyDescent="0.3">
      <c r="D48" s="1"/>
      <c r="E48" s="178"/>
      <c r="F48" s="176"/>
      <c r="G48" s="176"/>
    </row>
    <row r="49" spans="4:5" x14ac:dyDescent="0.3">
      <c r="D49" s="56"/>
      <c r="E49" s="56"/>
    </row>
    <row r="50" spans="4:5" x14ac:dyDescent="0.3">
      <c r="D50" s="2"/>
    </row>
  </sheetData>
  <printOptions horizontalCentered="1"/>
  <pageMargins left="0.7" right="0.7" top="0.75" bottom="0.75" header="0.3" footer="0.3"/>
  <pageSetup scale="76" orientation="landscape" r:id="rId1"/>
  <headerFooter>
    <oddHeader xml:space="preserve">&amp;RKyPSC Case No. 2024-00191
Exhibit 3
Schedule 1.0
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view="pageLayout" zoomScale="98" zoomScaleNormal="100" zoomScalePageLayoutView="98" workbookViewId="0">
      <selection sqref="A1:R1"/>
    </sheetView>
  </sheetViews>
  <sheetFormatPr defaultRowHeight="14.4" x14ac:dyDescent="0.3"/>
  <cols>
    <col min="1" max="1" width="6.77734375" customWidth="1"/>
    <col min="2" max="2" width="4.5546875" customWidth="1"/>
    <col min="3" max="3" width="6.5546875" customWidth="1"/>
    <col min="4" max="4" width="43" customWidth="1"/>
    <col min="5" max="5" width="2.21875" customWidth="1"/>
    <col min="6" max="6" width="20.77734375" customWidth="1"/>
    <col min="7" max="7" width="2.44140625" customWidth="1"/>
    <col min="8" max="8" width="9.5546875" customWidth="1"/>
    <col min="9" max="9" width="9" bestFit="1" customWidth="1"/>
  </cols>
  <sheetData>
    <row r="1" spans="1:12" x14ac:dyDescent="0.3">
      <c r="A1" s="5"/>
      <c r="E1" s="5"/>
      <c r="F1" s="5"/>
      <c r="G1" s="98"/>
      <c r="H1" s="5"/>
      <c r="I1" s="5"/>
    </row>
    <row r="2" spans="1:12" x14ac:dyDescent="0.3">
      <c r="A2" s="102" t="str">
        <f>'Sch 1.0'!A2</f>
        <v>Duke Energy Kentucky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4"/>
    </row>
    <row r="3" spans="1:12" x14ac:dyDescent="0.3">
      <c r="A3" s="102" t="str">
        <f>'Sch 1.0'!A3</f>
        <v>Pipeline Modernization Mechanism ("Rider PMM")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4"/>
    </row>
    <row r="4" spans="1:12" x14ac:dyDescent="0.3">
      <c r="A4" s="131" t="s">
        <v>216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66"/>
    </row>
    <row r="5" spans="1:12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x14ac:dyDescent="0.3">
      <c r="A6" s="97" t="s">
        <v>136</v>
      </c>
      <c r="B6" s="8"/>
      <c r="C6" s="8"/>
      <c r="F6" s="3" t="s">
        <v>141</v>
      </c>
      <c r="G6" s="97"/>
      <c r="H6" s="3"/>
      <c r="I6" s="5"/>
    </row>
    <row r="7" spans="1:12" x14ac:dyDescent="0.3">
      <c r="A7" s="9" t="s">
        <v>137</v>
      </c>
      <c r="B7" s="10"/>
      <c r="C7" s="10"/>
      <c r="F7" s="167" t="s">
        <v>217</v>
      </c>
      <c r="G7" s="167"/>
      <c r="H7" s="9" t="s">
        <v>22</v>
      </c>
    </row>
    <row r="8" spans="1:12" x14ac:dyDescent="0.3">
      <c r="A8" s="10"/>
      <c r="B8" s="105" t="s">
        <v>63</v>
      </c>
      <c r="C8" s="105"/>
      <c r="D8" s="105"/>
      <c r="F8" s="61" t="s">
        <v>64</v>
      </c>
      <c r="G8" s="97"/>
      <c r="H8" s="61" t="s">
        <v>66</v>
      </c>
    </row>
    <row r="10" spans="1:12" x14ac:dyDescent="0.3">
      <c r="B10" s="8" t="s">
        <v>23</v>
      </c>
    </row>
    <row r="11" spans="1:12" x14ac:dyDescent="0.3">
      <c r="B11" s="10" t="s">
        <v>24</v>
      </c>
    </row>
    <row r="12" spans="1:12" x14ac:dyDescent="0.3">
      <c r="A12" s="5">
        <v>1</v>
      </c>
      <c r="C12" t="s">
        <v>148</v>
      </c>
      <c r="F12" s="145">
        <f>'Sch 2.2'!E29-'Sch 2.2'!G29</f>
        <v>89024203</v>
      </c>
      <c r="G12" s="28"/>
      <c r="H12" t="s">
        <v>153</v>
      </c>
    </row>
    <row r="13" spans="1:12" x14ac:dyDescent="0.3">
      <c r="A13" s="5">
        <f t="shared" ref="A13:A19" si="0">A12+1</f>
        <v>2</v>
      </c>
      <c r="C13" t="s">
        <v>25</v>
      </c>
      <c r="F13" s="144">
        <f>'Sch 2.2'!I29</f>
        <v>1768869</v>
      </c>
      <c r="G13" s="29"/>
      <c r="H13" t="s">
        <v>153</v>
      </c>
    </row>
    <row r="14" spans="1:12" x14ac:dyDescent="0.3">
      <c r="A14" s="5">
        <f t="shared" si="0"/>
        <v>3</v>
      </c>
      <c r="C14" t="s">
        <v>26</v>
      </c>
      <c r="F14" s="109">
        <f>-'Sch 2.0'!R46</f>
        <v>-1063577</v>
      </c>
      <c r="G14" s="79"/>
      <c r="H14" s="53" t="s">
        <v>154</v>
      </c>
    </row>
    <row r="15" spans="1:12" x14ac:dyDescent="0.3">
      <c r="A15" s="5">
        <f t="shared" si="0"/>
        <v>4</v>
      </c>
      <c r="D15" t="s">
        <v>27</v>
      </c>
      <c r="F15" s="142">
        <f>SUM(F12:F14)</f>
        <v>89729495</v>
      </c>
      <c r="G15" s="1"/>
    </row>
    <row r="16" spans="1:12" x14ac:dyDescent="0.3">
      <c r="A16" s="5">
        <f t="shared" si="0"/>
        <v>5</v>
      </c>
      <c r="C16" t="s">
        <v>123</v>
      </c>
      <c r="F16" s="109">
        <f>-'Sch 2.1'!Q28-'Sch 2.1'!Q49</f>
        <v>-2421911.2538182414</v>
      </c>
      <c r="G16" s="32"/>
      <c r="H16" t="s">
        <v>155</v>
      </c>
      <c r="J16" s="121"/>
    </row>
    <row r="17" spans="1:14" x14ac:dyDescent="0.3">
      <c r="A17" s="5">
        <f t="shared" si="0"/>
        <v>6</v>
      </c>
      <c r="D17" t="s">
        <v>29</v>
      </c>
      <c r="F17" s="142">
        <f>SUM(F15:F16)</f>
        <v>87307583.746181756</v>
      </c>
      <c r="G17" s="1"/>
      <c r="H17" t="s">
        <v>37</v>
      </c>
    </row>
    <row r="18" spans="1:14" x14ac:dyDescent="0.3">
      <c r="A18" s="5">
        <f t="shared" si="0"/>
        <v>7</v>
      </c>
      <c r="C18" t="s">
        <v>30</v>
      </c>
      <c r="F18" s="72">
        <f>'Sch 1.2'!F13</f>
        <v>8.0869999999999997E-2</v>
      </c>
      <c r="G18" s="72"/>
      <c r="H18" s="73" t="s">
        <v>156</v>
      </c>
    </row>
    <row r="19" spans="1:14" x14ac:dyDescent="0.3">
      <c r="A19" s="5">
        <f t="shared" si="0"/>
        <v>8</v>
      </c>
      <c r="C19" t="s">
        <v>149</v>
      </c>
      <c r="F19" s="58">
        <f>ROUND(F17*F18,0)</f>
        <v>7060564</v>
      </c>
      <c r="G19" s="63"/>
      <c r="H19" t="s">
        <v>38</v>
      </c>
    </row>
    <row r="21" spans="1:14" x14ac:dyDescent="0.3">
      <c r="B21" s="10" t="s">
        <v>31</v>
      </c>
    </row>
    <row r="22" spans="1:14" x14ac:dyDescent="0.3">
      <c r="A22" s="5">
        <f>A19+1</f>
        <v>9</v>
      </c>
      <c r="C22" t="s">
        <v>32</v>
      </c>
      <c r="F22" s="59">
        <f>SUM('Sch 2.0'!F38:Q38)-SUM('Sch 2.0'!F44:Q44)</f>
        <v>1127882</v>
      </c>
      <c r="G22" s="59"/>
      <c r="H22" t="s">
        <v>154</v>
      </c>
    </row>
    <row r="23" spans="1:14" x14ac:dyDescent="0.3">
      <c r="A23" s="50">
        <f>A22+1</f>
        <v>10</v>
      </c>
      <c r="C23" t="s">
        <v>33</v>
      </c>
      <c r="F23" s="142">
        <f>ROUND(F15*I23,0)</f>
        <v>1137752</v>
      </c>
      <c r="G23" s="1"/>
      <c r="H23" t="s">
        <v>81</v>
      </c>
      <c r="I23" s="205">
        <v>1.26798E-2</v>
      </c>
    </row>
    <row r="24" spans="1:14" x14ac:dyDescent="0.3">
      <c r="A24" s="122">
        <f>A23+1</f>
        <v>11</v>
      </c>
      <c r="C24" t="s">
        <v>34</v>
      </c>
      <c r="F24" s="143">
        <f>ROUND(SUM(F19:F23)*(0.001302/(1-0.001302)),0)</f>
        <v>12159</v>
      </c>
      <c r="G24" s="19"/>
      <c r="H24" s="36" t="s">
        <v>251</v>
      </c>
      <c r="M24" s="121"/>
      <c r="N24" s="36"/>
    </row>
    <row r="25" spans="1:14" x14ac:dyDescent="0.3">
      <c r="A25" s="122">
        <f>A24+1</f>
        <v>12</v>
      </c>
      <c r="C25" t="s">
        <v>35</v>
      </c>
      <c r="F25" s="110">
        <f>SUM(F22:F24)</f>
        <v>2277793</v>
      </c>
      <c r="G25" s="2"/>
      <c r="H25" s="36" t="s">
        <v>39</v>
      </c>
      <c r="J25" s="121"/>
    </row>
    <row r="26" spans="1:14" x14ac:dyDescent="0.3">
      <c r="H26" s="36"/>
    </row>
    <row r="27" spans="1:14" ht="15" thickBot="1" x14ac:dyDescent="0.35">
      <c r="A27" s="5">
        <f>A25+1</f>
        <v>13</v>
      </c>
      <c r="B27" s="10" t="s">
        <v>36</v>
      </c>
      <c r="F27" s="60">
        <f>F19+F25</f>
        <v>9338357</v>
      </c>
      <c r="G27" s="62"/>
      <c r="H27" s="36" t="s">
        <v>40</v>
      </c>
      <c r="J27" s="121"/>
    </row>
    <row r="30" spans="1:14" x14ac:dyDescent="0.3">
      <c r="A30" s="5" t="s">
        <v>41</v>
      </c>
    </row>
    <row r="31" spans="1:14" x14ac:dyDescent="0.3">
      <c r="A31" s="36" t="str">
        <f>"(1) Property taxes estimated using an effective rate of "&amp;TEXT(I23,"0.00000%")</f>
        <v>(1) Property taxes estimated using an effective rate of 1.26798%</v>
      </c>
      <c r="B31" s="36"/>
      <c r="C31" s="36"/>
      <c r="D31" s="36"/>
    </row>
    <row r="32" spans="1:14" x14ac:dyDescent="0.3">
      <c r="A32" s="36" t="s">
        <v>229</v>
      </c>
      <c r="B32" s="36"/>
      <c r="C32" s="36"/>
      <c r="D32" s="36"/>
      <c r="J32" s="121"/>
    </row>
  </sheetData>
  <printOptions horizontalCentered="1"/>
  <pageMargins left="0.7" right="0.7" top="0.75" bottom="0.75" header="0.3" footer="0.3"/>
  <pageSetup scale="92" orientation="landscape" r:id="rId1"/>
  <headerFooter>
    <oddHeader xml:space="preserve">&amp;RKyPSC Case No. 2024-00191
Exhibit 3
Schedule 1.1
Page &amp;P of &amp;N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9"/>
  <sheetViews>
    <sheetView view="pageLayout" zoomScaleNormal="100" workbookViewId="0">
      <selection sqref="A1:R1"/>
    </sheetView>
  </sheetViews>
  <sheetFormatPr defaultRowHeight="14.4" x14ac:dyDescent="0.3"/>
  <cols>
    <col min="1" max="1" width="6.77734375" customWidth="1"/>
    <col min="2" max="2" width="19.77734375" customWidth="1"/>
    <col min="3" max="3" width="13.5546875" customWidth="1"/>
    <col min="4" max="4" width="12.21875" customWidth="1"/>
    <col min="5" max="5" width="13.5546875" customWidth="1"/>
    <col min="6" max="6" width="17.77734375" customWidth="1"/>
  </cols>
  <sheetData>
    <row r="1" spans="1:11" x14ac:dyDescent="0.3">
      <c r="A1" s="5"/>
      <c r="E1" s="5"/>
      <c r="F1" s="5"/>
      <c r="H1" s="5"/>
    </row>
    <row r="2" spans="1:11" x14ac:dyDescent="0.3">
      <c r="A2" s="102" t="str">
        <f>'Sch 1.0'!A2</f>
        <v>Duke Energy Kentucky</v>
      </c>
      <c r="B2" s="102"/>
      <c r="C2" s="102"/>
      <c r="D2" s="102"/>
      <c r="E2" s="102"/>
      <c r="F2" s="102"/>
      <c r="H2" s="102"/>
      <c r="I2" s="102"/>
    </row>
    <row r="3" spans="1:11" x14ac:dyDescent="0.3">
      <c r="A3" s="102" t="str">
        <f>'Sch 1.0'!A3</f>
        <v>Pipeline Modernization Mechanism ("Rider PMM")</v>
      </c>
      <c r="B3" s="102"/>
      <c r="C3" s="102"/>
      <c r="D3" s="102"/>
      <c r="E3" s="102"/>
      <c r="F3" s="102"/>
      <c r="H3" s="102"/>
      <c r="I3" s="102"/>
    </row>
    <row r="4" spans="1:11" x14ac:dyDescent="0.3">
      <c r="A4" s="102" t="s">
        <v>11</v>
      </c>
      <c r="B4" s="102"/>
      <c r="C4" s="102"/>
      <c r="D4" s="102"/>
      <c r="E4" s="102"/>
      <c r="F4" s="102"/>
      <c r="H4" s="102"/>
      <c r="I4" s="102"/>
    </row>
    <row r="5" spans="1:11" x14ac:dyDescent="0.3">
      <c r="A5" s="98"/>
      <c r="B5" s="98"/>
      <c r="C5" s="98"/>
      <c r="D5" s="98"/>
      <c r="E5" s="98"/>
      <c r="F5" s="98"/>
      <c r="H5" s="98"/>
      <c r="I5" s="98"/>
      <c r="J5" s="98"/>
      <c r="K5" s="98"/>
    </row>
    <row r="6" spans="1:11" x14ac:dyDescent="0.3">
      <c r="A6" s="97" t="s">
        <v>136</v>
      </c>
      <c r="B6" s="3"/>
      <c r="C6" s="3"/>
      <c r="D6" s="3"/>
      <c r="E6" s="3" t="s">
        <v>45</v>
      </c>
      <c r="F6" s="3" t="s">
        <v>46</v>
      </c>
    </row>
    <row r="7" spans="1:11" x14ac:dyDescent="0.3">
      <c r="A7" s="9" t="s">
        <v>137</v>
      </c>
      <c r="B7" s="9" t="s">
        <v>42</v>
      </c>
      <c r="C7" s="9" t="s">
        <v>43</v>
      </c>
      <c r="D7" s="9" t="s">
        <v>44</v>
      </c>
      <c r="E7" s="9" t="s">
        <v>44</v>
      </c>
      <c r="F7" s="75" t="s">
        <v>132</v>
      </c>
    </row>
    <row r="8" spans="1:11" x14ac:dyDescent="0.3">
      <c r="A8" s="9"/>
      <c r="B8" s="17" t="s">
        <v>63</v>
      </c>
      <c r="C8" s="61" t="s">
        <v>64</v>
      </c>
      <c r="D8" s="61" t="s">
        <v>66</v>
      </c>
      <c r="E8" s="61" t="s">
        <v>84</v>
      </c>
      <c r="F8" s="61" t="s">
        <v>109</v>
      </c>
    </row>
    <row r="10" spans="1:11" x14ac:dyDescent="0.3">
      <c r="A10" s="98">
        <v>1</v>
      </c>
      <c r="B10" t="s">
        <v>47</v>
      </c>
      <c r="C10" s="163">
        <v>2.6169999999999999E-2</v>
      </c>
      <c r="D10" s="163">
        <v>1.6670000000000001E-2</v>
      </c>
      <c r="E10" s="13">
        <f>ROUND(C10*D10,5)</f>
        <v>4.4000000000000002E-4</v>
      </c>
      <c r="F10" s="128">
        <f>E10</f>
        <v>4.4000000000000002E-4</v>
      </c>
    </row>
    <row r="11" spans="1:11" x14ac:dyDescent="0.3">
      <c r="A11" s="98">
        <f>A10+1</f>
        <v>2</v>
      </c>
      <c r="B11" t="s">
        <v>48</v>
      </c>
      <c r="C11" s="163">
        <v>0.46039000000000002</v>
      </c>
      <c r="D11" s="163">
        <v>3.6560000000000002E-2</v>
      </c>
      <c r="E11" s="13">
        <f>ROUND(C11*D11,5)</f>
        <v>1.6830000000000001E-2</v>
      </c>
      <c r="F11" s="128">
        <f>E11</f>
        <v>1.6830000000000001E-2</v>
      </c>
    </row>
    <row r="12" spans="1:11" x14ac:dyDescent="0.3">
      <c r="A12" s="98">
        <f>A11+1</f>
        <v>3</v>
      </c>
      <c r="B12" t="s">
        <v>49</v>
      </c>
      <c r="C12" s="164">
        <v>0.51344000000000001</v>
      </c>
      <c r="D12" s="163">
        <v>9.2999999999999999E-2</v>
      </c>
      <c r="E12" s="14">
        <f>ROUND(C12*D12,5)</f>
        <v>4.7750000000000001E-2</v>
      </c>
      <c r="F12" s="165">
        <f>ROUND(E12/(1-0.24925),5)</f>
        <v>6.3600000000000004E-2</v>
      </c>
    </row>
    <row r="13" spans="1:11" x14ac:dyDescent="0.3">
      <c r="A13" s="98">
        <f>A12+1</f>
        <v>4</v>
      </c>
      <c r="B13" t="s">
        <v>21</v>
      </c>
      <c r="C13" s="13">
        <f>SUM(C10:C12)</f>
        <v>1</v>
      </c>
      <c r="E13" s="39">
        <f>SUM(E10:E12)</f>
        <v>6.5019999999999994E-2</v>
      </c>
      <c r="F13" s="39">
        <f>SUM(F10:F12)</f>
        <v>8.0869999999999997E-2</v>
      </c>
    </row>
    <row r="18" spans="2:5" x14ac:dyDescent="0.3">
      <c r="B18" s="36" t="s">
        <v>168</v>
      </c>
      <c r="C18" s="36"/>
      <c r="D18" s="36"/>
      <c r="E18" s="36"/>
    </row>
    <row r="19" spans="2:5" x14ac:dyDescent="0.3">
      <c r="B19" s="36" t="s">
        <v>200</v>
      </c>
      <c r="C19" s="36"/>
      <c r="D19" s="36"/>
      <c r="E19" s="36"/>
    </row>
  </sheetData>
  <printOptions horizontalCentered="1"/>
  <pageMargins left="0.7" right="0.7" top="0.75" bottom="0.75" header="0.3" footer="0.3"/>
  <pageSetup orientation="landscape" r:id="rId1"/>
  <headerFooter>
    <oddHeader xml:space="preserve">&amp;RKyPSC Case No. 2024-00191
Exhibit 3
Schedule 1.2
Page &amp;P of &amp;N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0"/>
  <sheetViews>
    <sheetView view="pageLayout" topLeftCell="H1" zoomScaleNormal="85" zoomScaleSheetLayoutView="93" workbookViewId="0">
      <selection sqref="A1:R1"/>
    </sheetView>
  </sheetViews>
  <sheetFormatPr defaultRowHeight="14.4" x14ac:dyDescent="0.3"/>
  <cols>
    <col min="1" max="1" width="8.21875" bestFit="1" customWidth="1"/>
    <col min="2" max="2" width="31.44140625" customWidth="1"/>
    <col min="3" max="4" width="13.5546875" customWidth="1"/>
    <col min="5" max="5" width="13.21875" customWidth="1"/>
    <col min="6" max="12" width="11.77734375" customWidth="1"/>
    <col min="13" max="13" width="12.44140625" bestFit="1" customWidth="1"/>
    <col min="14" max="14" width="12.5546875" bestFit="1" customWidth="1"/>
    <col min="15" max="15" width="12.77734375" bestFit="1" customWidth="1"/>
    <col min="16" max="17" width="13.21875" customWidth="1"/>
    <col min="18" max="18" width="16" customWidth="1"/>
    <col min="19" max="19" width="12.5546875" bestFit="1" customWidth="1"/>
  </cols>
  <sheetData>
    <row r="1" spans="1:19" x14ac:dyDescent="0.3">
      <c r="A1" s="102" t="str">
        <f>'Sch 1.0'!A2</f>
        <v>Duke Energy Kentucky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9" x14ac:dyDescent="0.3">
      <c r="A2" s="102" t="str">
        <f>'Sch 1.0'!A3</f>
        <v>Pipeline Modernization Mechanism ("Rider PMM")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9" x14ac:dyDescent="0.3">
      <c r="A3" s="102" t="s">
        <v>32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9" x14ac:dyDescent="0.3">
      <c r="A4" s="5"/>
      <c r="O4" s="208"/>
    </row>
    <row r="5" spans="1:19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R5" s="4"/>
    </row>
    <row r="6" spans="1:19" x14ac:dyDescent="0.3">
      <c r="A6" s="97" t="s">
        <v>136</v>
      </c>
      <c r="B6" s="3"/>
      <c r="C6" s="3" t="s">
        <v>50</v>
      </c>
      <c r="D6" s="4"/>
      <c r="E6" s="99" t="s">
        <v>102</v>
      </c>
      <c r="F6" s="157" t="s">
        <v>219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97" t="s">
        <v>102</v>
      </c>
    </row>
    <row r="7" spans="1:19" x14ac:dyDescent="0.3">
      <c r="A7" s="9" t="s">
        <v>137</v>
      </c>
      <c r="B7" s="9" t="s">
        <v>9</v>
      </c>
      <c r="C7" s="9" t="s">
        <v>51</v>
      </c>
      <c r="D7" s="9"/>
      <c r="E7" s="156">
        <v>2024</v>
      </c>
      <c r="F7" s="9" t="s">
        <v>91</v>
      </c>
      <c r="G7" s="9" t="s">
        <v>92</v>
      </c>
      <c r="H7" s="9" t="s">
        <v>93</v>
      </c>
      <c r="I7" s="9" t="s">
        <v>94</v>
      </c>
      <c r="J7" s="9" t="s">
        <v>95</v>
      </c>
      <c r="K7" s="9" t="s">
        <v>96</v>
      </c>
      <c r="L7" s="9" t="s">
        <v>97</v>
      </c>
      <c r="M7" s="9" t="s">
        <v>98</v>
      </c>
      <c r="N7" s="9" t="s">
        <v>99</v>
      </c>
      <c r="O7" s="9" t="s">
        <v>100</v>
      </c>
      <c r="P7" s="9" t="s">
        <v>101</v>
      </c>
      <c r="Q7" s="9" t="s">
        <v>90</v>
      </c>
      <c r="R7" s="156">
        <v>2025</v>
      </c>
    </row>
    <row r="8" spans="1:19" x14ac:dyDescent="0.3">
      <c r="B8" s="17" t="s">
        <v>63</v>
      </c>
      <c r="C8" s="17" t="s">
        <v>64</v>
      </c>
      <c r="D8" s="17" t="s">
        <v>66</v>
      </c>
      <c r="E8" s="76" t="s">
        <v>84</v>
      </c>
      <c r="F8" s="17" t="s">
        <v>109</v>
      </c>
      <c r="G8" s="17" t="s">
        <v>110</v>
      </c>
      <c r="H8" s="17" t="s">
        <v>111</v>
      </c>
      <c r="I8" s="17" t="s">
        <v>112</v>
      </c>
      <c r="J8" s="17" t="s">
        <v>113</v>
      </c>
      <c r="K8" s="17" t="s">
        <v>114</v>
      </c>
      <c r="L8" s="17" t="s">
        <v>115</v>
      </c>
      <c r="M8" s="17" t="s">
        <v>116</v>
      </c>
      <c r="N8" s="17" t="s">
        <v>117</v>
      </c>
      <c r="O8" s="17" t="s">
        <v>118</v>
      </c>
      <c r="P8" s="17" t="s">
        <v>119</v>
      </c>
      <c r="Q8" s="17" t="s">
        <v>120</v>
      </c>
      <c r="R8" s="17" t="s">
        <v>122</v>
      </c>
    </row>
    <row r="9" spans="1:19" x14ac:dyDescent="0.3">
      <c r="E9" s="36"/>
    </row>
    <row r="10" spans="1:19" ht="16.2" x14ac:dyDescent="0.3">
      <c r="B10" s="10" t="s">
        <v>124</v>
      </c>
      <c r="E10" s="36"/>
    </row>
    <row r="11" spans="1:19" x14ac:dyDescent="0.3">
      <c r="B11" s="10" t="s">
        <v>52</v>
      </c>
      <c r="E11" s="36"/>
      <c r="R11" s="22"/>
    </row>
    <row r="12" spans="1:19" x14ac:dyDescent="0.3">
      <c r="A12" s="47">
        <v>1</v>
      </c>
      <c r="B12" s="36" t="s">
        <v>165</v>
      </c>
      <c r="C12" s="159">
        <v>376</v>
      </c>
      <c r="D12" s="42"/>
      <c r="E12" s="179">
        <v>69358490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33939719</v>
      </c>
      <c r="P12" s="155">
        <v>3019458</v>
      </c>
      <c r="Q12" s="155">
        <v>1563645</v>
      </c>
      <c r="R12" s="62">
        <f>SUM(E12:Q12)</f>
        <v>107881312</v>
      </c>
    </row>
    <row r="13" spans="1:19" x14ac:dyDescent="0.3">
      <c r="A13" s="122">
        <v>2</v>
      </c>
      <c r="B13" s="36" t="s">
        <v>172</v>
      </c>
      <c r="C13" s="159">
        <v>378</v>
      </c>
      <c r="D13" s="42"/>
      <c r="E13" s="179">
        <v>89600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3029597</v>
      </c>
      <c r="P13" s="155">
        <v>260691</v>
      </c>
      <c r="Q13" s="155">
        <v>132724</v>
      </c>
      <c r="R13" s="62">
        <f>SUM(E13:Q13)</f>
        <v>3512612</v>
      </c>
    </row>
    <row r="14" spans="1:19" x14ac:dyDescent="0.3">
      <c r="A14" s="122">
        <v>3</v>
      </c>
      <c r="B14" s="36" t="s">
        <v>171</v>
      </c>
      <c r="C14" s="159">
        <v>374</v>
      </c>
      <c r="D14" s="42"/>
      <c r="E14" s="132">
        <v>10173589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2719400</v>
      </c>
      <c r="P14" s="161">
        <v>150000</v>
      </c>
      <c r="Q14" s="161">
        <v>50000</v>
      </c>
      <c r="R14" s="64">
        <f>SUM(E14:Q14)</f>
        <v>13092989</v>
      </c>
    </row>
    <row r="15" spans="1:19" x14ac:dyDescent="0.3">
      <c r="A15" s="50">
        <v>4</v>
      </c>
      <c r="B15" t="s">
        <v>53</v>
      </c>
      <c r="C15" s="43"/>
      <c r="D15" s="43"/>
      <c r="E15" s="65">
        <f>SUM(E12:E14)</f>
        <v>79621679</v>
      </c>
      <c r="F15" s="65">
        <f t="shared" ref="F15:R15" si="0">SUM(F12:F14)</f>
        <v>0</v>
      </c>
      <c r="G15" s="65">
        <f t="shared" si="0"/>
        <v>0</v>
      </c>
      <c r="H15" s="65">
        <f t="shared" si="0"/>
        <v>0</v>
      </c>
      <c r="I15" s="65">
        <f t="shared" si="0"/>
        <v>0</v>
      </c>
      <c r="J15" s="65">
        <f t="shared" si="0"/>
        <v>0</v>
      </c>
      <c r="K15" s="65">
        <f t="shared" si="0"/>
        <v>0</v>
      </c>
      <c r="L15" s="65">
        <f t="shared" si="0"/>
        <v>0</v>
      </c>
      <c r="M15" s="65">
        <f t="shared" si="0"/>
        <v>0</v>
      </c>
      <c r="N15" s="65">
        <f t="shared" si="0"/>
        <v>0</v>
      </c>
      <c r="O15" s="65">
        <f t="shared" si="0"/>
        <v>39688716</v>
      </c>
      <c r="P15" s="65">
        <f t="shared" si="0"/>
        <v>3430149</v>
      </c>
      <c r="Q15" s="65">
        <f t="shared" si="0"/>
        <v>1746369</v>
      </c>
      <c r="R15" s="65">
        <f t="shared" si="0"/>
        <v>124486913</v>
      </c>
      <c r="S15" s="68"/>
    </row>
    <row r="16" spans="1:19" x14ac:dyDescent="0.3">
      <c r="A16" s="50"/>
      <c r="C16" s="43"/>
      <c r="D16" s="43"/>
      <c r="E16" s="5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9"/>
    </row>
    <row r="17" spans="1:19" x14ac:dyDescent="0.3">
      <c r="B17" s="10" t="s">
        <v>54</v>
      </c>
      <c r="C17" s="5"/>
      <c r="D17" s="50"/>
      <c r="E17" s="83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52"/>
    </row>
    <row r="18" spans="1:19" x14ac:dyDescent="0.3">
      <c r="A18" s="47">
        <v>5</v>
      </c>
      <c r="B18" s="36" t="s">
        <v>165</v>
      </c>
      <c r="C18" s="159">
        <v>376</v>
      </c>
      <c r="D18" s="42"/>
      <c r="E18" s="179">
        <v>401459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73681</v>
      </c>
      <c r="P18" s="126">
        <v>0</v>
      </c>
      <c r="Q18" s="126">
        <v>0</v>
      </c>
      <c r="R18" s="62">
        <f>SUM(E18:Q18)</f>
        <v>475140</v>
      </c>
    </row>
    <row r="19" spans="1:19" s="22" customFormat="1" x14ac:dyDescent="0.3">
      <c r="A19" s="52">
        <v>6</v>
      </c>
      <c r="B19" s="36" t="s">
        <v>172</v>
      </c>
      <c r="C19" s="180">
        <v>378</v>
      </c>
      <c r="D19" s="181"/>
      <c r="E19" s="179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62">
        <f>SUM(E19:Q19)</f>
        <v>0</v>
      </c>
    </row>
    <row r="20" spans="1:19" s="22" customFormat="1" x14ac:dyDescent="0.3">
      <c r="A20" s="52">
        <v>7</v>
      </c>
      <c r="B20" s="40" t="s">
        <v>171</v>
      </c>
      <c r="C20" s="180">
        <v>374</v>
      </c>
      <c r="D20" s="181"/>
      <c r="E20" s="132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184">
        <v>0</v>
      </c>
      <c r="R20" s="64">
        <f>SUM(E20:Q20)</f>
        <v>0</v>
      </c>
    </row>
    <row r="21" spans="1:19" x14ac:dyDescent="0.3">
      <c r="A21" s="50">
        <v>8</v>
      </c>
      <c r="B21" t="s">
        <v>55</v>
      </c>
      <c r="C21" s="5"/>
      <c r="D21" s="50"/>
      <c r="E21" s="65">
        <f>SUM(E18:E20)</f>
        <v>401459</v>
      </c>
      <c r="F21" s="65">
        <f t="shared" ref="F21:Q21" si="1">SUM(F18:F20)</f>
        <v>0</v>
      </c>
      <c r="G21" s="65">
        <f t="shared" si="1"/>
        <v>0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  <c r="N21" s="65">
        <f t="shared" si="1"/>
        <v>0</v>
      </c>
      <c r="O21" s="65">
        <f t="shared" si="1"/>
        <v>73681</v>
      </c>
      <c r="P21" s="65">
        <f t="shared" si="1"/>
        <v>0</v>
      </c>
      <c r="Q21" s="65">
        <f t="shared" si="1"/>
        <v>0</v>
      </c>
      <c r="R21" s="62">
        <f>SUM(E21:Q21)</f>
        <v>475140</v>
      </c>
      <c r="S21" s="68"/>
    </row>
    <row r="22" spans="1:19" x14ac:dyDescent="0.3">
      <c r="C22" s="5"/>
      <c r="D22" s="50"/>
      <c r="E22" s="83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9" x14ac:dyDescent="0.3">
      <c r="B23" s="10" t="s">
        <v>25</v>
      </c>
      <c r="C23" s="5"/>
      <c r="D23" s="50"/>
      <c r="E23" s="83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52"/>
      <c r="S23" s="22"/>
    </row>
    <row r="24" spans="1:19" x14ac:dyDescent="0.3">
      <c r="A24" s="47">
        <v>9</v>
      </c>
      <c r="B24" s="36" t="s">
        <v>165</v>
      </c>
      <c r="C24" s="159">
        <v>376</v>
      </c>
      <c r="D24" s="42"/>
      <c r="E24" s="179">
        <v>1588823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780200</v>
      </c>
      <c r="P24" s="155">
        <v>0</v>
      </c>
      <c r="Q24" s="155">
        <v>0</v>
      </c>
      <c r="R24" s="179">
        <f>SUM(E24:Q24)</f>
        <v>2369023</v>
      </c>
      <c r="S24" s="22"/>
    </row>
    <row r="25" spans="1:19" s="22" customFormat="1" x14ac:dyDescent="0.3">
      <c r="A25" s="52">
        <v>10</v>
      </c>
      <c r="B25" s="36" t="s">
        <v>172</v>
      </c>
      <c r="C25" s="180">
        <v>378</v>
      </c>
      <c r="D25" s="181"/>
      <c r="E25" s="179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179">
        <f>SUM(E25:Q25)</f>
        <v>0</v>
      </c>
    </row>
    <row r="26" spans="1:19" s="22" customFormat="1" x14ac:dyDescent="0.3">
      <c r="A26" s="52">
        <v>11</v>
      </c>
      <c r="B26" s="40" t="s">
        <v>171</v>
      </c>
      <c r="C26" s="180">
        <v>374</v>
      </c>
      <c r="D26" s="181"/>
      <c r="E26" s="132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32">
        <f>SUM(E26:Q26)</f>
        <v>0</v>
      </c>
    </row>
    <row r="27" spans="1:19" x14ac:dyDescent="0.3">
      <c r="A27" s="47">
        <v>12</v>
      </c>
      <c r="B27" s="21" t="s">
        <v>56</v>
      </c>
      <c r="E27" s="93">
        <f>SUM(E24:E26)</f>
        <v>1588823</v>
      </c>
      <c r="F27" s="93">
        <f t="shared" ref="F27:R27" si="2">SUM(F24:F26)</f>
        <v>0</v>
      </c>
      <c r="G27" s="93">
        <f t="shared" si="2"/>
        <v>0</v>
      </c>
      <c r="H27" s="93">
        <f t="shared" si="2"/>
        <v>0</v>
      </c>
      <c r="I27" s="93">
        <f t="shared" si="2"/>
        <v>0</v>
      </c>
      <c r="J27" s="93">
        <f t="shared" si="2"/>
        <v>0</v>
      </c>
      <c r="K27" s="93">
        <f t="shared" si="2"/>
        <v>0</v>
      </c>
      <c r="L27" s="93">
        <f t="shared" si="2"/>
        <v>0</v>
      </c>
      <c r="M27" s="93">
        <f t="shared" si="2"/>
        <v>0</v>
      </c>
      <c r="N27" s="93">
        <f t="shared" si="2"/>
        <v>0</v>
      </c>
      <c r="O27" s="93">
        <f t="shared" si="2"/>
        <v>780200</v>
      </c>
      <c r="P27" s="93">
        <f t="shared" si="2"/>
        <v>0</v>
      </c>
      <c r="Q27" s="93">
        <f t="shared" si="2"/>
        <v>0</v>
      </c>
      <c r="R27" s="93">
        <f t="shared" si="2"/>
        <v>2369023</v>
      </c>
      <c r="S27" s="22"/>
    </row>
    <row r="28" spans="1:19" x14ac:dyDescent="0.3">
      <c r="E28" s="36"/>
      <c r="R28" s="22"/>
      <c r="S28" s="22"/>
    </row>
    <row r="29" spans="1:19" x14ac:dyDescent="0.3">
      <c r="B29" s="10"/>
      <c r="C29" s="46"/>
      <c r="D29" s="46"/>
      <c r="E29" s="214">
        <f>+E15-E21+E27</f>
        <v>80809043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14">
        <f>+R15-R21+R27</f>
        <v>126380796</v>
      </c>
      <c r="S29" s="22"/>
    </row>
    <row r="30" spans="1:19" x14ac:dyDescent="0.3">
      <c r="A30" s="50"/>
      <c r="B30" s="45"/>
      <c r="C30" s="46"/>
      <c r="E30" s="84"/>
      <c r="H30" s="48"/>
      <c r="I30" s="17"/>
      <c r="J30" s="17"/>
      <c r="K30" s="17"/>
      <c r="L30" s="17"/>
      <c r="M30" s="17"/>
      <c r="N30" s="17"/>
      <c r="O30" s="17"/>
      <c r="P30" s="17"/>
      <c r="Q30" s="17"/>
      <c r="R30" s="1"/>
    </row>
    <row r="31" spans="1:19" x14ac:dyDescent="0.3">
      <c r="A31" s="47"/>
      <c r="B31" s="45"/>
      <c r="D31" s="46" t="s">
        <v>105</v>
      </c>
      <c r="E31" s="74" t="s">
        <v>103</v>
      </c>
      <c r="G31" s="68"/>
      <c r="R31" s="4" t="s">
        <v>106</v>
      </c>
    </row>
    <row r="32" spans="1:19" x14ac:dyDescent="0.3">
      <c r="A32" s="47"/>
      <c r="D32" s="4" t="s">
        <v>32</v>
      </c>
      <c r="E32" s="99" t="s">
        <v>102</v>
      </c>
      <c r="F32" s="160" t="s">
        <v>218</v>
      </c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49" t="s">
        <v>107</v>
      </c>
    </row>
    <row r="33" spans="1:19" x14ac:dyDescent="0.3">
      <c r="A33" s="50"/>
      <c r="B33" s="10" t="s">
        <v>121</v>
      </c>
      <c r="D33" s="129" t="s">
        <v>104</v>
      </c>
      <c r="E33" s="100">
        <f>E7</f>
        <v>2024</v>
      </c>
      <c r="F33" s="9" t="s">
        <v>91</v>
      </c>
      <c r="G33" s="9" t="s">
        <v>92</v>
      </c>
      <c r="H33" s="9" t="s">
        <v>93</v>
      </c>
      <c r="I33" s="9" t="s">
        <v>94</v>
      </c>
      <c r="J33" s="9" t="s">
        <v>95</v>
      </c>
      <c r="K33" s="9" t="s">
        <v>96</v>
      </c>
      <c r="L33" s="9" t="s">
        <v>97</v>
      </c>
      <c r="M33" s="9" t="s">
        <v>98</v>
      </c>
      <c r="N33" s="9" t="s">
        <v>99</v>
      </c>
      <c r="O33" s="9" t="s">
        <v>100</v>
      </c>
      <c r="P33" s="9" t="s">
        <v>101</v>
      </c>
      <c r="Q33" s="9" t="s">
        <v>90</v>
      </c>
    </row>
    <row r="34" spans="1:19" x14ac:dyDescent="0.3">
      <c r="A34" s="50"/>
      <c r="B34" s="10" t="s">
        <v>52</v>
      </c>
      <c r="D34" s="4"/>
      <c r="E34" s="75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9" x14ac:dyDescent="0.3">
      <c r="A35" s="47">
        <v>13</v>
      </c>
      <c r="B35" s="36" t="s">
        <v>165</v>
      </c>
      <c r="C35" s="159">
        <v>376</v>
      </c>
      <c r="D35" s="215">
        <v>1.49E-2</v>
      </c>
      <c r="E35" s="155">
        <v>539503</v>
      </c>
      <c r="F35" s="92">
        <f>ROUND(SUM($E$12:E12)*$D$35/12,0)</f>
        <v>86120</v>
      </c>
      <c r="G35" s="92">
        <f>ROUND(SUM($E$12:F12)*$D$35/12,0)</f>
        <v>86120</v>
      </c>
      <c r="H35" s="92">
        <f>ROUND(SUM($E$12:G12)*$D$35/12,0)</f>
        <v>86120</v>
      </c>
      <c r="I35" s="92">
        <f>ROUND(SUM($E$12:H12)*$D$35/12,0)</f>
        <v>86120</v>
      </c>
      <c r="J35" s="92">
        <f>ROUND(SUM($E$12:I12)*$D$35/12,0)</f>
        <v>86120</v>
      </c>
      <c r="K35" s="92">
        <f>ROUND(SUM($E$12:J12)*$D$35/12,0)</f>
        <v>86120</v>
      </c>
      <c r="L35" s="92">
        <f>ROUND(SUM($E$12:K12)*$D$35/12,0)</f>
        <v>86120</v>
      </c>
      <c r="M35" s="92">
        <f>ROUND(SUM($E$12:L12)*$D$35/12,0)</f>
        <v>86120</v>
      </c>
      <c r="N35" s="92">
        <f>ROUND(SUM($E$12:M12)*$D$35/12,0)</f>
        <v>86120</v>
      </c>
      <c r="O35" s="92">
        <f>ROUND(SUM($E$12:N12)*$D$35/12,0)</f>
        <v>86120</v>
      </c>
      <c r="P35" s="92">
        <f>ROUND(SUM($E$12:O12)*$D$35/12,0)</f>
        <v>128262</v>
      </c>
      <c r="Q35" s="92">
        <f>ROUND(SUM($E$12:P12)*$D$35/12,0)</f>
        <v>132011</v>
      </c>
      <c r="R35" s="19"/>
    </row>
    <row r="36" spans="1:19" x14ac:dyDescent="0.3">
      <c r="A36" s="122">
        <v>14</v>
      </c>
      <c r="B36" s="36" t="s">
        <v>172</v>
      </c>
      <c r="C36" s="159">
        <v>378</v>
      </c>
      <c r="D36" s="215">
        <v>2.0400000000000001E-2</v>
      </c>
      <c r="E36" s="155">
        <v>1615</v>
      </c>
      <c r="F36" s="92">
        <f>ROUND(SUM($E$13:E13)*$D$36/12,0)</f>
        <v>152</v>
      </c>
      <c r="G36" s="92">
        <f>ROUND(SUM($E$13:F13)*$D$36/12,0)</f>
        <v>152</v>
      </c>
      <c r="H36" s="92">
        <f>ROUND(SUM($E$13:G13)*$D$36/12,0)</f>
        <v>152</v>
      </c>
      <c r="I36" s="92">
        <f>ROUND(SUM($E$13:H13)*$D$36/12,0)</f>
        <v>152</v>
      </c>
      <c r="J36" s="92">
        <f>ROUND(SUM($E$13:I13)*$D$36/12,0)</f>
        <v>152</v>
      </c>
      <c r="K36" s="92">
        <f>ROUND(SUM($E$13:J13)*$D$36/12,0)</f>
        <v>152</v>
      </c>
      <c r="L36" s="92">
        <f>ROUND(SUM($E$13:K13)*$D$36/12,0)</f>
        <v>152</v>
      </c>
      <c r="M36" s="92">
        <f>ROUND(SUM($E$13:L13)*$D$36/12,0)</f>
        <v>152</v>
      </c>
      <c r="N36" s="92">
        <f>ROUND(SUM($E$13:M13)*$D$36/12,0)</f>
        <v>152</v>
      </c>
      <c r="O36" s="92">
        <f>ROUND(SUM($E$13:N13)*$D$36/12,0)</f>
        <v>152</v>
      </c>
      <c r="P36" s="92">
        <f>ROUND(SUM($E$13:O13)*$D$36/12,0)</f>
        <v>5303</v>
      </c>
      <c r="Q36" s="92">
        <f>ROUND(SUM($E$13:P13)*$D$36/12,0)</f>
        <v>5746</v>
      </c>
      <c r="R36" s="19"/>
    </row>
    <row r="37" spans="1:19" x14ac:dyDescent="0.3">
      <c r="A37" s="122">
        <v>15</v>
      </c>
      <c r="B37" s="36" t="s">
        <v>171</v>
      </c>
      <c r="C37" s="159">
        <v>374</v>
      </c>
      <c r="D37" s="215">
        <v>0</v>
      </c>
      <c r="E37" s="161">
        <v>0</v>
      </c>
      <c r="F37" s="133">
        <f>ROUND(SUM($E$14:E14)*$D$37/12,0)</f>
        <v>0</v>
      </c>
      <c r="G37" s="133">
        <f>ROUND(SUM($E$14:F14)*$D$37/12,0)</f>
        <v>0</v>
      </c>
      <c r="H37" s="133">
        <f>ROUND(SUM($E$14:G14)*$D$37/12,0)</f>
        <v>0</v>
      </c>
      <c r="I37" s="133">
        <f>ROUND(SUM($E$14:H14)*$D$37/12,0)</f>
        <v>0</v>
      </c>
      <c r="J37" s="133">
        <f>ROUND(SUM($E$14:I14)*$D$37/12,0)</f>
        <v>0</v>
      </c>
      <c r="K37" s="133">
        <f>ROUND(SUM($E$14:J14)*$D$37/12,0)</f>
        <v>0</v>
      </c>
      <c r="L37" s="133">
        <f>ROUND(SUM($E$14:K14)*$D$37/12,0)</f>
        <v>0</v>
      </c>
      <c r="M37" s="133">
        <f>ROUND(SUM($E$14:L14)*$D$37/12,0)</f>
        <v>0</v>
      </c>
      <c r="N37" s="133">
        <f>ROUND(SUM($E$14:M14)*$D$37/12,0)</f>
        <v>0</v>
      </c>
      <c r="O37" s="133">
        <f>ROUND(SUM($E$14:N14)*$D$37/12,0)</f>
        <v>0</v>
      </c>
      <c r="P37" s="133">
        <f>ROUND(SUM($E$14:O14)*$D$37/12,0)</f>
        <v>0</v>
      </c>
      <c r="Q37" s="133">
        <f>ROUND(SUM($E$14:P14)*$D$37/12,0)</f>
        <v>0</v>
      </c>
      <c r="R37" s="19"/>
    </row>
    <row r="38" spans="1:19" x14ac:dyDescent="0.3">
      <c r="A38" s="50">
        <v>16</v>
      </c>
      <c r="B38" t="s">
        <v>53</v>
      </c>
      <c r="C38" s="43"/>
      <c r="D38" s="162"/>
      <c r="E38" s="65">
        <f>SUM(E35:E37)</f>
        <v>541118</v>
      </c>
      <c r="F38" s="65">
        <f t="shared" ref="F38:Q38" si="3">SUM(F35:F37)</f>
        <v>86272</v>
      </c>
      <c r="G38" s="65">
        <f t="shared" si="3"/>
        <v>86272</v>
      </c>
      <c r="H38" s="65">
        <f t="shared" si="3"/>
        <v>86272</v>
      </c>
      <c r="I38" s="65">
        <f t="shared" si="3"/>
        <v>86272</v>
      </c>
      <c r="J38" s="65">
        <f t="shared" si="3"/>
        <v>86272</v>
      </c>
      <c r="K38" s="65">
        <f t="shared" si="3"/>
        <v>86272</v>
      </c>
      <c r="L38" s="65">
        <f t="shared" si="3"/>
        <v>86272</v>
      </c>
      <c r="M38" s="65">
        <f t="shared" si="3"/>
        <v>86272</v>
      </c>
      <c r="N38" s="65">
        <f t="shared" si="3"/>
        <v>86272</v>
      </c>
      <c r="O38" s="65">
        <f t="shared" si="3"/>
        <v>86272</v>
      </c>
      <c r="P38" s="65">
        <f t="shared" si="3"/>
        <v>133565</v>
      </c>
      <c r="Q38" s="65">
        <f t="shared" si="3"/>
        <v>137757</v>
      </c>
      <c r="R38" s="19"/>
      <c r="S38" s="68"/>
    </row>
    <row r="39" spans="1:19" x14ac:dyDescent="0.3">
      <c r="A39" s="47"/>
      <c r="C39" s="43"/>
      <c r="D39" s="162"/>
      <c r="E39" s="36"/>
      <c r="F39" s="1"/>
      <c r="R39" s="22"/>
    </row>
    <row r="40" spans="1:19" x14ac:dyDescent="0.3">
      <c r="A40" s="122"/>
      <c r="B40" s="10" t="s">
        <v>54</v>
      </c>
      <c r="D40" s="211"/>
      <c r="E40" s="75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9" x14ac:dyDescent="0.3">
      <c r="A41" s="122">
        <v>17</v>
      </c>
      <c r="B41" t="s">
        <v>165</v>
      </c>
      <c r="C41" s="134">
        <v>376</v>
      </c>
      <c r="D41" s="215">
        <v>1.49E-2</v>
      </c>
      <c r="E41" s="155">
        <v>3400</v>
      </c>
      <c r="F41" s="92">
        <f>ROUND(SUM($E$18:E18)*0.0149/12,0)</f>
        <v>498</v>
      </c>
      <c r="G41" s="92">
        <f>ROUND(SUM($E$18:F18)*0.0149/12,0)</f>
        <v>498</v>
      </c>
      <c r="H41" s="92">
        <f>ROUND(SUM($E$18:G18)*0.0149/12,0)</f>
        <v>498</v>
      </c>
      <c r="I41" s="92">
        <f>ROUND(SUM($E$18:H18)*0.0149/12,0)</f>
        <v>498</v>
      </c>
      <c r="J41" s="92">
        <f>ROUND(SUM($E$18:I18)*0.0149/12,0)</f>
        <v>498</v>
      </c>
      <c r="K41" s="92">
        <f>ROUND(SUM($E$18:J18)*0.0149/12,0)</f>
        <v>498</v>
      </c>
      <c r="L41" s="92">
        <f>ROUND(SUM($E$18:K18)*0.0149/12,0)</f>
        <v>498</v>
      </c>
      <c r="M41" s="92">
        <f>ROUND(SUM($E$18:L18)*0.0149/12,0)</f>
        <v>498</v>
      </c>
      <c r="N41" s="92">
        <f>ROUND(SUM($E$18:M18)*0.0149/12,0)</f>
        <v>498</v>
      </c>
      <c r="O41" s="92">
        <f>ROUND(SUM($E$18:N18)*0.0149/12,0)</f>
        <v>498</v>
      </c>
      <c r="P41" s="92">
        <f>ROUND(SUM($E$18:O18)*0.0149/12,0)</f>
        <v>590</v>
      </c>
      <c r="Q41" s="92">
        <f>ROUND(SUM($E$18:P18)*0.0149/12,0)</f>
        <v>590</v>
      </c>
      <c r="R41" s="19"/>
    </row>
    <row r="42" spans="1:19" x14ac:dyDescent="0.3">
      <c r="A42" s="122">
        <v>18</v>
      </c>
      <c r="B42" t="s">
        <v>172</v>
      </c>
      <c r="C42" s="134">
        <v>378</v>
      </c>
      <c r="D42" s="215">
        <v>2.0400000000000001E-2</v>
      </c>
      <c r="E42" s="126">
        <v>0</v>
      </c>
      <c r="F42" s="92">
        <f>ROUND(SUM($E$19:E19)*0.0204/12,0)</f>
        <v>0</v>
      </c>
      <c r="G42" s="92">
        <f>ROUND(SUM($E$19:F19)*0.0204/12,0)</f>
        <v>0</v>
      </c>
      <c r="H42" s="92">
        <f>ROUND(SUM($E$19:G19)*0.0204/12,0)</f>
        <v>0</v>
      </c>
      <c r="I42" s="92">
        <f>ROUND(SUM($E$19:H19)*0.0204/12,0)</f>
        <v>0</v>
      </c>
      <c r="J42" s="92">
        <f>ROUND(SUM($E$19:I19)*0.0204/12,0)</f>
        <v>0</v>
      </c>
      <c r="K42" s="92">
        <f>ROUND(SUM($E$19:J19)*0.0204/12,0)</f>
        <v>0</v>
      </c>
      <c r="L42" s="92">
        <f>ROUND(SUM($E$19:K19)*0.0204/12,0)</f>
        <v>0</v>
      </c>
      <c r="M42" s="92">
        <f>ROUND(SUM($E$19:L19)*0.0204/12,0)</f>
        <v>0</v>
      </c>
      <c r="N42" s="92">
        <f>ROUND(SUM($E$19:M19)*0.0204/12,0)</f>
        <v>0</v>
      </c>
      <c r="O42" s="92">
        <f>ROUND(SUM($E$19:N19)*0.0204/12,0)</f>
        <v>0</v>
      </c>
      <c r="P42" s="92">
        <f>ROUND(SUM($E$19:O19)*0.0204/12,0)</f>
        <v>0</v>
      </c>
      <c r="Q42" s="92">
        <f>ROUND(SUM($E$19:P19)*0.0204/12,0)</f>
        <v>0</v>
      </c>
      <c r="R42" s="19"/>
    </row>
    <row r="43" spans="1:19" x14ac:dyDescent="0.3">
      <c r="A43" s="122">
        <v>19</v>
      </c>
      <c r="B43" t="s">
        <v>171</v>
      </c>
      <c r="C43" s="134">
        <v>374</v>
      </c>
      <c r="D43" s="215">
        <v>0</v>
      </c>
      <c r="E43" s="184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9"/>
    </row>
    <row r="44" spans="1:19" x14ac:dyDescent="0.3">
      <c r="A44" s="122">
        <v>20</v>
      </c>
      <c r="B44" t="s">
        <v>53</v>
      </c>
      <c r="C44" s="43"/>
      <c r="D44" s="43"/>
      <c r="E44" s="65">
        <f t="shared" ref="E44:Q44" si="4">SUM(E41:E41)</f>
        <v>3400</v>
      </c>
      <c r="F44" s="65">
        <f t="shared" si="4"/>
        <v>498</v>
      </c>
      <c r="G44" s="59">
        <f t="shared" si="4"/>
        <v>498</v>
      </c>
      <c r="H44" s="59">
        <f t="shared" si="4"/>
        <v>498</v>
      </c>
      <c r="I44" s="59">
        <f t="shared" si="4"/>
        <v>498</v>
      </c>
      <c r="J44" s="59">
        <f t="shared" si="4"/>
        <v>498</v>
      </c>
      <c r="K44" s="59">
        <f t="shared" si="4"/>
        <v>498</v>
      </c>
      <c r="L44" s="59">
        <f t="shared" si="4"/>
        <v>498</v>
      </c>
      <c r="M44" s="59">
        <f t="shared" si="4"/>
        <v>498</v>
      </c>
      <c r="N44" s="59">
        <f t="shared" si="4"/>
        <v>498</v>
      </c>
      <c r="O44" s="59">
        <f t="shared" si="4"/>
        <v>498</v>
      </c>
      <c r="P44" s="59">
        <f t="shared" si="4"/>
        <v>590</v>
      </c>
      <c r="Q44" s="59">
        <f t="shared" si="4"/>
        <v>590</v>
      </c>
      <c r="R44" s="19"/>
      <c r="S44" s="68"/>
    </row>
    <row r="45" spans="1:19" x14ac:dyDescent="0.3">
      <c r="A45" s="122"/>
      <c r="C45" s="43"/>
      <c r="D45" s="43"/>
      <c r="F45" s="1"/>
      <c r="R45" s="22"/>
      <c r="S45" s="68"/>
    </row>
    <row r="46" spans="1:19" ht="15" thickBot="1" x14ac:dyDescent="0.35">
      <c r="A46" s="122">
        <v>21</v>
      </c>
      <c r="B46" s="10" t="s">
        <v>108</v>
      </c>
      <c r="C46" s="122"/>
      <c r="D46" s="122"/>
      <c r="E46" s="69">
        <f>+E38-E44</f>
        <v>537718</v>
      </c>
      <c r="F46" s="69">
        <f>E46+F38-F44</f>
        <v>623492</v>
      </c>
      <c r="G46" s="69">
        <f t="shared" ref="G46:Q46" si="5">F46+G38-G44</f>
        <v>709266</v>
      </c>
      <c r="H46" s="69">
        <f t="shared" si="5"/>
        <v>795040</v>
      </c>
      <c r="I46" s="69">
        <f t="shared" si="5"/>
        <v>880814</v>
      </c>
      <c r="J46" s="69">
        <f t="shared" si="5"/>
        <v>966588</v>
      </c>
      <c r="K46" s="69">
        <f t="shared" si="5"/>
        <v>1052362</v>
      </c>
      <c r="L46" s="69">
        <f t="shared" si="5"/>
        <v>1138136</v>
      </c>
      <c r="M46" s="69">
        <f t="shared" si="5"/>
        <v>1223910</v>
      </c>
      <c r="N46" s="69">
        <f t="shared" si="5"/>
        <v>1309684</v>
      </c>
      <c r="O46" s="69">
        <f t="shared" si="5"/>
        <v>1395458</v>
      </c>
      <c r="P46" s="69">
        <f t="shared" si="5"/>
        <v>1528433</v>
      </c>
      <c r="Q46" s="69">
        <f t="shared" si="5"/>
        <v>1665600</v>
      </c>
      <c r="R46" s="69">
        <f>AVERAGE(E46:Q46)</f>
        <v>1063577</v>
      </c>
    </row>
    <row r="47" spans="1:19" ht="15" thickTop="1" x14ac:dyDescent="0.3">
      <c r="A47" s="122"/>
      <c r="C47" s="122"/>
      <c r="D47" s="122"/>
      <c r="E47" s="51"/>
      <c r="F47" s="5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9" spans="1:5" x14ac:dyDescent="0.3">
      <c r="A49" t="s">
        <v>41</v>
      </c>
    </row>
    <row r="50" spans="1:5" x14ac:dyDescent="0.3">
      <c r="A50" s="158" t="s">
        <v>248</v>
      </c>
      <c r="B50" s="36"/>
      <c r="C50" s="36"/>
      <c r="D50" s="36"/>
      <c r="E50" s="36"/>
    </row>
  </sheetData>
  <printOptions horizontalCentered="1"/>
  <pageMargins left="0.7" right="0.7" top="0.75" bottom="0.75" header="0.3" footer="0.3"/>
  <pageSetup scale="50" orientation="landscape" r:id="rId1"/>
  <headerFooter>
    <oddHeader xml:space="preserve">&amp;RKyPSC Case No. 2024-00191
Exhibit 3
Schedule 2.0
Page &amp;P of &amp;N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4F04-2824-43B1-BE77-853FEA8C785D}">
  <sheetPr>
    <pageSetUpPr fitToPage="1"/>
  </sheetPr>
  <dimension ref="A1:N32"/>
  <sheetViews>
    <sheetView zoomScaleNormal="100" workbookViewId="0">
      <selection activeCell="J22" sqref="J22"/>
    </sheetView>
  </sheetViews>
  <sheetFormatPr defaultRowHeight="14.4" x14ac:dyDescent="0.3"/>
  <cols>
    <col min="1" max="1" width="7.21875" customWidth="1"/>
    <col min="2" max="2" width="35.77734375" customWidth="1"/>
    <col min="3" max="3" width="8.21875" customWidth="1"/>
    <col min="4" max="4" width="13.21875" customWidth="1"/>
    <col min="5" max="5" width="3.77734375" customWidth="1"/>
    <col min="6" max="8" width="13.21875" customWidth="1"/>
    <col min="9" max="9" width="3.77734375" customWidth="1"/>
    <col min="10" max="12" width="13.21875" customWidth="1"/>
    <col min="13" max="13" width="13.77734375" bestFit="1" customWidth="1"/>
  </cols>
  <sheetData>
    <row r="1" spans="1:14" x14ac:dyDescent="0.3">
      <c r="A1" s="122"/>
      <c r="B1" s="33"/>
      <c r="D1" s="122"/>
      <c r="F1" s="122"/>
    </row>
    <row r="2" spans="1:14" x14ac:dyDescent="0.3">
      <c r="A2" s="277" t="s">
        <v>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 x14ac:dyDescent="0.3">
      <c r="A3" s="277" t="s">
        <v>134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</row>
    <row r="4" spans="1:14" x14ac:dyDescent="0.3">
      <c r="A4" s="277" t="s">
        <v>28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</row>
    <row r="5" spans="1:14" x14ac:dyDescent="0.3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</row>
    <row r="6" spans="1:14" x14ac:dyDescent="0.3">
      <c r="A6" s="122"/>
      <c r="D6" s="226" t="s">
        <v>161</v>
      </c>
      <c r="F6" s="280" t="s">
        <v>167</v>
      </c>
      <c r="G6" s="280"/>
      <c r="H6" s="280"/>
      <c r="J6" s="280" t="s">
        <v>242</v>
      </c>
      <c r="K6" s="280"/>
      <c r="L6" s="280"/>
      <c r="M6" s="280"/>
    </row>
    <row r="7" spans="1:14" x14ac:dyDescent="0.3">
      <c r="A7" s="217"/>
      <c r="B7" s="217"/>
      <c r="C7" s="217"/>
      <c r="D7" s="217" t="s">
        <v>70</v>
      </c>
      <c r="F7" s="217" t="s">
        <v>70</v>
      </c>
      <c r="G7" s="217" t="s">
        <v>70</v>
      </c>
      <c r="J7" s="217" t="s">
        <v>70</v>
      </c>
      <c r="K7" s="217" t="s">
        <v>70</v>
      </c>
      <c r="L7" s="217" t="s">
        <v>70</v>
      </c>
    </row>
    <row r="8" spans="1:14" x14ac:dyDescent="0.3">
      <c r="A8" s="9" t="s">
        <v>240</v>
      </c>
      <c r="B8" s="9"/>
      <c r="C8" s="9"/>
      <c r="D8" s="9">
        <v>2023</v>
      </c>
      <c r="F8" s="9">
        <v>2023</v>
      </c>
      <c r="G8" s="9">
        <v>2024</v>
      </c>
      <c r="H8" s="9" t="s">
        <v>82</v>
      </c>
      <c r="J8" s="9">
        <v>2023</v>
      </c>
      <c r="K8" s="9">
        <v>2024</v>
      </c>
      <c r="L8" s="9">
        <v>2025</v>
      </c>
      <c r="M8" s="9" t="s">
        <v>82</v>
      </c>
    </row>
    <row r="9" spans="1:14" x14ac:dyDescent="0.3">
      <c r="B9" s="216" t="s">
        <v>63</v>
      </c>
      <c r="C9" s="216" t="s">
        <v>64</v>
      </c>
      <c r="D9" s="216" t="s">
        <v>66</v>
      </c>
      <c r="F9" s="216" t="s">
        <v>84</v>
      </c>
      <c r="G9" s="216" t="s">
        <v>109</v>
      </c>
      <c r="H9" s="216" t="s">
        <v>110</v>
      </c>
      <c r="J9" s="216" t="s">
        <v>111</v>
      </c>
      <c r="K9" s="216" t="s">
        <v>112</v>
      </c>
      <c r="L9" s="216" t="s">
        <v>113</v>
      </c>
      <c r="M9" s="216" t="s">
        <v>114</v>
      </c>
    </row>
    <row r="10" spans="1:14" x14ac:dyDescent="0.3">
      <c r="A10" s="122"/>
    </row>
    <row r="11" spans="1:14" x14ac:dyDescent="0.3">
      <c r="A11" s="122">
        <v>1</v>
      </c>
      <c r="B11" t="s">
        <v>241</v>
      </c>
      <c r="C11" s="18"/>
      <c r="D11" s="237">
        <f>+'Sch 4.3'!Q12-'Sch 4.3'!Q18</f>
        <v>26061210</v>
      </c>
      <c r="E11" s="238"/>
      <c r="F11" s="237">
        <f>+D11</f>
        <v>26061210</v>
      </c>
      <c r="G11" s="237">
        <f>+G14+G15</f>
        <v>42985421</v>
      </c>
      <c r="H11" s="68">
        <f>SUM(F11:G11)</f>
        <v>69046631</v>
      </c>
      <c r="J11" s="68">
        <f>+D11</f>
        <v>26061210</v>
      </c>
      <c r="K11" s="68">
        <f>+K14+K15</f>
        <v>42985421</v>
      </c>
      <c r="L11" s="68">
        <f>+'Sch 2.1'!C21+'Sch 2.1'!C22+'Sch 2.1'!C23</f>
        <v>38449141</v>
      </c>
      <c r="M11" s="68">
        <f>SUM(J11:L11)</f>
        <v>107495772</v>
      </c>
    </row>
    <row r="12" spans="1:14" ht="16.2" x14ac:dyDescent="0.45">
      <c r="A12" s="122"/>
      <c r="C12" s="18"/>
      <c r="D12" s="24"/>
      <c r="F12" s="77"/>
      <c r="G12" s="77"/>
      <c r="H12" s="77"/>
      <c r="J12" s="77"/>
      <c r="K12" s="77"/>
      <c r="L12" s="77"/>
      <c r="M12" s="77"/>
    </row>
    <row r="13" spans="1:14" x14ac:dyDescent="0.3">
      <c r="A13" s="122"/>
      <c r="B13" t="s">
        <v>68</v>
      </c>
      <c r="C13" s="30"/>
      <c r="D13" s="27"/>
      <c r="F13" s="78"/>
      <c r="G13" s="78"/>
      <c r="H13" s="78"/>
      <c r="J13" s="78"/>
      <c r="K13" s="78"/>
      <c r="L13" s="78"/>
      <c r="M13" s="78"/>
    </row>
    <row r="14" spans="1:14" x14ac:dyDescent="0.3">
      <c r="A14" s="122">
        <v>2</v>
      </c>
      <c r="B14" t="s">
        <v>243</v>
      </c>
      <c r="C14" s="31"/>
      <c r="D14" s="227">
        <f>+'Sch 2.1'!C10</f>
        <v>26061210</v>
      </c>
      <c r="F14" s="228">
        <f>F11</f>
        <v>26061210</v>
      </c>
      <c r="G14" s="228">
        <f>+'Sch 2.1'!C11</f>
        <v>42895821</v>
      </c>
      <c r="H14" s="79">
        <f>SUM(F14:G14)</f>
        <v>68957031</v>
      </c>
      <c r="J14" s="228">
        <f>J11</f>
        <v>26061210</v>
      </c>
      <c r="K14" s="228">
        <f>+G14</f>
        <v>42895821</v>
      </c>
      <c r="L14" s="228">
        <f>+'Sch 2.1'!C21+'Sch 2.1'!C22+'Sch 2.1'!C23</f>
        <v>38449141</v>
      </c>
      <c r="M14" s="79">
        <f>SUM(J14:L14)</f>
        <v>107406172</v>
      </c>
    </row>
    <row r="15" spans="1:14" x14ac:dyDescent="0.3">
      <c r="A15" s="122">
        <f>A14+1</f>
        <v>3</v>
      </c>
      <c r="B15" t="s">
        <v>244</v>
      </c>
      <c r="C15" s="31"/>
      <c r="D15" s="229">
        <f>+'Sch 2.1'!D10</f>
        <v>0</v>
      </c>
      <c r="F15" s="229">
        <f>+D15</f>
        <v>0</v>
      </c>
      <c r="G15" s="229">
        <f>+'Sch 2.1'!D11</f>
        <v>89600</v>
      </c>
      <c r="H15" s="229">
        <f>SUM(F15:G15)</f>
        <v>89600</v>
      </c>
      <c r="J15" s="229">
        <f>+F15</f>
        <v>0</v>
      </c>
      <c r="K15" s="229">
        <f>+G15</f>
        <v>89600</v>
      </c>
      <c r="L15" s="229">
        <f>+'Sch 2.1'!D21+'Sch 2.1'!D22+'Sch 2.1'!D23</f>
        <v>3423012</v>
      </c>
      <c r="M15" s="229">
        <f>SUM(J15:L15)</f>
        <v>3512612</v>
      </c>
    </row>
    <row r="16" spans="1:14" x14ac:dyDescent="0.3">
      <c r="A16" s="122"/>
      <c r="B16" s="10"/>
      <c r="C16" s="31"/>
      <c r="D16" s="34"/>
      <c r="F16" s="34"/>
      <c r="G16" s="34"/>
      <c r="H16" s="34"/>
      <c r="J16" s="34"/>
      <c r="K16" s="34"/>
      <c r="L16" s="34"/>
      <c r="M16" s="34"/>
    </row>
    <row r="17" spans="1:13" x14ac:dyDescent="0.3">
      <c r="A17" s="122"/>
      <c r="B17" t="s">
        <v>13</v>
      </c>
      <c r="C17" s="18"/>
      <c r="D17" s="230"/>
      <c r="F17" s="231"/>
      <c r="G17" s="231"/>
      <c r="H17" s="231"/>
      <c r="J17" s="231"/>
      <c r="K17" s="231"/>
      <c r="L17" s="231"/>
      <c r="M17" s="231"/>
    </row>
    <row r="18" spans="1:13" x14ac:dyDescent="0.3">
      <c r="A18" s="122">
        <v>4</v>
      </c>
      <c r="B18" t="s">
        <v>243</v>
      </c>
      <c r="C18" s="31"/>
      <c r="D18" s="227">
        <f>+'Sch 2.1'!H10</f>
        <v>1303060.5</v>
      </c>
      <c r="F18" s="228" t="e">
        <f>+F14*'Sch 2.1'!#REF!</f>
        <v>#REF!</v>
      </c>
      <c r="G18" s="228" t="e">
        <f>ROUND(G14*'Sch 2.1'!#REF!,0)</f>
        <v>#REF!</v>
      </c>
      <c r="H18" s="79" t="e">
        <f>SUM(F18:G18)</f>
        <v>#REF!</v>
      </c>
      <c r="J18" s="228" t="e">
        <f>+J14*'Sch 2.1'!#REF!</f>
        <v>#REF!</v>
      </c>
      <c r="K18" s="232" t="e">
        <f>+K14*'Sch 2.1'!#REF!</f>
        <v>#REF!</v>
      </c>
      <c r="L18" s="228" t="e">
        <f>+L14*'Sch 2.1'!#REF!</f>
        <v>#REF!</v>
      </c>
      <c r="M18" s="79" t="e">
        <f>SUM(J18:L18)</f>
        <v>#REF!</v>
      </c>
    </row>
    <row r="19" spans="1:13" x14ac:dyDescent="0.3">
      <c r="A19" s="122">
        <f t="shared" ref="A19:A20" si="0">A18+1</f>
        <v>5</v>
      </c>
      <c r="B19" t="s">
        <v>244</v>
      </c>
      <c r="C19" s="31"/>
      <c r="D19" s="229">
        <f>+D15*'Sch 2.1'!B58</f>
        <v>0</v>
      </c>
      <c r="F19" s="229">
        <f>+F15*'Sch 2.1'!C58</f>
        <v>0</v>
      </c>
      <c r="G19" s="229">
        <f>+G15*'Sch 2.1'!B58</f>
        <v>4480</v>
      </c>
      <c r="H19" s="79">
        <f>SUM(F19:G19)</f>
        <v>4480</v>
      </c>
      <c r="J19" s="229">
        <f>+J15*'Sch 2.1'!D58</f>
        <v>0</v>
      </c>
      <c r="K19" s="229">
        <f>+K15*'Sch 2.1'!C58</f>
        <v>8512</v>
      </c>
      <c r="L19" s="229">
        <f>+L15*'Sch 2.1'!B58</f>
        <v>171150.6</v>
      </c>
      <c r="M19" s="79">
        <f>SUM(J19:L19)</f>
        <v>179662.6</v>
      </c>
    </row>
    <row r="20" spans="1:13" x14ac:dyDescent="0.3">
      <c r="A20" s="122">
        <f t="shared" si="0"/>
        <v>6</v>
      </c>
      <c r="B20" t="s">
        <v>71</v>
      </c>
      <c r="C20" s="31"/>
      <c r="D20" s="233">
        <f>+D18+D19</f>
        <v>1303060.5</v>
      </c>
      <c r="F20" s="233" t="e">
        <f>+F18+F19</f>
        <v>#REF!</v>
      </c>
      <c r="G20" s="233" t="e">
        <f>+G18+G19</f>
        <v>#REF!</v>
      </c>
      <c r="H20" s="233" t="e">
        <f>SUM(F20:G20)</f>
        <v>#REF!</v>
      </c>
      <c r="J20" s="233" t="e">
        <f>+J18+J19</f>
        <v>#REF!</v>
      </c>
      <c r="K20" s="233" t="e">
        <f>+K18+K19</f>
        <v>#REF!</v>
      </c>
      <c r="L20" s="233" t="e">
        <f>+L18+L19</f>
        <v>#REF!</v>
      </c>
      <c r="M20" s="233" t="e">
        <f>SUM(J20:L20)</f>
        <v>#REF!</v>
      </c>
    </row>
    <row r="21" spans="1:13" x14ac:dyDescent="0.3">
      <c r="A21" s="122"/>
      <c r="C21" s="31"/>
      <c r="D21" s="34"/>
      <c r="F21" s="34"/>
      <c r="G21" s="34"/>
      <c r="H21" s="34"/>
      <c r="J21" s="34"/>
      <c r="K21" s="34"/>
      <c r="L21" s="34"/>
      <c r="M21" s="34"/>
    </row>
    <row r="22" spans="1:13" x14ac:dyDescent="0.3">
      <c r="A22" s="122">
        <f>+A20+1</f>
        <v>7</v>
      </c>
      <c r="B22" t="s">
        <v>72</v>
      </c>
      <c r="D22" s="234">
        <f>+'Sch 2.1'!K10</f>
        <v>0</v>
      </c>
      <c r="F22" s="234">
        <f>+'Sch 2.1'!K10</f>
        <v>0</v>
      </c>
      <c r="G22" s="234">
        <f>+'Sch 2.1'!K11</f>
        <v>537718</v>
      </c>
      <c r="H22" s="79">
        <v>202555</v>
      </c>
      <c r="J22" s="234">
        <v>120165</v>
      </c>
      <c r="K22" s="234">
        <v>219705.90282759999</v>
      </c>
      <c r="L22" s="234">
        <f>M22-J22-K22</f>
        <v>89056.097172400012</v>
      </c>
      <c r="M22" s="79">
        <v>428927</v>
      </c>
    </row>
    <row r="23" spans="1:13" x14ac:dyDescent="0.3">
      <c r="A23" s="122"/>
      <c r="D23" s="34"/>
      <c r="F23" s="34"/>
      <c r="G23" s="34"/>
      <c r="H23" s="34"/>
      <c r="J23" s="34"/>
      <c r="K23" s="34"/>
      <c r="L23" s="34"/>
      <c r="M23" s="34"/>
    </row>
    <row r="24" spans="1:13" x14ac:dyDescent="0.3">
      <c r="A24" s="122">
        <f>A22+1</f>
        <v>8</v>
      </c>
      <c r="B24" t="s">
        <v>73</v>
      </c>
      <c r="D24" s="34">
        <f>+D20-D22</f>
        <v>1303060.5</v>
      </c>
      <c r="F24" s="34" t="e">
        <f>+F20-F22</f>
        <v>#REF!</v>
      </c>
      <c r="G24" s="34" t="e">
        <f>+G20-G22</f>
        <v>#REF!</v>
      </c>
      <c r="H24" s="79" t="e">
        <f>SUM(F24:G24)</f>
        <v>#REF!</v>
      </c>
      <c r="J24" s="34" t="e">
        <f>+J20-J22</f>
        <v>#REF!</v>
      </c>
      <c r="K24" s="34" t="e">
        <f>+K20-K22</f>
        <v>#REF!</v>
      </c>
      <c r="L24" s="34" t="e">
        <f>+L20-L22</f>
        <v>#REF!</v>
      </c>
      <c r="M24" s="79" t="e">
        <f>SUM(J24:L24)</f>
        <v>#REF!</v>
      </c>
    </row>
    <row r="25" spans="1:13" x14ac:dyDescent="0.3">
      <c r="A25" s="122"/>
      <c r="D25" s="34"/>
      <c r="F25" s="34"/>
      <c r="G25" s="34"/>
      <c r="H25" s="34"/>
      <c r="J25" s="34"/>
      <c r="K25" s="34"/>
      <c r="L25" s="34"/>
      <c r="M25" s="34"/>
    </row>
    <row r="26" spans="1:13" x14ac:dyDescent="0.3">
      <c r="A26" s="122">
        <f>+A24+1</f>
        <v>9</v>
      </c>
      <c r="B26" t="s">
        <v>25</v>
      </c>
      <c r="D26" s="34">
        <v>8798</v>
      </c>
      <c r="F26" s="34">
        <v>0</v>
      </c>
      <c r="G26" s="34">
        <v>0</v>
      </c>
      <c r="H26" s="79">
        <f>SUM(F26:G26)</f>
        <v>0</v>
      </c>
      <c r="J26" s="34">
        <v>0</v>
      </c>
      <c r="K26" s="34">
        <v>0</v>
      </c>
      <c r="L26" s="34">
        <v>0</v>
      </c>
      <c r="M26" s="79">
        <f>SUM(J26:L26)</f>
        <v>0</v>
      </c>
    </row>
    <row r="27" spans="1:13" x14ac:dyDescent="0.3">
      <c r="A27" s="122">
        <f>+A26+1</f>
        <v>10</v>
      </c>
      <c r="B27" t="s">
        <v>75</v>
      </c>
      <c r="D27" s="67">
        <f>+D24+D26</f>
        <v>1311858.5</v>
      </c>
      <c r="E27" s="68"/>
      <c r="F27" s="67" t="e">
        <f>+F24+F26</f>
        <v>#REF!</v>
      </c>
      <c r="G27" s="67" t="e">
        <f>+G24+G26</f>
        <v>#REF!</v>
      </c>
      <c r="H27" s="82" t="e">
        <f>SUM(F27:G27)</f>
        <v>#REF!</v>
      </c>
      <c r="J27" s="67" t="e">
        <f>+J24+J26</f>
        <v>#REF!</v>
      </c>
      <c r="K27" s="67" t="e">
        <f>+K24+K26</f>
        <v>#REF!</v>
      </c>
      <c r="L27" s="67" t="e">
        <f>+L24+L26</f>
        <v>#REF!</v>
      </c>
      <c r="M27" s="82" t="e">
        <f>SUM(J27:L27)</f>
        <v>#REF!</v>
      </c>
    </row>
    <row r="28" spans="1:13" x14ac:dyDescent="0.3">
      <c r="A28" s="122"/>
      <c r="D28" s="34"/>
      <c r="F28" s="34"/>
      <c r="G28" s="34"/>
      <c r="H28" s="34"/>
      <c r="J28" s="34"/>
      <c r="K28" s="34"/>
      <c r="L28" s="34"/>
      <c r="M28" s="34"/>
    </row>
    <row r="29" spans="1:13" x14ac:dyDescent="0.3">
      <c r="A29" s="122">
        <f>A27+1</f>
        <v>11</v>
      </c>
      <c r="B29" t="s">
        <v>74</v>
      </c>
      <c r="C29" s="235">
        <v>0.38469999999999999</v>
      </c>
      <c r="D29" s="34">
        <f>ROUND(D27*$C$29,0)</f>
        <v>504672</v>
      </c>
      <c r="F29" s="34" t="e">
        <f>ROUND(F27*$C$29,0)</f>
        <v>#REF!</v>
      </c>
      <c r="G29" s="34" t="e">
        <f>ROUND(G27*$C$29,0)</f>
        <v>#REF!</v>
      </c>
      <c r="H29" s="79" t="e">
        <f>SUM(F29:G29)</f>
        <v>#REF!</v>
      </c>
      <c r="J29" s="34" t="e">
        <f>ROUND(J27*$C$29,0)</f>
        <v>#REF!</v>
      </c>
      <c r="K29" s="34" t="e">
        <f>ROUND(K27*$C$29,0)</f>
        <v>#REF!</v>
      </c>
      <c r="L29" s="34" t="e">
        <f>ROUND(L27*$C$29,0)</f>
        <v>#REF!</v>
      </c>
      <c r="M29" s="79" t="e">
        <f>SUM(J29:L29)</f>
        <v>#REF!</v>
      </c>
    </row>
    <row r="30" spans="1:13" x14ac:dyDescent="0.3">
      <c r="A30" s="122"/>
    </row>
    <row r="31" spans="1:13" ht="15" thickBot="1" x14ac:dyDescent="0.35">
      <c r="A31" s="122">
        <f>A29+1</f>
        <v>12</v>
      </c>
      <c r="B31" t="s">
        <v>127</v>
      </c>
      <c r="H31" s="68"/>
      <c r="M31" s="66" t="e">
        <f>+D29+M29+H29</f>
        <v>#REF!</v>
      </c>
    </row>
    <row r="32" spans="1:13" ht="15" thickTop="1" x14ac:dyDescent="0.3">
      <c r="A32" s="6"/>
    </row>
  </sheetData>
  <mergeCells count="6">
    <mergeCell ref="A2:N2"/>
    <mergeCell ref="A3:N3"/>
    <mergeCell ref="A4:N4"/>
    <mergeCell ref="A5:N5"/>
    <mergeCell ref="F6:H6"/>
    <mergeCell ref="J6:M6"/>
  </mergeCells>
  <pageMargins left="0.7" right="0.69781249999999995" top="0.75" bottom="0.75" header="0.3" footer="0.3"/>
  <pageSetup scale="70" orientation="landscape" r:id="rId1"/>
  <headerFooter>
    <oddHeader xml:space="preserve">&amp;RExhibit 1
Schedule 2.1
Page &amp;P of &amp;N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59"/>
  <sheetViews>
    <sheetView view="pageLayout" topLeftCell="F1" zoomScale="96" zoomScaleNormal="100" zoomScalePageLayoutView="96" workbookViewId="0">
      <selection sqref="A1:R1"/>
    </sheetView>
  </sheetViews>
  <sheetFormatPr defaultRowHeight="14.4" x14ac:dyDescent="0.3"/>
  <cols>
    <col min="1" max="1" width="10.21875" customWidth="1"/>
    <col min="2" max="2" width="11.77734375" customWidth="1"/>
    <col min="3" max="3" width="27.21875" customWidth="1"/>
    <col min="4" max="4" width="19.44140625" customWidth="1"/>
    <col min="5" max="5" width="18.21875" customWidth="1"/>
    <col min="6" max="6" width="14.77734375" bestFit="1" customWidth="1"/>
    <col min="7" max="7" width="3.77734375" customWidth="1"/>
    <col min="8" max="8" width="14" customWidth="1"/>
    <col min="9" max="9" width="16.21875" customWidth="1"/>
    <col min="10" max="10" width="13.44140625" customWidth="1"/>
    <col min="11" max="11" width="18.77734375" bestFit="1" customWidth="1"/>
    <col min="12" max="12" width="15.44140625" customWidth="1"/>
    <col min="13" max="13" width="15.21875" customWidth="1"/>
    <col min="14" max="14" width="12.44140625" customWidth="1"/>
    <col min="15" max="16" width="14.77734375" customWidth="1"/>
    <col min="17" max="17" width="13.21875" customWidth="1"/>
    <col min="18" max="18" width="23.44140625" bestFit="1" customWidth="1"/>
  </cols>
  <sheetData>
    <row r="1" spans="1:18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x14ac:dyDescent="0.3">
      <c r="A2" s="102" t="s">
        <v>134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x14ac:dyDescent="0.3">
      <c r="A3" s="102" t="s">
        <v>28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x14ac:dyDescent="0.3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25"/>
      <c r="M4" s="102"/>
      <c r="N4" s="102"/>
      <c r="O4" s="102"/>
      <c r="P4" s="102"/>
      <c r="Q4" s="102"/>
      <c r="R4" s="102"/>
    </row>
    <row r="5" spans="1:18" ht="15.6" x14ac:dyDescent="0.3">
      <c r="A5" s="185" t="s">
        <v>103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7" spans="1:18" ht="28.8" x14ac:dyDescent="0.3">
      <c r="A7" s="186" t="s">
        <v>231</v>
      </c>
      <c r="B7" s="204"/>
      <c r="C7" s="187" t="s">
        <v>173</v>
      </c>
      <c r="D7" s="187" t="s">
        <v>174</v>
      </c>
      <c r="E7" s="187" t="s">
        <v>186</v>
      </c>
      <c r="F7" s="187" t="s">
        <v>187</v>
      </c>
      <c r="G7" s="186"/>
      <c r="H7" s="218" t="s">
        <v>232</v>
      </c>
      <c r="I7" s="218" t="s">
        <v>233</v>
      </c>
      <c r="J7" s="187" t="s">
        <v>190</v>
      </c>
      <c r="K7" s="187" t="s">
        <v>175</v>
      </c>
      <c r="L7" s="276" t="s">
        <v>191</v>
      </c>
      <c r="M7" s="276" t="s">
        <v>194</v>
      </c>
      <c r="N7" s="276" t="s">
        <v>195</v>
      </c>
      <c r="O7" s="276" t="s">
        <v>196</v>
      </c>
      <c r="P7" s="276" t="s">
        <v>260</v>
      </c>
      <c r="Q7" s="276" t="s">
        <v>199</v>
      </c>
    </row>
    <row r="8" spans="1:18" ht="15" customHeight="1" x14ac:dyDescent="0.3">
      <c r="H8" s="122"/>
      <c r="I8" s="122"/>
      <c r="J8" s="122"/>
      <c r="L8" s="122"/>
      <c r="M8" s="201"/>
      <c r="N8" s="122"/>
      <c r="O8" s="122"/>
      <c r="P8" s="122"/>
      <c r="Q8" s="122"/>
    </row>
    <row r="9" spans="1:18" ht="57.6" x14ac:dyDescent="0.3">
      <c r="B9" s="188" t="s">
        <v>57</v>
      </c>
      <c r="C9" s="198" t="s">
        <v>179</v>
      </c>
      <c r="D9" s="198" t="s">
        <v>185</v>
      </c>
      <c r="E9" s="198" t="s">
        <v>180</v>
      </c>
      <c r="F9" s="198" t="s">
        <v>184</v>
      </c>
      <c r="G9" s="210"/>
      <c r="H9" s="198" t="s">
        <v>234</v>
      </c>
      <c r="I9" s="198" t="s">
        <v>235</v>
      </c>
      <c r="J9" s="198" t="s">
        <v>181</v>
      </c>
      <c r="K9" s="188" t="s">
        <v>72</v>
      </c>
      <c r="L9" s="198" t="s">
        <v>192</v>
      </c>
      <c r="M9" s="198" t="s">
        <v>193</v>
      </c>
      <c r="N9" s="198" t="s">
        <v>182</v>
      </c>
      <c r="O9" s="198" t="s">
        <v>183</v>
      </c>
      <c r="P9" s="198" t="s">
        <v>197</v>
      </c>
      <c r="Q9" s="198" t="s">
        <v>198</v>
      </c>
    </row>
    <row r="10" spans="1:18" x14ac:dyDescent="0.3">
      <c r="B10" s="189">
        <v>45261</v>
      </c>
      <c r="C10" s="1">
        <f>+'Sch 4.3'!Q12-'Sch 4.3'!Q18</f>
        <v>26061210</v>
      </c>
      <c r="D10" s="192">
        <f>+'Sch 4.4'!D22</f>
        <v>0</v>
      </c>
      <c r="E10" s="219">
        <f>+'Sch 4.3'!Q14-'Sch 4.3'!Q20</f>
        <v>5857760</v>
      </c>
      <c r="F10" s="192">
        <f t="shared" ref="F10:F20" si="0">SUM(C10:E10)</f>
        <v>31918970</v>
      </c>
      <c r="G10" s="220"/>
      <c r="H10" s="221">
        <f>C10*B58</f>
        <v>1303060.5</v>
      </c>
      <c r="I10" s="221">
        <v>0</v>
      </c>
      <c r="J10" s="221">
        <f>SUM(H10:I10)</f>
        <v>1303060.5</v>
      </c>
      <c r="K10" s="220">
        <v>0</v>
      </c>
      <c r="L10" s="190">
        <f t="shared" ref="L10:L20" si="1">J10-K10</f>
        <v>1303060.5</v>
      </c>
      <c r="M10" s="191">
        <f>L10</f>
        <v>1303060.5</v>
      </c>
      <c r="N10" s="190" t="s">
        <v>236</v>
      </c>
      <c r="O10" s="190" t="s">
        <v>236</v>
      </c>
      <c r="P10" s="190" t="s">
        <v>236</v>
      </c>
      <c r="Q10" s="190">
        <f>+M10</f>
        <v>1303060.5</v>
      </c>
    </row>
    <row r="11" spans="1:18" x14ac:dyDescent="0.3">
      <c r="B11" s="189">
        <v>45627</v>
      </c>
      <c r="C11" s="192">
        <f>+'Sch 2.0'!E12-'Sch 2.0'!E18-C10</f>
        <v>42895821</v>
      </c>
      <c r="D11" s="192">
        <f>+'Sch 2.0'!E13</f>
        <v>89600</v>
      </c>
      <c r="E11" s="192">
        <f>+'Sch 2.0'!E14-'Sch 2.0'!E20-'Sch 2.1'!E10</f>
        <v>4315829</v>
      </c>
      <c r="F11" s="192">
        <f t="shared" si="0"/>
        <v>47301250</v>
      </c>
      <c r="G11" s="200"/>
      <c r="H11" s="192">
        <f>(C10*C58)+(C11*B58)</f>
        <v>4620606</v>
      </c>
      <c r="I11" s="192">
        <f>D11*B59</f>
        <v>3360</v>
      </c>
      <c r="J11" s="221">
        <f>SUM(H11:I11)</f>
        <v>4623966</v>
      </c>
      <c r="K11" s="192">
        <f>+'Sch 2.0'!E46</f>
        <v>537718</v>
      </c>
      <c r="L11" s="190">
        <f t="shared" si="1"/>
        <v>4086248</v>
      </c>
      <c r="M11" s="191">
        <f>M10+L11</f>
        <v>5389308.5</v>
      </c>
      <c r="N11" s="190" t="s">
        <v>236</v>
      </c>
      <c r="O11" s="190" t="s">
        <v>236</v>
      </c>
      <c r="P11" s="190" t="s">
        <v>236</v>
      </c>
      <c r="Q11" s="190">
        <f>+M11</f>
        <v>5389308.5</v>
      </c>
    </row>
    <row r="12" spans="1:18" x14ac:dyDescent="0.3">
      <c r="A12" t="s">
        <v>176</v>
      </c>
      <c r="B12" s="189">
        <v>45658</v>
      </c>
      <c r="C12" s="192">
        <f>+'Sch 2.0'!F12-'Sch 2.0'!F18</f>
        <v>0</v>
      </c>
      <c r="D12" s="192">
        <f>+'Sch 2.0'!F13-'Sch 2.0'!F19</f>
        <v>0</v>
      </c>
      <c r="E12" s="192">
        <f>+'Sch 2.0'!F14-'Sch 2.0'!F20</f>
        <v>0</v>
      </c>
      <c r="F12" s="192">
        <f t="shared" si="0"/>
        <v>0</v>
      </c>
      <c r="G12" s="200"/>
      <c r="H12" s="192">
        <f>((C10*D58)+(C11*C58))/12</f>
        <v>525278.03749999998</v>
      </c>
      <c r="I12" s="192">
        <f>(D11*C59)/12</f>
        <v>539.01866666666672</v>
      </c>
      <c r="J12" s="221">
        <f t="shared" ref="J12:J20" si="2">SUM(H12:I12)</f>
        <v>525817.05616666668</v>
      </c>
      <c r="K12" s="192">
        <f>+'Sch 2.0'!F38-'Sch 2.0'!F44</f>
        <v>85774</v>
      </c>
      <c r="L12" s="190">
        <f t="shared" si="1"/>
        <v>440043.05616666668</v>
      </c>
      <c r="M12" s="191">
        <f t="shared" ref="M12:M23" si="3">M11+L12</f>
        <v>5829351.5561666666</v>
      </c>
      <c r="N12" s="190">
        <f>+B12-B11</f>
        <v>31</v>
      </c>
      <c r="O12" s="190">
        <f>365-SUM(N$12:N12)+1</f>
        <v>335</v>
      </c>
      <c r="P12" s="190">
        <f>+L12*O12/N$24</f>
        <v>403875.13374200911</v>
      </c>
      <c r="Q12" s="190">
        <f>+Q11+P12</f>
        <v>5793183.6337420093</v>
      </c>
    </row>
    <row r="13" spans="1:18" x14ac:dyDescent="0.3">
      <c r="A13" t="s">
        <v>176</v>
      </c>
      <c r="B13" s="189">
        <v>45689</v>
      </c>
      <c r="C13" s="192">
        <f>+'Sch 2.0'!G12-'Sch 2.0'!G18</f>
        <v>0</v>
      </c>
      <c r="D13" s="192">
        <f>+'Sch 2.0'!G13-'Sch 2.0'!G19</f>
        <v>0</v>
      </c>
      <c r="E13" s="192">
        <f>+'Sch 2.0'!G14-'Sch 2.0'!G20</f>
        <v>0</v>
      </c>
      <c r="F13" s="192">
        <f t="shared" si="0"/>
        <v>0</v>
      </c>
      <c r="G13" s="200"/>
      <c r="H13" s="192">
        <f>H12</f>
        <v>525278.03749999998</v>
      </c>
      <c r="I13" s="192">
        <f>I12</f>
        <v>539.01866666666672</v>
      </c>
      <c r="J13" s="221">
        <f t="shared" si="2"/>
        <v>525817.05616666668</v>
      </c>
      <c r="K13" s="192">
        <f>+'Sch 2.0'!G38-'Sch 2.0'!G44</f>
        <v>85774</v>
      </c>
      <c r="L13" s="190">
        <f t="shared" si="1"/>
        <v>440043.05616666668</v>
      </c>
      <c r="M13" s="191">
        <f t="shared" si="3"/>
        <v>6269394.6123333331</v>
      </c>
      <c r="N13" s="222">
        <v>28</v>
      </c>
      <c r="O13" s="190">
        <f>365-SUM(N$12:N13)+1</f>
        <v>307</v>
      </c>
      <c r="P13" s="190">
        <f t="shared" ref="P13:P23" si="4">+L13*O13/N$24</f>
        <v>370118.40614566207</v>
      </c>
      <c r="Q13" s="190">
        <f t="shared" ref="Q13:Q23" si="5">+Q12+P13</f>
        <v>6163302.0398876714</v>
      </c>
    </row>
    <row r="14" spans="1:18" x14ac:dyDescent="0.3">
      <c r="A14" t="s">
        <v>176</v>
      </c>
      <c r="B14" s="189">
        <v>45717</v>
      </c>
      <c r="C14" s="192">
        <f>+'Sch 2.0'!H12-'Sch 2.0'!H18</f>
        <v>0</v>
      </c>
      <c r="D14" s="192">
        <f>+'Sch 2.0'!H13-'Sch 2.0'!H19</f>
        <v>0</v>
      </c>
      <c r="E14" s="192">
        <f>+'Sch 2.0'!H14-'Sch 2.0'!H20</f>
        <v>0</v>
      </c>
      <c r="F14" s="192">
        <f t="shared" si="0"/>
        <v>0</v>
      </c>
      <c r="G14" s="200"/>
      <c r="H14" s="192">
        <f t="shared" ref="H14:I20" si="6">H13</f>
        <v>525278.03749999998</v>
      </c>
      <c r="I14" s="192">
        <f t="shared" si="6"/>
        <v>539.01866666666672</v>
      </c>
      <c r="J14" s="221">
        <f t="shared" si="2"/>
        <v>525817.05616666668</v>
      </c>
      <c r="K14" s="192">
        <f>+'Sch 2.0'!H38-'Sch 2.0'!H44</f>
        <v>85774</v>
      </c>
      <c r="L14" s="190">
        <f t="shared" si="1"/>
        <v>440043.05616666668</v>
      </c>
      <c r="M14" s="191">
        <f t="shared" si="3"/>
        <v>6709437.6684999997</v>
      </c>
      <c r="N14" s="190">
        <v>31</v>
      </c>
      <c r="O14" s="190">
        <f>365-SUM(N$12:N14)+1</f>
        <v>276</v>
      </c>
      <c r="P14" s="190">
        <f t="shared" si="4"/>
        <v>332744.88630684931</v>
      </c>
      <c r="Q14" s="190">
        <f t="shared" si="5"/>
        <v>6496046.9261945207</v>
      </c>
    </row>
    <row r="15" spans="1:18" x14ac:dyDescent="0.3">
      <c r="A15" t="s">
        <v>176</v>
      </c>
      <c r="B15" s="189">
        <v>45748</v>
      </c>
      <c r="C15" s="192">
        <f>+'Sch 2.0'!I12-'Sch 2.0'!I18</f>
        <v>0</v>
      </c>
      <c r="D15" s="192">
        <f>+'Sch 2.0'!I13-'Sch 2.0'!I19</f>
        <v>0</v>
      </c>
      <c r="E15" s="192">
        <f>+'Sch 2.0'!I14-'Sch 2.0'!I20</f>
        <v>0</v>
      </c>
      <c r="F15" s="192">
        <f t="shared" si="0"/>
        <v>0</v>
      </c>
      <c r="G15" s="200"/>
      <c r="H15" s="192">
        <f t="shared" si="6"/>
        <v>525278.03749999998</v>
      </c>
      <c r="I15" s="192">
        <f t="shared" si="6"/>
        <v>539.01866666666672</v>
      </c>
      <c r="J15" s="221">
        <f t="shared" si="2"/>
        <v>525817.05616666668</v>
      </c>
      <c r="K15" s="192">
        <f>+'Sch 2.0'!I38-'Sch 2.0'!I44</f>
        <v>85774</v>
      </c>
      <c r="L15" s="190">
        <f t="shared" si="1"/>
        <v>440043.05616666668</v>
      </c>
      <c r="M15" s="191">
        <f t="shared" si="3"/>
        <v>7149480.7246666662</v>
      </c>
      <c r="N15" s="190">
        <v>30</v>
      </c>
      <c r="O15" s="190">
        <f>365-SUM(N$12:N15)+1</f>
        <v>246</v>
      </c>
      <c r="P15" s="190">
        <f t="shared" si="4"/>
        <v>296576.96388219181</v>
      </c>
      <c r="Q15" s="190">
        <f t="shared" si="5"/>
        <v>6792623.8900767127</v>
      </c>
    </row>
    <row r="16" spans="1:18" x14ac:dyDescent="0.3">
      <c r="A16" t="s">
        <v>176</v>
      </c>
      <c r="B16" s="189">
        <v>45778</v>
      </c>
      <c r="C16" s="192">
        <f>+'Sch 2.0'!J12-'Sch 2.0'!J18</f>
        <v>0</v>
      </c>
      <c r="D16" s="192">
        <f>+'Sch 2.0'!J13-'Sch 2.0'!J19</f>
        <v>0</v>
      </c>
      <c r="E16" s="192">
        <f>+'Sch 2.0'!J14-'Sch 2.0'!J20</f>
        <v>0</v>
      </c>
      <c r="F16" s="192">
        <f t="shared" si="0"/>
        <v>0</v>
      </c>
      <c r="G16" s="200"/>
      <c r="H16" s="192">
        <f t="shared" si="6"/>
        <v>525278.03749999998</v>
      </c>
      <c r="I16" s="192">
        <f t="shared" si="6"/>
        <v>539.01866666666672</v>
      </c>
      <c r="J16" s="221">
        <f t="shared" si="2"/>
        <v>525817.05616666668</v>
      </c>
      <c r="K16" s="192">
        <f>+'Sch 2.0'!J38-'Sch 2.0'!J44</f>
        <v>85774</v>
      </c>
      <c r="L16" s="190">
        <f t="shared" si="1"/>
        <v>440043.05616666668</v>
      </c>
      <c r="M16" s="191">
        <f t="shared" si="3"/>
        <v>7589523.7808333328</v>
      </c>
      <c r="N16" s="190">
        <v>31</v>
      </c>
      <c r="O16" s="190">
        <f>365-SUM(N$12:N16)+1</f>
        <v>215</v>
      </c>
      <c r="P16" s="190">
        <f t="shared" si="4"/>
        <v>259203.44404337902</v>
      </c>
      <c r="Q16" s="190">
        <f t="shared" si="5"/>
        <v>7051827.334120092</v>
      </c>
    </row>
    <row r="17" spans="1:18" x14ac:dyDescent="0.3">
      <c r="A17" t="s">
        <v>176</v>
      </c>
      <c r="B17" s="189">
        <v>45809</v>
      </c>
      <c r="C17" s="192">
        <f>+'Sch 2.0'!K12-'Sch 2.0'!K18</f>
        <v>0</v>
      </c>
      <c r="D17" s="192">
        <f>+'Sch 2.0'!K13-'Sch 2.0'!K19</f>
        <v>0</v>
      </c>
      <c r="E17" s="192">
        <f>+'Sch 2.0'!K14-'Sch 2.0'!K20</f>
        <v>0</v>
      </c>
      <c r="F17" s="192">
        <f t="shared" si="0"/>
        <v>0</v>
      </c>
      <c r="G17" s="200"/>
      <c r="H17" s="192">
        <f t="shared" si="6"/>
        <v>525278.03749999998</v>
      </c>
      <c r="I17" s="192">
        <f t="shared" si="6"/>
        <v>539.01866666666672</v>
      </c>
      <c r="J17" s="221">
        <f t="shared" si="2"/>
        <v>525817.05616666668</v>
      </c>
      <c r="K17" s="192">
        <f>+'Sch 2.0'!K38-'Sch 2.0'!K44</f>
        <v>85774</v>
      </c>
      <c r="L17" s="190">
        <f t="shared" si="1"/>
        <v>440043.05616666668</v>
      </c>
      <c r="M17" s="191">
        <f t="shared" si="3"/>
        <v>8029566.8369999994</v>
      </c>
      <c r="N17" s="190">
        <v>30</v>
      </c>
      <c r="O17" s="190">
        <f>365-SUM(N$12:N17)+1</f>
        <v>185</v>
      </c>
      <c r="P17" s="190">
        <f t="shared" si="4"/>
        <v>223035.52161872145</v>
      </c>
      <c r="Q17" s="190">
        <f t="shared" si="5"/>
        <v>7274862.8557388131</v>
      </c>
    </row>
    <row r="18" spans="1:18" x14ac:dyDescent="0.3">
      <c r="A18" t="s">
        <v>176</v>
      </c>
      <c r="B18" s="189">
        <v>45839</v>
      </c>
      <c r="C18" s="192">
        <f>+'Sch 2.0'!L12-'Sch 2.0'!L18</f>
        <v>0</v>
      </c>
      <c r="D18" s="192">
        <f>+'Sch 2.0'!L13-'Sch 2.0'!L19</f>
        <v>0</v>
      </c>
      <c r="E18" s="192">
        <f>+'Sch 2.0'!L14-'Sch 2.0'!L20</f>
        <v>0</v>
      </c>
      <c r="F18" s="192">
        <f t="shared" si="0"/>
        <v>0</v>
      </c>
      <c r="G18" s="200"/>
      <c r="H18" s="192">
        <f t="shared" si="6"/>
        <v>525278.03749999998</v>
      </c>
      <c r="I18" s="192">
        <f t="shared" si="6"/>
        <v>539.01866666666672</v>
      </c>
      <c r="J18" s="221">
        <f t="shared" si="2"/>
        <v>525817.05616666668</v>
      </c>
      <c r="K18" s="192">
        <f>+'Sch 2.0'!L38-'Sch 2.0'!L44</f>
        <v>85774</v>
      </c>
      <c r="L18" s="190">
        <f t="shared" si="1"/>
        <v>440043.05616666668</v>
      </c>
      <c r="M18" s="191">
        <f t="shared" si="3"/>
        <v>8469609.8931666669</v>
      </c>
      <c r="N18" s="190">
        <v>31</v>
      </c>
      <c r="O18" s="190">
        <f>365-SUM(N$12:N18)+1</f>
        <v>154</v>
      </c>
      <c r="P18" s="190">
        <f t="shared" si="4"/>
        <v>185662.00177990866</v>
      </c>
      <c r="Q18" s="190">
        <f t="shared" si="5"/>
        <v>7460524.8575187214</v>
      </c>
    </row>
    <row r="19" spans="1:18" x14ac:dyDescent="0.3">
      <c r="A19" t="s">
        <v>176</v>
      </c>
      <c r="B19" s="189">
        <v>45870</v>
      </c>
      <c r="C19" s="192">
        <f>+'Sch 2.0'!M12-'Sch 2.0'!M18</f>
        <v>0</v>
      </c>
      <c r="D19" s="192">
        <f>+'Sch 2.0'!M13-'Sch 2.0'!M19</f>
        <v>0</v>
      </c>
      <c r="E19" s="192">
        <f>+'Sch 2.0'!M14-'Sch 2.0'!M20</f>
        <v>0</v>
      </c>
      <c r="F19" s="192">
        <f t="shared" si="0"/>
        <v>0</v>
      </c>
      <c r="G19" s="200"/>
      <c r="H19" s="192">
        <f t="shared" si="6"/>
        <v>525278.03749999998</v>
      </c>
      <c r="I19" s="192">
        <f t="shared" si="6"/>
        <v>539.01866666666672</v>
      </c>
      <c r="J19" s="221">
        <f t="shared" si="2"/>
        <v>525817.05616666668</v>
      </c>
      <c r="K19" s="192">
        <f>+'Sch 2.0'!M38-'Sch 2.0'!M44</f>
        <v>85774</v>
      </c>
      <c r="L19" s="190">
        <f t="shared" si="1"/>
        <v>440043.05616666668</v>
      </c>
      <c r="M19" s="191">
        <f t="shared" si="3"/>
        <v>8909652.9493333343</v>
      </c>
      <c r="N19" s="190">
        <v>31</v>
      </c>
      <c r="O19" s="190">
        <f>365-SUM(N$12:N19)+1</f>
        <v>123</v>
      </c>
      <c r="P19" s="190">
        <f t="shared" si="4"/>
        <v>148288.4819410959</v>
      </c>
      <c r="Q19" s="190">
        <f t="shared" si="5"/>
        <v>7608813.3394598169</v>
      </c>
    </row>
    <row r="20" spans="1:18" x14ac:dyDescent="0.3">
      <c r="A20" t="s">
        <v>176</v>
      </c>
      <c r="B20" s="189">
        <v>45901</v>
      </c>
      <c r="C20" s="192">
        <f>+'Sch 2.0'!N12-'Sch 2.0'!N18</f>
        <v>0</v>
      </c>
      <c r="D20" s="192">
        <f>+'Sch 2.0'!N13-'Sch 2.0'!N19</f>
        <v>0</v>
      </c>
      <c r="E20" s="192">
        <f>+'Sch 2.0'!N14-'Sch 2.0'!N20</f>
        <v>0</v>
      </c>
      <c r="F20" s="192">
        <f t="shared" si="0"/>
        <v>0</v>
      </c>
      <c r="G20" s="200"/>
      <c r="H20" s="192">
        <f t="shared" si="6"/>
        <v>525278.03749999998</v>
      </c>
      <c r="I20" s="192">
        <f t="shared" si="6"/>
        <v>539.01866666666672</v>
      </c>
      <c r="J20" s="221">
        <f t="shared" si="2"/>
        <v>525817.05616666668</v>
      </c>
      <c r="K20" s="192">
        <f>+'Sch 2.0'!N38-'Sch 2.0'!N44</f>
        <v>85774</v>
      </c>
      <c r="L20" s="190">
        <f t="shared" si="1"/>
        <v>440043.05616666668</v>
      </c>
      <c r="M20" s="191">
        <f t="shared" si="3"/>
        <v>9349696.0055000018</v>
      </c>
      <c r="N20" s="190">
        <v>30</v>
      </c>
      <c r="O20" s="190">
        <f>365-SUM(N$12:N20)+1</f>
        <v>93</v>
      </c>
      <c r="P20" s="190">
        <f>+L20*O20/N$24</f>
        <v>112120.55951643836</v>
      </c>
      <c r="Q20" s="190">
        <f t="shared" si="5"/>
        <v>7720933.8989762552</v>
      </c>
    </row>
    <row r="21" spans="1:18" x14ac:dyDescent="0.3">
      <c r="A21" t="s">
        <v>176</v>
      </c>
      <c r="B21" s="189">
        <v>45931</v>
      </c>
      <c r="C21" s="192">
        <f>+'Sch 2.0'!O12-'Sch 2.0'!O18</f>
        <v>33866038</v>
      </c>
      <c r="D21" s="192">
        <f>+'Sch 2.0'!O13-'Sch 2.0'!O19</f>
        <v>3029597</v>
      </c>
      <c r="E21" s="192">
        <f>+'Sch 2.0'!O14-'Sch 2.0'!O20</f>
        <v>2719400</v>
      </c>
      <c r="F21" s="192">
        <f>SUM(C21:E21)</f>
        <v>39615035</v>
      </c>
      <c r="G21" s="200"/>
      <c r="H21" s="192">
        <f>H20+((C21*B58)/3)</f>
        <v>1089712.0041666667</v>
      </c>
      <c r="I21" s="192">
        <f>I20+((D21*B59)/3)</f>
        <v>38408.981166666665</v>
      </c>
      <c r="J21" s="192">
        <f>H21+I21</f>
        <v>1128120.9853333333</v>
      </c>
      <c r="K21" s="192">
        <f>+'Sch 2.0'!O38-'Sch 2.0'!O44</f>
        <v>85774</v>
      </c>
      <c r="L21" s="190">
        <f>J21-K21</f>
        <v>1042346.9853333333</v>
      </c>
      <c r="M21" s="191">
        <f t="shared" si="3"/>
        <v>10392042.990833335</v>
      </c>
      <c r="N21" s="190">
        <v>31</v>
      </c>
      <c r="O21" s="190">
        <f>365-SUM(N$12:N21)+1</f>
        <v>62</v>
      </c>
      <c r="P21" s="190">
        <f t="shared" si="4"/>
        <v>177056.20024840182</v>
      </c>
      <c r="Q21" s="190">
        <f t="shared" si="5"/>
        <v>7897990.0992246568</v>
      </c>
    </row>
    <row r="22" spans="1:18" x14ac:dyDescent="0.3">
      <c r="A22" t="s">
        <v>176</v>
      </c>
      <c r="B22" s="189">
        <v>45962</v>
      </c>
      <c r="C22" s="192">
        <f>+'Sch 2.0'!P12-'Sch 2.0'!P18</f>
        <v>3019458</v>
      </c>
      <c r="D22" s="192">
        <f>+'Sch 2.0'!P13-'Sch 2.0'!P19</f>
        <v>260691</v>
      </c>
      <c r="E22" s="192">
        <f>+'Sch 2.0'!P14-'Sch 2.0'!P20</f>
        <v>150000</v>
      </c>
      <c r="F22" s="192">
        <f>SUM(C22:E22)</f>
        <v>3430149</v>
      </c>
      <c r="G22" s="200"/>
      <c r="H22" s="192">
        <f>H21+((C22*B58)/2)</f>
        <v>1165198.4541666666</v>
      </c>
      <c r="I22" s="192">
        <f>I21+((D22*B59)/2)</f>
        <v>43296.937416666668</v>
      </c>
      <c r="J22" s="192">
        <f>H22+I22</f>
        <v>1208495.3915833333</v>
      </c>
      <c r="K22" s="192">
        <f>+'Sch 2.0'!P38-'Sch 2.0'!P44</f>
        <v>132975</v>
      </c>
      <c r="L22" s="190">
        <f>J22-K22</f>
        <v>1075520.3915833333</v>
      </c>
      <c r="M22" s="191">
        <f t="shared" si="3"/>
        <v>11467563.382416667</v>
      </c>
      <c r="N22" s="190">
        <v>30</v>
      </c>
      <c r="O22" s="190">
        <f>365-SUM(N$12:N22)+1</f>
        <v>32</v>
      </c>
      <c r="P22" s="190">
        <f t="shared" si="4"/>
        <v>94292.198714155238</v>
      </c>
      <c r="Q22" s="190">
        <f t="shared" si="5"/>
        <v>7992282.2979388125</v>
      </c>
    </row>
    <row r="23" spans="1:18" x14ac:dyDescent="0.3">
      <c r="A23" t="s">
        <v>176</v>
      </c>
      <c r="B23" s="189">
        <v>45992</v>
      </c>
      <c r="C23" s="193">
        <f>+'Sch 2.0'!Q12-'Sch 2.0'!Q18</f>
        <v>1563645</v>
      </c>
      <c r="D23" s="193">
        <f>+'Sch 2.0'!Q13-'Sch 2.0'!Q19</f>
        <v>132724</v>
      </c>
      <c r="E23" s="193">
        <f>+'Sch 2.0'!Q14-'Sch 2.0'!Q20</f>
        <v>50000</v>
      </c>
      <c r="F23" s="193">
        <f>SUM(C23:E23)</f>
        <v>1746369</v>
      </c>
      <c r="G23" s="200"/>
      <c r="H23" s="193">
        <f>H22+((C23*B58))</f>
        <v>1243380.7041666666</v>
      </c>
      <c r="I23" s="193">
        <f>I22+((D23*B59))</f>
        <v>48274.087416666669</v>
      </c>
      <c r="J23" s="193">
        <f>H23+I23</f>
        <v>1291654.7915833332</v>
      </c>
      <c r="K23" s="193">
        <f>+'Sch 2.0'!Q38-'Sch 2.0'!Q44</f>
        <v>137167</v>
      </c>
      <c r="L23" s="223">
        <f>J23-K23</f>
        <v>1154487.7915833332</v>
      </c>
      <c r="M23" s="191">
        <f t="shared" si="3"/>
        <v>12622051.174000001</v>
      </c>
      <c r="N23" s="190">
        <v>31</v>
      </c>
      <c r="O23" s="190">
        <f>365-SUM(N$12:N23)+1</f>
        <v>1</v>
      </c>
      <c r="P23" s="190">
        <f t="shared" si="4"/>
        <v>3162.9802509132414</v>
      </c>
      <c r="Q23" s="222">
        <f t="shared" si="5"/>
        <v>7995445.2781897262</v>
      </c>
    </row>
    <row r="24" spans="1:18" ht="15" thickBot="1" x14ac:dyDescent="0.35">
      <c r="B24" s="7" t="s">
        <v>21</v>
      </c>
      <c r="C24" s="224">
        <f>SUM(C10:C23)</f>
        <v>107406172</v>
      </c>
      <c r="D24" s="224">
        <f>SUM(D10:D23)</f>
        <v>3512612</v>
      </c>
      <c r="E24" s="224">
        <f>SUM(E10:E23)</f>
        <v>13092989</v>
      </c>
      <c r="F24" s="224">
        <f>SUM(F10:F23)</f>
        <v>124011773</v>
      </c>
      <c r="G24" s="225"/>
      <c r="H24" s="224">
        <f>SUM(H10:H23)</f>
        <v>14149459.999999996</v>
      </c>
      <c r="I24" s="224">
        <f>SUM(I10:I23)</f>
        <v>138191.174</v>
      </c>
      <c r="J24" s="224">
        <f>SUM(J10:J23)</f>
        <v>14287651.174000002</v>
      </c>
      <c r="K24" s="224">
        <f>SUM(K10:K23)</f>
        <v>1665600</v>
      </c>
      <c r="L24" s="224">
        <f>SUM(L10:L23)</f>
        <v>12622051.174000001</v>
      </c>
      <c r="M24" s="196"/>
      <c r="N24" s="197">
        <f>SUM(N12:N23)</f>
        <v>365</v>
      </c>
      <c r="O24" s="190"/>
      <c r="P24" s="195">
        <f>SUM(P12:P23)</f>
        <v>2606136.7781897257</v>
      </c>
      <c r="Q24" s="99"/>
    </row>
    <row r="25" spans="1:18" ht="15" thickTop="1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196"/>
      <c r="M25" s="196"/>
      <c r="N25" s="196"/>
      <c r="O25" s="190"/>
      <c r="P25" s="196"/>
      <c r="Q25" s="99"/>
    </row>
    <row r="26" spans="1:18" x14ac:dyDescent="0.3">
      <c r="C26" s="203" t="s">
        <v>154</v>
      </c>
      <c r="D26" s="203" t="s">
        <v>154</v>
      </c>
      <c r="E26" s="203" t="s">
        <v>154</v>
      </c>
      <c r="F26" s="203" t="s">
        <v>154</v>
      </c>
      <c r="K26" s="203" t="s">
        <v>154</v>
      </c>
      <c r="P26" t="s">
        <v>177</v>
      </c>
      <c r="Q26" s="246">
        <v>0.24925</v>
      </c>
    </row>
    <row r="27" spans="1:18" ht="15" thickBot="1" x14ac:dyDescent="0.35">
      <c r="Q27" s="36"/>
    </row>
    <row r="28" spans="1:18" ht="15" thickBot="1" x14ac:dyDescent="0.35">
      <c r="F28" s="22"/>
      <c r="G28" s="22"/>
      <c r="H28" s="22"/>
      <c r="I28" s="22"/>
      <c r="J28" s="22"/>
      <c r="P28" s="8" t="s">
        <v>178</v>
      </c>
      <c r="Q28" s="271">
        <f>Q23*Q26</f>
        <v>1992864.7355887892</v>
      </c>
      <c r="R28" t="s">
        <v>258</v>
      </c>
    </row>
    <row r="29" spans="1:18" x14ac:dyDescent="0.3">
      <c r="F29" s="242"/>
      <c r="G29" s="22"/>
      <c r="H29" s="23"/>
      <c r="I29" s="23"/>
      <c r="J29" s="23"/>
      <c r="Q29" s="83"/>
    </row>
    <row r="30" spans="1:18" ht="57.6" x14ac:dyDescent="0.3">
      <c r="K30" s="188" t="s">
        <v>57</v>
      </c>
      <c r="L30" s="198" t="s">
        <v>245</v>
      </c>
      <c r="M30" s="198" t="s">
        <v>193</v>
      </c>
      <c r="N30" s="198" t="s">
        <v>182</v>
      </c>
      <c r="O30" s="198" t="s">
        <v>183</v>
      </c>
      <c r="P30" s="198" t="s">
        <v>246</v>
      </c>
      <c r="Q30" s="272" t="s">
        <v>198</v>
      </c>
    </row>
    <row r="31" spans="1:18" x14ac:dyDescent="0.3">
      <c r="K31" s="189">
        <v>45261</v>
      </c>
      <c r="L31" s="190">
        <f>+'Sch 4.3'!Q24</f>
        <v>125221</v>
      </c>
      <c r="M31" s="191">
        <f>L31</f>
        <v>125221</v>
      </c>
      <c r="N31" s="190" t="s">
        <v>236</v>
      </c>
      <c r="O31" s="190" t="s">
        <v>236</v>
      </c>
      <c r="P31" s="190" t="s">
        <v>236</v>
      </c>
      <c r="Q31" s="222">
        <f>M31</f>
        <v>125221</v>
      </c>
    </row>
    <row r="32" spans="1:18" x14ac:dyDescent="0.3">
      <c r="K32" s="189">
        <v>45627</v>
      </c>
      <c r="L32" s="221">
        <f>+'Sch 2.0'!E24-'Sch 2.1'!L31</f>
        <v>1463602</v>
      </c>
      <c r="M32" s="191">
        <f>M31+L32</f>
        <v>1588823</v>
      </c>
      <c r="N32" s="190" t="s">
        <v>236</v>
      </c>
      <c r="O32" s="190" t="s">
        <v>236</v>
      </c>
      <c r="P32" s="190" t="s">
        <v>236</v>
      </c>
      <c r="Q32" s="273">
        <f>M32</f>
        <v>1588823</v>
      </c>
    </row>
    <row r="33" spans="10:17" x14ac:dyDescent="0.3">
      <c r="J33" t="s">
        <v>176</v>
      </c>
      <c r="K33" s="189">
        <v>45658</v>
      </c>
      <c r="L33" s="190">
        <v>0</v>
      </c>
      <c r="M33" s="191">
        <f t="shared" ref="M33:M44" si="7">M32+L33</f>
        <v>1588823</v>
      </c>
      <c r="N33" s="190">
        <v>31</v>
      </c>
      <c r="O33" s="190">
        <v>335</v>
      </c>
      <c r="P33" s="190">
        <f>+L33*O33/N$24</f>
        <v>0</v>
      </c>
      <c r="Q33" s="273">
        <f>Q32+P33</f>
        <v>1588823</v>
      </c>
    </row>
    <row r="34" spans="10:17" x14ac:dyDescent="0.3">
      <c r="J34" t="s">
        <v>176</v>
      </c>
      <c r="K34" s="189">
        <v>45689</v>
      </c>
      <c r="L34" s="190">
        <v>0</v>
      </c>
      <c r="M34" s="191">
        <f t="shared" si="7"/>
        <v>1588823</v>
      </c>
      <c r="N34" s="190">
        <v>28</v>
      </c>
      <c r="O34" s="190">
        <v>307</v>
      </c>
      <c r="P34" s="190">
        <f t="shared" ref="P34:P44" si="8">+L34*O34/N$24</f>
        <v>0</v>
      </c>
      <c r="Q34" s="273">
        <f t="shared" ref="Q34:Q44" si="9">Q33+P34</f>
        <v>1588823</v>
      </c>
    </row>
    <row r="35" spans="10:17" x14ac:dyDescent="0.3">
      <c r="J35" t="s">
        <v>176</v>
      </c>
      <c r="K35" s="189">
        <v>45717</v>
      </c>
      <c r="L35" s="190">
        <v>0</v>
      </c>
      <c r="M35" s="191">
        <f t="shared" si="7"/>
        <v>1588823</v>
      </c>
      <c r="N35" s="190">
        <v>31</v>
      </c>
      <c r="O35" s="190">
        <v>276</v>
      </c>
      <c r="P35" s="190">
        <f t="shared" si="8"/>
        <v>0</v>
      </c>
      <c r="Q35" s="273">
        <f t="shared" si="9"/>
        <v>1588823</v>
      </c>
    </row>
    <row r="36" spans="10:17" x14ac:dyDescent="0.3">
      <c r="J36" t="s">
        <v>176</v>
      </c>
      <c r="K36" s="189">
        <v>45748</v>
      </c>
      <c r="L36" s="190">
        <v>0</v>
      </c>
      <c r="M36" s="191">
        <f t="shared" si="7"/>
        <v>1588823</v>
      </c>
      <c r="N36" s="190">
        <v>30</v>
      </c>
      <c r="O36" s="190">
        <v>246</v>
      </c>
      <c r="P36" s="190">
        <f t="shared" si="8"/>
        <v>0</v>
      </c>
      <c r="Q36" s="273">
        <f t="shared" si="9"/>
        <v>1588823</v>
      </c>
    </row>
    <row r="37" spans="10:17" x14ac:dyDescent="0.3">
      <c r="J37" t="s">
        <v>176</v>
      </c>
      <c r="K37" s="189">
        <v>45778</v>
      </c>
      <c r="L37" s="190">
        <v>0</v>
      </c>
      <c r="M37" s="191">
        <f t="shared" si="7"/>
        <v>1588823</v>
      </c>
      <c r="N37" s="190">
        <v>31</v>
      </c>
      <c r="O37" s="190">
        <v>215</v>
      </c>
      <c r="P37" s="190">
        <f t="shared" si="8"/>
        <v>0</v>
      </c>
      <c r="Q37" s="273">
        <f t="shared" si="9"/>
        <v>1588823</v>
      </c>
    </row>
    <row r="38" spans="10:17" x14ac:dyDescent="0.3">
      <c r="J38" t="s">
        <v>176</v>
      </c>
      <c r="K38" s="189">
        <v>45809</v>
      </c>
      <c r="L38" s="190">
        <v>0</v>
      </c>
      <c r="M38" s="191">
        <f t="shared" si="7"/>
        <v>1588823</v>
      </c>
      <c r="N38" s="190">
        <v>30</v>
      </c>
      <c r="O38" s="190">
        <v>185</v>
      </c>
      <c r="P38" s="190">
        <f t="shared" si="8"/>
        <v>0</v>
      </c>
      <c r="Q38" s="273">
        <f t="shared" si="9"/>
        <v>1588823</v>
      </c>
    </row>
    <row r="39" spans="10:17" x14ac:dyDescent="0.3">
      <c r="J39" t="s">
        <v>176</v>
      </c>
      <c r="K39" s="189">
        <v>45839</v>
      </c>
      <c r="L39" s="190">
        <v>0</v>
      </c>
      <c r="M39" s="191">
        <f t="shared" si="7"/>
        <v>1588823</v>
      </c>
      <c r="N39" s="190">
        <v>31</v>
      </c>
      <c r="O39" s="190">
        <v>154</v>
      </c>
      <c r="P39" s="190">
        <f t="shared" si="8"/>
        <v>0</v>
      </c>
      <c r="Q39" s="273">
        <f t="shared" si="9"/>
        <v>1588823</v>
      </c>
    </row>
    <row r="40" spans="10:17" x14ac:dyDescent="0.3">
      <c r="J40" t="s">
        <v>176</v>
      </c>
      <c r="K40" s="189">
        <v>45870</v>
      </c>
      <c r="L40" s="190">
        <v>0</v>
      </c>
      <c r="M40" s="191">
        <f t="shared" si="7"/>
        <v>1588823</v>
      </c>
      <c r="N40" s="190">
        <v>31</v>
      </c>
      <c r="O40" s="190">
        <v>123</v>
      </c>
      <c r="P40" s="190">
        <f t="shared" si="8"/>
        <v>0</v>
      </c>
      <c r="Q40" s="273">
        <f t="shared" si="9"/>
        <v>1588823</v>
      </c>
    </row>
    <row r="41" spans="10:17" x14ac:dyDescent="0.3">
      <c r="J41" t="s">
        <v>176</v>
      </c>
      <c r="K41" s="189">
        <v>45901</v>
      </c>
      <c r="L41" s="190">
        <v>0</v>
      </c>
      <c r="M41" s="191">
        <f t="shared" si="7"/>
        <v>1588823</v>
      </c>
      <c r="N41" s="190">
        <v>30</v>
      </c>
      <c r="O41" s="190">
        <v>93</v>
      </c>
      <c r="P41" s="190">
        <f t="shared" si="8"/>
        <v>0</v>
      </c>
      <c r="Q41" s="273">
        <f t="shared" si="9"/>
        <v>1588823</v>
      </c>
    </row>
    <row r="42" spans="10:17" x14ac:dyDescent="0.3">
      <c r="J42" t="s">
        <v>176</v>
      </c>
      <c r="K42" s="189">
        <v>45931</v>
      </c>
      <c r="L42" s="190">
        <f>+'Sch 2.0'!O24</f>
        <v>780200</v>
      </c>
      <c r="M42" s="191">
        <f t="shared" si="7"/>
        <v>2369023</v>
      </c>
      <c r="N42" s="190">
        <v>31</v>
      </c>
      <c r="O42" s="190">
        <v>62</v>
      </c>
      <c r="P42" s="190">
        <f t="shared" si="8"/>
        <v>132527.12328767125</v>
      </c>
      <c r="Q42" s="273">
        <f t="shared" si="9"/>
        <v>1721350.1232876712</v>
      </c>
    </row>
    <row r="43" spans="10:17" x14ac:dyDescent="0.3">
      <c r="J43" t="s">
        <v>176</v>
      </c>
      <c r="K43" s="189">
        <v>45962</v>
      </c>
      <c r="L43" s="190">
        <v>0</v>
      </c>
      <c r="M43" s="191">
        <f t="shared" si="7"/>
        <v>2369023</v>
      </c>
      <c r="N43" s="190">
        <v>30</v>
      </c>
      <c r="O43" s="190">
        <v>32</v>
      </c>
      <c r="P43" s="190">
        <f t="shared" si="8"/>
        <v>0</v>
      </c>
      <c r="Q43" s="273">
        <f t="shared" si="9"/>
        <v>1721350.1232876712</v>
      </c>
    </row>
    <row r="44" spans="10:17" x14ac:dyDescent="0.3">
      <c r="J44" t="s">
        <v>176</v>
      </c>
      <c r="K44" s="189">
        <v>45992</v>
      </c>
      <c r="L44" s="190">
        <v>0</v>
      </c>
      <c r="M44" s="191">
        <f t="shared" si="7"/>
        <v>2369023</v>
      </c>
      <c r="N44" s="190">
        <v>31</v>
      </c>
      <c r="O44" s="190">
        <v>1</v>
      </c>
      <c r="P44" s="190">
        <f t="shared" si="8"/>
        <v>0</v>
      </c>
      <c r="Q44" s="222">
        <f t="shared" si="9"/>
        <v>1721350.1232876712</v>
      </c>
    </row>
    <row r="45" spans="10:17" ht="15" thickBot="1" x14ac:dyDescent="0.35">
      <c r="K45" s="7" t="s">
        <v>21</v>
      </c>
      <c r="L45" s="195">
        <f>SUM(L31:L44)</f>
        <v>2369023</v>
      </c>
      <c r="M45" s="196"/>
      <c r="N45" s="197">
        <v>365</v>
      </c>
      <c r="O45" s="190"/>
      <c r="P45" s="195">
        <v>350117.89863013697</v>
      </c>
      <c r="Q45" s="99"/>
    </row>
    <row r="46" spans="10:17" ht="15" thickTop="1" x14ac:dyDescent="0.3">
      <c r="J46" s="7"/>
      <c r="K46" s="7"/>
      <c r="L46" s="196"/>
      <c r="M46" s="196"/>
      <c r="N46" s="196"/>
      <c r="O46" s="190"/>
      <c r="P46" s="196"/>
      <c r="Q46" s="99"/>
    </row>
    <row r="47" spans="10:17" x14ac:dyDescent="0.3">
      <c r="K47" s="203"/>
      <c r="L47" s="203" t="s">
        <v>154</v>
      </c>
      <c r="P47" t="s">
        <v>177</v>
      </c>
      <c r="Q47" s="246">
        <v>0.24925</v>
      </c>
    </row>
    <row r="48" spans="10:17" ht="15" thickBot="1" x14ac:dyDescent="0.35">
      <c r="Q48" s="36"/>
    </row>
    <row r="49" spans="1:22" ht="15" thickBot="1" x14ac:dyDescent="0.35">
      <c r="P49" s="8" t="s">
        <v>178</v>
      </c>
      <c r="Q49" s="271">
        <f>Q44*Q47</f>
        <v>429046.51822945208</v>
      </c>
      <c r="R49" t="s">
        <v>25</v>
      </c>
    </row>
    <row r="50" spans="1:22" x14ac:dyDescent="0.3">
      <c r="Q50" s="36"/>
    </row>
    <row r="51" spans="1:22" ht="15" thickBot="1" x14ac:dyDescent="0.35">
      <c r="Q51" s="36"/>
    </row>
    <row r="52" spans="1:22" ht="15" thickBot="1" x14ac:dyDescent="0.35">
      <c r="P52" s="236" t="s">
        <v>247</v>
      </c>
      <c r="Q52" s="274">
        <f>Q28+Q49</f>
        <v>2421911.2538182414</v>
      </c>
    </row>
    <row r="53" spans="1:22" x14ac:dyDescent="0.3">
      <c r="Q53" s="36"/>
    </row>
    <row r="54" spans="1:22" ht="14.55" customHeight="1" x14ac:dyDescent="0.3"/>
    <row r="56" spans="1:22" x14ac:dyDescent="0.3">
      <c r="A56" s="8" t="s">
        <v>237</v>
      </c>
    </row>
    <row r="57" spans="1:22" x14ac:dyDescent="0.3">
      <c r="A57" t="s">
        <v>103</v>
      </c>
      <c r="B57" s="240" t="s">
        <v>255</v>
      </c>
      <c r="C57" s="240" t="s">
        <v>256</v>
      </c>
      <c r="D57" s="240" t="s">
        <v>257</v>
      </c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</row>
    <row r="58" spans="1:22" x14ac:dyDescent="0.3">
      <c r="A58" t="s">
        <v>238</v>
      </c>
      <c r="B58">
        <v>0.05</v>
      </c>
      <c r="C58">
        <v>9.5000000000000001E-2</v>
      </c>
      <c r="D58">
        <v>8.5500000000000007E-2</v>
      </c>
    </row>
    <row r="59" spans="1:22" x14ac:dyDescent="0.3">
      <c r="A59" t="s">
        <v>239</v>
      </c>
      <c r="B59">
        <v>3.7499999999999999E-2</v>
      </c>
      <c r="C59">
        <v>7.2190000000000004E-2</v>
      </c>
      <c r="D59">
        <v>6.6769999999999996E-2</v>
      </c>
    </row>
  </sheetData>
  <printOptions horizontalCentered="1"/>
  <pageMargins left="0.7" right="0.7" top="0.75" bottom="0.75" header="0.3" footer="0.3"/>
  <pageSetup scale="44" orientation="landscape" r:id="rId1"/>
  <headerFooter>
    <oddHeader xml:space="preserve">&amp;RKyPSC Case No. 2024-00191
Exhibit 3
Schedule 2.1
Page &amp;P of &amp;N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2"/>
  <sheetViews>
    <sheetView view="pageLayout" zoomScaleNormal="100" workbookViewId="0">
      <selection sqref="A1:R1"/>
    </sheetView>
  </sheetViews>
  <sheetFormatPr defaultRowHeight="14.4" x14ac:dyDescent="0.3"/>
  <cols>
    <col min="1" max="1" width="8.21875" bestFit="1" customWidth="1"/>
    <col min="2" max="2" width="22.21875" customWidth="1"/>
    <col min="3" max="3" width="10.21875" customWidth="1"/>
    <col min="4" max="4" width="13.5546875" customWidth="1"/>
    <col min="5" max="6" width="17.44140625" customWidth="1"/>
    <col min="7" max="8" width="16.77734375" customWidth="1"/>
    <col min="9" max="9" width="17.77734375" customWidth="1"/>
    <col min="10" max="10" width="4.21875" customWidth="1"/>
    <col min="11" max="11" width="10.21875" bestFit="1" customWidth="1"/>
    <col min="12" max="12" width="12.5546875" bestFit="1" customWidth="1"/>
  </cols>
  <sheetData>
    <row r="1" spans="1:12" x14ac:dyDescent="0.3">
      <c r="A1" s="5"/>
      <c r="G1" s="5"/>
      <c r="H1" s="85"/>
      <c r="I1" s="5"/>
      <c r="J1" s="98"/>
    </row>
    <row r="2" spans="1:12" x14ac:dyDescent="0.3">
      <c r="A2" s="102" t="str">
        <f>'Sch 1.0'!A2</f>
        <v>Duke Energy Kentucky</v>
      </c>
      <c r="B2" s="102"/>
      <c r="C2" s="102"/>
      <c r="D2" s="102"/>
      <c r="E2" s="102"/>
      <c r="F2" s="102"/>
      <c r="G2" s="102"/>
      <c r="H2" s="102"/>
      <c r="I2" s="102"/>
      <c r="J2" s="98"/>
      <c r="K2" s="102"/>
      <c r="L2" s="102"/>
    </row>
    <row r="3" spans="1:12" x14ac:dyDescent="0.3">
      <c r="A3" s="102" t="str">
        <f>'Sch 1.0'!A3</f>
        <v>Pipeline Modernization Mechanism ("Rider PMM")</v>
      </c>
      <c r="B3" s="102"/>
      <c r="C3" s="102"/>
      <c r="D3" s="102"/>
      <c r="E3" s="102"/>
      <c r="F3" s="102"/>
      <c r="G3" s="102"/>
      <c r="H3" s="102"/>
      <c r="I3" s="102"/>
      <c r="J3" s="98"/>
      <c r="K3" s="131"/>
      <c r="L3" s="202"/>
    </row>
    <row r="4" spans="1:12" x14ac:dyDescent="0.3">
      <c r="A4" s="102" t="s">
        <v>65</v>
      </c>
      <c r="B4" s="102"/>
      <c r="C4" s="102"/>
      <c r="D4" s="102"/>
      <c r="E4" s="102"/>
      <c r="F4" s="102"/>
      <c r="G4" s="102"/>
      <c r="H4" s="102"/>
      <c r="I4" s="102"/>
      <c r="J4" s="98"/>
      <c r="K4" s="102"/>
      <c r="L4" s="102"/>
    </row>
    <row r="5" spans="1:12" x14ac:dyDescent="0.3">
      <c r="A5" s="104"/>
      <c r="B5" s="104"/>
      <c r="C5" s="104"/>
      <c r="D5" s="104"/>
      <c r="E5" s="104"/>
      <c r="F5" s="104"/>
      <c r="G5" s="104"/>
      <c r="H5" s="104"/>
      <c r="I5" s="104"/>
      <c r="J5" s="98"/>
      <c r="K5" s="104"/>
      <c r="L5" s="104"/>
    </row>
    <row r="6" spans="1:12" x14ac:dyDescent="0.3">
      <c r="A6" s="5"/>
      <c r="G6" s="5"/>
      <c r="H6" s="208"/>
      <c r="I6" s="5"/>
      <c r="J6" s="98"/>
    </row>
    <row r="7" spans="1:12" x14ac:dyDescent="0.3">
      <c r="A7" s="152" t="s">
        <v>221</v>
      </c>
      <c r="B7" s="36"/>
      <c r="C7" s="36"/>
      <c r="G7" s="5"/>
      <c r="H7" s="85"/>
      <c r="I7" s="5"/>
      <c r="J7" s="50"/>
    </row>
    <row r="8" spans="1:12" x14ac:dyDescent="0.3">
      <c r="A8" s="5"/>
      <c r="G8" s="5"/>
      <c r="H8" s="85"/>
      <c r="I8" s="5"/>
      <c r="J8" s="5"/>
    </row>
    <row r="9" spans="1:12" x14ac:dyDescent="0.3">
      <c r="A9" s="97" t="s">
        <v>136</v>
      </c>
      <c r="B9" s="4"/>
      <c r="C9" s="4" t="s">
        <v>58</v>
      </c>
      <c r="D9" s="281" t="s">
        <v>147</v>
      </c>
      <c r="E9" s="281"/>
      <c r="F9" s="281" t="s">
        <v>54</v>
      </c>
      <c r="G9" s="281"/>
      <c r="H9" s="281" t="s">
        <v>25</v>
      </c>
      <c r="I9" s="281"/>
      <c r="J9" s="4"/>
    </row>
    <row r="10" spans="1:12" x14ac:dyDescent="0.3">
      <c r="A10" s="9" t="s">
        <v>137</v>
      </c>
      <c r="B10" s="9" t="s">
        <v>57</v>
      </c>
      <c r="C10" s="9" t="s">
        <v>59</v>
      </c>
      <c r="D10" s="9" t="s">
        <v>83</v>
      </c>
      <c r="E10" s="9" t="s">
        <v>87</v>
      </c>
      <c r="F10" s="9" t="s">
        <v>83</v>
      </c>
      <c r="G10" s="9" t="s">
        <v>87</v>
      </c>
      <c r="H10" s="9" t="s">
        <v>83</v>
      </c>
      <c r="I10" s="9" t="s">
        <v>87</v>
      </c>
      <c r="J10" s="9"/>
    </row>
    <row r="11" spans="1:12" x14ac:dyDescent="0.3">
      <c r="B11" s="17" t="s">
        <v>63</v>
      </c>
      <c r="C11" s="17" t="s">
        <v>64</v>
      </c>
      <c r="D11" s="17" t="s">
        <v>66</v>
      </c>
      <c r="E11" s="17" t="s">
        <v>84</v>
      </c>
      <c r="F11" s="17" t="s">
        <v>125</v>
      </c>
      <c r="G11" s="17" t="s">
        <v>85</v>
      </c>
      <c r="H11" s="17" t="s">
        <v>86</v>
      </c>
      <c r="I11" s="86" t="s">
        <v>126</v>
      </c>
      <c r="J11" s="17"/>
    </row>
    <row r="12" spans="1:12" x14ac:dyDescent="0.3">
      <c r="G12" s="41"/>
      <c r="H12" s="41"/>
    </row>
    <row r="13" spans="1:12" x14ac:dyDescent="0.3">
      <c r="G13" s="41"/>
      <c r="H13" s="41"/>
    </row>
    <row r="14" spans="1:12" x14ac:dyDescent="0.3">
      <c r="A14" s="47">
        <v>1</v>
      </c>
      <c r="B14" s="153" t="s">
        <v>220</v>
      </c>
      <c r="C14" s="83">
        <v>13</v>
      </c>
      <c r="D14" s="115"/>
      <c r="E14" s="155">
        <f>+'Sch 2.0'!E15</f>
        <v>79621679</v>
      </c>
      <c r="F14" s="87"/>
      <c r="G14" s="155">
        <f>+'Sch 2.0'!E18</f>
        <v>401459</v>
      </c>
      <c r="H14" s="87"/>
      <c r="I14" s="155">
        <f>+'Sch 2.0'!E27</f>
        <v>1588823</v>
      </c>
      <c r="K14" s="121"/>
      <c r="L14" s="68"/>
    </row>
    <row r="15" spans="1:12" x14ac:dyDescent="0.3">
      <c r="A15" s="47">
        <f>A14+1</f>
        <v>2</v>
      </c>
      <c r="B15" s="154">
        <v>45658</v>
      </c>
      <c r="C15" s="83">
        <f>C14-1</f>
        <v>12</v>
      </c>
      <c r="D15" s="182">
        <f>+'Sch 2.0'!F$15</f>
        <v>0</v>
      </c>
      <c r="E15" s="116">
        <f>E14+D15</f>
        <v>79621679</v>
      </c>
      <c r="F15" s="179">
        <f>+'Sch 2.0'!F21</f>
        <v>0</v>
      </c>
      <c r="G15" s="108">
        <f>G14+F15</f>
        <v>401459</v>
      </c>
      <c r="H15" s="179">
        <f>+'Sch 2.0'!F27</f>
        <v>0</v>
      </c>
      <c r="I15" s="108">
        <f>I14+H15</f>
        <v>1588823</v>
      </c>
      <c r="J15" s="19"/>
      <c r="K15" s="68"/>
    </row>
    <row r="16" spans="1:12" ht="16.2" x14ac:dyDescent="0.45">
      <c r="A16" s="47">
        <f>A15+1</f>
        <v>3</v>
      </c>
      <c r="B16" s="154">
        <v>45689</v>
      </c>
      <c r="C16" s="83">
        <f t="shared" ref="C16:C26" si="0">C15-1</f>
        <v>11</v>
      </c>
      <c r="D16" s="108">
        <f>+'Sch 2.0'!G$15</f>
        <v>0</v>
      </c>
      <c r="E16" s="116">
        <f t="shared" ref="E16:E26" si="1">E15+D16</f>
        <v>79621679</v>
      </c>
      <c r="F16" s="183">
        <f>+'Sch 2.0'!G$21</f>
        <v>0</v>
      </c>
      <c r="G16" s="108">
        <f t="shared" ref="G16:G26" si="2">G15+F16</f>
        <v>401459</v>
      </c>
      <c r="H16" s="183">
        <f>+'Sch 2.0'!G$27</f>
        <v>0</v>
      </c>
      <c r="I16" s="108">
        <f t="shared" ref="I16:I26" si="3">I15+H16</f>
        <v>1588823</v>
      </c>
      <c r="J16" s="20"/>
      <c r="K16" s="68"/>
    </row>
    <row r="17" spans="1:11" x14ac:dyDescent="0.3">
      <c r="A17" s="47">
        <f t="shared" ref="A17:A26" si="4">A16+1</f>
        <v>4</v>
      </c>
      <c r="B17" s="154">
        <v>45717</v>
      </c>
      <c r="C17" s="83">
        <f t="shared" si="0"/>
        <v>10</v>
      </c>
      <c r="D17" s="108">
        <f>+'Sch 2.0'!H$15</f>
        <v>0</v>
      </c>
      <c r="E17" s="116">
        <f t="shared" si="1"/>
        <v>79621679</v>
      </c>
      <c r="F17" s="183">
        <f>+'Sch 2.0'!H$21</f>
        <v>0</v>
      </c>
      <c r="G17" s="108">
        <f t="shared" si="2"/>
        <v>401459</v>
      </c>
      <c r="H17" s="183">
        <f>+'Sch 2.0'!H$27</f>
        <v>0</v>
      </c>
      <c r="I17" s="108">
        <f t="shared" si="3"/>
        <v>1588823</v>
      </c>
      <c r="J17" s="19"/>
      <c r="K17" s="68"/>
    </row>
    <row r="18" spans="1:11" x14ac:dyDescent="0.3">
      <c r="A18" s="47">
        <f t="shared" si="4"/>
        <v>5</v>
      </c>
      <c r="B18" s="154">
        <v>45748</v>
      </c>
      <c r="C18" s="83">
        <f t="shared" si="0"/>
        <v>9</v>
      </c>
      <c r="D18" s="108">
        <f>+'Sch 2.0'!I$15</f>
        <v>0</v>
      </c>
      <c r="E18" s="116">
        <f t="shared" si="1"/>
        <v>79621679</v>
      </c>
      <c r="F18" s="183">
        <f>+'Sch 2.0'!I$21</f>
        <v>0</v>
      </c>
      <c r="G18" s="108">
        <f t="shared" si="2"/>
        <v>401459</v>
      </c>
      <c r="H18" s="183">
        <f>+'Sch 2.0'!I$27</f>
        <v>0</v>
      </c>
      <c r="I18" s="108">
        <f>I17+H18</f>
        <v>1588823</v>
      </c>
      <c r="J18" s="15"/>
      <c r="K18" s="68"/>
    </row>
    <row r="19" spans="1:11" x14ac:dyDescent="0.3">
      <c r="A19" s="47">
        <f t="shared" si="4"/>
        <v>6</v>
      </c>
      <c r="B19" s="154">
        <v>45778</v>
      </c>
      <c r="C19" s="83">
        <f t="shared" si="0"/>
        <v>8</v>
      </c>
      <c r="D19" s="108">
        <f>+'Sch 2.0'!J$15</f>
        <v>0</v>
      </c>
      <c r="E19" s="116">
        <f t="shared" si="1"/>
        <v>79621679</v>
      </c>
      <c r="F19" s="183">
        <f>+'Sch 2.0'!J$21</f>
        <v>0</v>
      </c>
      <c r="G19" s="108">
        <f t="shared" si="2"/>
        <v>401459</v>
      </c>
      <c r="H19" s="183">
        <f>+'Sch 2.0'!J$27</f>
        <v>0</v>
      </c>
      <c r="I19" s="108">
        <f t="shared" si="3"/>
        <v>1588823</v>
      </c>
      <c r="K19" s="68"/>
    </row>
    <row r="20" spans="1:11" x14ac:dyDescent="0.3">
      <c r="A20" s="47">
        <f t="shared" si="4"/>
        <v>7</v>
      </c>
      <c r="B20" s="154">
        <v>45809</v>
      </c>
      <c r="C20" s="83">
        <f t="shared" si="0"/>
        <v>7</v>
      </c>
      <c r="D20" s="108">
        <f>+'Sch 2.0'!K$15</f>
        <v>0</v>
      </c>
      <c r="E20" s="116">
        <f t="shared" si="1"/>
        <v>79621679</v>
      </c>
      <c r="F20" s="183">
        <f>+'Sch 2.0'!K$21</f>
        <v>0</v>
      </c>
      <c r="G20" s="108">
        <f t="shared" si="2"/>
        <v>401459</v>
      </c>
      <c r="H20" s="183">
        <f>+'Sch 2.0'!K$27</f>
        <v>0</v>
      </c>
      <c r="I20" s="108">
        <f t="shared" si="3"/>
        <v>1588823</v>
      </c>
      <c r="J20" s="1"/>
      <c r="K20" s="68"/>
    </row>
    <row r="21" spans="1:11" ht="16.2" x14ac:dyDescent="0.45">
      <c r="A21" s="47">
        <f t="shared" si="4"/>
        <v>8</v>
      </c>
      <c r="B21" s="154">
        <v>45839</v>
      </c>
      <c r="C21" s="83">
        <f t="shared" si="0"/>
        <v>6</v>
      </c>
      <c r="D21" s="108">
        <f>+'Sch 2.0'!L$15</f>
        <v>0</v>
      </c>
      <c r="E21" s="116">
        <f t="shared" si="1"/>
        <v>79621679</v>
      </c>
      <c r="F21" s="183">
        <f>+'Sch 2.0'!L$21</f>
        <v>0</v>
      </c>
      <c r="G21" s="108">
        <f t="shared" si="2"/>
        <v>401459</v>
      </c>
      <c r="H21" s="183">
        <f>+'Sch 2.0'!L$27</f>
        <v>0</v>
      </c>
      <c r="I21" s="108">
        <f t="shared" si="3"/>
        <v>1588823</v>
      </c>
      <c r="J21" s="20"/>
      <c r="K21" s="68"/>
    </row>
    <row r="22" spans="1:11" x14ac:dyDescent="0.3">
      <c r="A22" s="47">
        <f t="shared" si="4"/>
        <v>9</v>
      </c>
      <c r="B22" s="154">
        <v>45870</v>
      </c>
      <c r="C22" s="83">
        <f t="shared" si="0"/>
        <v>5</v>
      </c>
      <c r="D22" s="108">
        <f>+'Sch 2.0'!M$15</f>
        <v>0</v>
      </c>
      <c r="E22" s="116">
        <f t="shared" si="1"/>
        <v>79621679</v>
      </c>
      <c r="F22" s="183">
        <f>+'Sch 2.0'!M$21</f>
        <v>0</v>
      </c>
      <c r="G22" s="108">
        <f t="shared" si="2"/>
        <v>401459</v>
      </c>
      <c r="H22" s="183">
        <f>+'Sch 2.0'!M$27</f>
        <v>0</v>
      </c>
      <c r="I22" s="108">
        <f t="shared" si="3"/>
        <v>1588823</v>
      </c>
      <c r="J22" s="19"/>
      <c r="K22" s="68"/>
    </row>
    <row r="23" spans="1:11" x14ac:dyDescent="0.3">
      <c r="A23" s="47">
        <f t="shared" si="4"/>
        <v>10</v>
      </c>
      <c r="B23" s="154">
        <v>45901</v>
      </c>
      <c r="C23" s="83">
        <f t="shared" si="0"/>
        <v>4</v>
      </c>
      <c r="D23" s="108">
        <f>+'Sch 2.0'!N$15</f>
        <v>0</v>
      </c>
      <c r="E23" s="116">
        <f t="shared" si="1"/>
        <v>79621679</v>
      </c>
      <c r="F23" s="183">
        <f>+'Sch 2.0'!N$21</f>
        <v>0</v>
      </c>
      <c r="G23" s="108">
        <f t="shared" si="2"/>
        <v>401459</v>
      </c>
      <c r="H23" s="183">
        <f>+'Sch 2.0'!N$27</f>
        <v>0</v>
      </c>
      <c r="I23" s="108">
        <f t="shared" si="3"/>
        <v>1588823</v>
      </c>
      <c r="J23" s="22"/>
      <c r="K23" s="68"/>
    </row>
    <row r="24" spans="1:11" x14ac:dyDescent="0.3">
      <c r="A24" s="47">
        <f t="shared" si="4"/>
        <v>11</v>
      </c>
      <c r="B24" s="154">
        <v>45931</v>
      </c>
      <c r="C24" s="83">
        <f t="shared" si="0"/>
        <v>3</v>
      </c>
      <c r="D24" s="108">
        <f>+'Sch 2.0'!O$15</f>
        <v>39688716</v>
      </c>
      <c r="E24" s="116">
        <f t="shared" si="1"/>
        <v>119310395</v>
      </c>
      <c r="F24" s="183">
        <f>+'Sch 2.0'!O$21</f>
        <v>73681</v>
      </c>
      <c r="G24" s="108">
        <f t="shared" si="2"/>
        <v>475140</v>
      </c>
      <c r="H24" s="183">
        <f>+'Sch 2.0'!O$27</f>
        <v>780200</v>
      </c>
      <c r="I24" s="108">
        <f t="shared" si="3"/>
        <v>2369023</v>
      </c>
      <c r="J24" s="23"/>
      <c r="K24" s="68"/>
    </row>
    <row r="25" spans="1:11" x14ac:dyDescent="0.3">
      <c r="A25" s="47">
        <f t="shared" si="4"/>
        <v>12</v>
      </c>
      <c r="B25" s="154">
        <v>45962</v>
      </c>
      <c r="C25" s="83">
        <f t="shared" si="0"/>
        <v>2</v>
      </c>
      <c r="D25" s="108">
        <f>+'Sch 2.0'!P$15</f>
        <v>3430149</v>
      </c>
      <c r="E25" s="116">
        <f t="shared" si="1"/>
        <v>122740544</v>
      </c>
      <c r="F25" s="183">
        <f>+'Sch 2.0'!P$21</f>
        <v>0</v>
      </c>
      <c r="G25" s="108">
        <f t="shared" si="2"/>
        <v>475140</v>
      </c>
      <c r="H25" s="183">
        <f>+'Sch 2.0'!P$27</f>
        <v>0</v>
      </c>
      <c r="I25" s="108">
        <f t="shared" si="3"/>
        <v>2369023</v>
      </c>
      <c r="J25" s="22"/>
      <c r="K25" s="68"/>
    </row>
    <row r="26" spans="1:11" x14ac:dyDescent="0.3">
      <c r="A26" s="47">
        <f t="shared" si="4"/>
        <v>13</v>
      </c>
      <c r="B26" s="154">
        <v>45992</v>
      </c>
      <c r="C26" s="83">
        <f t="shared" si="0"/>
        <v>1</v>
      </c>
      <c r="D26" s="108">
        <f>+'Sch 2.0'!Q$15</f>
        <v>1746369</v>
      </c>
      <c r="E26" s="117">
        <f t="shared" si="1"/>
        <v>124486913</v>
      </c>
      <c r="F26" s="183">
        <f>+'Sch 2.0'!Q$21</f>
        <v>0</v>
      </c>
      <c r="G26" s="109">
        <f t="shared" si="2"/>
        <v>475140</v>
      </c>
      <c r="H26" s="183">
        <f>+'Sch 2.0'!Q$27</f>
        <v>0</v>
      </c>
      <c r="I26" s="109">
        <f t="shared" si="3"/>
        <v>2369023</v>
      </c>
      <c r="J26" s="22"/>
      <c r="K26" s="68"/>
    </row>
    <row r="27" spans="1:11" x14ac:dyDescent="0.3">
      <c r="A27" s="47"/>
      <c r="D27" s="110"/>
      <c r="E27" s="68">
        <f>SUM(E14:E26)</f>
        <v>1162754642</v>
      </c>
      <c r="F27" s="110"/>
      <c r="G27" s="68">
        <f>SUM(G14:G26)</f>
        <v>5440010</v>
      </c>
      <c r="H27" s="114"/>
      <c r="I27" s="68">
        <f>SUM(I14:I26)</f>
        <v>22995299</v>
      </c>
      <c r="J27" s="2"/>
    </row>
    <row r="28" spans="1:11" x14ac:dyDescent="0.3">
      <c r="A28" s="47">
        <f>A26+1</f>
        <v>14</v>
      </c>
      <c r="B28" t="s">
        <v>88</v>
      </c>
      <c r="D28" s="110"/>
      <c r="E28" s="118">
        <v>13</v>
      </c>
      <c r="F28" s="118"/>
      <c r="G28" s="118">
        <v>13</v>
      </c>
      <c r="H28" s="119"/>
      <c r="I28" s="120">
        <v>13</v>
      </c>
    </row>
    <row r="29" spans="1:11" ht="15" thickBot="1" x14ac:dyDescent="0.35">
      <c r="A29" s="47">
        <f>A28+1</f>
        <v>15</v>
      </c>
      <c r="B29" t="s">
        <v>89</v>
      </c>
      <c r="E29" s="69">
        <f>ROUND(E27/E28,0)</f>
        <v>89442665</v>
      </c>
      <c r="F29" s="70"/>
      <c r="G29" s="69">
        <f>ROUND(G27/G28,0)</f>
        <v>418462</v>
      </c>
      <c r="H29" s="70"/>
      <c r="I29" s="69">
        <f>ROUND(I27/I28,0)</f>
        <v>1768869</v>
      </c>
    </row>
    <row r="30" spans="1:11" ht="15" thickTop="1" x14ac:dyDescent="0.3">
      <c r="H30" s="22"/>
    </row>
    <row r="31" spans="1:11" x14ac:dyDescent="0.3">
      <c r="A31" s="47"/>
      <c r="E31" s="41"/>
      <c r="G31" s="41"/>
      <c r="H31" s="41"/>
      <c r="I31" s="41"/>
    </row>
    <row r="32" spans="1:11" x14ac:dyDescent="0.3">
      <c r="F32" s="44"/>
    </row>
  </sheetData>
  <mergeCells count="3">
    <mergeCell ref="D9:E9"/>
    <mergeCell ref="F9:G9"/>
    <mergeCell ref="H9:I9"/>
  </mergeCells>
  <printOptions horizontalCentered="1"/>
  <pageMargins left="0.7" right="0.7" top="0.75" bottom="0.75" header="0.3" footer="0.3"/>
  <pageSetup scale="87" orientation="landscape" r:id="rId1"/>
  <headerFooter>
    <oddHeader xml:space="preserve">&amp;RKyPSC Case No. 2024-00191
Exhibit 3
Schedule 2.2
Page &amp;P of &amp;N
</oddHeader>
  </headerFooter>
  <ignoredErrors>
    <ignoredError sqref="F15:F26 H15:H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E4025D41E0148A555B3372C9718C6" ma:contentTypeVersion="4" ma:contentTypeDescription="Create a new document." ma:contentTypeScope="" ma:versionID="1ecd32efb9d8848a78db1ee850f10b10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748DDD-DC92-4F63-B872-3AA677AFB883}">
  <ds:schemaRefs>
    <ds:schemaRef ds:uri="http://purl.org/dc/elements/1.1/"/>
    <ds:schemaRef ds:uri="3c9d8c27-8a6d-4d9e-a15e-ef5d28c114af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2612a682-5ffb-4b9c-9555-01761893517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3057B4-69D3-4069-B30D-5F17219052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94473E-D3DE-4AFF-8D62-397FBA609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 Summary</vt:lpstr>
      <vt:lpstr>Sheet1</vt:lpstr>
      <vt:lpstr>Sch 1.0</vt:lpstr>
      <vt:lpstr>Sch 1.1</vt:lpstr>
      <vt:lpstr>Sch 1.2</vt:lpstr>
      <vt:lpstr>Sch 2.0</vt:lpstr>
      <vt:lpstr>Sch 2.1 (2)</vt:lpstr>
      <vt:lpstr>Sch 2.1</vt:lpstr>
      <vt:lpstr>Sch 2.2</vt:lpstr>
      <vt:lpstr>Sch 3.0</vt:lpstr>
      <vt:lpstr>Sch 4.1</vt:lpstr>
      <vt:lpstr>Sch 4.2</vt:lpstr>
      <vt:lpstr>Sch 4.3</vt:lpstr>
      <vt:lpstr>Sch 4.4 (old)</vt:lpstr>
      <vt:lpstr>Sch 4.4</vt:lpstr>
      <vt:lpstr>Sch 4.5</vt:lpstr>
      <vt:lpstr>' Summary'!Print_Area</vt:lpstr>
      <vt:lpstr>'Sch 1.0'!Print_Area</vt:lpstr>
      <vt:lpstr>'Sch 2.1'!Print_Area</vt:lpstr>
      <vt:lpstr>'Sch 2.2'!Print_Area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2024 Rider PMM filing</dc:subject>
  <dc:creator>Shoemaker, Joe</dc:creator>
  <cp:lastModifiedBy>Gates, Debbie</cp:lastModifiedBy>
  <cp:lastPrinted>2024-07-01T13:54:39Z</cp:lastPrinted>
  <dcterms:created xsi:type="dcterms:W3CDTF">2015-04-22T13:48:09Z</dcterms:created>
  <dcterms:modified xsi:type="dcterms:W3CDTF">2024-07-01T13:54:44Z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0x010100D6CE4025D41E0148A555B3372C9718C6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