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2.xml" ContentType="application/vnd.openxmlformats-officedocument.spreadsheetml.comments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\"/>
    </mc:Choice>
  </mc:AlternateContent>
  <xr:revisionPtr revIDLastSave="0" documentId="13_ncr:1_{CE3F65AC-A842-412F-9315-6DF7D6393836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WorkPaper" sheetId="35" state="hidden" r:id="rId21"/>
    <sheet name="WP-E.1" sheetId="33" state="hidden" r:id="rId22"/>
    <sheet name="Data Mart Inputs" sheetId="12" state="hidden" r:id="rId23"/>
    <sheet name="Holidays" sheetId="37" state="hidden" r:id="rId24"/>
    <sheet name="Rate Validation" sheetId="43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W.O.R.K.B.O.O.K..C.O.N.T.E.N.T.S____">'[1]Workbook Contents'!$A$1</definedName>
    <definedName name="_Fill" hidden="1">#REF!</definedName>
    <definedName name="ACT_BEGIN_DATE">'[1]1. MAIN INPUTS'!$F$24</definedName>
    <definedName name="ACT_END_DATE">'[1]1. MAIN INPUTS'!$F$23</definedName>
    <definedName name="AREA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'[2]Pipeline Cashout'!$A$9:$C$140</definedName>
    <definedName name="Cashouts">'[3]tbl Texas'!$A$8:$E$52</definedName>
    <definedName name="CF_Month_1">#REF!</definedName>
    <definedName name="CF_Month_2">#REF!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>#REF!</definedName>
    <definedName name="CRIT_SALES_DB">#REF!</definedName>
    <definedName name="CRIT_STORAGE_DB">#REF!</definedName>
    <definedName name="CRIT_TRANS_DB">#REF!</definedName>
    <definedName name="Database_PBR_Savings">#REF!</definedName>
    <definedName name="DatabaseStats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>[4]Macros!$D$9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>#REF!</definedName>
    <definedName name="DB_STORAGE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>#REF!</definedName>
    <definedName name="EWACOG">'[5]Backup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>#REF!</definedName>
    <definedName name="FirmRefFactor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[5]History!$A$12:$N$145</definedName>
    <definedName name="HLF">'[1]gca G1 HLF'!$B$8:$L$98</definedName>
    <definedName name="int_rate">#REF!</definedName>
    <definedName name="InterDemRefFactor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>#REF!</definedName>
    <definedName name="LVS_COG_FINAL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>#REF!</definedName>
    <definedName name="Month2">#REF!</definedName>
    <definedName name="Month3">#REF!</definedName>
    <definedName name="NA">'[6]Main Inputs'!$C$5</definedName>
    <definedName name="NumberTrueUp">'[5]Additional Backup'!$J$1</definedName>
    <definedName name="NymexMonth1">'C.1'!$E$25</definedName>
    <definedName name="NymexMonth2">'C.1'!$G$25</definedName>
    <definedName name="NymexMonth3">'C.1'!$I$25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'C.2'!$A$1:$P$25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2">'Data Mart Inputs'!$A$1:$M$35</definedName>
    <definedName name="_xlnm.Print_Area" localSheetId="18">E.1!$A$1:$K$48</definedName>
    <definedName name="_xlnm.Print_Area" localSheetId="19">E.2!$A$1:$K$35</definedName>
    <definedName name="Print_Total">#REF!</definedName>
    <definedName name="rpt_Confidential">'C.2'!$A$4:$P$8</definedName>
    <definedName name="rpt_PublicDisclosure">'C.2'!$A$9:$P$25</definedName>
    <definedName name="SALES_DB">#REF!</definedName>
    <definedName name="SEASON">'[1]1. MAIN INPUTS'!$F$13</definedName>
    <definedName name="SecondEffectiveDate">'[5]Additional Backup'!$B$1</definedName>
    <definedName name="SecondTrueUp">'[5]Additional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>#REF!</definedName>
    <definedName name="TEN_SS">'[1]S S'!$A$10:$L$22</definedName>
    <definedName name="TEN_STORAGE">#REF!</definedName>
    <definedName name="TEN_TRANSITION">#REF!</definedName>
    <definedName name="Tenn">[2]Tenn!$A$8:$F$22</definedName>
    <definedName name="test">'[1]gca G1'!$H$1:$I$2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>'[1]Cont. T13687'!#REF!</definedName>
    <definedName name="Texas">[2]Texas!$A$7:$E$37</definedName>
    <definedName name="TexasGasNNS">'C.2'!#REF!</definedName>
    <definedName name="TexasGasNoticePayback">#REF!</definedName>
    <definedName name="TGX_2">[1]B.1!$B$11:$K$21</definedName>
    <definedName name="ThirdEffectiveDate">'[5]Additional Backup'!$B$39</definedName>
    <definedName name="ThirdTrueUp">'[5]Additional Backup'!$F$73</definedName>
    <definedName name="TrueUp">'[5]Backup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6" l="1"/>
  <c r="B14" i="22"/>
  <c r="B15" i="22"/>
  <c r="B16" i="22"/>
  <c r="B17" i="22"/>
  <c r="B18" i="22"/>
  <c r="B19" i="22"/>
  <c r="B20" i="22"/>
  <c r="B21" i="22"/>
  <c r="B22" i="22"/>
  <c r="B23" i="22"/>
  <c r="E35" i="14"/>
  <c r="I14" i="6"/>
  <c r="E33" i="14"/>
  <c r="I39" i="13"/>
  <c r="I13" i="6"/>
  <c r="I12" i="6"/>
  <c r="D33" i="26"/>
  <c r="C12" i="25"/>
  <c r="D28" i="26"/>
  <c r="H28" i="26"/>
  <c r="H33" i="26"/>
  <c r="C16" i="25"/>
  <c r="F28" i="26"/>
  <c r="F33" i="26"/>
  <c r="C14" i="25"/>
  <c r="E68" i="13"/>
  <c r="D17" i="27"/>
  <c r="D31" i="27"/>
  <c r="D36" i="27"/>
  <c r="D12" i="25"/>
  <c r="E19" i="19"/>
  <c r="G30" i="25"/>
  <c r="G42" i="25"/>
  <c r="I7" i="30"/>
  <c r="N26" i="28"/>
  <c r="I46" i="15"/>
  <c r="F46" i="15"/>
  <c r="F30" i="18"/>
  <c r="H30" i="17"/>
  <c r="I30" i="17" s="1"/>
  <c r="I32" i="17" s="1"/>
  <c r="E12" i="18" s="1"/>
  <c r="E13" i="18" s="1"/>
  <c r="F17" i="27"/>
  <c r="G30" i="13"/>
  <c r="I44" i="15"/>
  <c r="G46" i="15"/>
  <c r="G45" i="15"/>
  <c r="I45" i="15"/>
  <c r="G44" i="15"/>
  <c r="G43" i="15"/>
  <c r="F45" i="15"/>
  <c r="K5" i="19"/>
  <c r="E61" i="13"/>
  <c r="F15" i="30"/>
  <c r="F10" i="28"/>
  <c r="F9" i="28"/>
  <c r="F11" i="28"/>
  <c r="F13" i="28"/>
  <c r="H9" i="28"/>
  <c r="J9" i="28"/>
  <c r="L9" i="28"/>
  <c r="G10" i="28"/>
  <c r="G17" i="28"/>
  <c r="H17" i="28"/>
  <c r="J10" i="28"/>
  <c r="L10" i="28"/>
  <c r="D11" i="28"/>
  <c r="D13" i="28"/>
  <c r="N12" i="28"/>
  <c r="I24" i="28"/>
  <c r="J24" i="28"/>
  <c r="J25" i="28"/>
  <c r="J27" i="28"/>
  <c r="G12" i="6"/>
  <c r="G13" i="6"/>
  <c r="G14" i="6"/>
  <c r="E28" i="15"/>
  <c r="K12" i="7"/>
  <c r="K24" i="28"/>
  <c r="L24" i="28"/>
  <c r="K17" i="28"/>
  <c r="L17" i="28"/>
  <c r="L18" i="28"/>
  <c r="L20" i="28"/>
  <c r="E14" i="25"/>
  <c r="F14" i="25"/>
  <c r="I14" i="25"/>
  <c r="K23" i="28"/>
  <c r="L23" i="28"/>
  <c r="K16" i="28"/>
  <c r="L16" i="28"/>
  <c r="G20" i="6"/>
  <c r="G24" i="6"/>
  <c r="G28" i="6"/>
  <c r="B8" i="30"/>
  <c r="B9" i="30"/>
  <c r="B10" i="30"/>
  <c r="B11" i="30"/>
  <c r="B12" i="30"/>
  <c r="B13" i="30"/>
  <c r="B14" i="30"/>
  <c r="B15" i="30"/>
  <c r="B16" i="30"/>
  <c r="B17" i="30"/>
  <c r="B18" i="30"/>
  <c r="F22" i="16"/>
  <c r="G35" i="6"/>
  <c r="G36" i="6"/>
  <c r="G42" i="6"/>
  <c r="G46" i="6"/>
  <c r="G50" i="6"/>
  <c r="G57" i="13"/>
  <c r="F33" i="19"/>
  <c r="G24" i="13"/>
  <c r="G21" i="13"/>
  <c r="G18" i="13"/>
  <c r="G12" i="13"/>
  <c r="I57" i="13"/>
  <c r="G59" i="13"/>
  <c r="G66" i="13"/>
  <c r="E59" i="13"/>
  <c r="E66" i="13"/>
  <c r="I59" i="13"/>
  <c r="I66" i="13"/>
  <c r="I30" i="13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J23" i="28"/>
  <c r="I16" i="28"/>
  <c r="J16" i="28"/>
  <c r="G23" i="28"/>
  <c r="H23" i="28"/>
  <c r="H25" i="28"/>
  <c r="H27" i="28"/>
  <c r="G16" i="28"/>
  <c r="H16" i="28"/>
  <c r="H18" i="28"/>
  <c r="H20" i="28"/>
  <c r="E23" i="28"/>
  <c r="F23" i="28"/>
  <c r="E16" i="28"/>
  <c r="F16" i="28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J14" i="30"/>
  <c r="I9" i="30"/>
  <c r="I8" i="30"/>
  <c r="D25" i="28"/>
  <c r="D27" i="28"/>
  <c r="N19" i="28"/>
  <c r="D18" i="28"/>
  <c r="D20" i="28"/>
  <c r="H17" i="27"/>
  <c r="H31" i="27"/>
  <c r="H36" i="27"/>
  <c r="D16" i="25"/>
  <c r="A67" i="26"/>
  <c r="G33" i="26"/>
  <c r="H16" i="26"/>
  <c r="F16" i="26"/>
  <c r="D16" i="26"/>
  <c r="A64" i="25"/>
  <c r="G19" i="25"/>
  <c r="J29" i="16"/>
  <c r="F18" i="19"/>
  <c r="E18" i="19" s="1"/>
  <c r="F11" i="20"/>
  <c r="F13" i="20"/>
  <c r="F15" i="20"/>
  <c r="F22" i="20"/>
  <c r="E17" i="18"/>
  <c r="A2" i="20"/>
  <c r="F19" i="19"/>
  <c r="A2" i="19"/>
  <c r="E35" i="18"/>
  <c r="G26" i="18"/>
  <c r="G35" i="18"/>
  <c r="G18" i="18"/>
  <c r="G36" i="45"/>
  <c r="H41" i="45"/>
  <c r="F26" i="18"/>
  <c r="F35" i="18"/>
  <c r="G17" i="18"/>
  <c r="A2" i="18"/>
  <c r="I30" i="16"/>
  <c r="J30" i="16"/>
  <c r="I21" i="16"/>
  <c r="J21" i="16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G18" i="14"/>
  <c r="A2" i="14"/>
  <c r="E53" i="13"/>
  <c r="F44" i="15"/>
  <c r="I51" i="13"/>
  <c r="I53" i="13"/>
  <c r="I65" i="13"/>
  <c r="G51" i="13"/>
  <c r="G53" i="13"/>
  <c r="G65" i="13"/>
  <c r="G45" i="13"/>
  <c r="I42" i="13"/>
  <c r="I47" i="13"/>
  <c r="I64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G62" i="6"/>
  <c r="I22" i="6"/>
  <c r="I44" i="6"/>
  <c r="K44" i="6"/>
  <c r="K36" i="6"/>
  <c r="K35" i="6"/>
  <c r="K14" i="6"/>
  <c r="K13" i="6"/>
  <c r="K12" i="6"/>
  <c r="G7" i="7"/>
  <c r="G19" i="19"/>
  <c r="G28" i="14"/>
  <c r="I28" i="14"/>
  <c r="I45" i="13"/>
  <c r="G32" i="14"/>
  <c r="F21" i="33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I25" i="45"/>
  <c r="J22" i="45"/>
  <c r="J25" i="45"/>
  <c r="G40" i="45"/>
  <c r="G41" i="45"/>
  <c r="F43" i="15"/>
  <c r="E64" i="13"/>
  <c r="I26" i="45"/>
  <c r="J26" i="45"/>
  <c r="J27" i="45"/>
  <c r="I27" i="45"/>
  <c r="G42" i="45"/>
  <c r="I17" i="28"/>
  <c r="J17" i="28"/>
  <c r="E24" i="28"/>
  <c r="F24" i="28"/>
  <c r="E17" i="28"/>
  <c r="F17" i="28"/>
  <c r="G40" i="15"/>
  <c r="I43" i="15"/>
  <c r="G42" i="15"/>
  <c r="I42" i="15"/>
  <c r="G41" i="15"/>
  <c r="I41" i="15"/>
  <c r="G51" i="15"/>
  <c r="I49" i="15"/>
  <c r="I40" i="15"/>
  <c r="H19" i="15"/>
  <c r="I51" i="15"/>
  <c r="I13" i="16"/>
  <c r="F31" i="27"/>
  <c r="F36" i="27"/>
  <c r="D14" i="25"/>
  <c r="G24" i="28"/>
  <c r="H24" i="28"/>
  <c r="H10" i="28"/>
  <c r="G38" i="45"/>
  <c r="G36" i="25"/>
  <c r="E18" i="18"/>
  <c r="G32" i="45"/>
  <c r="G34" i="45"/>
  <c r="I42" i="45"/>
  <c r="H40" i="45"/>
  <c r="H46" i="45"/>
  <c r="H44" i="45"/>
  <c r="I48" i="45"/>
  <c r="I50" i="45"/>
  <c r="B22" i="33"/>
  <c r="B23" i="33"/>
  <c r="I30" i="32"/>
  <c r="C22" i="33"/>
  <c r="C23" i="33"/>
  <c r="I31" i="32"/>
  <c r="D22" i="33"/>
  <c r="D23" i="33"/>
  <c r="I32" i="32"/>
  <c r="E22" i="33"/>
  <c r="E23" i="33"/>
  <c r="I33" i="32"/>
  <c r="I35" i="32"/>
  <c r="F22" i="33"/>
  <c r="F23" i="33"/>
  <c r="I24" i="32"/>
  <c r="I23" i="32"/>
  <c r="I47" i="32"/>
  <c r="K22" i="6"/>
  <c r="G5" i="12"/>
  <c r="G21" i="12" s="1"/>
  <c r="G13" i="12"/>
  <c r="G25" i="12" s="1"/>
  <c r="J16" i="30"/>
  <c r="J17" i="30"/>
  <c r="J10" i="30"/>
  <c r="J12" i="30"/>
  <c r="J13" i="30"/>
  <c r="J8" i="30"/>
  <c r="J9" i="30"/>
  <c r="J7" i="30"/>
  <c r="J18" i="30"/>
  <c r="G35" i="25"/>
  <c r="G38" i="25"/>
  <c r="A3" i="30"/>
  <c r="J11" i="30"/>
  <c r="J15" i="30"/>
  <c r="G17" i="12"/>
  <c r="G9" i="12"/>
  <c r="G29" i="12"/>
  <c r="G33" i="12"/>
  <c r="G4" i="12"/>
  <c r="G8" i="12" s="1"/>
  <c r="I45" i="6"/>
  <c r="K45" i="6" s="1"/>
  <c r="K23" i="6"/>
  <c r="G12" i="12"/>
  <c r="G24" i="12" s="1"/>
  <c r="E33" i="19"/>
  <c r="G26" i="13"/>
  <c r="G62" i="13"/>
  <c r="G68" i="13"/>
  <c r="G71" i="13"/>
  <c r="I26" i="13"/>
  <c r="I62" i="13"/>
  <c r="I68" i="13"/>
  <c r="I71" i="13"/>
  <c r="E9" i="18"/>
  <c r="E29" i="19"/>
  <c r="J28" i="16"/>
  <c r="F22" i="19"/>
  <c r="E22" i="19" s="1"/>
  <c r="F21" i="19"/>
  <c r="E21" i="19" s="1"/>
  <c r="J14" i="17"/>
  <c r="F25" i="19"/>
  <c r="E25" i="19" s="1"/>
  <c r="J15" i="17"/>
  <c r="E28" i="19"/>
  <c r="E30" i="19" s="1"/>
  <c r="F30" i="19"/>
  <c r="G22" i="19"/>
  <c r="G28" i="19"/>
  <c r="D19" i="25"/>
  <c r="H35" i="16"/>
  <c r="J14" i="16"/>
  <c r="J13" i="16"/>
  <c r="I33" i="14"/>
  <c r="G33" i="14"/>
  <c r="G35" i="14"/>
  <c r="I35" i="14"/>
  <c r="E11" i="18"/>
  <c r="G49" i="6"/>
  <c r="G29" i="6"/>
  <c r="G27" i="6"/>
  <c r="D16" i="12"/>
  <c r="D21" i="12"/>
  <c r="D13" i="12"/>
  <c r="D30" i="12"/>
  <c r="D6" i="12"/>
  <c r="D20" i="12"/>
  <c r="D12" i="12"/>
  <c r="D28" i="12"/>
  <c r="D22" i="12"/>
  <c r="D15" i="12"/>
  <c r="D31" i="12"/>
  <c r="D27" i="12"/>
  <c r="D2" i="12"/>
  <c r="D7" i="12"/>
  <c r="D3" i="12"/>
  <c r="D24" i="12"/>
  <c r="D26" i="12"/>
  <c r="D18" i="12"/>
  <c r="D4" i="12"/>
  <c r="D29" i="12"/>
  <c r="D25" i="12"/>
  <c r="D17" i="12"/>
  <c r="D32" i="12"/>
  <c r="D19" i="12"/>
  <c r="D14" i="12"/>
  <c r="D10" i="12"/>
  <c r="D8" i="12"/>
  <c r="D11" i="12"/>
  <c r="D23" i="12"/>
  <c r="D9" i="12"/>
  <c r="D5" i="12"/>
  <c r="D33" i="12"/>
  <c r="D5" i="27"/>
  <c r="F5" i="27"/>
  <c r="A4" i="28"/>
  <c r="A4" i="26"/>
  <c r="A4" i="27"/>
  <c r="I7" i="7"/>
  <c r="G12" i="22"/>
  <c r="H5" i="27"/>
  <c r="A3" i="26"/>
  <c r="A3" i="27"/>
  <c r="A3" i="28"/>
  <c r="L81" i="29"/>
  <c r="N81" i="29"/>
  <c r="H81" i="29"/>
  <c r="J81" i="29"/>
  <c r="F81" i="29"/>
  <c r="D81" i="29"/>
  <c r="L25" i="28"/>
  <c r="L27" i="28"/>
  <c r="E16" i="25"/>
  <c r="F16" i="25"/>
  <c r="I16" i="25"/>
  <c r="N24" i="28"/>
  <c r="N25" i="28"/>
  <c r="N27" i="28"/>
  <c r="J18" i="28"/>
  <c r="J20" i="28"/>
  <c r="N17" i="28"/>
  <c r="N23" i="28"/>
  <c r="N9" i="28"/>
  <c r="J11" i="28"/>
  <c r="J13" i="28"/>
  <c r="N10" i="28"/>
  <c r="L11" i="28"/>
  <c r="L13" i="28"/>
  <c r="E12" i="25"/>
  <c r="H11" i="28"/>
  <c r="H13" i="28"/>
  <c r="H31" i="28"/>
  <c r="N11" i="28"/>
  <c r="N13" i="28"/>
  <c r="N16" i="28"/>
  <c r="N18" i="28"/>
  <c r="N20" i="28"/>
  <c r="F18" i="28"/>
  <c r="F20" i="28"/>
  <c r="O20" i="28"/>
  <c r="F25" i="28"/>
  <c r="F27" i="28"/>
  <c r="J26" i="16"/>
  <c r="H22" i="19" s="1"/>
  <c r="O27" i="28"/>
  <c r="L33" i="28"/>
  <c r="J32" i="28"/>
  <c r="O13" i="28"/>
  <c r="N34" i="28"/>
  <c r="F30" i="28"/>
  <c r="G26" i="25"/>
  <c r="O36" i="28"/>
  <c r="E19" i="25"/>
  <c r="F12" i="25"/>
  <c r="I12" i="25"/>
  <c r="I19" i="25"/>
  <c r="G25" i="25"/>
  <c r="G29" i="25"/>
  <c r="F19" i="25"/>
  <c r="G41" i="25"/>
  <c r="G32" i="25"/>
  <c r="G44" i="25"/>
  <c r="I21" i="6"/>
  <c r="I43" i="6"/>
  <c r="K21" i="6"/>
  <c r="K43" i="6"/>
  <c r="G3" i="12"/>
  <c r="G15" i="12" s="1"/>
  <c r="F17" i="18" l="1"/>
  <c r="F18" i="18"/>
  <c r="H18" i="18" s="1"/>
  <c r="H32" i="17"/>
  <c r="G11" i="12"/>
  <c r="G19" i="12"/>
  <c r="G23" i="12"/>
  <c r="G7" i="12"/>
  <c r="I12" i="22"/>
  <c r="E23" i="19"/>
  <c r="F23" i="19"/>
  <c r="G16" i="12"/>
  <c r="G32" i="12" s="1"/>
  <c r="G20" i="12"/>
  <c r="G28" i="12"/>
  <c r="E25" i="22"/>
  <c r="G25" i="22"/>
  <c r="F12" i="19"/>
  <c r="E12" i="19" s="1"/>
  <c r="I13" i="15"/>
  <c r="F14" i="19"/>
  <c r="I25" i="15"/>
  <c r="I25" i="22"/>
  <c r="H17" i="18" l="1"/>
  <c r="F19" i="18"/>
  <c r="G27" i="12"/>
  <c r="G31" i="12"/>
  <c r="B8" i="22"/>
  <c r="F13" i="19"/>
  <c r="E13" i="19" s="1"/>
  <c r="E15" i="19" s="1"/>
  <c r="E37" i="19" s="1"/>
  <c r="I20" i="15"/>
  <c r="I19" i="15"/>
  <c r="E14" i="19"/>
  <c r="I27" i="15"/>
  <c r="G29" i="15"/>
  <c r="G32" i="15" s="1"/>
  <c r="H19" i="18" l="1"/>
  <c r="I17" i="18"/>
  <c r="I19" i="18" s="1"/>
  <c r="F15" i="19"/>
  <c r="F37" i="19" s="1"/>
  <c r="F39" i="19" s="1"/>
  <c r="E39" i="19" s="1"/>
  <c r="F41" i="19" l="1"/>
  <c r="F45" i="19" s="1"/>
  <c r="I41" i="6"/>
  <c r="K41" i="6" s="1"/>
  <c r="I30" i="18"/>
  <c r="H30" i="18"/>
  <c r="H26" i="18"/>
  <c r="I19" i="6"/>
  <c r="K19" i="6" s="1"/>
  <c r="E41" i="19"/>
  <c r="E45" i="19" s="1"/>
  <c r="G33" i="19"/>
  <c r="J27" i="16"/>
  <c r="H21" i="15" l="1"/>
  <c r="I21" i="15" s="1"/>
  <c r="I18" i="15"/>
  <c r="H14" i="15"/>
  <c r="I14" i="15" s="1"/>
  <c r="I12" i="15"/>
  <c r="H21" i="19"/>
  <c r="G21" i="19" s="1"/>
  <c r="J31" i="16"/>
  <c r="I31" i="16" s="1"/>
  <c r="I15" i="16"/>
  <c r="J15" i="16" s="1"/>
  <c r="J12" i="16"/>
  <c r="I19" i="16"/>
  <c r="J13" i="17"/>
  <c r="I16" i="17"/>
  <c r="J16" i="17" s="1"/>
  <c r="I26" i="15"/>
  <c r="H28" i="15"/>
  <c r="I28" i="15" s="1"/>
  <c r="H22" i="15" l="1"/>
  <c r="J16" i="16"/>
  <c r="H18" i="19" s="1"/>
  <c r="I22" i="15"/>
  <c r="H13" i="19" s="1"/>
  <c r="G13" i="19" s="1"/>
  <c r="I16" i="16"/>
  <c r="I29" i="15"/>
  <c r="H29" i="15" s="1"/>
  <c r="J17" i="17"/>
  <c r="H25" i="19" s="1"/>
  <c r="G25" i="19" s="1"/>
  <c r="I17" i="17"/>
  <c r="J19" i="16"/>
  <c r="I22" i="16"/>
  <c r="J22" i="16" s="1"/>
  <c r="H15" i="15"/>
  <c r="I15" i="15"/>
  <c r="H14" i="19" l="1"/>
  <c r="G14" i="19" s="1"/>
  <c r="H12" i="19"/>
  <c r="I32" i="15"/>
  <c r="H32" i="15" s="1"/>
  <c r="G18" i="19"/>
  <c r="I23" i="16"/>
  <c r="J23" i="16"/>
  <c r="H28" i="19"/>
  <c r="H29" i="19"/>
  <c r="G29" i="19" s="1"/>
  <c r="H30" i="19" l="1"/>
  <c r="G30" i="19" s="1"/>
  <c r="H19" i="19"/>
  <c r="H23" i="19" s="1"/>
  <c r="G23" i="19" s="1"/>
  <c r="J35" i="16"/>
  <c r="I35" i="16" s="1"/>
  <c r="G12" i="19"/>
  <c r="H15" i="19"/>
  <c r="G15" i="19" l="1"/>
  <c r="H37" i="19"/>
  <c r="G37" i="19" l="1"/>
  <c r="H41" i="19"/>
  <c r="G41" i="19" s="1"/>
  <c r="H45" i="19" l="1"/>
  <c r="G45" i="19" l="1"/>
  <c r="I18" i="6" s="1"/>
  <c r="I40" i="6" l="1"/>
  <c r="K18" i="6"/>
  <c r="I20" i="6"/>
  <c r="K40" i="6"/>
  <c r="I42" i="6"/>
  <c r="K20" i="6"/>
  <c r="I24" i="6"/>
  <c r="I27" i="6" s="1"/>
  <c r="K24" i="6" l="1"/>
  <c r="I29" i="6"/>
  <c r="I28" i="6"/>
  <c r="G2" i="12"/>
  <c r="I46" i="6"/>
  <c r="K42" i="6"/>
  <c r="K46" i="6" l="1"/>
  <c r="I49" i="6"/>
  <c r="I50" i="6"/>
  <c r="G6" i="12"/>
  <c r="M9" i="12" s="1"/>
  <c r="M5" i="12"/>
  <c r="G18" i="12"/>
  <c r="M21" i="12" s="1"/>
  <c r="G14" i="12"/>
  <c r="M17" i="12" s="1"/>
  <c r="K28" i="6"/>
  <c r="G10" i="12"/>
  <c r="K27" i="6"/>
  <c r="K29" i="6"/>
  <c r="M13" i="12" l="1"/>
  <c r="G26" i="12"/>
  <c r="M29" i="12" s="1"/>
  <c r="G30" i="12"/>
  <c r="M33" i="12" s="1"/>
  <c r="G22" i="12"/>
  <c r="M25" i="12" s="1"/>
  <c r="K50" i="6"/>
  <c r="K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BuildAdmin</author>
  </authors>
  <commentList>
    <comment ref="F45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Texas Gas Transmission, 
Page 3 of 33 - Currently Effective Rates - FT 
Section 4.1
SL-4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Linda Nave:</t>
        </r>
        <r>
          <rPr>
            <sz val="8"/>
            <color indexed="81"/>
            <rFont val="Tahoma"/>
            <family val="2"/>
          </rPr>
          <t xml:space="preserve">
total purchases, bottom box of Summer/Winter Plan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sharedStrings.xml><?xml version="1.0" encoding="utf-8"?>
<sst xmlns="http://schemas.openxmlformats.org/spreadsheetml/2006/main" count="1372" uniqueCount="572">
  <si>
    <t>Tariff</t>
  </si>
  <si>
    <t>Refund Factor</t>
  </si>
  <si>
    <t>Total Refund Factor (RF)</t>
  </si>
  <si>
    <t xml:space="preserve">4 - </t>
  </si>
  <si>
    <t xml:space="preserve">3 - </t>
  </si>
  <si>
    <t xml:space="preserve">2 - </t>
  </si>
  <si>
    <t xml:space="preserve">1 - </t>
  </si>
  <si>
    <t>RF</t>
  </si>
  <si>
    <t>Date</t>
  </si>
  <si>
    <t>Case No.</t>
  </si>
  <si>
    <t>Effective</t>
  </si>
  <si>
    <t>Refund Factor (RF)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</si>
  <si>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</si>
  <si>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</si>
  <si>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</si>
  <si>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</si>
  <si>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</si>
  <si>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</si>
  <si>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</si>
  <si>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</si>
  <si>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</si>
  <si>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</si>
  <si>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</si>
  <si>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</si>
  <si>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</si>
  <si>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</si>
  <si>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</si>
  <si>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</si>
  <si>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</si>
  <si>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</si>
  <si>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</si>
  <si>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</si>
  <si>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</si>
  <si>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</si>
  <si>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</si>
  <si>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</si>
  <si>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</si>
  <si>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</si>
  <si>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</si>
  <si>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</si>
  <si>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</si>
  <si>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</si>
  <si>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</si>
  <si>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</si>
  <si>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</si>
  <si>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</si>
  <si>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</si>
  <si>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</si>
  <si>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</si>
  <si>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</si>
  <si>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</si>
  <si>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</si>
  <si>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</si>
  <si>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</si>
  <si>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</si>
  <si>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</si>
  <si>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</si>
  <si>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</si>
  <si>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</si>
  <si>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</si>
  <si>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</si>
  <si>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</si>
  <si>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</si>
  <si>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</si>
  <si>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</si>
  <si>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</si>
  <si>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</si>
  <si>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</si>
  <si>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</si>
  <si>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</si>
  <si>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</si>
  <si>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</si>
  <si>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</si>
  <si>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</si>
  <si>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</si>
  <si>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</si>
  <si>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</si>
  <si>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</si>
  <si>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</si>
  <si>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</si>
  <si>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</si>
  <si>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</si>
  <si>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</si>
  <si>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</si>
  <si>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</si>
  <si>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</si>
  <si>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</si>
  <si>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</si>
  <si>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</si>
  <si>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</si>
  <si>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</si>
  <si>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</si>
  <si>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</si>
  <si>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</si>
  <si>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</si>
  <si>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</si>
  <si>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</si>
  <si>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</si>
  <si>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</si>
  <si>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</si>
  <si>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</si>
  <si>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</si>
  <si>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</si>
  <si>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</si>
  <si>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</si>
  <si>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</si>
  <si>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</si>
  <si>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</si>
  <si>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</si>
  <si>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</si>
  <si>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</si>
  <si>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</si>
  <si>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</si>
  <si>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</si>
  <si>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</si>
  <si>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</si>
  <si>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</si>
  <si>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</si>
  <si>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</si>
  <si>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</si>
  <si>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</si>
  <si>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</si>
  <si>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</si>
  <si>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</si>
  <si>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</si>
  <si>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</si>
  <si>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</si>
  <si>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</si>
  <si>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</si>
  <si>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</si>
  <si>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</si>
  <si>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</si>
  <si>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</si>
  <si>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</si>
  <si>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</si>
  <si>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</si>
  <si>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</si>
  <si>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</si>
  <si>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</si>
  <si>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</si>
  <si>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</si>
  <si>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</si>
  <si>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</si>
  <si>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</si>
  <si>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</si>
  <si>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</si>
  <si>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</si>
  <si>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</si>
  <si>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</si>
  <si>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</si>
  <si>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</si>
  <si>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</si>
  <si>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</si>
  <si>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</si>
  <si>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</si>
  <si>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</si>
  <si>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</si>
  <si>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</si>
  <si>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</si>
  <si>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</si>
  <si>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</si>
  <si>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</si>
  <si>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</si>
  <si>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</si>
  <si>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</si>
  <si>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</si>
  <si>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</si>
  <si>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</si>
  <si>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</si>
  <si>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</si>
  <si>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</si>
  <si>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</si>
  <si>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</si>
  <si>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</si>
  <si>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</si>
  <si>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</si>
  <si>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</si>
  <si>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</si>
  <si>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</si>
  <si>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</si>
  <si>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</si>
  <si>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</si>
  <si>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</si>
  <si>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</si>
  <si>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</si>
  <si>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</si>
  <si>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</si>
  <si>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</si>
  <si>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</si>
  <si>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</si>
  <si>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</si>
  <si>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</si>
  <si>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</si>
  <si>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</si>
  <si>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</si>
  <si>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</si>
  <si>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</si>
  <si>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</si>
  <si>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</si>
  <si>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</si>
  <si>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</si>
  <si>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</si>
  <si>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</si>
  <si>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</si>
  <si>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</si>
  <si>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</si>
  <si>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</si>
  <si>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</si>
  <si>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</si>
  <si>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</si>
  <si>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</si>
  <si>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</si>
  <si>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</si>
  <si>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</si>
  <si>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</si>
  <si>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</si>
  <si>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</si>
  <si>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</si>
  <si>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>Ensure Injection $'s are negative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</si>
  <si>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</si>
  <si>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</si>
  <si>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</si>
  <si>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</si>
  <si>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</si>
  <si>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</si>
  <si>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</si>
  <si>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</si>
  <si>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</si>
  <si>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</si>
  <si>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</si>
  <si>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</si>
  <si>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</si>
  <si>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</si>
  <si>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</si>
  <si>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</si>
  <si>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</si>
  <si>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</si>
  <si>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</si>
  <si>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</si>
  <si>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</si>
  <si>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</si>
  <si>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</si>
  <si>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</si>
  <si>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</si>
  <si>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</si>
  <si>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</si>
  <si>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</si>
  <si>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</si>
  <si>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</si>
  <si>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</si>
  <si>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</si>
  <si>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</si>
  <si>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</si>
  <si>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</si>
  <si>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</si>
  <si>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</si>
  <si>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</si>
  <si>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</si>
  <si>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</si>
  <si>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</si>
  <si>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</si>
  <si>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</si>
  <si>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</si>
  <si>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</si>
  <si>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</si>
  <si>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</si>
  <si>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</si>
  <si>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</si>
  <si>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</si>
  <si>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</si>
  <si>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</si>
  <si>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</si>
  <si>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</si>
  <si>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</si>
  <si>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</si>
  <si>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</si>
  <si>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</si>
  <si>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</si>
  <si>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</si>
  <si>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</si>
  <si>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</si>
  <si>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</si>
  <si>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</si>
  <si>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</si>
  <si>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</si>
  <si>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</si>
  <si>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</si>
  <si>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</si>
  <si>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</si>
  <si>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</si>
  <si>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</si>
  <si>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</si>
  <si>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</si>
  <si>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</si>
  <si>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</si>
  <si>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</si>
  <si>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</si>
  <si>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</si>
  <si>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</si>
  <si>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</si>
  <si>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</si>
  <si>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</si>
  <si>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</si>
  <si>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</si>
  <si>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</si>
  <si>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Note: Filed under Petition of Confidentiality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</si>
  <si>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</si>
  <si>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</si>
  <si>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</si>
  <si>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</si>
  <si>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</si>
  <si>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</si>
  <si>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</si>
  <si>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</si>
  <si>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</si>
  <si>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</si>
  <si>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</si>
  <si>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</si>
  <si>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</si>
  <si>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</si>
  <si>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</si>
  <si>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</si>
  <si>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</si>
  <si>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</si>
  <si>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</si>
  <si>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</si>
  <si>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</si>
  <si>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</si>
  <si>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</si>
  <si>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</si>
  <si>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</si>
  <si>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</si>
  <si>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</si>
  <si>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</si>
  <si>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</si>
  <si>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</si>
  <si>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</si>
  <si>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</si>
  <si>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</si>
  <si>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</si>
  <si>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</si>
  <si>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</si>
  <si>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</si>
  <si>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</si>
  <si>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</si>
  <si>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</si>
  <si>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</si>
  <si>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</si>
  <si>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</si>
  <si>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</si>
  <si>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</si>
  <si>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</si>
  <si>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</si>
  <si>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</si>
  <si>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</si>
  <si>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</si>
  <si>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</si>
  <si>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</si>
  <si>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</si>
  <si>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</si>
  <si>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</si>
  <si>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</si>
  <si>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</si>
  <si>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</si>
  <si>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</si>
  <si>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</si>
  <si>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</si>
  <si>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</si>
  <si>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</si>
  <si>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</si>
  <si>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</si>
  <si>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</si>
  <si>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</si>
  <si>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</si>
  <si>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</si>
  <si>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</si>
  <si>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</si>
  <si>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</si>
  <si>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</si>
  <si>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</si>
  <si>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</si>
  <si>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</si>
  <si>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</si>
  <si>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</si>
  <si>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</si>
  <si>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</si>
  <si>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</si>
  <si>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</si>
  <si>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</si>
  <si>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</si>
  <si>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</si>
  <si>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</si>
  <si>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</si>
  <si>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</si>
  <si>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</si>
  <si>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</si>
  <si>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</si>
  <si>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</si>
  <si>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</si>
  <si>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</si>
  <si>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</si>
  <si>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</si>
  <si>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</si>
  <si>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</si>
  <si>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</si>
  <si>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</si>
  <si>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</si>
  <si>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</si>
  <si>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</si>
  <si>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</si>
  <si>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</si>
  <si>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</si>
  <si>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Midwestern Gas Transmission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</si>
  <si>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</si>
  <si>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</si>
  <si>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</si>
  <si>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</si>
  <si>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</si>
  <si>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</si>
  <si>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</si>
  <si>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</si>
  <si>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</si>
  <si>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</si>
  <si>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</si>
  <si>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</si>
  <si>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</si>
  <si>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</si>
  <si>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</si>
  <si>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</si>
  <si>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</si>
  <si>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</si>
  <si>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</si>
  <si>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</si>
  <si>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</si>
  <si>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</si>
  <si>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</si>
  <si>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</si>
  <si>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</si>
  <si>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</si>
  <si>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</si>
  <si>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</si>
  <si>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</si>
  <si>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</si>
  <si>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</si>
  <si>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</si>
  <si>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</si>
  <si>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</si>
  <si>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</si>
  <si>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</si>
  <si>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</si>
  <si>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</si>
  <si>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</si>
  <si>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</si>
  <si>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</si>
  <si>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</si>
  <si>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</si>
  <si>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</si>
  <si>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</si>
  <si>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</si>
  <si>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</si>
  <si>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</si>
  <si>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</si>
  <si>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</si>
  <si>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</si>
  <si>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</si>
  <si>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</si>
  <si>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</si>
  <si>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</si>
  <si>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</si>
  <si>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</si>
  <si>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</si>
  <si>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</si>
  <si>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</si>
  <si>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</si>
  <si>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</si>
  <si>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</si>
  <si>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</si>
  <si>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</si>
  <si>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</si>
  <si>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</si>
  <si>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</si>
  <si>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</si>
  <si>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</si>
  <si>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</si>
  <si>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</si>
  <si>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</si>
  <si>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</si>
  <si>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</si>
  <si>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</si>
  <si>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</si>
  <si>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</si>
  <si>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</si>
  <si>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</si>
  <si>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</si>
  <si>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</si>
  <si>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</si>
  <si>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</si>
  <si>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</si>
  <si>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</si>
  <si>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</si>
  <si>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</si>
  <si>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</si>
  <si>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</si>
  <si>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</si>
  <si>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</si>
  <si>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</si>
  <si>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</si>
  <si>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</si>
  <si>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</si>
  <si>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</si>
  <si>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</si>
  <si>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</si>
  <si>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</si>
  <si>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</si>
  <si>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</si>
  <si>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</si>
  <si>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</si>
  <si>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</si>
  <si>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</si>
  <si>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</si>
  <si>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</si>
  <si>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</si>
  <si>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 xml:space="preserve"> 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</si>
  <si>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</si>
  <si>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</si>
  <si>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</si>
  <si>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</si>
  <si>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</si>
  <si>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</si>
  <si>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</si>
  <si>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</si>
  <si>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</si>
  <si>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</si>
  <si>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</si>
  <si>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</si>
  <si>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</si>
  <si>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</si>
  <si>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</si>
  <si>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</si>
  <si>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</si>
  <si>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</si>
  <si>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Distribution Charge (per Case No. 2021-00214)</t>
  </si>
  <si>
    <t>2023-00307</t>
  </si>
  <si>
    <t>2023-00414</t>
  </si>
  <si>
    <t>Symmetry Energy Solutions (SES)</t>
  </si>
  <si>
    <t>Benson Valley - RNG</t>
  </si>
  <si>
    <t>United Energy Trading (UET)</t>
  </si>
  <si>
    <t>Mercuria</t>
  </si>
  <si>
    <t>LG&amp;E Natural</t>
  </si>
  <si>
    <t>Texaco Gas Marketing</t>
  </si>
  <si>
    <t>CMS</t>
  </si>
  <si>
    <t>WESCO</t>
  </si>
  <si>
    <t>Southern Energy Company</t>
  </si>
  <si>
    <t>Union Pacific Fuels</t>
  </si>
  <si>
    <t>Engage</t>
  </si>
  <si>
    <t>ERI</t>
  </si>
  <si>
    <t>Prepaid</t>
  </si>
  <si>
    <t>Reservation</t>
  </si>
  <si>
    <t>Hedging Costs - All Zones</t>
  </si>
  <si>
    <t>Chevron Natural Gas, Inc.</t>
  </si>
  <si>
    <t>Fuel Adjustment</t>
  </si>
  <si>
    <t>Anadarko</t>
  </si>
  <si>
    <t>2024-00060</t>
  </si>
  <si>
    <t>2024-00185</t>
  </si>
  <si>
    <t>For the Quarter ending  October - 2024</t>
  </si>
  <si>
    <t>The Company believes prices are increasing and prices for the quarter ending October 31, 2024 will settle at $2.870 per MMBTU (based on the average of the past ten days) for the period that the GCA is to become effective.</t>
  </si>
  <si>
    <t>(Over)/Under Recovered Gas Cost through January 2024 (February 2024 GL)</t>
  </si>
  <si>
    <t>Total Gas Cost Under/(Over) Recovery for the three months ended April 2024</t>
  </si>
  <si>
    <t>Prior Net Uncollectible Gas Cost as of November, 2022</t>
  </si>
  <si>
    <t>(Over)/Under Recovered Gas Cost through April 2024 (May 2024 GL) (a)</t>
  </si>
  <si>
    <t>Net Uncollectible Gas Cost through November 2023 (c)</t>
  </si>
  <si>
    <t>Total Deferred Balance through April 2024 (May 2024 GL) incl. Net Uncol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</si>
</sst>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2" formatCode="0.000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u/>
      <sz val="11"/>
      <name val="Arial"/>
      <family val="2"/>
    </font>
    <font>
      <u val="singleAccounting"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164" fontId="5" fillId="0" borderId="0"/>
    <xf numFmtId="164" fontId="5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0" fontId="54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0" fontId="1" fillId="0" borderId="0">
      <alignment vertical="center"/>
    </xf>
    <xf numFmtId="0" fontId="56" fillId="0" borderId="0"/>
    <xf numFmtId="4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>
      <alignment vertical="center"/>
    </xf>
    <xf numFmtId="0" fontId="57" fillId="0" borderId="0"/>
    <xf numFmtId="164" fontId="4" fillId="0" borderId="0">
      <alignment horizontal="left" vertical="center" indent="1"/>
    </xf>
    <xf numFmtId="0" fontId="53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3" fillId="0" borderId="0" applyFont="0" applyFill="0" applyBorder="0" applyAlignment="0" applyProtection="0"/>
    <xf numFmtId="0" fontId="59" fillId="0" borderId="0"/>
    <xf numFmtId="0" fontId="27" fillId="0" borderId="0"/>
    <xf numFmtId="0" fontId="68" fillId="0" borderId="0" applyNumberFormat="0" applyFill="0" applyBorder="0" applyAlignment="0" applyProtection="0"/>
    <xf numFmtId="0" fontId="69" fillId="0" borderId="17" applyNumberFormat="0" applyFont="0" applyFill="0" applyAlignment="0" applyProtection="0"/>
    <xf numFmtId="206" fontId="70" fillId="0" borderId="18" applyNumberFormat="0" applyProtection="0">
      <alignment horizontal="right" vertical="center"/>
    </xf>
    <xf numFmtId="206" fontId="71" fillId="0" borderId="19" applyNumberFormat="0" applyProtection="0">
      <alignment horizontal="right" vertical="center"/>
    </xf>
    <xf numFmtId="0" fontId="71" fillId="5" borderId="17" applyNumberFormat="0" applyAlignment="0" applyProtection="0">
      <alignment horizontal="left" vertical="center" indent="1"/>
    </xf>
    <xf numFmtId="0" fontId="72" fillId="6" borderId="19" applyNumberFormat="0" applyAlignment="0" applyProtection="0">
      <alignment horizontal="left" vertical="center" indent="1"/>
    </xf>
    <xf numFmtId="0" fontId="72" fillId="6" borderId="19" applyNumberFormat="0" applyAlignment="0" applyProtection="0">
      <alignment horizontal="left" vertical="center" indent="1"/>
    </xf>
    <xf numFmtId="0" fontId="73" fillId="0" borderId="20" applyNumberFormat="0" applyFill="0" applyBorder="0" applyAlignment="0" applyProtection="0"/>
    <xf numFmtId="206" fontId="74" fillId="7" borderId="21" applyNumberFormat="0" applyBorder="0" applyAlignment="0" applyProtection="0">
      <alignment horizontal="right" vertical="center" indent="1"/>
    </xf>
    <xf numFmtId="206" fontId="75" fillId="8" borderId="21" applyNumberFormat="0" applyBorder="0" applyAlignment="0" applyProtection="0">
      <alignment horizontal="right" vertical="center" indent="1"/>
    </xf>
    <xf numFmtId="206" fontId="75" fillId="9" borderId="21" applyNumberFormat="0" applyBorder="0" applyAlignment="0" applyProtection="0">
      <alignment horizontal="right" vertical="center" indent="1"/>
    </xf>
    <xf numFmtId="206" fontId="76" fillId="10" borderId="21" applyNumberFormat="0" applyBorder="0" applyAlignment="0" applyProtection="0">
      <alignment horizontal="right" vertical="center" indent="1"/>
    </xf>
    <xf numFmtId="206" fontId="76" fillId="11" borderId="21" applyNumberFormat="0" applyBorder="0" applyAlignment="0" applyProtection="0">
      <alignment horizontal="right" vertical="center" indent="1"/>
    </xf>
    <xf numFmtId="206" fontId="76" fillId="12" borderId="21" applyNumberFormat="0" applyBorder="0" applyAlignment="0" applyProtection="0">
      <alignment horizontal="right" vertical="center" indent="1"/>
    </xf>
    <xf numFmtId="206" fontId="77" fillId="13" borderId="21" applyNumberFormat="0" applyBorder="0" applyAlignment="0" applyProtection="0">
      <alignment horizontal="right" vertical="center" indent="1"/>
    </xf>
    <xf numFmtId="206" fontId="77" fillId="14" borderId="21" applyNumberFormat="0" applyBorder="0" applyAlignment="0" applyProtection="0">
      <alignment horizontal="right" vertical="center" indent="1"/>
    </xf>
    <xf numFmtId="206" fontId="77" fillId="15" borderId="21" applyNumberFormat="0" applyBorder="0" applyAlignment="0" applyProtection="0">
      <alignment horizontal="right" vertical="center" indent="1"/>
    </xf>
    <xf numFmtId="0" fontId="72" fillId="16" borderId="17" applyNumberFormat="0" applyAlignment="0" applyProtection="0">
      <alignment horizontal="left" vertical="center" indent="1"/>
    </xf>
    <xf numFmtId="0" fontId="72" fillId="17" borderId="17" applyNumberFormat="0" applyAlignment="0" applyProtection="0">
      <alignment horizontal="left" vertical="center" indent="1"/>
    </xf>
    <xf numFmtId="0" fontId="72" fillId="18" borderId="17" applyNumberFormat="0" applyAlignment="0" applyProtection="0">
      <alignment horizontal="left" vertical="center" indent="1"/>
    </xf>
    <xf numFmtId="0" fontId="72" fillId="19" borderId="17" applyNumberFormat="0" applyAlignment="0" applyProtection="0">
      <alignment horizontal="left" vertical="center" indent="1"/>
    </xf>
    <xf numFmtId="0" fontId="72" fillId="20" borderId="19" applyNumberFormat="0" applyAlignment="0" applyProtection="0">
      <alignment horizontal="left" vertical="center" indent="1"/>
    </xf>
    <xf numFmtId="206" fontId="70" fillId="19" borderId="18" applyNumberFormat="0" applyBorder="0" applyProtection="0">
      <alignment horizontal="right" vertical="center"/>
    </xf>
    <xf numFmtId="206" fontId="71" fillId="19" borderId="19" applyNumberFormat="0" applyBorder="0" applyProtection="0">
      <alignment horizontal="right" vertical="center"/>
    </xf>
    <xf numFmtId="206" fontId="70" fillId="21" borderId="17" applyNumberFormat="0" applyAlignment="0" applyProtection="0">
      <alignment horizontal="left" vertical="center" indent="1"/>
    </xf>
    <xf numFmtId="0" fontId="71" fillId="5" borderId="19" applyNumberFormat="0" applyAlignment="0" applyProtection="0">
      <alignment horizontal="left" vertical="center" indent="1"/>
    </xf>
    <xf numFmtId="0" fontId="72" fillId="20" borderId="19" applyNumberFormat="0" applyAlignment="0" applyProtection="0">
      <alignment horizontal="left" vertical="center" indent="1"/>
    </xf>
    <xf numFmtId="206" fontId="71" fillId="20" borderId="19" applyNumberFormat="0" applyProtection="0">
      <alignment horizontal="right" vertical="center"/>
    </xf>
    <xf numFmtId="0" fontId="27" fillId="0" borderId="0"/>
    <xf numFmtId="0" fontId="27" fillId="0" borderId="0"/>
    <xf numFmtId="0" fontId="1" fillId="0" borderId="0"/>
    <xf numFmtId="44" fontId="5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4" borderId="0" applyNumberFormat="0" applyBorder="0" applyAlignment="0" applyProtection="0"/>
    <xf numFmtId="0" fontId="78" fillId="26" borderId="0" applyNumberFormat="0" applyBorder="0" applyAlignment="0" applyProtection="0"/>
    <xf numFmtId="0" fontId="78" fillId="23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6" borderId="0" applyNumberFormat="0" applyBorder="0" applyAlignment="0" applyProtection="0"/>
    <xf numFmtId="0" fontId="78" fillId="24" borderId="0" applyNumberFormat="0" applyBorder="0" applyAlignment="0" applyProtection="0"/>
    <xf numFmtId="0" fontId="79" fillId="26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28" borderId="0" applyNumberFormat="0" applyBorder="0" applyAlignment="0" applyProtection="0"/>
    <xf numFmtId="0" fontId="79" fillId="26" borderId="0" applyNumberFormat="0" applyBorder="0" applyAlignment="0" applyProtection="0"/>
    <xf numFmtId="0" fontId="79" fillId="23" borderId="0" applyNumberFormat="0" applyBorder="0" applyAlignment="0" applyProtection="0"/>
    <xf numFmtId="0" fontId="80" fillId="0" borderId="0"/>
    <xf numFmtId="0" fontId="79" fillId="31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3" fontId="81" fillId="35" borderId="0" applyBorder="0">
      <alignment horizontal="right"/>
      <protection locked="0"/>
    </xf>
    <xf numFmtId="0" fontId="82" fillId="36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5" borderId="22" applyNumberFormat="0" applyAlignment="0" applyProtection="0"/>
    <xf numFmtId="0" fontId="85" fillId="37" borderId="23" applyNumberFormat="0" applyAlignment="0" applyProtection="0"/>
    <xf numFmtId="0" fontId="86" fillId="38" borderId="0">
      <alignment horizontal="left"/>
    </xf>
    <xf numFmtId="0" fontId="87" fillId="38" borderId="0">
      <alignment horizontal="right"/>
    </xf>
    <xf numFmtId="0" fontId="88" fillId="35" borderId="0">
      <alignment horizontal="center"/>
    </xf>
    <xf numFmtId="0" fontId="87" fillId="38" borderId="0">
      <alignment horizontal="right"/>
    </xf>
    <xf numFmtId="0" fontId="89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3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24"/>
    <xf numFmtId="0" fontId="10" fillId="0" borderId="0" applyNumberFormat="0">
      <protection locked="0"/>
    </xf>
    <xf numFmtId="0" fontId="90" fillId="0" borderId="0" applyNumberFormat="0" applyFill="0" applyBorder="0" applyAlignment="0" applyProtection="0"/>
    <xf numFmtId="0" fontId="91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92" fillId="0" borderId="25" applyNumberFormat="0" applyFill="0" applyAlignment="0" applyProtection="0"/>
    <xf numFmtId="0" fontId="93" fillId="0" borderId="26" applyNumberFormat="0" applyFill="0" applyAlignment="0" applyProtection="0"/>
    <xf numFmtId="0" fontId="94" fillId="0" borderId="27" applyNumberFormat="0" applyFill="0" applyAlignment="0" applyProtection="0"/>
    <xf numFmtId="0" fontId="94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95" fillId="27" borderId="22" applyNumberFormat="0" applyAlignment="0" applyProtection="0"/>
    <xf numFmtId="41" fontId="60" fillId="0" borderId="0">
      <alignment horizontal="left"/>
    </xf>
    <xf numFmtId="0" fontId="96" fillId="40" borderId="24"/>
    <xf numFmtId="0" fontId="86" fillId="38" borderId="0">
      <alignment horizontal="left"/>
    </xf>
    <xf numFmtId="0" fontId="47" fillId="35" borderId="0">
      <alignment horizontal="left"/>
    </xf>
    <xf numFmtId="0" fontId="97" fillId="0" borderId="28" applyNumberFormat="0" applyFill="0" applyAlignment="0" applyProtection="0"/>
    <xf numFmtId="0" fontId="98" fillId="27" borderId="0" applyNumberFormat="0" applyBorder="0" applyAlignment="0" applyProtection="0"/>
    <xf numFmtId="37" fontId="99" fillId="0" borderId="0"/>
    <xf numFmtId="3" fontId="10" fillId="2" borderId="0" applyNumberFormat="0"/>
    <xf numFmtId="211" fontId="100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3" fillId="0" borderId="0"/>
    <xf numFmtId="0" fontId="1" fillId="24" borderId="29" applyNumberFormat="0" applyFont="0" applyAlignment="0" applyProtection="0"/>
    <xf numFmtId="43" fontId="102" fillId="0" borderId="0"/>
    <xf numFmtId="212" fontId="103" fillId="0" borderId="0"/>
    <xf numFmtId="0" fontId="104" fillId="35" borderId="30" applyNumberFormat="0" applyAlignment="0" applyProtection="0"/>
    <xf numFmtId="40" fontId="105" fillId="41" borderId="0">
      <alignment horizontal="right"/>
    </xf>
    <xf numFmtId="0" fontId="106" fillId="41" borderId="0">
      <alignment horizontal="right"/>
    </xf>
    <xf numFmtId="0" fontId="107" fillId="41" borderId="2"/>
    <xf numFmtId="0" fontId="107" fillId="0" borderId="0" applyBorder="0">
      <alignment horizontal="centerContinuous"/>
    </xf>
    <xf numFmtId="0" fontId="108" fillId="0" borderId="0" applyBorder="0">
      <alignment horizontal="centerContinuous"/>
    </xf>
    <xf numFmtId="10" fontId="1" fillId="0" borderId="0" applyFont="0" applyFill="0" applyBorder="0" applyAlignment="0" applyProtection="0"/>
    <xf numFmtId="0" fontId="109" fillId="0" borderId="0" applyNumberFormat="0" applyFont="0" applyFill="0" applyBorder="0" applyAlignment="0" applyProtection="0">
      <alignment horizontal="left"/>
    </xf>
    <xf numFmtId="15" fontId="109" fillId="0" borderId="0" applyFont="0" applyFill="0" applyBorder="0" applyAlignment="0" applyProtection="0"/>
    <xf numFmtId="4" fontId="109" fillId="0" borderId="0" applyFont="0" applyFill="0" applyBorder="0" applyAlignment="0" applyProtection="0"/>
    <xf numFmtId="0" fontId="110" fillId="0" borderId="14">
      <alignment horizontal="center"/>
    </xf>
    <xf numFmtId="3" fontId="109" fillId="0" borderId="0" applyFont="0" applyFill="0" applyBorder="0" applyAlignment="0" applyProtection="0"/>
    <xf numFmtId="0" fontId="109" fillId="42" borderId="0" applyNumberFormat="0" applyFont="0" applyBorder="0" applyAlignment="0" applyProtection="0"/>
    <xf numFmtId="0" fontId="47" fillId="27" borderId="0">
      <alignment horizontal="center"/>
    </xf>
    <xf numFmtId="49" fontId="66" fillId="35" borderId="0">
      <alignment horizontal="center"/>
    </xf>
    <xf numFmtId="0" fontId="83" fillId="0" borderId="0"/>
    <xf numFmtId="0" fontId="83" fillId="0" borderId="0"/>
    <xf numFmtId="0" fontId="87" fillId="38" borderId="0">
      <alignment horizontal="center"/>
    </xf>
    <xf numFmtId="0" fontId="87" fillId="38" borderId="0">
      <alignment horizontal="centerContinuous"/>
    </xf>
    <xf numFmtId="0" fontId="111" fillId="35" borderId="0">
      <alignment horizontal="left"/>
    </xf>
    <xf numFmtId="49" fontId="111" fillId="35" borderId="0">
      <alignment horizontal="center"/>
    </xf>
    <xf numFmtId="0" fontId="86" fillId="38" borderId="0">
      <alignment horizontal="left"/>
    </xf>
    <xf numFmtId="49" fontId="111" fillId="35" borderId="0">
      <alignment horizontal="left"/>
    </xf>
    <xf numFmtId="0" fontId="86" fillId="38" borderId="0">
      <alignment horizontal="centerContinuous"/>
    </xf>
    <xf numFmtId="0" fontId="86" fillId="38" borderId="0">
      <alignment horizontal="right"/>
    </xf>
    <xf numFmtId="49" fontId="47" fillId="35" borderId="0">
      <alignment horizontal="left"/>
    </xf>
    <xf numFmtId="0" fontId="87" fillId="38" borderId="0">
      <alignment horizontal="right"/>
    </xf>
    <xf numFmtId="0" fontId="111" fillId="25" borderId="0">
      <alignment horizontal="center"/>
    </xf>
    <xf numFmtId="0" fontId="112" fillId="25" borderId="0">
      <alignment horizontal="center"/>
    </xf>
    <xf numFmtId="206" fontId="113" fillId="21" borderId="0" applyNumberFormat="0" applyAlignment="0" applyProtection="0">
      <alignment horizontal="left" vertical="center" indent="1"/>
    </xf>
    <xf numFmtId="0" fontId="69" fillId="0" borderId="31" applyNumberFormat="0" applyFont="0" applyFill="0" applyAlignment="0" applyProtection="0"/>
    <xf numFmtId="206" fontId="70" fillId="21" borderId="17" applyNumberFormat="0" applyAlignment="0" applyProtection="0">
      <alignment horizontal="left" vertical="center" indent="1"/>
    </xf>
    <xf numFmtId="0" fontId="72" fillId="43" borderId="32" applyNumberFormat="0" applyAlignment="0" applyProtection="0">
      <alignment horizontal="left" vertical="center" indent="1"/>
    </xf>
    <xf numFmtId="0" fontId="72" fillId="44" borderId="32" applyNumberFormat="0" applyAlignment="0" applyProtection="0">
      <alignment horizontal="left" vertical="center" indent="1"/>
    </xf>
    <xf numFmtId="206" fontId="70" fillId="0" borderId="18" applyNumberFormat="0" applyFill="0" applyBorder="0" applyAlignment="0" applyProtection="0">
      <alignment horizontal="right" vertical="center"/>
    </xf>
    <xf numFmtId="0" fontId="83" fillId="0" borderId="24"/>
    <xf numFmtId="0" fontId="83" fillId="0" borderId="24"/>
    <xf numFmtId="0" fontId="114" fillId="38" borderId="0"/>
    <xf numFmtId="0" fontId="114" fillId="38" borderId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96" fillId="0" borderId="34"/>
    <xf numFmtId="0" fontId="96" fillId="0" borderId="34"/>
    <xf numFmtId="0" fontId="96" fillId="0" borderId="24"/>
    <xf numFmtId="0" fontId="96" fillId="0" borderId="24"/>
    <xf numFmtId="0" fontId="117" fillId="35" borderId="0">
      <alignment horizontal="center"/>
    </xf>
    <xf numFmtId="0" fontId="97" fillId="0" borderId="0" applyNumberFormat="0" applyFill="0" applyBorder="0" applyAlignment="0" applyProtection="0"/>
    <xf numFmtId="0" fontId="1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7" fillId="0" borderId="0"/>
    <xf numFmtId="0" fontId="119" fillId="0" borderId="20" applyNumberFormat="0" applyBorder="0" applyAlignment="0" applyProtection="0"/>
    <xf numFmtId="0" fontId="73" fillId="6" borderId="19" applyNumberFormat="0" applyAlignment="0" applyProtection="0">
      <alignment horizontal="left" vertical="center" indent="1"/>
    </xf>
    <xf numFmtId="0" fontId="73" fillId="6" borderId="19" applyNumberFormat="0" applyAlignment="0" applyProtection="0">
      <alignment horizontal="left" vertical="center" indent="1"/>
    </xf>
    <xf numFmtId="0" fontId="73" fillId="20" borderId="19" applyNumberFormat="0" applyAlignment="0" applyProtection="0">
      <alignment horizontal="left" vertical="center" indent="1"/>
    </xf>
    <xf numFmtId="206" fontId="120" fillId="20" borderId="19" applyNumberFormat="0" applyProtection="0">
      <alignment horizontal="right" vertical="center"/>
    </xf>
    <xf numFmtId="206" fontId="121" fillId="19" borderId="18" applyNumberFormat="0" applyBorder="0" applyProtection="0">
      <alignment horizontal="right" vertical="center"/>
    </xf>
    <xf numFmtId="206" fontId="120" fillId="19" borderId="19" applyNumberFormat="0" applyBorder="0" applyProtection="0">
      <alignment horizontal="right" vertical="center"/>
    </xf>
    <xf numFmtId="206" fontId="70" fillId="0" borderId="18" applyNumberFormat="0" applyFill="0" applyBorder="0" applyAlignment="0" applyProtection="0">
      <alignment horizontal="right" vertical="center"/>
    </xf>
    <xf numFmtId="0" fontId="27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2" fillId="6" borderId="19" applyNumberFormat="0" applyAlignment="0">
      <alignment horizontal="left" vertical="center" indent="1"/>
      <protection locked="0"/>
    </xf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206" fontId="70" fillId="19" borderId="18" applyNumberFormat="0" applyBorder="0">
      <alignment horizontal="right" vertical="center"/>
      <protection locked="0"/>
    </xf>
    <xf numFmtId="0" fontId="72" fillId="6" borderId="19" applyNumberFormat="0" applyAlignment="0">
      <alignment horizontal="left" vertical="center" indent="1"/>
      <protection locked="0"/>
    </xf>
    <xf numFmtId="206" fontId="71" fillId="19" borderId="19" applyNumberFormat="0" applyBorder="0">
      <alignment horizontal="right" vertical="center"/>
      <protection locked="0"/>
    </xf>
    <xf numFmtId="0" fontId="73" fillId="6" borderId="19" applyNumberFormat="0" applyAlignment="0">
      <alignment horizontal="left" vertical="center" indent="1"/>
      <protection locked="0"/>
    </xf>
    <xf numFmtId="0" fontId="73" fillId="6" borderId="19" applyNumberFormat="0" applyAlignment="0">
      <alignment horizontal="left" vertical="center" indent="1"/>
      <protection locked="0"/>
    </xf>
    <xf numFmtId="206" fontId="121" fillId="19" borderId="18" applyNumberFormat="0" applyBorder="0">
      <alignment horizontal="right" vertical="center"/>
      <protection locked="0"/>
    </xf>
    <xf numFmtId="206" fontId="120" fillId="19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78" fillId="25" borderId="0" applyNumberFormat="0" applyBorder="0" applyAlignment="0" applyProtection="0"/>
    <xf numFmtId="0" fontId="27" fillId="45" borderId="0" applyNumberFormat="0" applyBorder="0" applyAlignment="0" applyProtection="0"/>
    <xf numFmtId="0" fontId="78" fillId="2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3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28" borderId="0" applyNumberFormat="0" applyBorder="0" applyAlignment="0" applyProtection="0"/>
    <xf numFmtId="0" fontId="78" fillId="23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78" fillId="23" borderId="0" applyNumberFormat="0" applyBorder="0" applyAlignment="0" applyProtection="0"/>
    <xf numFmtId="0" fontId="27" fillId="28" borderId="0" applyNumberFormat="0" applyBorder="0" applyAlignment="0" applyProtection="0"/>
    <xf numFmtId="0" fontId="78" fillId="28" borderId="0" applyNumberFormat="0" applyBorder="0" applyAlignment="0" applyProtection="0"/>
    <xf numFmtId="0" fontId="27" fillId="46" borderId="0" applyNumberFormat="0" applyBorder="0" applyAlignment="0" applyProtection="0"/>
    <xf numFmtId="0" fontId="78" fillId="24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24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36" borderId="0" applyNumberFormat="0" applyBorder="0" applyAlignment="0" applyProtection="0"/>
    <xf numFmtId="0" fontId="78" fillId="25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5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27" fillId="26" borderId="0" applyNumberFormat="0" applyBorder="0" applyAlignment="0" applyProtection="0"/>
    <xf numFmtId="0" fontId="78" fillId="26" borderId="0" applyNumberFormat="0" applyBorder="0" applyAlignment="0" applyProtection="0"/>
    <xf numFmtId="0" fontId="27" fillId="25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4" borderId="0" applyNumberFormat="0" applyBorder="0" applyAlignment="0" applyProtection="0"/>
    <xf numFmtId="0" fontId="27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47" borderId="0" applyNumberFormat="0" applyBorder="0" applyAlignment="0" applyProtection="0"/>
    <xf numFmtId="0" fontId="27" fillId="22" borderId="0" applyNumberFormat="0" applyBorder="0" applyAlignment="0" applyProtection="0"/>
    <xf numFmtId="0" fontId="78" fillId="47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47" borderId="0" applyNumberFormat="0" applyBorder="0" applyAlignment="0" applyProtection="0"/>
    <xf numFmtId="0" fontId="27" fillId="22" borderId="0" applyNumberFormat="0" applyBorder="0" applyAlignment="0" applyProtection="0"/>
    <xf numFmtId="0" fontId="78" fillId="22" borderId="0" applyNumberFormat="0" applyBorder="0" applyAlignment="0" applyProtection="0"/>
    <xf numFmtId="0" fontId="27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27" fillId="23" borderId="0" applyNumberFormat="0" applyBorder="0" applyAlignment="0" applyProtection="0"/>
    <xf numFmtId="0" fontId="78" fillId="23" borderId="0" applyNumberFormat="0" applyBorder="0" applyAlignment="0" applyProtection="0"/>
    <xf numFmtId="0" fontId="27" fillId="48" borderId="0" applyNumberFormat="0" applyBorder="0" applyAlignment="0" applyProtection="0"/>
    <xf numFmtId="0" fontId="78" fillId="27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24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7" borderId="0" applyNumberFormat="0" applyBorder="0" applyAlignment="0" applyProtection="0"/>
    <xf numFmtId="0" fontId="27" fillId="36" borderId="0" applyNumberFormat="0" applyBorder="0" applyAlignment="0" applyProtection="0"/>
    <xf numFmtId="0" fontId="78" fillId="47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7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22" borderId="0" applyNumberFormat="0" applyBorder="0" applyAlignment="0" applyProtection="0"/>
    <xf numFmtId="0" fontId="27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27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7" borderId="0" applyNumberFormat="0" applyBorder="0" applyAlignment="0" applyProtection="0"/>
    <xf numFmtId="0" fontId="27" fillId="30" borderId="0" applyNumberFormat="0" applyBorder="0" applyAlignment="0" applyProtection="0"/>
    <xf numFmtId="0" fontId="78" fillId="27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4" borderId="0" applyNumberFormat="0" applyBorder="0" applyAlignment="0" applyProtection="0"/>
    <xf numFmtId="0" fontId="27" fillId="30" borderId="0" applyNumberFormat="0" applyBorder="0" applyAlignment="0" applyProtection="0"/>
    <xf numFmtId="0" fontId="78" fillId="30" borderId="0" applyNumberFormat="0" applyBorder="0" applyAlignment="0" applyProtection="0"/>
    <xf numFmtId="0" fontId="79" fillId="50" borderId="0" applyNumberFormat="0" applyBorder="0" applyAlignment="0" applyProtection="0"/>
    <xf numFmtId="0" fontId="122" fillId="49" borderId="0" applyNumberFormat="0" applyBorder="0" applyAlignment="0" applyProtection="0"/>
    <xf numFmtId="0" fontId="79" fillId="50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33" borderId="0" applyNumberFormat="0" applyBorder="0" applyAlignment="0" applyProtection="0"/>
    <xf numFmtId="0" fontId="122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23" borderId="0" applyNumberFormat="0" applyBorder="0" applyAlignment="0" applyProtection="0"/>
    <xf numFmtId="0" fontId="122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122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7" borderId="0" applyNumberFormat="0" applyBorder="0" applyAlignment="0" applyProtection="0"/>
    <xf numFmtId="0" fontId="122" fillId="48" borderId="0" applyNumberFormat="0" applyBorder="0" applyAlignment="0" applyProtection="0"/>
    <xf numFmtId="0" fontId="79" fillId="27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27" borderId="0" applyNumberFormat="0" applyBorder="0" applyAlignment="0" applyProtection="0"/>
    <xf numFmtId="0" fontId="122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7" borderId="0" applyNumberFormat="0" applyBorder="0" applyAlignment="0" applyProtection="0"/>
    <xf numFmtId="0" fontId="122" fillId="51" borderId="0" applyNumberFormat="0" applyBorder="0" applyAlignment="0" applyProtection="0"/>
    <xf numFmtId="0" fontId="79" fillId="47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47" borderId="0" applyNumberFormat="0" applyBorder="0" applyAlignment="0" applyProtection="0"/>
    <xf numFmtId="0" fontId="122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0" borderId="0" applyNumberFormat="0" applyBorder="0" applyAlignment="0" applyProtection="0"/>
    <xf numFmtId="0" fontId="122" fillId="33" borderId="0" applyNumberFormat="0" applyBorder="0" applyAlignment="0" applyProtection="0"/>
    <xf numFmtId="0" fontId="79" fillId="50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122" fillId="33" borderId="0" applyNumberFormat="0" applyBorder="0" applyAlignment="0" applyProtection="0"/>
    <xf numFmtId="0" fontId="79" fillId="33" borderId="0" applyNumberFormat="0" applyBorder="0" applyAlignment="0" applyProtection="0"/>
    <xf numFmtId="0" fontId="122" fillId="52" borderId="0" applyNumberFormat="0" applyBorder="0" applyAlignment="0" applyProtection="0"/>
    <xf numFmtId="0" fontId="79" fillId="23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25" borderId="0" applyNumberFormat="0" applyBorder="0" applyAlignment="0" applyProtection="0"/>
    <xf numFmtId="0" fontId="122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0" borderId="0" applyNumberFormat="0" applyBorder="0" applyAlignment="0" applyProtection="0"/>
    <xf numFmtId="0" fontId="122" fillId="53" borderId="0" applyNumberFormat="0" applyBorder="0" applyAlignment="0" applyProtection="0"/>
    <xf numFmtId="0" fontId="79" fillId="50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33" borderId="0" applyNumberFormat="0" applyBorder="0" applyAlignment="0" applyProtection="0"/>
    <xf numFmtId="0" fontId="122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34" borderId="0" applyNumberFormat="0" applyBorder="0" applyAlignment="0" applyProtection="0"/>
    <xf numFmtId="0" fontId="122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122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1" borderId="0" applyNumberFormat="0" applyBorder="0" applyAlignment="0" applyProtection="0"/>
    <xf numFmtId="0" fontId="122" fillId="54" borderId="0" applyNumberFormat="0" applyBorder="0" applyAlignment="0" applyProtection="0"/>
    <xf numFmtId="0" fontId="79" fillId="31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122" fillId="54" borderId="0" applyNumberFormat="0" applyBorder="0" applyAlignment="0" applyProtection="0"/>
    <xf numFmtId="0" fontId="79" fillId="54" borderId="0" applyNumberFormat="0" applyBorder="0" applyAlignment="0" applyProtection="0"/>
    <xf numFmtId="0" fontId="79" fillId="29" borderId="0" applyNumberFormat="0" applyBorder="0" applyAlignment="0" applyProtection="0"/>
    <xf numFmtId="0" fontId="122" fillId="51" borderId="0" applyNumberFormat="0" applyBorder="0" applyAlignment="0" applyProtection="0"/>
    <xf numFmtId="0" fontId="79" fillId="29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32" borderId="0" applyNumberFormat="0" applyBorder="0" applyAlignment="0" applyProtection="0"/>
    <xf numFmtId="0" fontId="122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0" borderId="0" applyNumberFormat="0" applyBorder="0" applyAlignment="0" applyProtection="0"/>
    <xf numFmtId="0" fontId="122" fillId="33" borderId="0" applyNumberFormat="0" applyBorder="0" applyAlignment="0" applyProtection="0"/>
    <xf numFmtId="0" fontId="79" fillId="50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122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52" borderId="0" applyNumberFormat="0" applyBorder="0" applyAlignment="0" applyProtection="0"/>
    <xf numFmtId="0" fontId="122" fillId="29" borderId="0" applyNumberFormat="0" applyBorder="0" applyAlignment="0" applyProtection="0"/>
    <xf numFmtId="0" fontId="79" fillId="52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5" borderId="0" applyNumberFormat="0" applyBorder="0" applyAlignment="0" applyProtection="0"/>
    <xf numFmtId="0" fontId="122" fillId="29" borderId="0" applyNumberFormat="0" applyBorder="0" applyAlignment="0" applyProtection="0"/>
    <xf numFmtId="0" fontId="79" fillId="29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23" fillId="0" borderId="0" applyNumberFormat="0" applyFill="0" applyBorder="0" applyAlignment="0">
      <protection locked="0"/>
    </xf>
    <xf numFmtId="0" fontId="82" fillId="28" borderId="0" applyNumberFormat="0" applyBorder="0" applyAlignment="0" applyProtection="0"/>
    <xf numFmtId="0" fontId="124" fillId="28" borderId="0" applyNumberFormat="0" applyBorder="0" applyAlignment="0" applyProtection="0"/>
    <xf numFmtId="0" fontId="82" fillId="28" borderId="0" applyNumberFormat="0" applyBorder="0" applyAlignment="0" applyProtection="0"/>
    <xf numFmtId="0" fontId="82" fillId="28" borderId="0" applyNumberFormat="0" applyBorder="0" applyAlignment="0" applyProtection="0"/>
    <xf numFmtId="0" fontId="125" fillId="28" borderId="0" applyNumberFormat="0" applyBorder="0" applyAlignment="0" applyProtection="0"/>
    <xf numFmtId="0" fontId="124" fillId="28" borderId="0" applyNumberFormat="0" applyBorder="0" applyAlignment="0" applyProtection="0"/>
    <xf numFmtId="0" fontId="82" fillId="28" borderId="0" applyNumberFormat="0" applyBorder="0" applyAlignment="0" applyProtection="0"/>
    <xf numFmtId="0" fontId="126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26" fillId="22" borderId="0" applyNumberFormat="0" applyBorder="0" applyAlignment="0">
      <protection locked="0"/>
    </xf>
    <xf numFmtId="0" fontId="126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28" fillId="35" borderId="22" applyNumberFormat="0" applyAlignment="0" applyProtection="0"/>
    <xf numFmtId="0" fontId="129" fillId="47" borderId="22" applyNumberFormat="0" applyAlignment="0" applyProtection="0"/>
    <xf numFmtId="0" fontId="128" fillId="35" borderId="22" applyNumberFormat="0" applyAlignment="0" applyProtection="0"/>
    <xf numFmtId="0" fontId="127" fillId="47" borderId="22" applyNumberFormat="0" applyAlignment="0" applyProtection="0"/>
    <xf numFmtId="0" fontId="127" fillId="47" borderId="22" applyNumberFormat="0" applyAlignment="0" applyProtection="0"/>
    <xf numFmtId="0" fontId="127" fillId="35" borderId="22" applyNumberFormat="0" applyAlignment="0" applyProtection="0"/>
    <xf numFmtId="0" fontId="129" fillId="47" borderId="22" applyNumberFormat="0" applyAlignment="0" applyProtection="0"/>
    <xf numFmtId="0" fontId="127" fillId="47" borderId="22" applyNumberFormat="0" applyAlignment="0" applyProtection="0"/>
    <xf numFmtId="0" fontId="85" fillId="55" borderId="35" applyNumberFormat="0" applyAlignment="0" applyProtection="0"/>
    <xf numFmtId="0" fontId="86" fillId="37" borderId="23" applyNumberFormat="0" applyAlignment="0" applyProtection="0"/>
    <xf numFmtId="0" fontId="85" fillId="55" borderId="35" applyNumberFormat="0" applyAlignment="0" applyProtection="0"/>
    <xf numFmtId="0" fontId="85" fillId="37" borderId="23" applyNumberFormat="0" applyAlignment="0" applyProtection="0"/>
    <xf numFmtId="0" fontId="85" fillId="37" borderId="23" applyNumberFormat="0" applyAlignment="0" applyProtection="0"/>
    <xf numFmtId="0" fontId="86" fillId="37" borderId="23" applyNumberFormat="0" applyAlignment="0" applyProtection="0"/>
    <xf numFmtId="0" fontId="85" fillId="37" borderId="23" applyNumberFormat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3" fontId="1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213" fontId="13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1" fillId="46" borderId="0" applyNumberFormat="0" applyBorder="0" applyAlignment="0" applyProtection="0"/>
    <xf numFmtId="0" fontId="133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33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35" fillId="0" borderId="37" applyNumberFormat="0" applyFill="0" applyAlignment="0" applyProtection="0"/>
    <xf numFmtId="0" fontId="136" fillId="0" borderId="36" applyNumberFormat="0" applyFill="0" applyAlignment="0" applyProtection="0"/>
    <xf numFmtId="0" fontId="135" fillId="0" borderId="37" applyNumberFormat="0" applyFill="0" applyAlignment="0" applyProtection="0"/>
    <xf numFmtId="0" fontId="134" fillId="0" borderId="36" applyNumberFormat="0" applyFill="0" applyAlignment="0" applyProtection="0"/>
    <xf numFmtId="0" fontId="134" fillId="0" borderId="36" applyNumberFormat="0" applyFill="0" applyAlignment="0" applyProtection="0"/>
    <xf numFmtId="0" fontId="92" fillId="0" borderId="38" applyNumberFormat="0" applyFill="0" applyAlignment="0" applyProtection="0"/>
    <xf numFmtId="0" fontId="136" fillId="0" borderId="36" applyNumberFormat="0" applyFill="0" applyAlignment="0" applyProtection="0"/>
    <xf numFmtId="0" fontId="134" fillId="0" borderId="36" applyNumberFormat="0" applyFill="0" applyAlignment="0" applyProtection="0"/>
    <xf numFmtId="0" fontId="138" fillId="0" borderId="39" applyNumberFormat="0" applyFill="0" applyAlignment="0" applyProtection="0"/>
    <xf numFmtId="0" fontId="139" fillId="0" borderId="39" applyNumberFormat="0" applyFill="0" applyAlignment="0" applyProtection="0"/>
    <xf numFmtId="0" fontId="138" fillId="0" borderId="39" applyNumberFormat="0" applyFill="0" applyAlignment="0" applyProtection="0"/>
    <xf numFmtId="0" fontId="137" fillId="0" borderId="39" applyNumberFormat="0" applyFill="0" applyAlignment="0" applyProtection="0"/>
    <xf numFmtId="0" fontId="137" fillId="0" borderId="39" applyNumberFormat="0" applyFill="0" applyAlignment="0" applyProtection="0"/>
    <xf numFmtId="0" fontId="93" fillId="0" borderId="39" applyNumberFormat="0" applyFill="0" applyAlignment="0" applyProtection="0"/>
    <xf numFmtId="0" fontId="139" fillId="0" borderId="39" applyNumberFormat="0" applyFill="0" applyAlignment="0" applyProtection="0"/>
    <xf numFmtId="0" fontId="137" fillId="0" borderId="39" applyNumberFormat="0" applyFill="0" applyAlignment="0" applyProtection="0"/>
    <xf numFmtId="0" fontId="141" fillId="0" borderId="41" applyNumberFormat="0" applyFill="0" applyAlignment="0" applyProtection="0"/>
    <xf numFmtId="0" fontId="142" fillId="0" borderId="40" applyNumberFormat="0" applyFill="0" applyAlignment="0" applyProtection="0"/>
    <xf numFmtId="0" fontId="141" fillId="0" borderId="41" applyNumberFormat="0" applyFill="0" applyAlignment="0" applyProtection="0"/>
    <xf numFmtId="0" fontId="140" fillId="0" borderId="40" applyNumberFormat="0" applyFill="0" applyAlignment="0" applyProtection="0"/>
    <xf numFmtId="0" fontId="140" fillId="0" borderId="40" applyNumberFormat="0" applyFill="0" applyAlignment="0" applyProtection="0"/>
    <xf numFmtId="0" fontId="94" fillId="0" borderId="42" applyNumberFormat="0" applyFill="0" applyAlignment="0" applyProtection="0"/>
    <xf numFmtId="0" fontId="142" fillId="0" borderId="40" applyNumberFormat="0" applyFill="0" applyAlignment="0" applyProtection="0"/>
    <xf numFmtId="0" fontId="140" fillId="0" borderId="4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5" fillId="27" borderId="22" applyNumberFormat="0" applyAlignment="0" applyProtection="0"/>
    <xf numFmtId="0" fontId="146" fillId="25" borderId="22" applyNumberFormat="0" applyAlignment="0" applyProtection="0"/>
    <xf numFmtId="0" fontId="145" fillId="27" borderId="22" applyNumberFormat="0" applyAlignment="0" applyProtection="0"/>
    <xf numFmtId="0" fontId="95" fillId="25" borderId="22" applyNumberFormat="0" applyAlignment="0" applyProtection="0"/>
    <xf numFmtId="0" fontId="95" fillId="25" borderId="22" applyNumberFormat="0" applyAlignment="0" applyProtection="0"/>
    <xf numFmtId="0" fontId="146" fillId="25" borderId="22" applyNumberFormat="0" applyAlignment="0" applyProtection="0"/>
    <xf numFmtId="0" fontId="95" fillId="25" borderId="22" applyNumberFormat="0" applyAlignment="0" applyProtection="0"/>
    <xf numFmtId="0" fontId="148" fillId="0" borderId="44" applyNumberFormat="0" applyFill="0" applyAlignment="0" applyProtection="0"/>
    <xf numFmtId="0" fontId="149" fillId="0" borderId="43" applyNumberFormat="0" applyFill="0" applyAlignment="0" applyProtection="0"/>
    <xf numFmtId="0" fontId="148" fillId="0" borderId="44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9" fillId="0" borderId="43" applyNumberFormat="0" applyFill="0" applyAlignment="0" applyProtection="0"/>
    <xf numFmtId="0" fontId="147" fillId="0" borderId="43" applyNumberFormat="0" applyFill="0" applyAlignment="0" applyProtection="0"/>
    <xf numFmtId="0" fontId="151" fillId="27" borderId="0" applyNumberFormat="0" applyBorder="0" applyAlignment="0" applyProtection="0"/>
    <xf numFmtId="0" fontId="152" fillId="27" borderId="0" applyNumberFormat="0" applyBorder="0" applyAlignment="0" applyProtection="0"/>
    <xf numFmtId="0" fontId="151" fillId="27" borderId="0" applyNumberFormat="0" applyBorder="0" applyAlignment="0" applyProtection="0"/>
    <xf numFmtId="0" fontId="150" fillId="27" borderId="0" applyNumberFormat="0" applyBorder="0" applyAlignment="0" applyProtection="0"/>
    <xf numFmtId="0" fontId="150" fillId="27" borderId="0" applyNumberFormat="0" applyBorder="0" applyAlignment="0" applyProtection="0"/>
    <xf numFmtId="0" fontId="150" fillId="24" borderId="0" applyNumberFormat="0" applyBorder="0" applyAlignment="0" applyProtection="0"/>
    <xf numFmtId="0" fontId="152" fillId="27" borderId="0" applyNumberFormat="0" applyBorder="0" applyAlignment="0" applyProtection="0"/>
    <xf numFmtId="0" fontId="150" fillId="27" borderId="0" applyNumberFormat="0" applyBorder="0" applyAlignment="0" applyProtection="0"/>
    <xf numFmtId="0" fontId="1" fillId="0" borderId="0"/>
    <xf numFmtId="0" fontId="1" fillId="0" borderId="0"/>
    <xf numFmtId="0" fontId="78" fillId="0" borderId="0"/>
    <xf numFmtId="0" fontId="13" fillId="0" borderId="0"/>
    <xf numFmtId="0" fontId="27" fillId="0" borderId="0">
      <alignment vertical="top"/>
    </xf>
    <xf numFmtId="0" fontId="78" fillId="0" borderId="0"/>
    <xf numFmtId="0" fontId="78" fillId="0" borderId="0"/>
    <xf numFmtId="0" fontId="1" fillId="0" borderId="0"/>
    <xf numFmtId="0" fontId="78" fillId="0" borderId="0"/>
    <xf numFmtId="0" fontId="130" fillId="0" borderId="0"/>
    <xf numFmtId="0" fontId="78" fillId="0" borderId="0"/>
    <xf numFmtId="0" fontId="130" fillId="0" borderId="0"/>
    <xf numFmtId="0" fontId="1" fillId="0" borderId="0"/>
    <xf numFmtId="0" fontId="78" fillId="0" borderId="0"/>
    <xf numFmtId="0" fontId="78" fillId="0" borderId="0"/>
    <xf numFmtId="0" fontId="130" fillId="0" borderId="0"/>
    <xf numFmtId="0" fontId="1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27" fillId="0" borderId="0">
      <alignment vertical="top"/>
    </xf>
    <xf numFmtId="0" fontId="27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130" fillId="0" borderId="0"/>
    <xf numFmtId="0" fontId="130" fillId="0" borderId="0"/>
    <xf numFmtId="0" fontId="78" fillId="0" borderId="0"/>
    <xf numFmtId="0" fontId="27" fillId="0" borderId="0">
      <alignment vertical="top"/>
    </xf>
    <xf numFmtId="0" fontId="78" fillId="0" borderId="0"/>
    <xf numFmtId="0" fontId="1" fillId="0" borderId="0"/>
    <xf numFmtId="0" fontId="27" fillId="0" borderId="0">
      <alignment vertical="top"/>
    </xf>
    <xf numFmtId="0" fontId="78" fillId="0" borderId="0"/>
    <xf numFmtId="0" fontId="27" fillId="0" borderId="0">
      <alignment vertical="top"/>
    </xf>
    <xf numFmtId="0" fontId="78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30" fillId="0" borderId="0"/>
    <xf numFmtId="0" fontId="13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30" fillId="0" borderId="0"/>
    <xf numFmtId="0" fontId="13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30" fillId="0" borderId="0"/>
    <xf numFmtId="0" fontId="13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30" fillId="0" borderId="0"/>
    <xf numFmtId="0" fontId="13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5" borderId="0"/>
    <xf numFmtId="0" fontId="42" fillId="35" borderId="0"/>
    <xf numFmtId="0" fontId="42" fillId="35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130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30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27" fillId="0" borderId="0"/>
    <xf numFmtId="0" fontId="130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78" fillId="0" borderId="0"/>
    <xf numFmtId="0" fontId="13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30" fillId="0" borderId="0"/>
    <xf numFmtId="0" fontId="78" fillId="0" borderId="0"/>
    <xf numFmtId="0" fontId="130" fillId="0" borderId="0"/>
    <xf numFmtId="0" fontId="1" fillId="0" borderId="0"/>
    <xf numFmtId="0" fontId="78" fillId="0" borderId="0"/>
    <xf numFmtId="0" fontId="78" fillId="0" borderId="0"/>
    <xf numFmtId="0" fontId="130" fillId="0" borderId="0"/>
    <xf numFmtId="0" fontId="1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30" fillId="0" borderId="0"/>
    <xf numFmtId="0" fontId="1" fillId="0" borderId="0"/>
    <xf numFmtId="0" fontId="130" fillId="0" borderId="0"/>
    <xf numFmtId="0" fontId="1" fillId="0" borderId="0"/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37" fontId="42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" fillId="0" borderId="0"/>
    <xf numFmtId="37" fontId="4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37" fontId="4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130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7" fontId="42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37" fontId="4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42" fillId="35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78" fillId="0" borderId="0"/>
    <xf numFmtId="0" fontId="42" fillId="35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7" fontId="42" fillId="0" borderId="0"/>
    <xf numFmtId="0" fontId="1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27" fillId="0" borderId="0">
      <alignment vertical="top"/>
    </xf>
    <xf numFmtId="0" fontId="130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78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78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0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53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53" fillId="0" borderId="0"/>
  </cellStyleXfs>
  <cellXfs count="46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0" fontId="3" fillId="0" borderId="0" xfId="6"/>
    <xf numFmtId="0" fontId="7" fillId="0" borderId="1" xfId="1" applyFont="1" applyBorder="1"/>
    <xf numFmtId="49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49" fontId="1" fillId="0" borderId="0" xfId="1" applyNumberFormat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/>
    <xf numFmtId="175" fontId="1" fillId="3" borderId="0" xfId="1" applyNumberFormat="1" applyFill="1"/>
    <xf numFmtId="14" fontId="1" fillId="3" borderId="0" xfId="1" applyNumberFormat="1" applyFill="1"/>
    <xf numFmtId="49" fontId="1" fillId="3" borderId="0" xfId="1" applyNumberFormat="1" applyFill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/>
    <xf numFmtId="175" fontId="1" fillId="4" borderId="0" xfId="1" applyNumberFormat="1" applyFill="1"/>
    <xf numFmtId="14" fontId="1" fillId="4" borderId="0" xfId="1" applyNumberFormat="1" applyFill="1"/>
    <xf numFmtId="49" fontId="1" fillId="4" borderId="0" xfId="1" applyNumberFormat="1" applyFill="1"/>
    <xf numFmtId="0" fontId="1" fillId="4" borderId="3" xfId="1" applyFill="1" applyBorder="1"/>
    <xf numFmtId="49" fontId="1" fillId="4" borderId="3" xfId="1" applyNumberFormat="1" applyFill="1" applyBorder="1"/>
    <xf numFmtId="0" fontId="13" fillId="0" borderId="0" xfId="6" applyFont="1"/>
    <xf numFmtId="165" fontId="13" fillId="0" borderId="0" xfId="6" applyNumberFormat="1" applyFont="1"/>
    <xf numFmtId="0" fontId="14" fillId="0" borderId="0" xfId="6" applyFont="1"/>
    <xf numFmtId="39" fontId="13" fillId="0" borderId="0" xfId="6" applyNumberFormat="1" applyFont="1"/>
    <xf numFmtId="38" fontId="13" fillId="0" borderId="0" xfId="6" applyNumberFormat="1" applyFont="1"/>
    <xf numFmtId="37" fontId="14" fillId="0" borderId="5" xfId="6" applyNumberFormat="1" applyFont="1" applyBorder="1"/>
    <xf numFmtId="0" fontId="14" fillId="0" borderId="5" xfId="6" applyFont="1" applyBorder="1"/>
    <xf numFmtId="165" fontId="14" fillId="0" borderId="0" xfId="6" applyNumberFormat="1" applyFont="1"/>
    <xf numFmtId="37" fontId="14" fillId="0" borderId="0" xfId="6" applyNumberFormat="1" applyFont="1"/>
    <xf numFmtId="37" fontId="14" fillId="0" borderId="6" xfId="6" applyNumberFormat="1" applyFont="1" applyBorder="1"/>
    <xf numFmtId="37" fontId="14" fillId="0" borderId="3" xfId="6" applyNumberFormat="1" applyFont="1" applyBorder="1"/>
    <xf numFmtId="37" fontId="13" fillId="0" borderId="0" xfId="6" applyNumberFormat="1" applyFont="1"/>
    <xf numFmtId="37" fontId="14" fillId="0" borderId="0" xfId="6" applyNumberFormat="1" applyFont="1" applyAlignment="1">
      <alignment horizontal="center"/>
    </xf>
    <xf numFmtId="0" fontId="14" fillId="0" borderId="0" xfId="6" quotePrefix="1" applyFont="1"/>
    <xf numFmtId="0" fontId="14" fillId="0" borderId="0" xfId="6" applyFont="1" applyAlignment="1">
      <alignment horizontal="left"/>
    </xf>
    <xf numFmtId="0" fontId="17" fillId="0" borderId="0" xfId="6" applyFont="1"/>
    <xf numFmtId="38" fontId="13" fillId="0" borderId="6" xfId="6" applyNumberFormat="1" applyFont="1" applyBorder="1"/>
    <xf numFmtId="14" fontId="13" fillId="0" borderId="0" xfId="6" applyNumberFormat="1" applyFont="1"/>
    <xf numFmtId="0" fontId="14" fillId="0" borderId="0" xfId="6" applyFont="1" applyAlignment="1">
      <alignment horizontal="center"/>
    </xf>
    <xf numFmtId="0" fontId="18" fillId="0" borderId="0" xfId="6" applyFont="1"/>
    <xf numFmtId="0" fontId="18" fillId="0" borderId="7" xfId="6" applyFont="1" applyBorder="1"/>
    <xf numFmtId="0" fontId="18" fillId="0" borderId="7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7" xfId="6" applyFont="1" applyBorder="1" applyAlignment="1">
      <alignment horizontal="centerContinuous"/>
    </xf>
    <xf numFmtId="0" fontId="19" fillId="0" borderId="0" xfId="6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>
      <alignment horizontal="left"/>
    </xf>
    <xf numFmtId="37" fontId="14" fillId="0" borderId="1" xfId="6" applyNumberFormat="1" applyFont="1" applyBorder="1"/>
    <xf numFmtId="0" fontId="13" fillId="0" borderId="0" xfId="6" applyFont="1" applyAlignment="1">
      <alignment horizontal="center"/>
    </xf>
    <xf numFmtId="10" fontId="14" fillId="0" borderId="0" xfId="6" applyNumberFormat="1" applyFont="1"/>
    <xf numFmtId="0" fontId="21" fillId="0" borderId="0" xfId="6" applyFont="1"/>
    <xf numFmtId="0" fontId="22" fillId="0" borderId="0" xfId="6" applyFont="1"/>
    <xf numFmtId="0" fontId="23" fillId="0" borderId="0" xfId="6" applyFont="1"/>
    <xf numFmtId="0" fontId="14" fillId="0" borderId="0" xfId="6" quotePrefix="1" applyFont="1" applyAlignment="1">
      <alignment horizontal="center"/>
    </xf>
    <xf numFmtId="0" fontId="16" fillId="0" borderId="0" xfId="6" applyFont="1"/>
    <xf numFmtId="0" fontId="18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166" fontId="14" fillId="0" borderId="0" xfId="6" applyNumberFormat="1" applyFont="1"/>
    <xf numFmtId="0" fontId="14" fillId="0" borderId="7" xfId="6" applyFont="1" applyBorder="1" applyAlignment="1">
      <alignment horizontal="center"/>
    </xf>
    <xf numFmtId="181" fontId="13" fillId="0" borderId="0" xfId="2" applyNumberFormat="1" applyFont="1" applyFill="1" applyBorder="1"/>
    <xf numFmtId="181" fontId="13" fillId="0" borderId="0" xfId="2" applyNumberFormat="1" applyFont="1" applyFill="1"/>
    <xf numFmtId="181" fontId="13" fillId="0" borderId="0" xfId="6" applyNumberFormat="1" applyFont="1"/>
    <xf numFmtId="165" fontId="25" fillId="0" borderId="0" xfId="6" applyNumberFormat="1" applyFont="1"/>
    <xf numFmtId="37" fontId="13" fillId="0" borderId="1" xfId="6" applyNumberFormat="1" applyFont="1" applyBorder="1"/>
    <xf numFmtId="184" fontId="0" fillId="0" borderId="0" xfId="4" applyNumberFormat="1" applyFont="1"/>
    <xf numFmtId="185" fontId="3" fillId="0" borderId="0" xfId="6" applyNumberFormat="1"/>
    <xf numFmtId="181" fontId="3" fillId="0" borderId="0" xfId="6" applyNumberFormat="1"/>
    <xf numFmtId="185" fontId="26" fillId="0" borderId="0" xfId="4" applyNumberFormat="1" applyFont="1"/>
    <xf numFmtId="184" fontId="27" fillId="0" borderId="0" xfId="4" applyNumberFormat="1" applyFont="1"/>
    <xf numFmtId="181" fontId="26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7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7" fillId="0" borderId="0" xfId="2" applyNumberFormat="1" applyFont="1"/>
    <xf numFmtId="185" fontId="12" fillId="0" borderId="0" xfId="4" applyNumberFormat="1" applyFont="1"/>
    <xf numFmtId="181" fontId="28" fillId="0" borderId="0" xfId="2" applyNumberFormat="1" applyFont="1"/>
    <xf numFmtId="181" fontId="29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181" fontId="27" fillId="0" borderId="0" xfId="2" quotePrefix="1" applyNumberFormat="1" applyFont="1"/>
    <xf numFmtId="0" fontId="30" fillId="0" borderId="0" xfId="6" applyFont="1"/>
    <xf numFmtId="188" fontId="30" fillId="0" borderId="0" xfId="6" applyNumberFormat="1" applyFont="1"/>
    <xf numFmtId="0" fontId="31" fillId="0" borderId="0" xfId="6" applyFont="1" applyProtection="1">
      <protection locked="0"/>
    </xf>
    <xf numFmtId="0" fontId="32" fillId="0" borderId="0" xfId="6" applyFont="1"/>
    <xf numFmtId="0" fontId="33" fillId="0" borderId="0" xfId="6" applyFont="1"/>
    <xf numFmtId="0" fontId="34" fillId="0" borderId="0" xfId="6" applyFont="1"/>
    <xf numFmtId="188" fontId="34" fillId="0" borderId="0" xfId="6" applyNumberFormat="1" applyFont="1"/>
    <xf numFmtId="0" fontId="31" fillId="0" borderId="0" xfId="6" applyFont="1"/>
    <xf numFmtId="0" fontId="35" fillId="0" borderId="0" xfId="6" applyFont="1"/>
    <xf numFmtId="9" fontId="32" fillId="0" borderId="0" xfId="5" applyFont="1" applyProtection="1">
      <protection locked="0"/>
    </xf>
    <xf numFmtId="189" fontId="36" fillId="0" borderId="0" xfId="4" applyNumberFormat="1" applyFont="1" applyFill="1" applyBorder="1" applyProtection="1"/>
    <xf numFmtId="0" fontId="37" fillId="0" borderId="0" xfId="6" applyFont="1"/>
    <xf numFmtId="0" fontId="36" fillId="0" borderId="0" xfId="6" applyFont="1" applyProtection="1">
      <protection locked="0"/>
    </xf>
    <xf numFmtId="189" fontId="32" fillId="0" borderId="4" xfId="4" applyNumberFormat="1" applyFont="1" applyBorder="1" applyProtection="1"/>
    <xf numFmtId="189" fontId="32" fillId="0" borderId="0" xfId="4" applyNumberFormat="1" applyFont="1" applyBorder="1" applyProtection="1"/>
    <xf numFmtId="188" fontId="32" fillId="0" borderId="0" xfId="6" applyNumberFormat="1" applyFont="1"/>
    <xf numFmtId="0" fontId="32" fillId="0" borderId="0" xfId="6" applyFont="1" applyProtection="1">
      <protection locked="0"/>
    </xf>
    <xf numFmtId="190" fontId="31" fillId="0" borderId="0" xfId="6" applyNumberFormat="1" applyFont="1" applyProtection="1">
      <protection locked="0"/>
    </xf>
    <xf numFmtId="191" fontId="38" fillId="0" borderId="0" xfId="6" applyNumberFormat="1" applyFont="1"/>
    <xf numFmtId="191" fontId="39" fillId="0" borderId="0" xfId="6" applyNumberFormat="1" applyFont="1"/>
    <xf numFmtId="0" fontId="35" fillId="0" borderId="7" xfId="6" quotePrefix="1" applyFont="1" applyBorder="1" applyAlignment="1">
      <alignment horizontal="center"/>
    </xf>
    <xf numFmtId="0" fontId="35" fillId="0" borderId="0" xfId="6" quotePrefix="1" applyFont="1" applyAlignment="1">
      <alignment horizontal="center"/>
    </xf>
    <xf numFmtId="188" fontId="35" fillId="0" borderId="0" xfId="6" applyNumberFormat="1" applyFont="1"/>
    <xf numFmtId="193" fontId="32" fillId="0" borderId="0" xfId="6" applyNumberFormat="1" applyFont="1" applyAlignment="1" applyProtection="1">
      <alignment horizontal="center"/>
      <protection locked="0"/>
    </xf>
    <xf numFmtId="17" fontId="32" fillId="0" borderId="0" xfId="6" applyNumberFormat="1" applyFont="1" applyAlignment="1">
      <alignment horizontal="center"/>
    </xf>
    <xf numFmtId="193" fontId="31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0" fontId="13" fillId="0" borderId="0" xfId="8" applyNumberFormat="1" applyFont="1"/>
    <xf numFmtId="0" fontId="43" fillId="0" borderId="0" xfId="8" applyFont="1"/>
    <xf numFmtId="166" fontId="43" fillId="0" borderId="0" xfId="8" applyNumberFormat="1" applyFont="1"/>
    <xf numFmtId="5" fontId="13" fillId="0" borderId="0" xfId="8" applyNumberFormat="1" applyFont="1"/>
    <xf numFmtId="44" fontId="13" fillId="0" borderId="0" xfId="8" applyNumberFormat="1" applyFont="1"/>
    <xf numFmtId="178" fontId="13" fillId="0" borderId="0" xfId="8" applyNumberFormat="1" applyFont="1"/>
    <xf numFmtId="37" fontId="13" fillId="0" borderId="0" xfId="8" applyNumberFormat="1" applyFont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Border="1"/>
    <xf numFmtId="0" fontId="13" fillId="0" borderId="0" xfId="8" quotePrefix="1" applyFont="1"/>
    <xf numFmtId="0" fontId="13" fillId="0" borderId="0" xfId="8" applyFont="1" applyAlignment="1">
      <alignment horizontal="right"/>
    </xf>
    <xf numFmtId="166" fontId="13" fillId="0" borderId="0" xfId="8" applyNumberFormat="1" applyFont="1"/>
    <xf numFmtId="7" fontId="13" fillId="0" borderId="6" xfId="9" quotePrefix="1" applyNumberFormat="1" applyFont="1" applyFill="1" applyBorder="1"/>
    <xf numFmtId="7" fontId="45" fillId="0" borderId="0" xfId="8" applyNumberFormat="1" applyFont="1"/>
    <xf numFmtId="39" fontId="13" fillId="0" borderId="0" xfId="8" quotePrefix="1" applyNumberFormat="1" applyFont="1" applyAlignment="1">
      <alignment horizontal="left"/>
    </xf>
    <xf numFmtId="14" fontId="13" fillId="0" borderId="0" xfId="8" applyNumberFormat="1" applyFont="1" applyAlignment="1">
      <alignment horizontal="center"/>
    </xf>
    <xf numFmtId="39" fontId="13" fillId="0" borderId="0" xfId="8" applyNumberFormat="1" applyFont="1" applyAlignment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194" fontId="13" fillId="0" borderId="0" xfId="8" applyNumberFormat="1" applyFont="1"/>
    <xf numFmtId="43" fontId="13" fillId="0" borderId="0" xfId="10" applyFont="1"/>
    <xf numFmtId="181" fontId="13" fillId="0" borderId="0" xfId="8" applyNumberFormat="1" applyFont="1"/>
    <xf numFmtId="0" fontId="46" fillId="0" borderId="0" xfId="8" applyFont="1"/>
    <xf numFmtId="195" fontId="13" fillId="0" borderId="0" xfId="8" applyNumberFormat="1" applyFont="1"/>
    <xf numFmtId="43" fontId="13" fillId="0" borderId="0" xfId="8" applyNumberFormat="1" applyFont="1"/>
    <xf numFmtId="0" fontId="42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196" fontId="3" fillId="0" borderId="0" xfId="11" applyNumberFormat="1"/>
    <xf numFmtId="0" fontId="3" fillId="0" borderId="0" xfId="11"/>
    <xf numFmtId="37" fontId="13" fillId="0" borderId="0" xfId="8" applyNumberFormat="1" applyFont="1" applyAlignment="1">
      <alignment horizontal="center"/>
    </xf>
    <xf numFmtId="186" fontId="13" fillId="0" borderId="1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1" xfId="8" applyFont="1" applyBorder="1" applyAlignment="1">
      <alignment horizontal="center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left"/>
    </xf>
    <xf numFmtId="0" fontId="43" fillId="0" borderId="0" xfId="8" applyFont="1" applyAlignment="1">
      <alignment horizontal="left"/>
    </xf>
    <xf numFmtId="39" fontId="13" fillId="0" borderId="0" xfId="8" applyNumberFormat="1" applyFont="1" applyProtection="1">
      <protection locked="0"/>
    </xf>
    <xf numFmtId="39" fontId="42" fillId="0" borderId="0" xfId="8" applyNumberFormat="1"/>
    <xf numFmtId="39" fontId="13" fillId="0" borderId="4" xfId="8" applyNumberFormat="1" applyFont="1" applyBorder="1"/>
    <xf numFmtId="181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/>
    <xf numFmtId="0" fontId="3" fillId="0" borderId="0" xfId="12"/>
    <xf numFmtId="8" fontId="13" fillId="0" borderId="0" xfId="8" applyNumberFormat="1" applyFont="1"/>
    <xf numFmtId="197" fontId="13" fillId="0" borderId="0" xfId="8" applyNumberFormat="1" applyFont="1"/>
    <xf numFmtId="165" fontId="13" fillId="0" borderId="0" xfId="8" applyNumberFormat="1" applyFont="1"/>
    <xf numFmtId="197" fontId="13" fillId="0" borderId="0" xfId="8" applyNumberFormat="1" applyFont="1" applyProtection="1">
      <protection locked="0"/>
    </xf>
    <xf numFmtId="14" fontId="13" fillId="0" borderId="0" xfId="8" applyNumberFormat="1" applyFont="1"/>
    <xf numFmtId="186" fontId="13" fillId="0" borderId="0" xfId="8" applyNumberFormat="1" applyFont="1" applyAlignment="1">
      <alignment horizontal="left"/>
    </xf>
    <xf numFmtId="186" fontId="13" fillId="0" borderId="0" xfId="8" quotePrefix="1" applyNumberFormat="1" applyFont="1" applyAlignment="1">
      <alignment horizontal="left"/>
    </xf>
    <xf numFmtId="8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Continuous"/>
    </xf>
    <xf numFmtId="176" fontId="13" fillId="0" borderId="0" xfId="8" applyNumberFormat="1" applyFont="1"/>
    <xf numFmtId="0" fontId="3" fillId="0" borderId="0" xfId="13"/>
    <xf numFmtId="7" fontId="3" fillId="0" borderId="0" xfId="13" applyNumberFormat="1"/>
    <xf numFmtId="0" fontId="3" fillId="0" borderId="0" xfId="13" applyAlignment="1">
      <alignment horizontal="center"/>
    </xf>
    <xf numFmtId="164" fontId="32" fillId="0" borderId="0" xfId="15" applyFont="1"/>
    <xf numFmtId="172" fontId="32" fillId="0" borderId="0" xfId="15" applyNumberFormat="1" applyFont="1"/>
    <xf numFmtId="164" fontId="30" fillId="0" borderId="0" xfId="15" applyFont="1"/>
    <xf numFmtId="43" fontId="32" fillId="0" borderId="0" xfId="2" applyFont="1"/>
    <xf numFmtId="44" fontId="32" fillId="0" borderId="4" xfId="4" applyFont="1" applyBorder="1"/>
    <xf numFmtId="43" fontId="32" fillId="0" borderId="1" xfId="2" applyFont="1" applyBorder="1"/>
    <xf numFmtId="164" fontId="48" fillId="0" borderId="0" xfId="15" applyFont="1"/>
    <xf numFmtId="43" fontId="35" fillId="0" borderId="0" xfId="2" applyFont="1"/>
    <xf numFmtId="44" fontId="32" fillId="0" borderId="0" xfId="4" applyFont="1"/>
    <xf numFmtId="44" fontId="32" fillId="0" borderId="0" xfId="4" applyFont="1" applyBorder="1"/>
    <xf numFmtId="44" fontId="32" fillId="0" borderId="5" xfId="4" applyFont="1" applyBorder="1"/>
    <xf numFmtId="164" fontId="5" fillId="0" borderId="0" xfId="15"/>
    <xf numFmtId="164" fontId="32" fillId="0" borderId="0" xfId="15" applyFont="1" applyAlignment="1">
      <alignment horizontal="centerContinuous"/>
    </xf>
    <xf numFmtId="164" fontId="49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/>
    <xf numFmtId="164" fontId="43" fillId="0" borderId="0" xfId="16" applyFont="1"/>
    <xf numFmtId="164" fontId="13" fillId="0" borderId="1" xfId="16" applyFont="1" applyBorder="1"/>
    <xf numFmtId="164" fontId="43" fillId="0" borderId="1" xfId="16" applyFont="1" applyBorder="1"/>
    <xf numFmtId="164" fontId="50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>
      <alignment horizontal="center"/>
    </xf>
    <xf numFmtId="164" fontId="18" fillId="0" borderId="7" xfId="16" applyFont="1" applyBorder="1"/>
    <xf numFmtId="164" fontId="18" fillId="0" borderId="0" xfId="16" applyFont="1"/>
    <xf numFmtId="164" fontId="18" fillId="0" borderId="0" xfId="16" applyFont="1" applyAlignment="1">
      <alignment horizontal="center"/>
    </xf>
    <xf numFmtId="164" fontId="51" fillId="0" borderId="0" xfId="16" applyFont="1" applyAlignment="1">
      <alignment horizontal="left"/>
    </xf>
    <xf numFmtId="164" fontId="14" fillId="0" borderId="0" xfId="16" applyFont="1"/>
    <xf numFmtId="164" fontId="14" fillId="0" borderId="0" xfId="16" applyFont="1" applyAlignment="1">
      <alignment horizontal="centerContinuous"/>
    </xf>
    <xf numFmtId="164" fontId="14" fillId="0" borderId="0" xfId="16" applyFont="1" applyAlignment="1">
      <alignment horizontal="left"/>
    </xf>
    <xf numFmtId="164" fontId="18" fillId="0" borderId="0" xfId="16" applyFont="1" applyAlignment="1">
      <alignment horizontal="left"/>
    </xf>
    <xf numFmtId="181" fontId="13" fillId="0" borderId="0" xfId="10" applyNumberFormat="1" applyFont="1" applyFill="1"/>
    <xf numFmtId="43" fontId="42" fillId="0" borderId="0" xfId="18" applyFont="1" applyFill="1"/>
    <xf numFmtId="0" fontId="35" fillId="0" borderId="0" xfId="6" quotePrefix="1" applyFont="1"/>
    <xf numFmtId="40" fontId="57" fillId="0" borderId="0" xfId="34" applyNumberFormat="1">
      <alignment vertical="center"/>
    </xf>
    <xf numFmtId="43" fontId="13" fillId="0" borderId="0" xfId="18" applyFont="1" applyProtection="1"/>
    <xf numFmtId="190" fontId="13" fillId="0" borderId="0" xfId="8" applyNumberFormat="1" applyFont="1"/>
    <xf numFmtId="37" fontId="13" fillId="0" borderId="5" xfId="6" applyNumberFormat="1" applyFont="1" applyBorder="1" applyProtection="1">
      <protection locked="0"/>
    </xf>
    <xf numFmtId="44" fontId="13" fillId="0" borderId="4" xfId="25" applyFont="1" applyBorder="1"/>
    <xf numFmtId="43" fontId="57" fillId="0" borderId="0" xfId="18" applyFont="1"/>
    <xf numFmtId="0" fontId="57" fillId="0" borderId="0" xfId="35"/>
    <xf numFmtId="200" fontId="32" fillId="0" borderId="0" xfId="18" applyNumberFormat="1" applyFont="1" applyProtection="1">
      <protection locked="0"/>
    </xf>
    <xf numFmtId="0" fontId="58" fillId="0" borderId="0" xfId="6" applyFont="1"/>
    <xf numFmtId="180" fontId="1" fillId="0" borderId="0" xfId="18" applyNumberFormat="1" applyFont="1"/>
    <xf numFmtId="7" fontId="13" fillId="0" borderId="1" xfId="8" applyNumberFormat="1" applyFont="1" applyBorder="1"/>
    <xf numFmtId="43" fontId="5" fillId="0" borderId="0" xfId="18" applyFont="1"/>
    <xf numFmtId="199" fontId="0" fillId="0" borderId="0" xfId="0" applyNumberFormat="1"/>
    <xf numFmtId="9" fontId="1" fillId="0" borderId="0" xfId="45" applyFont="1"/>
    <xf numFmtId="180" fontId="13" fillId="0" borderId="0" xfId="18" applyNumberFormat="1" applyFont="1"/>
    <xf numFmtId="164" fontId="52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/>
    <xf numFmtId="166" fontId="13" fillId="0" borderId="0" xfId="25" applyNumberFormat="1" applyFont="1"/>
    <xf numFmtId="178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8" fontId="43" fillId="0" borderId="12" xfId="25" applyNumberFormat="1" applyFont="1" applyBorder="1"/>
    <xf numFmtId="178" fontId="43" fillId="0" borderId="0" xfId="25" applyNumberFormat="1" applyFont="1" applyBorder="1"/>
    <xf numFmtId="44" fontId="62" fillId="0" borderId="0" xfId="4" applyFont="1"/>
    <xf numFmtId="205" fontId="13" fillId="0" borderId="0" xfId="8" applyNumberFormat="1" applyFont="1"/>
    <xf numFmtId="37" fontId="64" fillId="0" borderId="0" xfId="6" applyNumberFormat="1" applyFont="1"/>
    <xf numFmtId="0" fontId="61" fillId="0" borderId="0" xfId="1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49" fillId="0" borderId="0" xfId="16" applyFont="1" applyAlignment="1">
      <alignment horizontal="left"/>
    </xf>
    <xf numFmtId="0" fontId="30" fillId="0" borderId="0" xfId="6" quotePrefix="1" applyFont="1"/>
    <xf numFmtId="7" fontId="1" fillId="0" borderId="0" xfId="13" applyNumberFormat="1" applyFont="1"/>
    <xf numFmtId="39" fontId="13" fillId="0" borderId="0" xfId="8" quotePrefix="1" applyNumberFormat="1" applyFont="1"/>
    <xf numFmtId="166" fontId="43" fillId="0" borderId="1" xfId="8" applyNumberFormat="1" applyFont="1" applyBorder="1"/>
    <xf numFmtId="166" fontId="43" fillId="0" borderId="4" xfId="8" applyNumberFormat="1" applyFont="1" applyBorder="1"/>
    <xf numFmtId="165" fontId="1" fillId="0" borderId="0" xfId="6" applyNumberFormat="1" applyFont="1"/>
    <xf numFmtId="190" fontId="13" fillId="0" borderId="0" xfId="8" applyNumberFormat="1" applyFont="1" applyProtection="1">
      <protection locked="0"/>
    </xf>
    <xf numFmtId="0" fontId="1" fillId="0" borderId="0" xfId="6" applyFont="1"/>
    <xf numFmtId="176" fontId="16" fillId="0" borderId="0" xfId="6" applyNumberFormat="1" applyFont="1" applyAlignment="1">
      <alignment horizontal="center"/>
    </xf>
    <xf numFmtId="165" fontId="64" fillId="0" borderId="0" xfId="6" applyNumberFormat="1" applyFont="1"/>
    <xf numFmtId="44" fontId="13" fillId="0" borderId="0" xfId="79" applyFont="1"/>
    <xf numFmtId="44" fontId="55" fillId="0" borderId="0" xfId="79" applyFont="1" applyFill="1" applyAlignment="1">
      <alignment horizontal="left"/>
    </xf>
    <xf numFmtId="166" fontId="13" fillId="0" borderId="0" xfId="8" applyNumberFormat="1" applyFont="1" applyProtection="1">
      <protection locked="0"/>
    </xf>
    <xf numFmtId="164" fontId="63" fillId="0" borderId="0" xfId="16" applyFont="1"/>
    <xf numFmtId="192" fontId="67" fillId="0" borderId="0" xfId="0" applyNumberFormat="1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/>
    <xf numFmtId="175" fontId="13" fillId="0" borderId="0" xfId="2" applyNumberFormat="1" applyFont="1" applyFill="1"/>
    <xf numFmtId="199" fontId="67" fillId="0" borderId="0" xfId="0" applyNumberFormat="1" applyFont="1"/>
    <xf numFmtId="181" fontId="13" fillId="0" borderId="0" xfId="18" applyNumberFormat="1" applyFont="1" applyProtection="1"/>
    <xf numFmtId="0" fontId="43" fillId="0" borderId="0" xfId="13" applyFont="1"/>
    <xf numFmtId="0" fontId="13" fillId="0" borderId="0" xfId="13" applyFont="1"/>
    <xf numFmtId="0" fontId="47" fillId="0" borderId="0" xfId="14" applyFont="1" applyAlignment="1">
      <alignment horizontal="center" wrapText="1"/>
    </xf>
    <xf numFmtId="0" fontId="27" fillId="0" borderId="0" xfId="14" applyAlignment="1">
      <alignment horizontal="center" wrapText="1"/>
    </xf>
    <xf numFmtId="0" fontId="65" fillId="0" borderId="0" xfId="0" applyFont="1"/>
    <xf numFmtId="165" fontId="13" fillId="0" borderId="1" xfId="6" applyNumberFormat="1" applyFont="1" applyBorder="1"/>
    <xf numFmtId="181" fontId="13" fillId="0" borderId="0" xfId="2" applyNumberFormat="1" applyFont="1" applyFill="1" applyProtection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2" fillId="0" borderId="0" xfId="6" applyNumberFormat="1" applyFont="1" applyProtection="1">
      <protection locked="0"/>
    </xf>
    <xf numFmtId="181" fontId="13" fillId="0" borderId="0" xfId="18" applyNumberFormat="1" applyFont="1" applyFill="1" applyProtection="1"/>
    <xf numFmtId="4" fontId="13" fillId="0" borderId="0" xfId="8" applyNumberFormat="1" applyFont="1"/>
    <xf numFmtId="181" fontId="13" fillId="0" borderId="0" xfId="10" applyNumberFormat="1" applyFont="1" applyFill="1" applyBorder="1" applyProtection="1"/>
    <xf numFmtId="174" fontId="61" fillId="0" borderId="0" xfId="13" applyNumberFormat="1" applyFont="1"/>
    <xf numFmtId="174" fontId="1" fillId="0" borderId="0" xfId="13" applyNumberFormat="1" applyFont="1"/>
    <xf numFmtId="7" fontId="61" fillId="0" borderId="0" xfId="13" applyNumberFormat="1" applyFont="1"/>
    <xf numFmtId="43" fontId="13" fillId="0" borderId="0" xfId="18" applyFont="1" applyAlignment="1" applyProtection="1"/>
    <xf numFmtId="198" fontId="13" fillId="0" borderId="0" xfId="8" applyNumberFormat="1" applyFont="1"/>
    <xf numFmtId="8" fontId="10" fillId="0" borderId="0" xfId="19" applyNumberFormat="1" applyFont="1">
      <alignment vertical="center"/>
    </xf>
    <xf numFmtId="7" fontId="55" fillId="0" borderId="0" xfId="8" applyNumberFormat="1" applyFont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7" fontId="13" fillId="0" borderId="5" xfId="8" applyNumberFormat="1" applyFont="1" applyBorder="1"/>
    <xf numFmtId="43" fontId="13" fillId="0" borderId="0" xfId="18" applyFont="1" applyFill="1" applyBorder="1"/>
    <xf numFmtId="8" fontId="13" fillId="0" borderId="5" xfId="8" applyNumberFormat="1" applyFont="1" applyBorder="1"/>
    <xf numFmtId="7" fontId="44" fillId="0" borderId="0" xfId="8" applyNumberFormat="1" applyFont="1"/>
    <xf numFmtId="39" fontId="13" fillId="0" borderId="0" xfId="8" applyNumberFormat="1" applyFont="1" applyAlignment="1" applyProtection="1">
      <alignment horizontal="right"/>
      <protection locked="0"/>
    </xf>
    <xf numFmtId="0" fontId="9" fillId="0" borderId="0" xfId="1" applyFont="1"/>
    <xf numFmtId="0" fontId="1" fillId="0" borderId="0" xfId="13" applyFont="1"/>
    <xf numFmtId="5" fontId="15" fillId="0" borderId="0" xfId="8" applyNumberFormat="1" applyFont="1"/>
    <xf numFmtId="5" fontId="64" fillId="0" borderId="0" xfId="8" quotePrefix="1" applyNumberFormat="1" applyFont="1"/>
    <xf numFmtId="5" fontId="64" fillId="0" borderId="0" xfId="8" applyNumberFormat="1" applyFont="1"/>
    <xf numFmtId="5" fontId="15" fillId="0" borderId="1" xfId="8" applyNumberFormat="1" applyFont="1" applyBorder="1"/>
    <xf numFmtId="181" fontId="64" fillId="0" borderId="0" xfId="18" quotePrefix="1" applyNumberFormat="1" applyFont="1" applyFill="1" applyProtection="1"/>
    <xf numFmtId="181" fontId="15" fillId="0" borderId="1" xfId="18" applyNumberFormat="1" applyFont="1" applyFill="1" applyBorder="1" applyProtection="1"/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32" fillId="0" borderId="0" xfId="45" applyFont="1" applyProtection="1">
      <protection locked="0"/>
    </xf>
    <xf numFmtId="9" fontId="13" fillId="0" borderId="0" xfId="45" applyFont="1" applyFill="1"/>
    <xf numFmtId="183" fontId="13" fillId="0" borderId="0" xfId="6" applyNumberFormat="1" applyFont="1"/>
    <xf numFmtId="175" fontId="1" fillId="0" borderId="0" xfId="18" applyNumberFormat="1" applyFont="1" applyFill="1" applyBorder="1" applyAlignment="1">
      <alignment horizontal="center"/>
    </xf>
    <xf numFmtId="0" fontId="32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37" fontId="13" fillId="0" borderId="45" xfId="8" applyNumberFormat="1" applyFont="1" applyBorder="1"/>
    <xf numFmtId="0" fontId="13" fillId="0" borderId="45" xfId="8" applyFont="1" applyBorder="1"/>
    <xf numFmtId="181" fontId="13" fillId="0" borderId="45" xfId="18" applyNumberFormat="1" applyFont="1" applyBorder="1" applyProtection="1"/>
    <xf numFmtId="7" fontId="13" fillId="0" borderId="48" xfId="9" applyNumberFormat="1" applyFont="1" applyFill="1" applyBorder="1" applyProtection="1"/>
    <xf numFmtId="190" fontId="13" fillId="0" borderId="0" xfId="6" applyNumberFormat="1" applyFont="1"/>
    <xf numFmtId="0" fontId="7" fillId="0" borderId="1" xfId="1" applyFont="1" applyBorder="1" applyAlignment="1">
      <alignment horizontal="center"/>
    </xf>
    <xf numFmtId="0" fontId="32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0" fontId="3" fillId="0" borderId="0" xfId="6" applyAlignment="1">
      <alignment horizontal="center"/>
    </xf>
    <xf numFmtId="186" fontId="6" fillId="0" borderId="0" xfId="6" applyNumberFormat="1" applyFont="1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94" fontId="13" fillId="0" borderId="0" xfId="8" applyNumberFormat="1" applyFont="1" applyAlignment="1">
      <alignment horizontal="left"/>
    </xf>
    <xf numFmtId="0" fontId="13" fillId="0" borderId="0" xfId="8" applyFont="1" applyAlignment="1">
      <alignment horizontal="left"/>
    </xf>
    <xf numFmtId="49" fontId="13" fillId="0" borderId="0" xfId="8" applyNumberFormat="1" applyFont="1" applyAlignment="1">
      <alignment horizontal="left"/>
    </xf>
    <xf numFmtId="186" fontId="13" fillId="0" borderId="1" xfId="8" applyNumberFormat="1" applyFont="1" applyBorder="1" applyAlignment="1">
      <alignment horizontal="center"/>
    </xf>
    <xf numFmtId="186" fontId="13" fillId="0" borderId="6" xfId="8" applyNumberFormat="1" applyFont="1" applyBorder="1" applyAlignment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  <xf numFmtId="0" fontId="1" fillId="0" borderId="0" xfId="1" applyFont="1" applyAlignment="1">
      <alignment horizontal="left" indent="1"/>
    </xf>
    <xf numFmtId="37" fontId="1" fillId="0" borderId="0" xfId="1" applyNumberFormat="1" applyFont="1"/>
    <xf numFmtId="0" fontId="1" fillId="0" borderId="0" xfId="1" applyFont="1"/>
    <xf numFmtId="165" fontId="1" fillId="0" borderId="0" xfId="1" applyNumberFormat="1" applyFont="1"/>
    <xf numFmtId="0" fontId="1" fillId="0" borderId="0" xfId="1" applyFont="1" applyAlignment="1">
      <alignment horizontal="left" indent="2"/>
    </xf>
    <xf numFmtId="0" fontId="1" fillId="0" borderId="0" xfId="1" applyFont="1" applyAlignment="1">
      <alignment horizontal="left" indent="3"/>
    </xf>
    <xf numFmtId="165" fontId="1" fillId="0" borderId="1" xfId="6" applyNumberFormat="1" applyFont="1" applyBorder="1"/>
    <xf numFmtId="165" fontId="1" fillId="0" borderId="1" xfId="1" applyNumberFormat="1" applyFont="1" applyBorder="1"/>
    <xf numFmtId="165" fontId="1" fillId="0" borderId="0" xfId="1" applyNumberFormat="1" applyFont="1" applyFill="1"/>
    <xf numFmtId="0" fontId="1" fillId="0" borderId="0" xfId="1" applyFont="1" applyFill="1"/>
    <xf numFmtId="165" fontId="1" fillId="0" borderId="1" xfId="1" applyNumberFormat="1" applyFont="1" applyFill="1" applyBorder="1"/>
    <xf numFmtId="0" fontId="1" fillId="0" borderId="0" xfId="1" applyFont="1" applyAlignment="1">
      <alignment horizontal="center"/>
    </xf>
    <xf numFmtId="49" fontId="1" fillId="0" borderId="0" xfId="1" applyNumberFormat="1" applyFont="1"/>
    <xf numFmtId="14" fontId="1" fillId="0" borderId="0" xfId="1" applyNumberFormat="1" applyFont="1"/>
    <xf numFmtId="166" fontId="1" fillId="0" borderId="0" xfId="1" applyNumberFormat="1" applyFont="1"/>
    <xf numFmtId="0" fontId="43" fillId="0" borderId="0" xfId="6" applyFont="1"/>
    <xf numFmtId="0" fontId="43" fillId="0" borderId="7" xfId="6" applyFont="1" applyBorder="1" applyAlignment="1">
      <alignment horizontal="centerContinuous"/>
    </xf>
    <xf numFmtId="0" fontId="43" fillId="0" borderId="0" xfId="6" applyFont="1" applyAlignment="1">
      <alignment horizontal="center"/>
    </xf>
    <xf numFmtId="0" fontId="43" fillId="0" borderId="7" xfId="6" applyFont="1" applyBorder="1" applyAlignment="1">
      <alignment horizontal="center"/>
    </xf>
    <xf numFmtId="177" fontId="13" fillId="0" borderId="0" xfId="6" applyNumberFormat="1" applyFont="1"/>
    <xf numFmtId="37" fontId="13" fillId="0" borderId="0" xfId="6" applyNumberFormat="1" applyFont="1" applyAlignment="1">
      <alignment horizontal="center"/>
    </xf>
    <xf numFmtId="37" fontId="13" fillId="0" borderId="6" xfId="6" applyNumberFormat="1" applyFont="1" applyBorder="1"/>
    <xf numFmtId="0" fontId="155" fillId="0" borderId="0" xfId="6" applyFont="1"/>
    <xf numFmtId="0" fontId="13" fillId="0" borderId="0" xfId="6" quotePrefix="1" applyFont="1" applyAlignment="1">
      <alignment horizontal="center"/>
    </xf>
    <xf numFmtId="176" fontId="13" fillId="0" borderId="0" xfId="6" applyNumberFormat="1" applyFont="1" applyAlignment="1">
      <alignment horizontal="center"/>
    </xf>
    <xf numFmtId="0" fontId="43" fillId="0" borderId="7" xfId="6" applyFont="1" applyBorder="1"/>
    <xf numFmtId="0" fontId="13" fillId="0" borderId="0" xfId="6" applyFont="1" applyAlignment="1">
      <alignment horizontal="left"/>
    </xf>
    <xf numFmtId="37" fontId="13" fillId="0" borderId="0" xfId="6" quotePrefix="1" applyNumberFormat="1" applyFont="1" applyAlignment="1">
      <alignment horizontal="center"/>
    </xf>
    <xf numFmtId="176" fontId="13" fillId="0" borderId="0" xfId="6" applyNumberFormat="1" applyFont="1"/>
    <xf numFmtId="182" fontId="13" fillId="0" borderId="0" xfId="6" applyNumberFormat="1" applyFont="1"/>
    <xf numFmtId="0" fontId="44" fillId="0" borderId="0" xfId="6" applyFont="1"/>
    <xf numFmtId="10" fontId="13" fillId="0" borderId="0" xfId="6" applyNumberFormat="1" applyFont="1"/>
    <xf numFmtId="165" fontId="13" fillId="0" borderId="7" xfId="6" applyNumberFormat="1" applyFont="1" applyBorder="1"/>
    <xf numFmtId="37" fontId="13" fillId="0" borderId="7" xfId="6" applyNumberFormat="1" applyFont="1" applyBorder="1"/>
    <xf numFmtId="37" fontId="13" fillId="0" borderId="3" xfId="6" applyNumberFormat="1" applyFont="1" applyBorder="1"/>
    <xf numFmtId="165" fontId="13" fillId="0" borderId="5" xfId="6" applyNumberFormat="1" applyFont="1" applyBorder="1"/>
    <xf numFmtId="0" fontId="13" fillId="0" borderId="8" xfId="6" applyFont="1" applyBorder="1"/>
    <xf numFmtId="37" fontId="13" fillId="0" borderId="8" xfId="6" applyNumberFormat="1" applyFont="1" applyBorder="1"/>
    <xf numFmtId="0" fontId="13" fillId="0" borderId="0" xfId="6" applyFont="1" applyAlignment="1">
      <alignment horizontal="centerContinuous"/>
    </xf>
    <xf numFmtId="0" fontId="13" fillId="0" borderId="7" xfId="6" applyFont="1" applyBorder="1"/>
    <xf numFmtId="0" fontId="13" fillId="0" borderId="7" xfId="6" applyFont="1" applyBorder="1" applyAlignment="1">
      <alignment horizontal="center"/>
    </xf>
    <xf numFmtId="166" fontId="13" fillId="0" borderId="0" xfId="6" applyNumberFormat="1" applyFont="1"/>
    <xf numFmtId="178" fontId="13" fillId="0" borderId="0" xfId="4" applyNumberFormat="1" applyFont="1" applyFill="1" applyBorder="1" applyAlignment="1" applyProtection="1">
      <alignment horizontal="right"/>
    </xf>
    <xf numFmtId="37" fontId="13" fillId="0" borderId="45" xfId="6" applyNumberFormat="1" applyFont="1" applyBorder="1"/>
    <xf numFmtId="178" fontId="156" fillId="0" borderId="0" xfId="4" applyNumberFormat="1" applyFont="1" applyFill="1" applyBorder="1" applyAlignment="1" applyProtection="1">
      <alignment horizontal="right"/>
    </xf>
    <xf numFmtId="167" fontId="13" fillId="0" borderId="5" xfId="6" applyNumberFormat="1" applyFont="1" applyBorder="1"/>
    <xf numFmtId="0" fontId="13" fillId="0" borderId="46" xfId="6" applyFont="1" applyBorder="1"/>
    <xf numFmtId="178" fontId="13" fillId="0" borderId="47" xfId="4" applyNumberFormat="1" applyFont="1" applyFill="1" applyBorder="1" applyAlignment="1" applyProtection="1">
      <alignment horizontal="center"/>
    </xf>
    <xf numFmtId="178" fontId="13" fillId="0" borderId="0" xfId="4" applyNumberFormat="1" applyFont="1" applyFill="1" applyBorder="1" applyAlignment="1" applyProtection="1">
      <alignment horizontal="center"/>
    </xf>
    <xf numFmtId="179" fontId="13" fillId="0" borderId="0" xfId="6" applyNumberFormat="1" applyFont="1" applyAlignment="1">
      <alignment horizontal="center"/>
    </xf>
    <xf numFmtId="178" fontId="13" fillId="0" borderId="0" xfId="4" applyNumberFormat="1" applyFont="1" applyFill="1" applyBorder="1" applyProtection="1"/>
    <xf numFmtId="10" fontId="13" fillId="0" borderId="1" xfId="6" applyNumberFormat="1" applyFont="1" applyBorder="1"/>
    <xf numFmtId="177" fontId="13" fillId="0" borderId="0" xfId="6" applyNumberFormat="1" applyFont="1" applyAlignment="1">
      <alignment horizontal="right"/>
    </xf>
    <xf numFmtId="180" fontId="13" fillId="0" borderId="0" xfId="2" applyNumberFormat="1" applyFont="1" applyFill="1" applyBorder="1" applyProtection="1"/>
    <xf numFmtId="10" fontId="13" fillId="0" borderId="5" xfId="6" applyNumberFormat="1" applyFont="1" applyBorder="1"/>
    <xf numFmtId="178" fontId="13" fillId="0" borderId="5" xfId="4" applyNumberFormat="1" applyFont="1" applyFill="1" applyBorder="1" applyProtection="1"/>
    <xf numFmtId="10" fontId="13" fillId="0" borderId="0" xfId="45" applyNumberFormat="1" applyFont="1" applyFill="1" applyProtection="1"/>
    <xf numFmtId="0" fontId="13" fillId="0" borderId="1" xfId="6" applyFont="1" applyBorder="1"/>
    <xf numFmtId="37" fontId="13" fillId="0" borderId="5" xfId="6" applyNumberFormat="1" applyFont="1" applyBorder="1"/>
    <xf numFmtId="180" fontId="13" fillId="0" borderId="0" xfId="2" applyNumberFormat="1" applyFont="1" applyFill="1" applyProtection="1"/>
    <xf numFmtId="10" fontId="13" fillId="0" borderId="0" xfId="5" quotePrefix="1" applyNumberFormat="1" applyFont="1" applyFill="1" applyAlignment="1" applyProtection="1">
      <alignment horizontal="center"/>
    </xf>
    <xf numFmtId="0" fontId="13" fillId="0" borderId="0" xfId="6" quotePrefix="1" applyFont="1"/>
    <xf numFmtId="10" fontId="13" fillId="0" borderId="0" xfId="5" applyNumberFormat="1" applyFont="1" applyFill="1" applyProtection="1"/>
    <xf numFmtId="38" fontId="13" fillId="0" borderId="5" xfId="6" applyNumberFormat="1" applyFont="1" applyBorder="1"/>
    <xf numFmtId="5" fontId="13" fillId="0" borderId="0" xfId="6" applyNumberFormat="1" applyFont="1"/>
    <xf numFmtId="5" fontId="13" fillId="0" borderId="5" xfId="6" applyNumberFormat="1" applyFont="1" applyBorder="1"/>
    <xf numFmtId="0" fontId="13" fillId="0" borderId="7" xfId="6" applyFont="1" applyBorder="1" applyAlignment="1">
      <alignment horizontal="centerContinuous"/>
    </xf>
    <xf numFmtId="183" fontId="13" fillId="0" borderId="0" xfId="6" applyNumberFormat="1" applyFont="1" applyAlignment="1">
      <alignment horizontal="right"/>
    </xf>
    <xf numFmtId="183" fontId="13" fillId="0" borderId="5" xfId="6" applyNumberFormat="1" applyFont="1" applyBorder="1"/>
    <xf numFmtId="169" fontId="13" fillId="0" borderId="0" xfId="6" applyNumberFormat="1" applyFont="1"/>
    <xf numFmtId="0" fontId="43" fillId="0" borderId="0" xfId="6" applyFont="1" applyAlignment="1">
      <alignment horizontal="centerContinuous"/>
    </xf>
    <xf numFmtId="165" fontId="13" fillId="0" borderId="6" xfId="6" applyNumberFormat="1" applyFont="1" applyBorder="1"/>
    <xf numFmtId="0" fontId="13" fillId="0" borderId="0" xfId="6" quotePrefix="1" applyFont="1" applyAlignment="1">
      <alignment horizontal="left"/>
    </xf>
    <xf numFmtId="37" fontId="13" fillId="0" borderId="9" xfId="6" applyNumberFormat="1" applyFont="1" applyBorder="1" applyProtection="1">
      <protection locked="0"/>
    </xf>
    <xf numFmtId="37" fontId="13" fillId="0" borderId="9" xfId="6" applyNumberFormat="1" applyFont="1" applyBorder="1"/>
    <xf numFmtId="0" fontId="44" fillId="0" borderId="0" xfId="6" applyFont="1" applyAlignment="1">
      <alignment horizontal="centerContinuous"/>
    </xf>
    <xf numFmtId="37" fontId="13" fillId="0" borderId="10" xfId="6" applyNumberFormat="1" applyFont="1" applyBorder="1"/>
    <xf numFmtId="165" fontId="43" fillId="0" borderId="0" xfId="6" applyNumberFormat="1" applyFont="1"/>
    <xf numFmtId="7" fontId="44" fillId="0" borderId="0" xfId="8" applyNumberFormat="1" applyFont="1" applyAlignment="1" applyProtection="1">
      <alignment horizontal="right"/>
      <protection locked="0"/>
    </xf>
    <xf numFmtId="37" fontId="13" fillId="0" borderId="0" xfId="10" applyNumberFormat="1" applyFont="1" applyFill="1" applyProtection="1"/>
    <xf numFmtId="0" fontId="42" fillId="0" borderId="0" xfId="8" applyFont="1"/>
    <xf numFmtId="39" fontId="13" fillId="0" borderId="1" xfId="8" applyNumberFormat="1" applyFont="1" applyBorder="1" applyProtection="1">
      <protection locked="0"/>
    </xf>
    <xf numFmtId="190" fontId="13" fillId="0" borderId="1" xfId="8" applyNumberFormat="1" applyFont="1" applyBorder="1" applyProtection="1">
      <protection locked="0"/>
    </xf>
    <xf numFmtId="190" fontId="42" fillId="0" borderId="0" xfId="8" applyNumberFormat="1" applyFont="1"/>
    <xf numFmtId="205" fontId="42" fillId="0" borderId="0" xfId="8" applyNumberFormat="1" applyFont="1"/>
    <xf numFmtId="197" fontId="42" fillId="0" borderId="0" xfId="8" applyNumberFormat="1" applyFont="1"/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1" defaultTableStyle="TableStyleMedium2" defaultPivotStyle="PivotStyleLight16">
    <tableStyle name="Invisible" pivot="0" table="0" count="0" xr9:uid="{39C7E1B2-DEE8-417C-8DCD-CA834543E3EC}"/>
  </tableStyles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Q63"/>
  <sheetViews>
    <sheetView tabSelected="1" zoomScale="80" zoomScaleNormal="80" zoomScaleSheetLayoutView="85" workbookViewId="0">
      <pane xSplit="6" ySplit="8" topLeftCell="G9" activePane="bottomRight" state="frozen"/>
      <selection activeCell="L49" sqref="L49"/>
      <selection pane="topRight" activeCell="L49" sqref="L49"/>
      <selection pane="bottomLeft" activeCell="L49" sqref="L49"/>
      <selection pane="bottomRight" activeCell="N42" sqref="N42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2" width="7.7109375" style="1" bestFit="1" customWidth="1"/>
    <col min="13" max="13" width="8.85546875" style="1" bestFit="1" customWidth="1"/>
    <col min="14" max="16384" width="9.140625" style="1"/>
  </cols>
  <sheetData>
    <row r="1" spans="1:17">
      <c r="A1" s="6" t="s">
        <v>40</v>
      </c>
      <c r="K1" s="15" t="s">
        <v>39</v>
      </c>
    </row>
    <row r="2" spans="1:17">
      <c r="A2" s="1" t="s">
        <v>38</v>
      </c>
      <c r="K2" s="15" t="s">
        <v>37</v>
      </c>
    </row>
    <row r="3" spans="1:17">
      <c r="A3" s="1" t="s">
        <v>36</v>
      </c>
    </row>
    <row r="5" spans="1:17">
      <c r="G5" s="3" t="s">
        <v>35</v>
      </c>
      <c r="I5" s="3" t="s">
        <v>34</v>
      </c>
      <c r="K5" s="3" t="s">
        <v>33</v>
      </c>
    </row>
    <row r="6" spans="1:17">
      <c r="A6" s="14" t="s">
        <v>32</v>
      </c>
      <c r="B6" s="6"/>
      <c r="C6" s="6"/>
      <c r="D6" s="6"/>
      <c r="E6" s="6"/>
      <c r="F6" s="6"/>
      <c r="G6" s="361" t="s">
        <v>9</v>
      </c>
      <c r="H6" s="361"/>
      <c r="I6" s="361"/>
      <c r="J6" s="6"/>
      <c r="K6" s="6"/>
    </row>
    <row r="7" spans="1:17">
      <c r="A7" s="13" t="s">
        <v>31</v>
      </c>
      <c r="B7" s="11" t="s">
        <v>30</v>
      </c>
      <c r="C7" s="11"/>
      <c r="D7" s="11"/>
      <c r="E7" s="11"/>
      <c r="F7" s="11"/>
      <c r="G7" s="12" t="s">
        <v>562</v>
      </c>
      <c r="H7" s="11"/>
      <c r="I7" s="12" t="s">
        <v>563</v>
      </c>
      <c r="J7" s="11"/>
      <c r="K7" s="11" t="s">
        <v>29</v>
      </c>
    </row>
    <row r="8" spans="1:17">
      <c r="G8" s="3" t="s">
        <v>28</v>
      </c>
      <c r="I8" s="3" t="s">
        <v>28</v>
      </c>
      <c r="K8" s="3" t="s">
        <v>28</v>
      </c>
    </row>
    <row r="9" spans="1:17">
      <c r="A9" s="4">
        <v>1</v>
      </c>
      <c r="B9" s="7" t="s">
        <v>27</v>
      </c>
    </row>
    <row r="10" spans="1:17">
      <c r="A10" s="4">
        <v>2</v>
      </c>
    </row>
    <row r="11" spans="1:17">
      <c r="A11" s="4">
        <v>3</v>
      </c>
      <c r="B11" s="335" t="s">
        <v>541</v>
      </c>
    </row>
    <row r="12" spans="1:17">
      <c r="A12" s="4">
        <v>4</v>
      </c>
      <c r="B12" s="8" t="s">
        <v>14</v>
      </c>
      <c r="C12" s="4">
        <v>300</v>
      </c>
      <c r="D12" s="1" t="s">
        <v>12</v>
      </c>
      <c r="G12" s="289">
        <f>A.2!G12</f>
        <v>1.5483</v>
      </c>
      <c r="H12" s="273"/>
      <c r="I12" s="5">
        <f>A.2!I12</f>
        <v>1.5483</v>
      </c>
      <c r="K12" s="5">
        <f>I12-G12</f>
        <v>0</v>
      </c>
    </row>
    <row r="13" spans="1:17">
      <c r="A13" s="4">
        <v>5</v>
      </c>
      <c r="B13" s="8" t="s">
        <v>26</v>
      </c>
      <c r="C13" s="4">
        <v>14700</v>
      </c>
      <c r="D13" s="1" t="s">
        <v>12</v>
      </c>
      <c r="G13" s="289">
        <f>A.2!G13</f>
        <v>1.0762</v>
      </c>
      <c r="H13" s="273"/>
      <c r="I13" s="5">
        <f>A.2!I13</f>
        <v>1.0762</v>
      </c>
      <c r="K13" s="5">
        <f>I13-G13</f>
        <v>0</v>
      </c>
    </row>
    <row r="14" spans="1:17">
      <c r="A14" s="4">
        <v>6</v>
      </c>
      <c r="B14" s="379" t="s">
        <v>13</v>
      </c>
      <c r="C14" s="380">
        <v>15000</v>
      </c>
      <c r="D14" s="381" t="s">
        <v>12</v>
      </c>
      <c r="E14" s="381"/>
      <c r="F14" s="381"/>
      <c r="G14" s="289">
        <f>A.2!G14</f>
        <v>0.88880000000000003</v>
      </c>
      <c r="H14" s="381"/>
      <c r="I14" s="382">
        <f>A.2!I14</f>
        <v>0.88880000000000003</v>
      </c>
      <c r="J14" s="381"/>
      <c r="K14" s="382">
        <f>I14-G14</f>
        <v>0</v>
      </c>
    </row>
    <row r="15" spans="1:17">
      <c r="A15" s="4">
        <v>7</v>
      </c>
      <c r="B15" s="381"/>
      <c r="C15" s="381"/>
      <c r="D15" s="381"/>
      <c r="E15" s="381"/>
      <c r="F15" s="381"/>
      <c r="G15" s="291"/>
      <c r="H15" s="381"/>
      <c r="I15" s="381"/>
      <c r="J15" s="381"/>
      <c r="K15" s="381"/>
      <c r="Q15" s="251"/>
    </row>
    <row r="16" spans="1:17">
      <c r="A16" s="4">
        <v>8</v>
      </c>
      <c r="B16" s="9" t="s">
        <v>24</v>
      </c>
      <c r="C16" s="381"/>
      <c r="D16" s="381"/>
      <c r="E16" s="381"/>
      <c r="F16" s="381"/>
      <c r="G16" s="291"/>
      <c r="H16" s="381"/>
      <c r="I16" s="381"/>
      <c r="J16" s="381"/>
      <c r="K16" s="381"/>
      <c r="Q16" s="251"/>
    </row>
    <row r="17" spans="1:17">
      <c r="A17" s="4">
        <v>9</v>
      </c>
      <c r="B17" s="383" t="s">
        <v>23</v>
      </c>
      <c r="C17" s="381"/>
      <c r="D17" s="381"/>
      <c r="E17" s="381"/>
      <c r="F17" s="381"/>
      <c r="G17" s="291"/>
      <c r="H17" s="381"/>
      <c r="I17" s="381"/>
      <c r="J17" s="381"/>
      <c r="K17" s="381"/>
      <c r="Q17" s="251"/>
    </row>
    <row r="18" spans="1:17">
      <c r="A18" s="4">
        <v>10</v>
      </c>
      <c r="B18" s="384" t="s">
        <v>22</v>
      </c>
      <c r="C18" s="381"/>
      <c r="D18" s="381"/>
      <c r="E18" s="381"/>
      <c r="F18" s="381"/>
      <c r="G18" s="289">
        <v>2.2254999999999998</v>
      </c>
      <c r="H18" s="382"/>
      <c r="I18" s="382">
        <f>ROUND(B.7!$G$45,4)</f>
        <v>3.1993999999999998</v>
      </c>
      <c r="J18" s="382"/>
      <c r="K18" s="382">
        <f t="shared" ref="K18:K24" si="0">I18-G18</f>
        <v>0.97389999999999999</v>
      </c>
      <c r="L18" s="251"/>
      <c r="Q18" s="251"/>
    </row>
    <row r="19" spans="1:17">
      <c r="A19" s="4">
        <v>11</v>
      </c>
      <c r="B19" s="384" t="s">
        <v>21</v>
      </c>
      <c r="C19" s="381"/>
      <c r="D19" s="381"/>
      <c r="E19" s="381"/>
      <c r="F19" s="381"/>
      <c r="G19" s="385">
        <v>1.3554999999999999</v>
      </c>
      <c r="H19" s="386"/>
      <c r="I19" s="386">
        <f>ROUND(B.6!$H$19,4)</f>
        <v>1.3531</v>
      </c>
      <c r="J19" s="386"/>
      <c r="K19" s="386">
        <f t="shared" si="0"/>
        <v>-2.3999999999999577E-3</v>
      </c>
      <c r="L19" s="251"/>
      <c r="Q19" s="251"/>
    </row>
    <row r="20" spans="1:17">
      <c r="A20" s="4">
        <v>12</v>
      </c>
      <c r="B20" s="383" t="s">
        <v>20</v>
      </c>
      <c r="C20" s="381"/>
      <c r="D20" s="381"/>
      <c r="E20" s="381"/>
      <c r="F20" s="381"/>
      <c r="G20" s="289">
        <f>G18+G19</f>
        <v>3.5809999999999995</v>
      </c>
      <c r="H20" s="382"/>
      <c r="I20" s="382">
        <f>ROUND(SUM(I18:I19),4)</f>
        <v>4.5525000000000002</v>
      </c>
      <c r="J20" s="382"/>
      <c r="K20" s="382">
        <f t="shared" si="0"/>
        <v>0.9715000000000007</v>
      </c>
      <c r="L20" s="251"/>
      <c r="Q20" s="251"/>
    </row>
    <row r="21" spans="1:17">
      <c r="A21" s="4">
        <v>13</v>
      </c>
      <c r="B21" s="383" t="s">
        <v>19</v>
      </c>
      <c r="C21" s="381"/>
      <c r="D21" s="381"/>
      <c r="E21" s="381"/>
      <c r="F21" s="381"/>
      <c r="G21" s="289">
        <v>-0.52159999999999995</v>
      </c>
      <c r="H21" s="382"/>
      <c r="I21" s="382">
        <f>ROUND(D.1!$G$44,4)</f>
        <v>-0.63900000000000001</v>
      </c>
      <c r="J21" s="382"/>
      <c r="K21" s="382">
        <f t="shared" si="0"/>
        <v>-0.11740000000000006</v>
      </c>
      <c r="L21" s="251"/>
      <c r="Q21" s="251"/>
    </row>
    <row r="22" spans="1:17">
      <c r="A22" s="4">
        <v>14</v>
      </c>
      <c r="B22" s="383" t="s">
        <v>18</v>
      </c>
      <c r="C22" s="381"/>
      <c r="D22" s="381"/>
      <c r="E22" s="381"/>
      <c r="F22" s="381"/>
      <c r="G22" s="289">
        <v>0</v>
      </c>
      <c r="H22" s="382"/>
      <c r="I22" s="382">
        <f>ROUND(G62,4)</f>
        <v>0</v>
      </c>
      <c r="J22" s="382"/>
      <c r="K22" s="382">
        <f t="shared" si="0"/>
        <v>0</v>
      </c>
      <c r="L22" s="251"/>
      <c r="Q22" s="251"/>
    </row>
    <row r="23" spans="1:17">
      <c r="A23" s="4">
        <v>15</v>
      </c>
      <c r="B23" s="383" t="s">
        <v>17</v>
      </c>
      <c r="C23" s="381"/>
      <c r="D23" s="381"/>
      <c r="E23" s="381"/>
      <c r="F23" s="381"/>
      <c r="G23" s="385">
        <v>0.16800000000000001</v>
      </c>
      <c r="H23" s="382"/>
      <c r="I23" s="386">
        <v>0.16800000000000001</v>
      </c>
      <c r="J23" s="382"/>
      <c r="K23" s="386">
        <f t="shared" si="0"/>
        <v>0</v>
      </c>
      <c r="L23" s="251"/>
      <c r="Q23" s="251"/>
    </row>
    <row r="24" spans="1:17">
      <c r="A24" s="4">
        <v>16</v>
      </c>
      <c r="B24" s="379" t="s">
        <v>16</v>
      </c>
      <c r="C24" s="381"/>
      <c r="D24" s="381"/>
      <c r="E24" s="381"/>
      <c r="F24" s="381"/>
      <c r="G24" s="289">
        <f>G20+G21+G22+G23</f>
        <v>3.2273999999999998</v>
      </c>
      <c r="H24" s="382"/>
      <c r="I24" s="387">
        <f>ROUND(SUM(I20:I23),4)</f>
        <v>4.0815000000000001</v>
      </c>
      <c r="J24" s="382"/>
      <c r="K24" s="382">
        <f t="shared" si="0"/>
        <v>0.8541000000000003</v>
      </c>
      <c r="L24" s="251"/>
      <c r="P24" s="5"/>
    </row>
    <row r="25" spans="1:17">
      <c r="A25" s="4">
        <v>17</v>
      </c>
      <c r="B25" s="381"/>
      <c r="C25" s="381"/>
      <c r="D25" s="381"/>
      <c r="E25" s="381"/>
      <c r="F25" s="381"/>
      <c r="G25" s="289"/>
      <c r="H25" s="382"/>
      <c r="I25" s="387"/>
      <c r="J25" s="382"/>
      <c r="K25" s="382"/>
      <c r="P25" s="5"/>
    </row>
    <row r="26" spans="1:17">
      <c r="A26" s="4">
        <v>18</v>
      </c>
      <c r="B26" s="9" t="s">
        <v>15</v>
      </c>
      <c r="C26" s="381"/>
      <c r="D26" s="381"/>
      <c r="E26" s="381"/>
      <c r="F26" s="381"/>
      <c r="G26" s="289"/>
      <c r="H26" s="382"/>
      <c r="I26" s="387"/>
      <c r="J26" s="382"/>
      <c r="K26" s="382"/>
      <c r="P26" s="5"/>
    </row>
    <row r="27" spans="1:17">
      <c r="A27" s="4">
        <v>19</v>
      </c>
      <c r="B27" s="379" t="s">
        <v>14</v>
      </c>
      <c r="C27" s="380">
        <v>300</v>
      </c>
      <c r="D27" s="381" t="s">
        <v>12</v>
      </c>
      <c r="E27" s="381"/>
      <c r="F27" s="381"/>
      <c r="G27" s="289">
        <f>G12+$G$24</f>
        <v>4.7756999999999996</v>
      </c>
      <c r="H27" s="382"/>
      <c r="I27" s="387">
        <f>I12+I24</f>
        <v>5.6298000000000004</v>
      </c>
      <c r="J27" s="382"/>
      <c r="K27" s="382">
        <f>I27-G27</f>
        <v>0.85410000000000075</v>
      </c>
      <c r="P27" s="5"/>
    </row>
    <row r="28" spans="1:17">
      <c r="A28" s="4">
        <v>20</v>
      </c>
      <c r="B28" s="379" t="s">
        <v>26</v>
      </c>
      <c r="C28" s="380">
        <v>14700</v>
      </c>
      <c r="D28" s="381" t="s">
        <v>12</v>
      </c>
      <c r="E28" s="381"/>
      <c r="F28" s="381"/>
      <c r="G28" s="289">
        <f t="shared" ref="G28:G29" si="1">G13+$G$24</f>
        <v>4.3035999999999994</v>
      </c>
      <c r="H28" s="382"/>
      <c r="I28" s="387">
        <f>+I13+I24</f>
        <v>5.1577000000000002</v>
      </c>
      <c r="J28" s="382"/>
      <c r="K28" s="382">
        <f>I28-G28</f>
        <v>0.85410000000000075</v>
      </c>
      <c r="P28" s="5"/>
    </row>
    <row r="29" spans="1:17">
      <c r="A29" s="4">
        <v>21</v>
      </c>
      <c r="B29" s="379" t="s">
        <v>13</v>
      </c>
      <c r="C29" s="380">
        <v>15000</v>
      </c>
      <c r="D29" s="381" t="s">
        <v>12</v>
      </c>
      <c r="E29" s="381"/>
      <c r="F29" s="381"/>
      <c r="G29" s="289">
        <f t="shared" si="1"/>
        <v>4.1162000000000001</v>
      </c>
      <c r="H29" s="382"/>
      <c r="I29" s="387">
        <f>+I14+I24</f>
        <v>4.9702999999999999</v>
      </c>
      <c r="J29" s="382"/>
      <c r="K29" s="382">
        <f>I29-G29</f>
        <v>0.85409999999999986</v>
      </c>
      <c r="P29" s="5"/>
    </row>
    <row r="30" spans="1:17">
      <c r="A30" s="4">
        <v>22</v>
      </c>
      <c r="B30" s="381"/>
      <c r="C30" s="381"/>
      <c r="D30" s="381"/>
      <c r="E30" s="381"/>
      <c r="F30" s="381"/>
      <c r="G30" s="291"/>
      <c r="H30" s="381"/>
      <c r="I30" s="388"/>
      <c r="J30" s="381"/>
      <c r="K30" s="381"/>
      <c r="P30" s="5"/>
    </row>
    <row r="31" spans="1:17">
      <c r="A31" s="4">
        <v>23</v>
      </c>
      <c r="B31" s="381"/>
      <c r="C31" s="381"/>
      <c r="D31" s="381"/>
      <c r="E31" s="381"/>
      <c r="F31" s="381"/>
      <c r="G31" s="291"/>
      <c r="H31" s="381"/>
      <c r="I31" s="388"/>
      <c r="J31" s="381"/>
      <c r="K31" s="381"/>
      <c r="P31" s="5"/>
    </row>
    <row r="32" spans="1:17">
      <c r="A32" s="4">
        <v>24</v>
      </c>
      <c r="B32" s="7" t="s">
        <v>25</v>
      </c>
      <c r="C32" s="381"/>
      <c r="D32" s="381"/>
      <c r="E32" s="381"/>
      <c r="F32" s="381"/>
      <c r="G32" s="291"/>
      <c r="H32" s="381"/>
      <c r="I32" s="388"/>
      <c r="J32" s="381"/>
      <c r="K32" s="381"/>
      <c r="P32" s="5"/>
    </row>
    <row r="33" spans="1:16">
      <c r="A33" s="4">
        <v>25</v>
      </c>
      <c r="B33" s="381"/>
      <c r="C33" s="381"/>
      <c r="D33" s="381"/>
      <c r="E33" s="381"/>
      <c r="F33" s="381"/>
      <c r="G33" s="291"/>
      <c r="H33" s="381"/>
      <c r="I33" s="388"/>
      <c r="J33" s="381"/>
      <c r="K33" s="381"/>
      <c r="P33" s="5"/>
    </row>
    <row r="34" spans="1:16">
      <c r="A34" s="4">
        <v>26</v>
      </c>
      <c r="B34" s="335" t="str">
        <f>+B11</f>
        <v>Distribution Charge (per Case No. 2021-00214)</v>
      </c>
      <c r="C34" s="381"/>
      <c r="D34" s="381"/>
      <c r="E34" s="381"/>
      <c r="F34" s="381"/>
      <c r="G34" s="291"/>
      <c r="H34" s="381"/>
      <c r="I34" s="388"/>
      <c r="J34" s="381"/>
      <c r="K34" s="381"/>
      <c r="P34" s="5"/>
    </row>
    <row r="35" spans="1:16">
      <c r="A35" s="4">
        <v>27</v>
      </c>
      <c r="B35" s="379" t="s">
        <v>14</v>
      </c>
      <c r="C35" s="380">
        <v>15000</v>
      </c>
      <c r="D35" s="381" t="s">
        <v>12</v>
      </c>
      <c r="E35" s="381"/>
      <c r="F35" s="381"/>
      <c r="G35" s="289">
        <f>A.2!G20</f>
        <v>0.95569999999999999</v>
      </c>
      <c r="H35" s="381"/>
      <c r="I35" s="387">
        <v>0.95569999999999999</v>
      </c>
      <c r="J35" s="381"/>
      <c r="K35" s="382">
        <f>I35-G35</f>
        <v>0</v>
      </c>
      <c r="P35" s="5"/>
    </row>
    <row r="36" spans="1:16">
      <c r="A36" s="4">
        <v>28</v>
      </c>
      <c r="B36" s="379" t="s">
        <v>13</v>
      </c>
      <c r="C36" s="380">
        <v>15000</v>
      </c>
      <c r="D36" s="381" t="s">
        <v>12</v>
      </c>
      <c r="E36" s="381"/>
      <c r="F36" s="381"/>
      <c r="G36" s="289">
        <f>A.2!G21</f>
        <v>0.78369999999999995</v>
      </c>
      <c r="H36" s="381"/>
      <c r="I36" s="387">
        <v>0.78369999999999995</v>
      </c>
      <c r="J36" s="381"/>
      <c r="K36" s="382">
        <f>I36-G36</f>
        <v>0</v>
      </c>
      <c r="P36" s="5"/>
    </row>
    <row r="37" spans="1:16">
      <c r="A37" s="4">
        <v>29</v>
      </c>
      <c r="B37" s="381"/>
      <c r="C37" s="381"/>
      <c r="D37" s="381"/>
      <c r="E37" s="381"/>
      <c r="F37" s="381"/>
      <c r="G37" s="291"/>
      <c r="H37" s="381"/>
      <c r="I37" s="388"/>
      <c r="J37" s="381"/>
      <c r="K37" s="381"/>
      <c r="P37" s="5"/>
    </row>
    <row r="38" spans="1:16">
      <c r="A38" s="4">
        <v>30</v>
      </c>
      <c r="B38" s="9" t="s">
        <v>24</v>
      </c>
      <c r="C38" s="381"/>
      <c r="D38" s="381"/>
      <c r="E38" s="381"/>
      <c r="F38" s="381"/>
      <c r="G38" s="291"/>
      <c r="H38" s="381"/>
      <c r="I38" s="388"/>
      <c r="J38" s="381"/>
      <c r="K38" s="381"/>
      <c r="P38" s="5"/>
    </row>
    <row r="39" spans="1:16">
      <c r="A39" s="4">
        <v>31</v>
      </c>
      <c r="B39" s="383" t="s">
        <v>23</v>
      </c>
      <c r="C39" s="381"/>
      <c r="D39" s="381"/>
      <c r="E39" s="381"/>
      <c r="F39" s="381"/>
      <c r="G39" s="291"/>
      <c r="H39" s="381"/>
      <c r="I39" s="388"/>
      <c r="J39" s="381"/>
      <c r="K39" s="381"/>
      <c r="P39" s="5"/>
    </row>
    <row r="40" spans="1:16">
      <c r="A40" s="4">
        <v>32</v>
      </c>
      <c r="B40" s="384" t="s">
        <v>22</v>
      </c>
      <c r="C40" s="381"/>
      <c r="D40" s="381"/>
      <c r="E40" s="381"/>
      <c r="F40" s="381"/>
      <c r="G40" s="289">
        <v>2.2254999999999998</v>
      </c>
      <c r="H40" s="382"/>
      <c r="I40" s="387">
        <f>I18</f>
        <v>3.1993999999999998</v>
      </c>
      <c r="J40" s="382"/>
      <c r="K40" s="382">
        <f t="shared" ref="K40:K46" si="2">I40-G40</f>
        <v>0.97389999999999999</v>
      </c>
      <c r="P40" s="5"/>
    </row>
    <row r="41" spans="1:16">
      <c r="A41" s="4">
        <v>33</v>
      </c>
      <c r="B41" s="384" t="s">
        <v>21</v>
      </c>
      <c r="C41" s="381"/>
      <c r="D41" s="381"/>
      <c r="E41" s="381"/>
      <c r="F41" s="381"/>
      <c r="G41" s="385">
        <v>0.1938</v>
      </c>
      <c r="H41" s="386"/>
      <c r="I41" s="389">
        <f>ROUND(B.6!$I$19,4)</f>
        <v>0.19339999999999999</v>
      </c>
      <c r="J41" s="386"/>
      <c r="K41" s="386">
        <f t="shared" si="2"/>
        <v>-4.0000000000001146E-4</v>
      </c>
      <c r="P41" s="5"/>
    </row>
    <row r="42" spans="1:16">
      <c r="A42" s="4">
        <v>34</v>
      </c>
      <c r="B42" s="383" t="s">
        <v>20</v>
      </c>
      <c r="C42" s="381"/>
      <c r="D42" s="381"/>
      <c r="E42" s="381"/>
      <c r="F42" s="381"/>
      <c r="G42" s="289">
        <f>G40+G41</f>
        <v>2.4192999999999998</v>
      </c>
      <c r="H42" s="382"/>
      <c r="I42" s="387">
        <f>ROUND(SUM(I40:I41),4)</f>
        <v>3.3927999999999998</v>
      </c>
      <c r="J42" s="382"/>
      <c r="K42" s="382">
        <f t="shared" si="2"/>
        <v>0.97350000000000003</v>
      </c>
      <c r="P42" s="5"/>
    </row>
    <row r="43" spans="1:16">
      <c r="A43" s="4">
        <v>35</v>
      </c>
      <c r="B43" s="383" t="s">
        <v>19</v>
      </c>
      <c r="C43" s="381"/>
      <c r="D43" s="381"/>
      <c r="E43" s="381"/>
      <c r="F43" s="381"/>
      <c r="G43" s="289">
        <v>-0.52159999999999995</v>
      </c>
      <c r="H43" s="382"/>
      <c r="I43" s="387">
        <f>ROUND(D.1!$G$44,4)</f>
        <v>-0.63900000000000001</v>
      </c>
      <c r="J43" s="382"/>
      <c r="K43" s="382">
        <f t="shared" si="2"/>
        <v>-0.11740000000000006</v>
      </c>
      <c r="P43" s="5"/>
    </row>
    <row r="44" spans="1:16">
      <c r="A44" s="4">
        <v>36</v>
      </c>
      <c r="B44" s="383" t="s">
        <v>18</v>
      </c>
      <c r="C44" s="381"/>
      <c r="D44" s="381"/>
      <c r="E44" s="381"/>
      <c r="F44" s="381"/>
      <c r="G44" s="289">
        <v>0</v>
      </c>
      <c r="H44" s="382"/>
      <c r="I44" s="387">
        <f>G62</f>
        <v>0</v>
      </c>
      <c r="J44" s="382"/>
      <c r="K44" s="382">
        <f t="shared" si="2"/>
        <v>0</v>
      </c>
      <c r="P44" s="5"/>
    </row>
    <row r="45" spans="1:16">
      <c r="A45" s="4">
        <v>37</v>
      </c>
      <c r="B45" s="383" t="s">
        <v>17</v>
      </c>
      <c r="C45" s="381"/>
      <c r="D45" s="381"/>
      <c r="E45" s="381"/>
      <c r="F45" s="381"/>
      <c r="G45" s="385">
        <v>0.16800000000000001</v>
      </c>
      <c r="H45" s="382"/>
      <c r="I45" s="389">
        <f>+I23</f>
        <v>0.16800000000000001</v>
      </c>
      <c r="J45" s="382"/>
      <c r="K45" s="386">
        <f t="shared" si="2"/>
        <v>0</v>
      </c>
      <c r="P45" s="5"/>
    </row>
    <row r="46" spans="1:16">
      <c r="A46" s="4">
        <v>38</v>
      </c>
      <c r="B46" s="379" t="s">
        <v>16</v>
      </c>
      <c r="C46" s="381"/>
      <c r="D46" s="381"/>
      <c r="E46" s="381"/>
      <c r="F46" s="381"/>
      <c r="G46" s="289">
        <f>+G42+G43+G44+G45</f>
        <v>2.0657000000000001</v>
      </c>
      <c r="H46" s="382"/>
      <c r="I46" s="387">
        <f>ROUND(SUM(I42:I45),4)</f>
        <v>2.9218000000000002</v>
      </c>
      <c r="J46" s="382"/>
      <c r="K46" s="382">
        <f t="shared" si="2"/>
        <v>0.85610000000000008</v>
      </c>
      <c r="L46" s="247"/>
      <c r="P46" s="5"/>
    </row>
    <row r="47" spans="1:16">
      <c r="A47" s="4">
        <v>39</v>
      </c>
      <c r="B47" s="381"/>
      <c r="C47" s="381"/>
      <c r="D47" s="381"/>
      <c r="E47" s="381"/>
      <c r="F47" s="381"/>
      <c r="G47" s="289"/>
      <c r="H47" s="382"/>
      <c r="I47" s="382"/>
      <c r="J47" s="382"/>
      <c r="K47" s="382"/>
      <c r="P47" s="5"/>
    </row>
    <row r="48" spans="1:16">
      <c r="A48" s="4">
        <v>40</v>
      </c>
      <c r="B48" s="9" t="s">
        <v>15</v>
      </c>
      <c r="C48" s="381"/>
      <c r="D48" s="381"/>
      <c r="E48" s="381"/>
      <c r="F48" s="381"/>
      <c r="G48" s="289"/>
      <c r="H48" s="382"/>
      <c r="I48" s="382"/>
      <c r="J48" s="382"/>
      <c r="K48" s="382"/>
      <c r="P48" s="5"/>
    </row>
    <row r="49" spans="1:16">
      <c r="A49" s="4">
        <v>41</v>
      </c>
      <c r="B49" s="379" t="s">
        <v>14</v>
      </c>
      <c r="C49" s="380">
        <v>300</v>
      </c>
      <c r="D49" s="381" t="s">
        <v>12</v>
      </c>
      <c r="E49" s="381"/>
      <c r="F49" s="381"/>
      <c r="G49" s="289">
        <f>+G35+$G$46</f>
        <v>3.0213999999999999</v>
      </c>
      <c r="H49" s="382"/>
      <c r="I49" s="382">
        <f>I35+I46</f>
        <v>3.8775000000000004</v>
      </c>
      <c r="J49" s="382"/>
      <c r="K49" s="382">
        <f>I49-G49</f>
        <v>0.85610000000000053</v>
      </c>
      <c r="P49" s="5"/>
    </row>
    <row r="50" spans="1:16">
      <c r="A50" s="4">
        <v>42</v>
      </c>
      <c r="B50" s="379" t="s">
        <v>13</v>
      </c>
      <c r="C50" s="380">
        <v>14700</v>
      </c>
      <c r="D50" s="381" t="s">
        <v>12</v>
      </c>
      <c r="E50" s="381"/>
      <c r="F50" s="381"/>
      <c r="G50" s="289">
        <f>+G36+$G$46</f>
        <v>2.8494000000000002</v>
      </c>
      <c r="H50" s="382"/>
      <c r="I50" s="382">
        <f>+I36+I46</f>
        <v>3.7055000000000002</v>
      </c>
      <c r="J50" s="382"/>
      <c r="K50" s="382">
        <f>I50-G50</f>
        <v>0.85610000000000008</v>
      </c>
      <c r="P50" s="5"/>
    </row>
    <row r="51" spans="1:16">
      <c r="A51" s="4">
        <v>43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</row>
    <row r="52" spans="1:16">
      <c r="A52" s="4">
        <v>44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</row>
    <row r="53" spans="1:16">
      <c r="A53" s="4">
        <v>45</v>
      </c>
      <c r="B53" s="7" t="s">
        <v>11</v>
      </c>
      <c r="C53" s="381"/>
      <c r="D53" s="381"/>
      <c r="E53" s="381"/>
      <c r="F53" s="381"/>
      <c r="G53" s="381"/>
      <c r="H53" s="381"/>
      <c r="I53" s="381"/>
      <c r="J53" s="381"/>
      <c r="K53" s="381"/>
    </row>
    <row r="54" spans="1:16">
      <c r="A54" s="4">
        <v>47</v>
      </c>
      <c r="B54" s="381"/>
      <c r="C54" s="381"/>
      <c r="D54" s="381"/>
      <c r="E54" s="390" t="s">
        <v>10</v>
      </c>
      <c r="F54" s="381"/>
      <c r="G54" s="381"/>
      <c r="H54" s="6"/>
      <c r="I54" s="6"/>
      <c r="J54" s="6"/>
      <c r="K54" s="6"/>
    </row>
    <row r="55" spans="1:16">
      <c r="A55" s="4">
        <v>48</v>
      </c>
      <c r="B55" s="381"/>
      <c r="C55" s="381"/>
      <c r="D55" s="381" t="s">
        <v>9</v>
      </c>
      <c r="E55" s="390" t="s">
        <v>8</v>
      </c>
      <c r="F55" s="381"/>
      <c r="G55" s="390" t="s">
        <v>7</v>
      </c>
      <c r="H55" s="381"/>
      <c r="I55" s="381"/>
      <c r="J55" s="381"/>
      <c r="K55" s="381"/>
    </row>
    <row r="56" spans="1:16">
      <c r="A56" s="4">
        <v>49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</row>
    <row r="57" spans="1:16">
      <c r="A57" s="4">
        <v>50</v>
      </c>
      <c r="B57" s="381"/>
      <c r="C57" s="381" t="s">
        <v>6</v>
      </c>
      <c r="D57" s="391" t="s">
        <v>542</v>
      </c>
      <c r="E57" s="392">
        <v>45231</v>
      </c>
      <c r="F57" s="381"/>
      <c r="G57" s="382">
        <v>0</v>
      </c>
      <c r="H57" s="382"/>
      <c r="I57" s="381"/>
      <c r="J57" s="381"/>
      <c r="K57" s="381" t="s">
        <v>522</v>
      </c>
    </row>
    <row r="58" spans="1:16">
      <c r="A58" s="4">
        <v>51</v>
      </c>
      <c r="B58" s="381"/>
      <c r="C58" s="381" t="s">
        <v>5</v>
      </c>
      <c r="D58" s="391" t="s">
        <v>543</v>
      </c>
      <c r="E58" s="392">
        <v>45323</v>
      </c>
      <c r="F58" s="381"/>
      <c r="G58" s="382">
        <v>0</v>
      </c>
      <c r="H58" s="382"/>
      <c r="I58" s="381"/>
      <c r="J58" s="381"/>
      <c r="K58" s="381"/>
      <c r="L58" s="1" t="s">
        <v>522</v>
      </c>
    </row>
    <row r="59" spans="1:16">
      <c r="A59" s="4">
        <v>52</v>
      </c>
      <c r="B59" s="381"/>
      <c r="C59" s="381" t="s">
        <v>4</v>
      </c>
      <c r="D59" s="391" t="s">
        <v>562</v>
      </c>
      <c r="E59" s="392">
        <v>45413</v>
      </c>
      <c r="F59" s="381"/>
      <c r="G59" s="382">
        <v>0</v>
      </c>
      <c r="H59" s="382"/>
      <c r="I59" s="381"/>
      <c r="J59" s="381"/>
      <c r="K59" s="381"/>
    </row>
    <row r="60" spans="1:16">
      <c r="A60" s="4">
        <v>53</v>
      </c>
      <c r="B60" s="381"/>
      <c r="C60" s="381" t="s">
        <v>3</v>
      </c>
      <c r="D60" s="381" t="s">
        <v>563</v>
      </c>
      <c r="E60" s="392">
        <v>45505</v>
      </c>
      <c r="F60" s="381"/>
      <c r="G60" s="386">
        <v>0</v>
      </c>
      <c r="H60" s="382"/>
      <c r="I60" s="381"/>
      <c r="J60" s="381"/>
      <c r="K60" s="381"/>
    </row>
    <row r="61" spans="1:16">
      <c r="A61" s="4">
        <v>54</v>
      </c>
      <c r="B61" s="381"/>
      <c r="C61" s="381"/>
      <c r="D61" s="381"/>
      <c r="E61" s="381"/>
      <c r="F61" s="381"/>
      <c r="G61" s="381"/>
      <c r="H61" s="382"/>
      <c r="I61" s="381"/>
      <c r="J61" s="381"/>
      <c r="K61" s="381"/>
    </row>
    <row r="62" spans="1:16">
      <c r="A62" s="4">
        <v>55</v>
      </c>
      <c r="B62" s="381" t="s">
        <v>2</v>
      </c>
      <c r="C62" s="381"/>
      <c r="D62" s="381"/>
      <c r="E62" s="381"/>
      <c r="F62" s="381"/>
      <c r="G62" s="393">
        <f>SUM(G57:G61)</f>
        <v>0</v>
      </c>
      <c r="H62" s="382"/>
      <c r="I62" s="381"/>
      <c r="J62" s="381"/>
      <c r="K62" s="381"/>
    </row>
    <row r="63" spans="1:16">
      <c r="A63" s="4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  <cellWatches>
    <cellWatch r="L24"/>
    <cellWatch r="L4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Q23"/>
  <sheetViews>
    <sheetView zoomScale="80" zoomScaleNormal="80" zoomScaleSheetLayoutView="115" workbookViewId="0">
      <selection activeCell="K33" sqref="K33"/>
    </sheetView>
  </sheetViews>
  <sheetFormatPr defaultColWidth="9.85546875" defaultRowHeight="14.25"/>
  <cols>
    <col min="1" max="1" width="5.85546875" style="36" customWidth="1"/>
    <col min="2" max="2" width="30" style="36" customWidth="1"/>
    <col min="3" max="3" width="15.28515625" style="36" customWidth="1"/>
    <col min="4" max="4" width="18" style="36" customWidth="1"/>
    <col min="5" max="5" width="9.85546875" style="36"/>
    <col min="6" max="6" width="13" style="36" bestFit="1" customWidth="1"/>
    <col min="7" max="7" width="14.140625" style="36" customWidth="1"/>
    <col min="8" max="16384" width="9.85546875" style="36"/>
  </cols>
  <sheetData>
    <row r="1" spans="1:17" ht="15">
      <c r="A1" s="62" t="s">
        <v>40</v>
      </c>
      <c r="B1" s="50"/>
      <c r="C1" s="50"/>
      <c r="D1" s="50"/>
      <c r="E1" s="50"/>
      <c r="F1" s="38" t="s">
        <v>133</v>
      </c>
    </row>
    <row r="2" spans="1:17">
      <c r="A2" s="36" t="str">
        <f>B.1!A2</f>
        <v>Expected Gas Cost (EGC) Calculation</v>
      </c>
      <c r="D2" s="50"/>
      <c r="E2" s="50"/>
      <c r="F2" s="38" t="s">
        <v>293</v>
      </c>
    </row>
    <row r="3" spans="1:17">
      <c r="A3" s="50" t="s">
        <v>292</v>
      </c>
      <c r="B3" s="50"/>
      <c r="C3" s="50"/>
      <c r="D3" s="38"/>
      <c r="E3" s="38"/>
      <c r="F3" s="38"/>
    </row>
    <row r="6" spans="1:17" ht="15">
      <c r="A6" s="396" t="s">
        <v>32</v>
      </c>
      <c r="B6" s="394"/>
      <c r="C6" s="394"/>
      <c r="D6" s="394"/>
      <c r="E6" s="394"/>
      <c r="F6" s="394"/>
    </row>
    <row r="7" spans="1:17" ht="15">
      <c r="A7" s="397" t="s">
        <v>31</v>
      </c>
      <c r="B7" s="397" t="s">
        <v>30</v>
      </c>
      <c r="C7" s="404"/>
      <c r="D7" s="404"/>
      <c r="E7" s="404"/>
      <c r="F7" s="397" t="s">
        <v>291</v>
      </c>
    </row>
    <row r="10" spans="1:17">
      <c r="B10" s="409" t="s">
        <v>290</v>
      </c>
    </row>
    <row r="11" spans="1:17">
      <c r="A11" s="64" t="s">
        <v>210</v>
      </c>
      <c r="B11" s="36" t="s">
        <v>289</v>
      </c>
      <c r="E11" s="47"/>
      <c r="F11" s="47">
        <f>B.6!E26+B.6!E30</f>
        <v>16499843.667199999</v>
      </c>
    </row>
    <row r="12" spans="1:17">
      <c r="A12" s="64">
        <v>2</v>
      </c>
      <c r="B12" s="36" t="s">
        <v>288</v>
      </c>
      <c r="F12" s="412">
        <v>0</v>
      </c>
    </row>
    <row r="13" spans="1:17">
      <c r="A13" s="64">
        <v>3</v>
      </c>
      <c r="B13" s="36" t="s">
        <v>287</v>
      </c>
      <c r="F13" s="47">
        <f>SUM(F11:F12)</f>
        <v>16499843.667199999</v>
      </c>
    </row>
    <row r="14" spans="1:17">
      <c r="A14" s="64">
        <v>4</v>
      </c>
      <c r="B14" s="36" t="s">
        <v>286</v>
      </c>
      <c r="F14" s="412">
        <v>365</v>
      </c>
    </row>
    <row r="15" spans="1:17" ht="15" thickBot="1">
      <c r="A15" s="64">
        <v>5</v>
      </c>
      <c r="B15" s="36" t="s">
        <v>285</v>
      </c>
      <c r="F15" s="455">
        <f>ROUND(F13/365,0)</f>
        <v>45205</v>
      </c>
      <c r="Q15" s="347"/>
    </row>
    <row r="16" spans="1:17" ht="15" thickTop="1">
      <c r="A16" s="64">
        <v>6</v>
      </c>
      <c r="F16" s="47"/>
      <c r="Q16" s="347"/>
    </row>
    <row r="17" spans="1:17">
      <c r="A17" s="64">
        <v>7</v>
      </c>
      <c r="B17" s="409" t="s">
        <v>284</v>
      </c>
      <c r="Q17" s="347"/>
    </row>
    <row r="18" spans="1:17">
      <c r="A18" s="64">
        <v>8</v>
      </c>
      <c r="B18" s="36" t="s">
        <v>283</v>
      </c>
      <c r="Q18" s="347"/>
    </row>
    <row r="19" spans="1:17" ht="15" thickBot="1">
      <c r="A19" s="64">
        <v>9</v>
      </c>
      <c r="B19" s="36" t="s">
        <v>282</v>
      </c>
      <c r="F19" s="455">
        <v>311262</v>
      </c>
      <c r="G19" s="36" t="s">
        <v>281</v>
      </c>
      <c r="Q19" s="347"/>
    </row>
    <row r="20" spans="1:17" ht="15" thickTop="1">
      <c r="A20" s="64">
        <v>10</v>
      </c>
      <c r="F20" s="47"/>
      <c r="Q20" s="347"/>
    </row>
    <row r="21" spans="1:17">
      <c r="A21" s="64">
        <v>11</v>
      </c>
      <c r="Q21" s="347"/>
    </row>
    <row r="22" spans="1:17" ht="15">
      <c r="A22" s="64">
        <v>12</v>
      </c>
      <c r="B22" s="36" t="s">
        <v>280</v>
      </c>
      <c r="F22" s="456">
        <f>ROUND(F15/F19,4)</f>
        <v>0.1452</v>
      </c>
      <c r="Q22" s="347"/>
    </row>
    <row r="23" spans="1:17">
      <c r="A23" s="64">
        <v>13</v>
      </c>
      <c r="F23" s="47"/>
      <c r="Q23" s="347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  <ignoredErrors>
    <ignoredError sqref="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S50"/>
  <sheetViews>
    <sheetView zoomScale="80" zoomScaleNormal="80" zoomScaleSheetLayoutView="85" workbookViewId="0">
      <selection activeCell="N27" sqref="N27"/>
    </sheetView>
  </sheetViews>
  <sheetFormatPr defaultColWidth="9.85546875" defaultRowHeight="12.75"/>
  <cols>
    <col min="1" max="1" width="7.7109375" style="101" customWidth="1"/>
    <col min="2" max="2" width="19" style="101" customWidth="1"/>
    <col min="3" max="3" width="13.5703125" style="102" customWidth="1"/>
    <col min="4" max="4" width="9.7109375" style="101" customWidth="1"/>
    <col min="5" max="5" width="14.7109375" style="101" customWidth="1"/>
    <col min="6" max="6" width="2.7109375" style="101" customWidth="1"/>
    <col min="7" max="7" width="14.7109375" style="101" customWidth="1"/>
    <col min="8" max="8" width="2.7109375" style="101" customWidth="1"/>
    <col min="9" max="9" width="13.140625" style="101" bestFit="1" customWidth="1"/>
    <col min="10" max="10" width="13.140625" style="101" customWidth="1"/>
    <col min="11" max="11" width="30.7109375" style="101" bestFit="1" customWidth="1"/>
    <col min="12" max="12" width="1.85546875" style="101" customWidth="1"/>
    <col min="13" max="15" width="13.140625" style="101" bestFit="1" customWidth="1"/>
    <col min="16" max="17" width="9.85546875" style="101"/>
    <col min="18" max="19" width="10.7109375" style="101" bestFit="1" customWidth="1"/>
    <col min="20" max="16384" width="9.85546875" style="101"/>
  </cols>
  <sheetData>
    <row r="1" spans="1:19" ht="15.75">
      <c r="A1" s="365" t="s">
        <v>40</v>
      </c>
      <c r="B1" s="365"/>
      <c r="C1" s="365"/>
      <c r="D1" s="365"/>
      <c r="E1" s="365"/>
      <c r="F1" s="365"/>
      <c r="G1" s="365"/>
      <c r="H1" s="365"/>
      <c r="I1" s="365"/>
      <c r="J1" s="353"/>
      <c r="K1" s="109"/>
    </row>
    <row r="2" spans="1:19" ht="15.75">
      <c r="A2" s="366" t="s">
        <v>311</v>
      </c>
      <c r="B2" s="366"/>
      <c r="C2" s="366"/>
      <c r="D2" s="366"/>
      <c r="E2" s="366"/>
      <c r="F2" s="366"/>
      <c r="G2" s="366"/>
      <c r="H2" s="366"/>
      <c r="I2" s="366"/>
      <c r="J2" s="354"/>
      <c r="K2" s="109"/>
    </row>
    <row r="3" spans="1:19" ht="15.75">
      <c r="A3" s="367" t="s">
        <v>564</v>
      </c>
      <c r="B3" s="367"/>
      <c r="C3" s="367"/>
      <c r="D3" s="367"/>
      <c r="E3" s="367"/>
      <c r="F3" s="367"/>
      <c r="G3" s="367"/>
      <c r="H3" s="367"/>
      <c r="I3" s="367"/>
      <c r="J3" s="355"/>
      <c r="K3" s="109"/>
    </row>
    <row r="4" spans="1:19" ht="15.75">
      <c r="A4" s="109"/>
      <c r="B4" s="109"/>
      <c r="C4" s="123"/>
      <c r="D4" s="109"/>
      <c r="E4" s="109"/>
      <c r="F4" s="109"/>
      <c r="G4" s="109"/>
      <c r="H4" s="109"/>
      <c r="I4" s="109"/>
      <c r="J4" s="109"/>
      <c r="K4" s="109"/>
    </row>
    <row r="5" spans="1:19" ht="15.75">
      <c r="A5" s="364" t="s">
        <v>310</v>
      </c>
      <c r="B5" s="364"/>
      <c r="C5" s="364"/>
      <c r="D5" s="364"/>
      <c r="E5" s="364"/>
      <c r="F5" s="364"/>
      <c r="G5" s="364"/>
      <c r="H5" s="364"/>
      <c r="I5" s="364"/>
      <c r="J5" s="352"/>
      <c r="K5" s="109"/>
    </row>
    <row r="6" spans="1:19" ht="15.75">
      <c r="A6" s="364"/>
      <c r="B6" s="364"/>
      <c r="C6" s="364"/>
      <c r="D6" s="364"/>
      <c r="E6" s="364"/>
      <c r="F6" s="364"/>
      <c r="G6" s="364"/>
      <c r="H6" s="364"/>
      <c r="I6" s="364"/>
      <c r="J6" s="352"/>
      <c r="K6" s="109"/>
    </row>
    <row r="7" spans="1:19" ht="15.75">
      <c r="A7" s="109"/>
      <c r="B7" s="109"/>
      <c r="C7" s="123"/>
      <c r="D7" s="109"/>
      <c r="E7" s="109"/>
      <c r="F7" s="109"/>
      <c r="G7" s="109"/>
      <c r="H7" s="109"/>
      <c r="I7" s="109"/>
      <c r="J7" s="109"/>
      <c r="K7" s="306"/>
      <c r="M7" s="118"/>
      <c r="N7" s="118"/>
      <c r="O7" s="118"/>
      <c r="Q7" s="117"/>
      <c r="R7" s="117"/>
      <c r="S7" s="117"/>
    </row>
    <row r="8" spans="1:19" ht="15.75" customHeight="1">
      <c r="A8" s="109" t="s">
        <v>309</v>
      </c>
      <c r="B8" s="363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August 2024 through October 2024 during the period June 12 through June 26, 2024.</v>
      </c>
      <c r="C8" s="363"/>
      <c r="D8" s="363"/>
      <c r="E8" s="363"/>
      <c r="F8" s="363"/>
      <c r="G8" s="363"/>
      <c r="H8" s="363"/>
      <c r="I8" s="363"/>
      <c r="J8" s="351"/>
      <c r="K8" s="306"/>
      <c r="M8" s="118"/>
      <c r="N8" s="118"/>
      <c r="O8" s="118"/>
      <c r="Q8" s="110"/>
      <c r="R8" s="110"/>
      <c r="S8" s="110"/>
    </row>
    <row r="9" spans="1:19" ht="15.75">
      <c r="A9" s="109"/>
      <c r="B9" s="363"/>
      <c r="C9" s="363"/>
      <c r="D9" s="363"/>
      <c r="E9" s="363"/>
      <c r="F9" s="363"/>
      <c r="G9" s="363"/>
      <c r="H9" s="363"/>
      <c r="I9" s="363"/>
      <c r="J9" s="351"/>
      <c r="L9" s="110"/>
      <c r="M9" s="110"/>
      <c r="N9" s="110"/>
    </row>
    <row r="10" spans="1:19" ht="15.75">
      <c r="A10" s="109"/>
      <c r="B10" s="363"/>
      <c r="C10" s="363"/>
      <c r="D10" s="363"/>
      <c r="E10" s="363"/>
      <c r="F10" s="363"/>
      <c r="G10" s="363"/>
      <c r="H10" s="363"/>
      <c r="I10" s="363"/>
      <c r="J10" s="351"/>
      <c r="L10" s="110"/>
      <c r="M10" s="110"/>
      <c r="N10" s="110"/>
    </row>
    <row r="11" spans="1:19" ht="15.75">
      <c r="A11" s="109"/>
      <c r="B11" s="106"/>
      <c r="C11" s="123"/>
      <c r="D11" s="109"/>
      <c r="E11" s="109"/>
      <c r="F11" s="109"/>
      <c r="G11" s="109"/>
      <c r="H11" s="109"/>
      <c r="I11" s="109"/>
      <c r="J11" s="109"/>
      <c r="L11" s="110"/>
      <c r="M11" s="110"/>
      <c r="N11" s="110"/>
    </row>
    <row r="12" spans="1:19" ht="15.75">
      <c r="A12" s="109"/>
      <c r="B12" s="109"/>
      <c r="C12" s="123"/>
      <c r="D12" s="106"/>
      <c r="E12" s="124">
        <v>45505</v>
      </c>
      <c r="F12" s="126"/>
      <c r="G12" s="124">
        <f>EDATE(E12,1)</f>
        <v>45536</v>
      </c>
      <c r="H12" s="125"/>
      <c r="I12" s="124">
        <f>EDATE(G12,1)</f>
        <v>45566</v>
      </c>
      <c r="J12" s="124"/>
      <c r="L12" s="110"/>
      <c r="M12" s="110"/>
      <c r="N12" s="110"/>
    </row>
    <row r="13" spans="1:19" ht="15.75">
      <c r="A13" s="109"/>
      <c r="B13" s="106"/>
      <c r="C13" s="123"/>
      <c r="D13" s="106"/>
      <c r="E13" s="121" t="s">
        <v>308</v>
      </c>
      <c r="F13" s="122"/>
      <c r="G13" s="121" t="s">
        <v>308</v>
      </c>
      <c r="H13" s="122"/>
      <c r="I13" s="121" t="s">
        <v>308</v>
      </c>
      <c r="J13" s="122"/>
      <c r="L13" s="110"/>
      <c r="M13" s="110"/>
      <c r="N13" s="110"/>
    </row>
    <row r="14" spans="1:19" ht="15.75">
      <c r="B14" s="117" t="str">
        <f t="shared" ref="B14:B22" si="0">TEXT(C14,"Dddd")</f>
        <v>Wednesday</v>
      </c>
      <c r="C14" s="120">
        <v>45455</v>
      </c>
      <c r="D14" s="109"/>
      <c r="E14" s="317">
        <v>3.1219999999999999</v>
      </c>
      <c r="F14" s="317"/>
      <c r="G14" s="317">
        <v>3.0939999999999999</v>
      </c>
      <c r="H14" s="317"/>
      <c r="I14" s="317">
        <v>3.1669999999999998</v>
      </c>
      <c r="J14" s="317"/>
      <c r="L14" s="110"/>
      <c r="M14" s="110"/>
      <c r="N14" s="110"/>
    </row>
    <row r="15" spans="1:19" ht="15.75">
      <c r="A15" s="109"/>
      <c r="B15" s="117" t="str">
        <f t="shared" si="0"/>
        <v>Thursday</v>
      </c>
      <c r="C15" s="120">
        <v>45456</v>
      </c>
      <c r="D15" s="109"/>
      <c r="E15" s="317">
        <v>3.0369999999999999</v>
      </c>
      <c r="F15" s="317"/>
      <c r="G15" s="317">
        <v>3.0089999999999999</v>
      </c>
      <c r="H15" s="317"/>
      <c r="I15" s="317">
        <v>3.0790000000000002</v>
      </c>
      <c r="J15" s="317"/>
      <c r="L15" s="110"/>
      <c r="M15" s="346"/>
      <c r="N15" s="110"/>
    </row>
    <row r="16" spans="1:19" ht="15.75">
      <c r="A16" s="109"/>
      <c r="B16" s="117" t="str">
        <f t="shared" si="0"/>
        <v>Friday</v>
      </c>
      <c r="C16" s="120">
        <v>45457</v>
      </c>
      <c r="D16" s="109"/>
      <c r="E16" s="317">
        <v>2.9630000000000001</v>
      </c>
      <c r="F16" s="317"/>
      <c r="G16" s="317">
        <v>2.9430000000000001</v>
      </c>
      <c r="H16" s="317"/>
      <c r="I16" s="317">
        <v>3.0129999999999999</v>
      </c>
      <c r="J16" s="317"/>
      <c r="L16" s="110"/>
      <c r="M16" s="346"/>
      <c r="N16" s="110"/>
    </row>
    <row r="17" spans="1:16" ht="15.75">
      <c r="A17" s="109"/>
      <c r="B17" s="117" t="str">
        <f t="shared" si="0"/>
        <v>Monday</v>
      </c>
      <c r="C17" s="120">
        <v>45460</v>
      </c>
      <c r="D17" s="109"/>
      <c r="E17" s="317">
        <v>2.867</v>
      </c>
      <c r="F17" s="317"/>
      <c r="G17" s="317">
        <v>2.8490000000000002</v>
      </c>
      <c r="H17" s="317"/>
      <c r="I17" s="317">
        <v>2.9279999999999999</v>
      </c>
      <c r="J17" s="317"/>
      <c r="L17" s="110"/>
      <c r="M17" s="346"/>
      <c r="N17" s="110"/>
    </row>
    <row r="18" spans="1:16" ht="15.75">
      <c r="A18" s="109"/>
      <c r="B18" s="117" t="str">
        <f t="shared" si="0"/>
        <v>Tuesday</v>
      </c>
      <c r="C18" s="120">
        <v>45461</v>
      </c>
      <c r="D18" s="109"/>
      <c r="E18" s="317">
        <v>2.99</v>
      </c>
      <c r="F18" s="317"/>
      <c r="G18" s="317">
        <v>2.9660000000000002</v>
      </c>
      <c r="H18" s="317"/>
      <c r="I18" s="317">
        <v>3.04</v>
      </c>
      <c r="J18" s="317"/>
      <c r="L18" s="110"/>
      <c r="M18" s="346"/>
      <c r="N18" s="110"/>
    </row>
    <row r="19" spans="1:16" ht="15.75">
      <c r="A19" s="109"/>
      <c r="B19" s="117" t="str">
        <f t="shared" si="0"/>
        <v>Thursday</v>
      </c>
      <c r="C19" s="120">
        <v>45463</v>
      </c>
      <c r="D19" s="109"/>
      <c r="E19" s="317">
        <v>2.8540000000000001</v>
      </c>
      <c r="F19" s="317"/>
      <c r="G19" s="317">
        <v>2.8380000000000001</v>
      </c>
      <c r="H19" s="317"/>
      <c r="I19" s="317">
        <v>2.923</v>
      </c>
      <c r="J19" s="317"/>
      <c r="L19" s="110"/>
      <c r="M19" s="346"/>
      <c r="N19" s="110"/>
    </row>
    <row r="20" spans="1:16" ht="15.75">
      <c r="A20" s="109"/>
      <c r="B20" s="117" t="str">
        <f t="shared" si="0"/>
        <v>Friday</v>
      </c>
      <c r="C20" s="120">
        <v>45464</v>
      </c>
      <c r="D20" s="109"/>
      <c r="E20" s="317">
        <v>2.8359999999999999</v>
      </c>
      <c r="F20" s="317"/>
      <c r="G20" s="317">
        <v>2.8109999999999999</v>
      </c>
      <c r="H20" s="317"/>
      <c r="I20" s="317">
        <v>2.895</v>
      </c>
      <c r="J20" s="317"/>
      <c r="L20" s="110"/>
      <c r="M20" s="346"/>
      <c r="N20" s="110"/>
    </row>
    <row r="21" spans="1:16" ht="15.75">
      <c r="A21" s="109"/>
      <c r="B21" s="117" t="str">
        <f t="shared" si="0"/>
        <v>Monday</v>
      </c>
      <c r="C21" s="120">
        <v>45467</v>
      </c>
      <c r="D21" s="109"/>
      <c r="E21" s="317">
        <v>2.948</v>
      </c>
      <c r="F21" s="317"/>
      <c r="G21" s="317">
        <v>2.9260000000000002</v>
      </c>
      <c r="H21" s="317"/>
      <c r="I21" s="317">
        <v>3</v>
      </c>
      <c r="J21" s="317"/>
      <c r="L21" s="110"/>
      <c r="M21" s="346"/>
      <c r="N21" s="110"/>
    </row>
    <row r="22" spans="1:16" ht="15.75">
      <c r="A22" s="109"/>
      <c r="B22" s="117" t="str">
        <f t="shared" si="0"/>
        <v>Tuesday</v>
      </c>
      <c r="C22" s="120">
        <v>45468</v>
      </c>
      <c r="D22" s="109"/>
      <c r="E22" s="317">
        <v>2.863</v>
      </c>
      <c r="F22" s="317"/>
      <c r="G22" s="317">
        <v>2.8420000000000001</v>
      </c>
      <c r="H22" s="317"/>
      <c r="I22" s="317">
        <v>2.9180000000000001</v>
      </c>
      <c r="J22" s="317"/>
      <c r="L22" s="110"/>
      <c r="M22" s="346"/>
      <c r="N22" s="110"/>
    </row>
    <row r="23" spans="1:16" ht="15.75">
      <c r="A23" s="109"/>
      <c r="B23" s="117" t="str">
        <f>TEXT(C23,"Dddd")</f>
        <v>Wednesday</v>
      </c>
      <c r="C23" s="120">
        <v>45469</v>
      </c>
      <c r="D23" s="109"/>
      <c r="E23" s="317">
        <v>2.7450000000000001</v>
      </c>
      <c r="F23" s="317"/>
      <c r="G23" s="317">
        <v>2.7370000000000001</v>
      </c>
      <c r="H23" s="317"/>
      <c r="I23" s="317">
        <v>2.8279999999999998</v>
      </c>
      <c r="J23" s="317"/>
      <c r="L23" s="110"/>
      <c r="M23" s="346"/>
      <c r="N23" s="110"/>
    </row>
    <row r="24" spans="1:16" ht="15.75">
      <c r="A24" s="109"/>
      <c r="B24" s="117"/>
      <c r="C24" s="119"/>
      <c r="D24" s="109"/>
      <c r="E24" s="118"/>
      <c r="F24" s="118"/>
      <c r="G24" s="118"/>
      <c r="H24" s="118"/>
      <c r="I24" s="118"/>
      <c r="J24" s="118"/>
      <c r="L24" s="245"/>
      <c r="M24" s="110"/>
      <c r="N24" s="245"/>
      <c r="P24" s="246"/>
    </row>
    <row r="25" spans="1:16" ht="16.5" thickBot="1">
      <c r="A25" s="109"/>
      <c r="B25" s="117" t="s">
        <v>162</v>
      </c>
      <c r="C25" s="116"/>
      <c r="D25" s="104"/>
      <c r="E25" s="114">
        <f>AVERAGEA(E14:E23)</f>
        <v>2.9225000000000003</v>
      </c>
      <c r="F25" s="115"/>
      <c r="G25" s="114">
        <f>AVERAGEA(G14:G23)</f>
        <v>2.9015</v>
      </c>
      <c r="H25" s="115"/>
      <c r="I25" s="114">
        <f>AVERAGEA(I14:I23)</f>
        <v>2.9790999999999999</v>
      </c>
      <c r="J25" s="115"/>
    </row>
    <row r="26" spans="1:16" ht="16.5" thickTop="1">
      <c r="A26" s="109"/>
      <c r="B26" s="113"/>
      <c r="D26" s="112"/>
      <c r="E26" s="111"/>
      <c r="F26" s="111"/>
      <c r="G26" s="111"/>
      <c r="H26" s="111"/>
      <c r="I26" s="111"/>
      <c r="J26" s="111"/>
    </row>
    <row r="27" spans="1:16" ht="15.75" customHeight="1">
      <c r="K27" s="109"/>
      <c r="N27" s="298"/>
    </row>
    <row r="28" spans="1:16" ht="15.75">
      <c r="A28" s="109" t="s">
        <v>307</v>
      </c>
      <c r="B28" s="362" t="s">
        <v>565</v>
      </c>
      <c r="C28" s="362"/>
      <c r="D28" s="362"/>
      <c r="E28" s="362"/>
      <c r="F28" s="362"/>
      <c r="G28" s="362"/>
      <c r="H28" s="362"/>
      <c r="I28" s="362"/>
      <c r="J28" s="350"/>
      <c r="K28" s="237" t="s">
        <v>402</v>
      </c>
    </row>
    <row r="29" spans="1:16" ht="15.75">
      <c r="A29" s="109"/>
      <c r="B29" s="362"/>
      <c r="C29" s="362"/>
      <c r="D29" s="362"/>
      <c r="E29" s="362"/>
      <c r="F29" s="362"/>
      <c r="G29" s="362"/>
      <c r="H29" s="362"/>
      <c r="I29" s="362"/>
      <c r="J29" s="350"/>
      <c r="K29" s="106"/>
    </row>
    <row r="30" spans="1:16" ht="18.75" customHeight="1">
      <c r="A30" s="106"/>
      <c r="B30" s="362"/>
      <c r="C30" s="362"/>
      <c r="D30" s="362"/>
      <c r="E30" s="362"/>
      <c r="F30" s="362"/>
      <c r="G30" s="362"/>
      <c r="H30" s="362"/>
      <c r="I30" s="362"/>
      <c r="J30" s="350"/>
      <c r="K30" s="106"/>
    </row>
    <row r="31" spans="1:16" ht="10.5" customHeight="1">
      <c r="A31" s="106"/>
      <c r="B31" s="108"/>
      <c r="C31" s="107"/>
      <c r="D31" s="106"/>
      <c r="E31" s="106"/>
      <c r="F31" s="106"/>
      <c r="G31" s="106"/>
      <c r="H31" s="106"/>
      <c r="I31" s="106"/>
      <c r="J31" s="106"/>
      <c r="K31" s="106"/>
      <c r="N31" s="284"/>
    </row>
    <row r="32" spans="1:16" ht="20.25" customHeight="1">
      <c r="A32" s="106"/>
      <c r="B32" s="362" t="s">
        <v>306</v>
      </c>
      <c r="C32" s="362"/>
      <c r="D32" s="362"/>
      <c r="E32" s="362"/>
      <c r="F32" s="362"/>
      <c r="G32" s="362"/>
      <c r="H32" s="362"/>
      <c r="I32" s="362"/>
      <c r="J32" s="350"/>
      <c r="K32" s="106"/>
    </row>
    <row r="33" spans="1:14" ht="27">
      <c r="A33" s="106"/>
      <c r="B33" s="362"/>
      <c r="C33" s="362"/>
      <c r="D33" s="362"/>
      <c r="E33" s="362"/>
      <c r="F33" s="362"/>
      <c r="G33" s="362"/>
      <c r="H33" s="362"/>
      <c r="I33" s="362"/>
      <c r="J33" s="350"/>
      <c r="K33" s="106"/>
      <c r="N33" s="105"/>
    </row>
    <row r="34" spans="1:14" ht="15.75">
      <c r="B34" s="104"/>
    </row>
    <row r="48" spans="1:14" ht="15.75">
      <c r="B48" s="103"/>
    </row>
    <row r="49" spans="2:2" ht="15.75">
      <c r="B49" s="103"/>
    </row>
    <row r="50" spans="2:2" ht="15.75">
      <c r="B50" s="103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25" right="0.25" top="0.75" bottom="0.75" header="0.3" footer="0.3"/>
  <pageSetup orientation="portrait" r:id="rId1"/>
  <headerFooter alignWithMargins="0">
    <oddHeader>&amp;RExhibit C
Page  1 of 2</oddHeader>
  </headerFooter>
  <customProperties>
    <customPr name="_pios_id" r:id="rId2"/>
  </customProperties>
  <ignoredErrors>
    <ignoredError sqref="G12:I1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P25"/>
  <sheetViews>
    <sheetView zoomScale="85" zoomScaleNormal="85" zoomScaleSheetLayoutView="80" workbookViewId="0">
      <selection activeCell="G36" sqref="G36"/>
    </sheetView>
  </sheetViews>
  <sheetFormatPr defaultColWidth="9.140625" defaultRowHeight="12.75"/>
  <cols>
    <col min="1" max="1" width="21.140625" style="10" customWidth="1"/>
    <col min="2" max="2" width="12" style="10" bestFit="1" customWidth="1"/>
    <col min="3" max="3" width="15" style="10" customWidth="1"/>
    <col min="4" max="4" width="13.85546875" style="10" customWidth="1"/>
    <col min="5" max="5" width="2.7109375" style="10" customWidth="1"/>
    <col min="6" max="6" width="12" style="10" bestFit="1" customWidth="1"/>
    <col min="7" max="7" width="8.7109375" style="10" customWidth="1"/>
    <col min="8" max="8" width="13.42578125" style="10" customWidth="1"/>
    <col min="9" max="9" width="2.7109375" style="10" customWidth="1"/>
    <col min="10" max="10" width="12" style="10" bestFit="1" customWidth="1"/>
    <col min="11" max="11" width="12.28515625" style="10" bestFit="1" customWidth="1"/>
    <col min="12" max="12" width="13.42578125" style="10" bestFit="1" customWidth="1"/>
    <col min="13" max="13" width="9.85546875" style="10" customWidth="1"/>
    <col min="14" max="14" width="12.85546875" style="10" bestFit="1" customWidth="1"/>
    <col min="15" max="15" width="8.5703125" style="10" bestFit="1" customWidth="1"/>
    <col min="16" max="16" width="14.85546875" style="10" customWidth="1"/>
    <col min="17" max="16384" width="9.140625" style="10"/>
  </cols>
  <sheetData>
    <row r="1" spans="1:16">
      <c r="B1" s="82"/>
      <c r="F1" s="82"/>
      <c r="J1" s="82"/>
      <c r="P1" s="10" t="s">
        <v>304</v>
      </c>
    </row>
    <row r="2" spans="1:16">
      <c r="B2" s="100"/>
      <c r="P2" s="10" t="s">
        <v>44</v>
      </c>
    </row>
    <row r="4" spans="1:16">
      <c r="A4" s="368" t="s">
        <v>40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16">
      <c r="A5" s="368" t="s">
        <v>303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</row>
    <row r="6" spans="1:16">
      <c r="A6" s="369" t="s">
        <v>564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</row>
    <row r="7" spans="1:16">
      <c r="A7" s="99" t="s">
        <v>305</v>
      </c>
    </row>
    <row r="9" spans="1:16">
      <c r="B9" s="370">
        <v>45505</v>
      </c>
      <c r="C9" s="370"/>
      <c r="D9" s="370"/>
      <c r="E9" s="98"/>
      <c r="F9" s="370">
        <v>45536</v>
      </c>
      <c r="G9" s="370"/>
      <c r="H9" s="370"/>
      <c r="I9" s="98"/>
      <c r="J9" s="370">
        <v>45566</v>
      </c>
      <c r="K9" s="370"/>
      <c r="L9" s="370"/>
      <c r="N9" s="371" t="s">
        <v>122</v>
      </c>
      <c r="O9" s="371"/>
      <c r="P9" s="371"/>
    </row>
    <row r="10" spans="1:16">
      <c r="B10" s="97" t="s">
        <v>249</v>
      </c>
      <c r="C10" s="97" t="s">
        <v>123</v>
      </c>
      <c r="D10" s="97" t="s">
        <v>302</v>
      </c>
      <c r="F10" s="97" t="s">
        <v>249</v>
      </c>
      <c r="G10" s="97" t="s">
        <v>123</v>
      </c>
      <c r="H10" s="97" t="s">
        <v>302</v>
      </c>
      <c r="J10" s="97" t="s">
        <v>249</v>
      </c>
      <c r="K10" s="97" t="s">
        <v>123</v>
      </c>
      <c r="L10" s="97" t="s">
        <v>302</v>
      </c>
      <c r="N10" s="97" t="s">
        <v>249</v>
      </c>
      <c r="O10" s="97" t="s">
        <v>123</v>
      </c>
      <c r="P10" s="97" t="s">
        <v>302</v>
      </c>
    </row>
    <row r="11" spans="1:16" ht="15">
      <c r="A11" s="10" t="s">
        <v>165</v>
      </c>
      <c r="B11" s="90"/>
      <c r="C11" s="91"/>
      <c r="D11" s="91"/>
      <c r="E11" s="91"/>
      <c r="F11" s="90"/>
      <c r="G11" s="91"/>
      <c r="H11" s="91"/>
      <c r="I11" s="91"/>
      <c r="J11" s="90"/>
      <c r="K11" s="91"/>
      <c r="L11" s="91"/>
      <c r="N11" s="93"/>
      <c r="O11" s="91"/>
      <c r="P11" s="91"/>
    </row>
    <row r="12" spans="1:16" ht="15">
      <c r="A12" s="10" t="s">
        <v>301</v>
      </c>
      <c r="B12" s="90"/>
      <c r="C12" s="91"/>
      <c r="D12" s="91"/>
      <c r="E12" s="91"/>
      <c r="F12" s="90"/>
      <c r="G12" s="91"/>
      <c r="H12" s="91"/>
      <c r="I12" s="91"/>
      <c r="J12" s="90"/>
      <c r="K12" s="91"/>
      <c r="L12" s="91"/>
      <c r="N12" s="93"/>
      <c r="O12" s="91"/>
      <c r="P12" s="91"/>
    </row>
    <row r="13" spans="1:16" ht="15">
      <c r="A13" s="10" t="s">
        <v>153</v>
      </c>
      <c r="B13" s="90"/>
      <c r="C13" s="91"/>
      <c r="D13" s="91"/>
      <c r="E13" s="91"/>
      <c r="F13" s="90"/>
      <c r="G13" s="91"/>
      <c r="H13" s="91"/>
      <c r="I13" s="91"/>
      <c r="J13" s="90"/>
      <c r="K13" s="91"/>
      <c r="L13" s="91"/>
      <c r="N13" s="93"/>
      <c r="O13" s="91"/>
      <c r="P13" s="91"/>
    </row>
    <row r="14" spans="1:16" ht="15">
      <c r="A14" s="10" t="s">
        <v>300</v>
      </c>
      <c r="B14" s="90"/>
      <c r="C14" s="91"/>
      <c r="D14" s="91"/>
      <c r="E14" s="91"/>
      <c r="F14" s="90"/>
      <c r="G14" s="91"/>
      <c r="H14" s="91"/>
      <c r="I14" s="91"/>
      <c r="J14" s="90"/>
      <c r="K14" s="91"/>
      <c r="L14" s="91"/>
      <c r="N14" s="93"/>
      <c r="O14" s="91"/>
      <c r="P14" s="91"/>
    </row>
    <row r="15" spans="1:16" ht="15">
      <c r="A15" s="10" t="s">
        <v>299</v>
      </c>
      <c r="B15" s="90"/>
      <c r="C15" s="91"/>
      <c r="D15" s="91"/>
      <c r="E15" s="91"/>
      <c r="F15" s="90"/>
      <c r="G15" s="91"/>
      <c r="H15" s="91"/>
      <c r="I15" s="91"/>
      <c r="J15" s="90"/>
      <c r="K15" s="91"/>
      <c r="L15" s="91"/>
      <c r="N15" s="93"/>
      <c r="O15" s="91"/>
      <c r="P15" s="91"/>
    </row>
    <row r="16" spans="1:16" ht="15">
      <c r="A16" s="10" t="s">
        <v>298</v>
      </c>
      <c r="B16" s="90"/>
      <c r="C16" s="91"/>
      <c r="D16" s="91"/>
      <c r="E16" s="91"/>
      <c r="F16" s="90"/>
      <c r="G16" s="91"/>
      <c r="H16" s="91"/>
      <c r="I16" s="91"/>
      <c r="J16" s="90"/>
      <c r="K16" s="91"/>
      <c r="L16" s="91"/>
      <c r="N16" s="93"/>
      <c r="O16" s="91"/>
      <c r="P16" s="91"/>
    </row>
    <row r="17" spans="1:16" ht="16.5">
      <c r="A17" s="10" t="s">
        <v>256</v>
      </c>
      <c r="B17" s="96"/>
      <c r="C17" s="91"/>
      <c r="D17" s="91"/>
      <c r="E17" s="91"/>
      <c r="F17" s="96"/>
      <c r="G17" s="91"/>
      <c r="H17" s="91"/>
      <c r="I17" s="91"/>
      <c r="J17" s="96"/>
      <c r="K17" s="91"/>
      <c r="L17" s="91"/>
      <c r="N17" s="95"/>
      <c r="O17" s="91"/>
      <c r="P17" s="91"/>
    </row>
    <row r="18" spans="1:16" ht="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</row>
    <row r="19" spans="1:16" ht="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1"/>
      <c r="O19" s="91"/>
      <c r="P19" s="91"/>
    </row>
    <row r="20" spans="1:16" ht="15">
      <c r="B20" s="90"/>
      <c r="C20" s="84"/>
      <c r="D20" s="94"/>
      <c r="E20" s="91"/>
      <c r="F20" s="90"/>
      <c r="G20" s="84"/>
      <c r="H20" s="94"/>
      <c r="I20" s="91"/>
      <c r="J20" s="90"/>
      <c r="K20" s="84"/>
      <c r="L20" s="94"/>
      <c r="N20" s="93"/>
      <c r="O20" s="84"/>
      <c r="P20" s="89"/>
    </row>
    <row r="21" spans="1:16" ht="15.75">
      <c r="B21" s="90"/>
      <c r="C21" s="86"/>
      <c r="D21" s="92" t="s">
        <v>297</v>
      </c>
      <c r="E21" s="91"/>
      <c r="F21" s="90"/>
      <c r="G21" s="86"/>
      <c r="H21" s="88"/>
      <c r="I21" s="91"/>
      <c r="J21" s="90"/>
      <c r="K21" s="86"/>
      <c r="L21" s="88"/>
      <c r="N21" s="90"/>
      <c r="O21" s="86"/>
      <c r="P21" s="89"/>
    </row>
    <row r="22" spans="1:16" ht="15" hidden="1">
      <c r="A22" s="10" t="s">
        <v>296</v>
      </c>
      <c r="B22" s="82"/>
      <c r="C22" s="86"/>
      <c r="D22" s="88"/>
      <c r="F22" s="82"/>
      <c r="G22" s="86"/>
      <c r="H22" s="88"/>
      <c r="J22" s="82"/>
      <c r="K22" s="86"/>
      <c r="L22" s="88"/>
      <c r="N22" s="82"/>
      <c r="O22" s="84"/>
      <c r="P22" s="87"/>
    </row>
    <row r="23" spans="1:16" ht="15" hidden="1">
      <c r="A23" s="10" t="s">
        <v>295</v>
      </c>
      <c r="B23" s="85"/>
      <c r="C23" s="86"/>
      <c r="D23" s="83"/>
      <c r="F23" s="85"/>
      <c r="G23" s="86"/>
      <c r="H23" s="83"/>
      <c r="J23" s="85"/>
      <c r="K23" s="86"/>
      <c r="L23" s="83"/>
      <c r="N23" s="85"/>
      <c r="O23" s="84"/>
      <c r="P23" s="83"/>
    </row>
    <row r="24" spans="1:16">
      <c r="B24" s="82"/>
      <c r="D24" s="81"/>
      <c r="F24" s="82"/>
      <c r="H24" s="81"/>
      <c r="J24" s="82"/>
      <c r="L24" s="81"/>
      <c r="N24" s="82"/>
      <c r="P24" s="81"/>
    </row>
    <row r="25" spans="1:16" ht="15">
      <c r="A25" s="10" t="s">
        <v>294</v>
      </c>
      <c r="C25" s="80"/>
      <c r="G25" s="80"/>
      <c r="K25" s="80"/>
      <c r="O25" s="80"/>
    </row>
  </sheetData>
  <mergeCells count="7">
    <mergeCell ref="A4:P4"/>
    <mergeCell ref="A5:P5"/>
    <mergeCell ref="A6:P6"/>
    <mergeCell ref="B9:D9"/>
    <mergeCell ref="F9:H9"/>
    <mergeCell ref="N9:P9"/>
    <mergeCell ref="J9:L9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zoomScale="80" zoomScaleNormal="80" zoomScaleSheetLayoutView="85" workbookViewId="0">
      <selection activeCell="R31" sqref="R31"/>
    </sheetView>
  </sheetViews>
  <sheetFormatPr defaultColWidth="9.140625" defaultRowHeight="14.25"/>
  <cols>
    <col min="1" max="1" width="11.140625" style="127" customWidth="1"/>
    <col min="2" max="2" width="16.5703125" style="127" customWidth="1"/>
    <col min="3" max="3" width="20.5703125" style="127" customWidth="1"/>
    <col min="4" max="5" width="17.42578125" style="127" bestFit="1" customWidth="1"/>
    <col min="6" max="6" width="21.5703125" style="127" customWidth="1"/>
    <col min="7" max="7" width="17.7109375" style="127" customWidth="1"/>
    <col min="8" max="8" width="4.85546875" style="127" customWidth="1"/>
    <col min="9" max="9" width="18.28515625" style="127" bestFit="1" customWidth="1"/>
    <col min="10" max="10" width="23.28515625" style="127" bestFit="1" customWidth="1"/>
    <col min="11" max="11" width="21.140625" style="127" customWidth="1"/>
    <col min="12" max="12" width="17" style="127" customWidth="1"/>
    <col min="13" max="13" width="9.85546875" style="127" customWidth="1"/>
    <col min="14" max="16384" width="9.140625" style="127"/>
  </cols>
  <sheetData>
    <row r="1" spans="1:17" ht="15">
      <c r="A1" s="130" t="s">
        <v>40</v>
      </c>
      <c r="I1" s="127" t="s">
        <v>337</v>
      </c>
    </row>
    <row r="2" spans="1:17">
      <c r="A2" s="373" t="s">
        <v>336</v>
      </c>
      <c r="B2" s="373"/>
      <c r="C2" s="373"/>
      <c r="D2" s="373"/>
      <c r="I2" s="127" t="s">
        <v>335</v>
      </c>
    </row>
    <row r="3" spans="1:17">
      <c r="A3" s="372">
        <v>45383</v>
      </c>
      <c r="B3" s="372"/>
      <c r="C3" s="372"/>
      <c r="D3" s="372"/>
      <c r="E3" s="324"/>
      <c r="F3" s="154"/>
    </row>
    <row r="4" spans="1:17">
      <c r="A4" s="374" t="s">
        <v>563</v>
      </c>
      <c r="B4" s="374"/>
      <c r="C4" s="374"/>
      <c r="D4" s="374"/>
    </row>
    <row r="5" spans="1:17">
      <c r="D5" s="140"/>
    </row>
    <row r="6" spans="1:17">
      <c r="D6" s="140"/>
    </row>
    <row r="7" spans="1:17" ht="14.25" customHeight="1">
      <c r="B7" s="128" t="s">
        <v>35</v>
      </c>
      <c r="C7" s="128" t="s">
        <v>34</v>
      </c>
      <c r="D7" s="128" t="s">
        <v>33</v>
      </c>
      <c r="E7" s="128" t="s">
        <v>129</v>
      </c>
      <c r="F7" s="128" t="s">
        <v>128</v>
      </c>
      <c r="G7" s="128" t="s">
        <v>212</v>
      </c>
      <c r="H7" s="128"/>
      <c r="I7" s="128" t="s">
        <v>334</v>
      </c>
    </row>
    <row r="8" spans="1:17" ht="14.25" customHeight="1">
      <c r="E8" s="128" t="s">
        <v>333</v>
      </c>
      <c r="F8" s="128" t="s">
        <v>332</v>
      </c>
    </row>
    <row r="9" spans="1:17" ht="14.25" customHeight="1">
      <c r="A9" s="128" t="s">
        <v>32</v>
      </c>
      <c r="C9" s="128" t="s">
        <v>331</v>
      </c>
      <c r="D9" s="128" t="s">
        <v>330</v>
      </c>
      <c r="E9" s="128" t="s">
        <v>329</v>
      </c>
      <c r="F9" s="128" t="s">
        <v>328</v>
      </c>
    </row>
    <row r="10" spans="1:17" ht="14.25" customHeight="1">
      <c r="A10" s="128" t="s">
        <v>31</v>
      </c>
      <c r="B10" s="128" t="s">
        <v>48</v>
      </c>
      <c r="C10" s="128" t="s">
        <v>327</v>
      </c>
      <c r="D10" s="128" t="s">
        <v>326</v>
      </c>
      <c r="E10" s="128" t="s">
        <v>326</v>
      </c>
      <c r="F10" s="128" t="s">
        <v>325</v>
      </c>
      <c r="G10" s="143" t="s">
        <v>324</v>
      </c>
      <c r="H10" s="128"/>
      <c r="I10" s="128" t="s">
        <v>122</v>
      </c>
      <c r="K10" s="140"/>
    </row>
    <row r="11" spans="1:17" ht="14.25" customHeight="1">
      <c r="L11" s="140"/>
    </row>
    <row r="12" spans="1:17" ht="14.25" customHeight="1">
      <c r="A12" s="128" t="s">
        <v>210</v>
      </c>
      <c r="B12" s="151">
        <v>45323</v>
      </c>
      <c r="C12" s="135">
        <f>D.2!D33</f>
        <v>2137460.9850000003</v>
      </c>
      <c r="D12" s="137">
        <f>D.3!D36</f>
        <v>8298361.1299999999</v>
      </c>
      <c r="E12" s="137">
        <f>D.4!L13</f>
        <v>12689661.18</v>
      </c>
      <c r="F12" s="137">
        <f>D12-E12</f>
        <v>-4391300.05</v>
      </c>
      <c r="G12" s="152">
        <v>0</v>
      </c>
      <c r="H12" s="150"/>
      <c r="I12" s="137">
        <f>F12+G12</f>
        <v>-4391300.05</v>
      </c>
      <c r="K12" s="147"/>
      <c r="L12" s="149"/>
      <c r="M12" s="140"/>
    </row>
    <row r="13" spans="1:17" ht="14.25" customHeight="1">
      <c r="A13" s="128" t="s">
        <v>45</v>
      </c>
      <c r="C13" s="135"/>
      <c r="D13" s="137"/>
      <c r="E13" s="137"/>
      <c r="F13" s="137"/>
      <c r="G13" s="152"/>
      <c r="H13" s="153"/>
      <c r="I13" s="137"/>
    </row>
    <row r="14" spans="1:17" ht="14.25" customHeight="1">
      <c r="A14" s="128" t="s">
        <v>208</v>
      </c>
      <c r="B14" s="151">
        <v>45352</v>
      </c>
      <c r="C14" s="135">
        <f>D.2!F$33</f>
        <v>1108216.2919999999</v>
      </c>
      <c r="D14" s="137">
        <f>D.3!F36</f>
        <v>5458963.1600000011</v>
      </c>
      <c r="E14" s="137">
        <f>D.4!L20</f>
        <v>7499417.0099999998</v>
      </c>
      <c r="F14" s="137">
        <f>D14-E14</f>
        <v>-2040453.8499999987</v>
      </c>
      <c r="G14" s="152">
        <v>0</v>
      </c>
      <c r="H14" s="150"/>
      <c r="I14" s="137">
        <f>F14+G14</f>
        <v>-2040453.8499999987</v>
      </c>
      <c r="K14" s="147"/>
      <c r="L14" s="149"/>
    </row>
    <row r="15" spans="1:17" ht="14.25" customHeight="1">
      <c r="A15" s="128" t="s">
        <v>207</v>
      </c>
      <c r="C15" s="135"/>
      <c r="D15" s="137"/>
      <c r="E15" s="137"/>
      <c r="F15" s="137"/>
      <c r="G15" s="152"/>
      <c r="H15" s="152"/>
      <c r="I15" s="137"/>
      <c r="K15" s="140"/>
      <c r="Q15" s="344"/>
    </row>
    <row r="16" spans="1:17" ht="14.25" customHeight="1">
      <c r="A16" s="128" t="s">
        <v>206</v>
      </c>
      <c r="B16" s="151">
        <v>45383</v>
      </c>
      <c r="C16" s="135">
        <f>D.2!H33</f>
        <v>1382742.81</v>
      </c>
      <c r="D16" s="333">
        <f>+D.3!H36</f>
        <v>4696903.54</v>
      </c>
      <c r="E16" s="248">
        <f>D.4!L27</f>
        <v>5513834.049999998</v>
      </c>
      <c r="F16" s="333">
        <f>D16-E16</f>
        <v>-816930.50999999791</v>
      </c>
      <c r="G16" s="457">
        <v>0</v>
      </c>
      <c r="H16" s="150"/>
      <c r="I16" s="333">
        <f>F16+G16</f>
        <v>-816930.50999999791</v>
      </c>
      <c r="K16" s="147"/>
      <c r="L16" s="149"/>
      <c r="M16" s="140"/>
      <c r="Q16" s="344"/>
    </row>
    <row r="17" spans="1:17" ht="14.25" customHeight="1">
      <c r="A17" s="128" t="s">
        <v>205</v>
      </c>
      <c r="B17" s="148"/>
      <c r="C17" s="135"/>
      <c r="D17" s="140" t="s">
        <v>323</v>
      </c>
      <c r="E17" s="140" t="s">
        <v>323</v>
      </c>
      <c r="F17" s="140" t="s">
        <v>323</v>
      </c>
      <c r="G17" s="334"/>
      <c r="H17" s="334"/>
      <c r="I17" s="140" t="s">
        <v>322</v>
      </c>
      <c r="K17" s="147"/>
      <c r="Q17" s="344"/>
    </row>
    <row r="18" spans="1:17" ht="14.25" customHeight="1">
      <c r="A18" s="128" t="s">
        <v>204</v>
      </c>
      <c r="D18" s="140"/>
      <c r="E18" s="140"/>
      <c r="F18" s="140"/>
      <c r="G18" s="140"/>
      <c r="H18" s="140"/>
      <c r="I18" s="140"/>
      <c r="Q18" s="344"/>
    </row>
    <row r="19" spans="1:17" ht="14.25" customHeight="1">
      <c r="A19" s="128" t="s">
        <v>202</v>
      </c>
      <c r="B19" s="127" t="s">
        <v>321</v>
      </c>
      <c r="D19" s="146">
        <f>SUM(D12:D17)</f>
        <v>18454227.830000002</v>
      </c>
      <c r="E19" s="146">
        <f>SUM(E12:E17)</f>
        <v>25702912.239999995</v>
      </c>
      <c r="F19" s="146">
        <f>SUM(F12:F17)</f>
        <v>-7248684.4099999964</v>
      </c>
      <c r="G19" s="146">
        <f>SUM(G12:G17)</f>
        <v>0</v>
      </c>
      <c r="H19" s="146"/>
      <c r="I19" s="146">
        <f>SUM(I12:I17)</f>
        <v>-7248684.4099999964</v>
      </c>
      <c r="M19" s="140"/>
      <c r="Q19" s="344"/>
    </row>
    <row r="20" spans="1:17" ht="14.25" customHeight="1">
      <c r="A20" s="128" t="s">
        <v>200</v>
      </c>
      <c r="Q20" s="344"/>
    </row>
    <row r="21" spans="1:17" ht="14.25" customHeight="1">
      <c r="A21" s="128" t="s">
        <v>198</v>
      </c>
      <c r="B21" s="127" t="s">
        <v>320</v>
      </c>
      <c r="D21" s="145">
        <v>1104803.1022136724</v>
      </c>
      <c r="Q21" s="344"/>
    </row>
    <row r="22" spans="1:17" ht="14.25" customHeight="1">
      <c r="A22" s="128" t="s">
        <v>196</v>
      </c>
      <c r="E22" s="135"/>
      <c r="F22" s="135"/>
      <c r="G22" s="135"/>
      <c r="H22" s="135"/>
      <c r="I22" s="135"/>
      <c r="Q22" s="344"/>
    </row>
    <row r="23" spans="1:17" ht="14.25" customHeight="1">
      <c r="A23" s="128" t="s">
        <v>195</v>
      </c>
      <c r="B23" s="138" t="s">
        <v>317</v>
      </c>
      <c r="E23" s="135"/>
      <c r="F23" s="135"/>
      <c r="G23" s="135"/>
      <c r="H23" s="135"/>
      <c r="I23" s="135"/>
      <c r="J23" s="144"/>
      <c r="Q23" s="344"/>
    </row>
    <row r="24" spans="1:17" ht="14.25" customHeight="1">
      <c r="A24" s="128" t="s">
        <v>194</v>
      </c>
      <c r="B24" s="142" t="s">
        <v>566</v>
      </c>
      <c r="G24" s="286">
        <v>-9677622.5650999881</v>
      </c>
      <c r="J24" s="140"/>
      <c r="K24" s="143"/>
    </row>
    <row r="25" spans="1:17" ht="14.25" customHeight="1">
      <c r="A25" s="128" t="s">
        <v>192</v>
      </c>
      <c r="B25" s="127" t="s">
        <v>567</v>
      </c>
      <c r="G25" s="140">
        <f>+I19</f>
        <v>-7248684.4099999964</v>
      </c>
      <c r="K25" s="140"/>
    </row>
    <row r="26" spans="1:17" ht="14.25" customHeight="1">
      <c r="A26" s="128" t="s">
        <v>190</v>
      </c>
      <c r="B26" s="127" t="s">
        <v>319</v>
      </c>
      <c r="E26" s="135"/>
      <c r="F26" s="135"/>
      <c r="G26" s="286">
        <f>-D.4!F30</f>
        <v>5312139.6100000003</v>
      </c>
      <c r="H26" s="135"/>
      <c r="I26" s="137"/>
      <c r="J26" s="137"/>
    </row>
    <row r="27" spans="1:17" ht="14.25" customHeight="1">
      <c r="A27" s="128" t="s">
        <v>188</v>
      </c>
      <c r="B27" s="127" t="s">
        <v>538</v>
      </c>
      <c r="E27" s="135"/>
      <c r="F27" s="135"/>
      <c r="G27" s="286"/>
      <c r="H27" s="135"/>
      <c r="I27" s="137"/>
      <c r="J27" s="137"/>
    </row>
    <row r="28" spans="1:17" ht="14.25" customHeight="1">
      <c r="A28" s="128" t="s">
        <v>186</v>
      </c>
      <c r="B28" s="312" t="s">
        <v>568</v>
      </c>
      <c r="E28" s="135"/>
      <c r="F28" s="135"/>
      <c r="G28" s="286">
        <v>0</v>
      </c>
      <c r="H28" s="135"/>
      <c r="J28" s="137"/>
    </row>
    <row r="29" spans="1:17" ht="14.25" customHeight="1">
      <c r="A29" s="128" t="s">
        <v>184</v>
      </c>
      <c r="B29" s="127" t="s">
        <v>569</v>
      </c>
      <c r="E29" s="135"/>
      <c r="F29" s="135"/>
      <c r="G29" s="359">
        <f>SUM(G24:G28)</f>
        <v>-11614167.365099985</v>
      </c>
      <c r="H29" s="135"/>
      <c r="I29" s="133"/>
      <c r="J29" s="140"/>
    </row>
    <row r="30" spans="1:17" ht="14.25" customHeight="1">
      <c r="A30" s="128" t="s">
        <v>181</v>
      </c>
      <c r="B30" s="127" t="s">
        <v>315</v>
      </c>
      <c r="D30" s="135"/>
      <c r="G30" s="135">
        <f>B.6!$E$26+B.6!$E$30</f>
        <v>16499843.667199999</v>
      </c>
      <c r="H30" s="135" t="s">
        <v>318</v>
      </c>
      <c r="J30" s="140"/>
      <c r="K30" s="133"/>
    </row>
    <row r="31" spans="1:17" ht="14.25" customHeight="1">
      <c r="A31" s="128" t="s">
        <v>180</v>
      </c>
      <c r="D31" s="135"/>
      <c r="G31" s="135"/>
      <c r="K31" s="133"/>
      <c r="M31" s="140"/>
    </row>
    <row r="32" spans="1:17" ht="14.25" customHeight="1">
      <c r="A32" s="128" t="s">
        <v>179</v>
      </c>
      <c r="B32" s="127" t="s">
        <v>317</v>
      </c>
      <c r="G32" s="131">
        <f>ROUND(G29/G30,4)</f>
        <v>-0.70389999999999997</v>
      </c>
      <c r="H32" s="127" t="s">
        <v>313</v>
      </c>
      <c r="K32" s="133"/>
    </row>
    <row r="33" spans="1:11" ht="14.25" customHeight="1">
      <c r="A33" s="128" t="s">
        <v>178</v>
      </c>
      <c r="B33" s="142"/>
      <c r="G33" s="140"/>
      <c r="K33" s="133"/>
    </row>
    <row r="34" spans="1:11" ht="14.25" customHeight="1">
      <c r="A34" s="128" t="s">
        <v>143</v>
      </c>
      <c r="B34" s="138" t="s">
        <v>316</v>
      </c>
      <c r="G34" s="140"/>
      <c r="J34" s="132"/>
    </row>
    <row r="35" spans="1:11" ht="14.25" customHeight="1">
      <c r="A35" s="128" t="s">
        <v>176</v>
      </c>
      <c r="B35" s="127" t="s">
        <v>570</v>
      </c>
      <c r="G35" s="141">
        <f>D.6!J18</f>
        <v>1070546.01</v>
      </c>
      <c r="J35" s="140"/>
    </row>
    <row r="36" spans="1:11" ht="14.25" customHeight="1">
      <c r="A36" s="128" t="s">
        <v>175</v>
      </c>
      <c r="B36" s="127" t="s">
        <v>315</v>
      </c>
      <c r="G36" s="135">
        <f>G30</f>
        <v>16499843.667199999</v>
      </c>
    </row>
    <row r="37" spans="1:11" ht="14.25" customHeight="1">
      <c r="A37" s="128" t="s">
        <v>173</v>
      </c>
      <c r="J37" s="137"/>
      <c r="K37" s="132"/>
    </row>
    <row r="38" spans="1:11" ht="14.25" customHeight="1">
      <c r="A38" s="128" t="s">
        <v>172</v>
      </c>
      <c r="B38" s="127" t="s">
        <v>316</v>
      </c>
      <c r="G38" s="287">
        <f>ROUND(G35/G36,4)</f>
        <v>6.4899999999999999E-2</v>
      </c>
      <c r="H38" s="127" t="s">
        <v>313</v>
      </c>
      <c r="K38" s="139"/>
    </row>
    <row r="39" spans="1:11" ht="14.25" customHeight="1">
      <c r="A39" s="128" t="s">
        <v>170</v>
      </c>
      <c r="G39" s="131"/>
    </row>
    <row r="40" spans="1:11" ht="14.25" customHeight="1">
      <c r="A40" s="128" t="s">
        <v>166</v>
      </c>
      <c r="B40" s="138" t="s">
        <v>314</v>
      </c>
      <c r="G40" s="131"/>
      <c r="J40" s="140"/>
      <c r="K40" s="137"/>
    </row>
    <row r="41" spans="1:11" ht="14.25" customHeight="1">
      <c r="A41" s="128" t="s">
        <v>161</v>
      </c>
      <c r="B41" s="127" t="s">
        <v>571</v>
      </c>
      <c r="G41" s="136">
        <f>G29+G35</f>
        <v>-10543621.355099985</v>
      </c>
      <c r="I41" s="133"/>
      <c r="J41" s="140"/>
    </row>
    <row r="42" spans="1:11" ht="14.25" customHeight="1">
      <c r="A42" s="128" t="s">
        <v>160</v>
      </c>
      <c r="B42" s="127" t="s">
        <v>315</v>
      </c>
      <c r="G42" s="135">
        <f>G30</f>
        <v>16499843.667199999</v>
      </c>
      <c r="J42" s="140"/>
    </row>
    <row r="43" spans="1:11" ht="14.25" customHeight="1">
      <c r="A43" s="128" t="s">
        <v>159</v>
      </c>
      <c r="F43" s="128"/>
      <c r="H43" s="132"/>
    </row>
    <row r="44" spans="1:11" ht="14.25" customHeight="1" thickBot="1">
      <c r="A44" s="128" t="s">
        <v>157</v>
      </c>
      <c r="B44" s="130" t="s">
        <v>314</v>
      </c>
      <c r="C44" s="130"/>
      <c r="D44" s="130"/>
      <c r="E44" s="130"/>
      <c r="F44" s="130"/>
      <c r="G44" s="288">
        <f>G32+G38</f>
        <v>-0.63900000000000001</v>
      </c>
      <c r="H44" s="127" t="s">
        <v>313</v>
      </c>
      <c r="J44" s="134"/>
    </row>
    <row r="45" spans="1:11" ht="14.25" customHeight="1" thickTop="1"/>
    <row r="46" spans="1:11" ht="14.25" customHeight="1">
      <c r="A46" s="128"/>
      <c r="G46" s="133"/>
      <c r="I46" s="130"/>
    </row>
    <row r="47" spans="1:11" ht="15">
      <c r="A47" s="128"/>
      <c r="B47" s="130"/>
    </row>
    <row r="48" spans="1:11">
      <c r="A48" s="128"/>
      <c r="G48" s="132"/>
    </row>
    <row r="49" spans="1:9">
      <c r="A49" s="128"/>
    </row>
    <row r="50" spans="1:9">
      <c r="A50" s="128"/>
    </row>
    <row r="51" spans="1:9">
      <c r="A51" s="128"/>
    </row>
    <row r="52" spans="1:9">
      <c r="A52" s="128"/>
    </row>
    <row r="53" spans="1:9" ht="15">
      <c r="A53" s="128"/>
      <c r="H53" s="131"/>
      <c r="I53" s="130"/>
    </row>
    <row r="54" spans="1:9">
      <c r="A54" s="128"/>
      <c r="D54" s="129"/>
    </row>
    <row r="55" spans="1:9">
      <c r="A55" s="128"/>
    </row>
    <row r="56" spans="1:9">
      <c r="A56" s="128"/>
    </row>
    <row r="57" spans="1:9">
      <c r="A57" s="128"/>
    </row>
    <row r="58" spans="1:9">
      <c r="A58" s="128"/>
    </row>
    <row r="59" spans="1:9">
      <c r="A59" s="128"/>
    </row>
    <row r="60" spans="1:9">
      <c r="A60" s="128"/>
    </row>
    <row r="61" spans="1:9">
      <c r="A61" s="128"/>
    </row>
    <row r="62" spans="1:9">
      <c r="A62" s="128"/>
    </row>
    <row r="63" spans="1:9">
      <c r="A63" s="128"/>
    </row>
    <row r="64" spans="1:9">
      <c r="A64" s="128" t="str">
        <f>A1</f>
        <v>Atmos Energy Corporation</v>
      </c>
    </row>
    <row r="65" spans="1:1">
      <c r="A65" s="128"/>
    </row>
    <row r="66" spans="1:1">
      <c r="A66" s="128"/>
    </row>
    <row r="67" spans="1:1">
      <c r="A67" s="128"/>
    </row>
    <row r="68" spans="1:1">
      <c r="A68" s="128"/>
    </row>
    <row r="69" spans="1:1">
      <c r="A69" s="128"/>
    </row>
    <row r="70" spans="1:1">
      <c r="A70" s="128"/>
    </row>
    <row r="71" spans="1:1">
      <c r="A71" s="128"/>
    </row>
    <row r="72" spans="1:1">
      <c r="A72" s="128"/>
    </row>
    <row r="73" spans="1:1">
      <c r="A73" s="128"/>
    </row>
    <row r="74" spans="1:1">
      <c r="A74" s="128"/>
    </row>
    <row r="75" spans="1:1">
      <c r="A75" s="128"/>
    </row>
    <row r="76" spans="1:1">
      <c r="A76" s="128"/>
    </row>
    <row r="77" spans="1:1">
      <c r="A77" s="128"/>
    </row>
    <row r="78" spans="1:1">
      <c r="A78" s="128"/>
    </row>
    <row r="79" spans="1:1">
      <c r="A79" s="128"/>
    </row>
    <row r="80" spans="1:1">
      <c r="A80" s="128"/>
    </row>
    <row r="81" spans="1:1">
      <c r="A81" s="128"/>
    </row>
    <row r="82" spans="1:1">
      <c r="A82" s="128"/>
    </row>
    <row r="83" spans="1:1">
      <c r="A83" s="128"/>
    </row>
    <row r="84" spans="1:1">
      <c r="A84" s="128"/>
    </row>
    <row r="85" spans="1:1">
      <c r="A85" s="128"/>
    </row>
    <row r="86" spans="1:1">
      <c r="A86" s="128"/>
    </row>
    <row r="87" spans="1:1">
      <c r="A87" s="128"/>
    </row>
    <row r="88" spans="1:1">
      <c r="A88" s="128"/>
    </row>
    <row r="89" spans="1:1">
      <c r="A89" s="128"/>
    </row>
    <row r="90" spans="1:1">
      <c r="A90" s="128"/>
    </row>
    <row r="91" spans="1:1">
      <c r="A91" s="128"/>
    </row>
    <row r="92" spans="1:1">
      <c r="A92" s="128"/>
    </row>
    <row r="93" spans="1:1">
      <c r="A93" s="128"/>
    </row>
    <row r="94" spans="1:1">
      <c r="A94" s="128"/>
    </row>
    <row r="95" spans="1:1">
      <c r="A95" s="128"/>
    </row>
    <row r="96" spans="1:1">
      <c r="A96" s="128"/>
    </row>
    <row r="97" spans="1:1">
      <c r="A97" s="128"/>
    </row>
    <row r="98" spans="1:1">
      <c r="A98" s="128"/>
    </row>
    <row r="99" spans="1:1">
      <c r="A99" s="128"/>
    </row>
    <row r="100" spans="1:1">
      <c r="A100" s="128"/>
    </row>
    <row r="101" spans="1:1">
      <c r="A101" s="128"/>
    </row>
    <row r="102" spans="1:1">
      <c r="A102" s="128"/>
    </row>
    <row r="103" spans="1:1">
      <c r="A103" s="128"/>
    </row>
    <row r="104" spans="1:1">
      <c r="A104" s="128"/>
    </row>
    <row r="105" spans="1:1">
      <c r="A105" s="128"/>
    </row>
    <row r="106" spans="1:1">
      <c r="A106" s="128"/>
    </row>
    <row r="107" spans="1:1">
      <c r="A107" s="128"/>
    </row>
    <row r="108" spans="1:1">
      <c r="A108" s="128"/>
    </row>
    <row r="109" spans="1:1">
      <c r="A109" s="128"/>
    </row>
    <row r="110" spans="1:1">
      <c r="A110" s="128"/>
    </row>
    <row r="111" spans="1:1">
      <c r="A111" s="128"/>
    </row>
    <row r="112" spans="1:1">
      <c r="A112" s="128"/>
    </row>
    <row r="113" spans="1:1">
      <c r="A113" s="128"/>
    </row>
    <row r="114" spans="1:1">
      <c r="A114" s="128"/>
    </row>
    <row r="115" spans="1:1">
      <c r="A115" s="128"/>
    </row>
    <row r="116" spans="1:1">
      <c r="A116" s="128"/>
    </row>
    <row r="117" spans="1:1">
      <c r="A117" s="128"/>
    </row>
    <row r="118" spans="1:1">
      <c r="A118" s="128"/>
    </row>
    <row r="119" spans="1:1">
      <c r="A119" s="128"/>
    </row>
    <row r="120" spans="1:1">
      <c r="A120" s="128"/>
    </row>
    <row r="121" spans="1:1">
      <c r="A121" s="128"/>
    </row>
  </sheetData>
  <mergeCells count="3">
    <mergeCell ref="A3:D3"/>
    <mergeCell ref="A2:D2"/>
    <mergeCell ref="A4:D4"/>
  </mergeCells>
  <phoneticPr fontId="154" type="noConversion"/>
  <printOptions horizontalCentered="1"/>
  <pageMargins left="0.5" right="0.28000000000000003" top="0.5" bottom="0.5" header="0.5" footer="0.5"/>
  <pageSetup scale="67" orientation="portrait" r:id="rId1"/>
  <headerFooter alignWithMargins="0"/>
  <customProperties>
    <customPr name="_pios_id" r:id="rId2"/>
  </customProperties>
  <ignoredErrors>
    <ignoredError sqref="A12:A4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Q90"/>
  <sheetViews>
    <sheetView showGridLines="0" zoomScale="80" zoomScaleNormal="80" zoomScaleSheetLayoutView="100" workbookViewId="0">
      <selection activeCell="L28" sqref="L28"/>
    </sheetView>
  </sheetViews>
  <sheetFormatPr defaultColWidth="12.5703125" defaultRowHeight="14.25"/>
  <cols>
    <col min="1" max="1" width="6.140625" style="127" customWidth="1"/>
    <col min="2" max="2" width="35.7109375" style="127" customWidth="1"/>
    <col min="3" max="3" width="6.140625" style="127" customWidth="1"/>
    <col min="4" max="4" width="17" style="127" customWidth="1"/>
    <col min="5" max="5" width="2.28515625" style="127" customWidth="1"/>
    <col min="6" max="6" width="16.42578125" style="127" customWidth="1"/>
    <col min="7" max="7" width="2.28515625" style="127" customWidth="1"/>
    <col min="8" max="8" width="16.42578125" style="127" customWidth="1"/>
    <col min="9" max="9" width="2.28515625" style="127" customWidth="1"/>
    <col min="10" max="10" width="16.42578125" style="127" customWidth="1"/>
    <col min="11" max="11" width="2.28515625" style="127" customWidth="1"/>
    <col min="12" max="12" width="13.85546875" style="127" customWidth="1"/>
    <col min="13" max="13" width="9.85546875" style="127" customWidth="1"/>
    <col min="14" max="15" width="13.85546875" style="127" customWidth="1"/>
    <col min="16" max="16384" width="12.5703125" style="127"/>
  </cols>
  <sheetData>
    <row r="1" spans="1:17" ht="15">
      <c r="A1" s="174" t="s">
        <v>40</v>
      </c>
      <c r="H1" s="127" t="s">
        <v>337</v>
      </c>
    </row>
    <row r="2" spans="1:17">
      <c r="A2" s="173" t="s">
        <v>365</v>
      </c>
      <c r="H2" s="127" t="s">
        <v>364</v>
      </c>
    </row>
    <row r="3" spans="1:17">
      <c r="A3" s="372">
        <f>D.1!A3:D3</f>
        <v>45383</v>
      </c>
      <c r="B3" s="372"/>
      <c r="C3" s="372"/>
      <c r="D3" s="372"/>
    </row>
    <row r="4" spans="1:17">
      <c r="A4" s="373" t="str">
        <f>D.1!A4</f>
        <v>2024-00185</v>
      </c>
      <c r="B4" s="373"/>
      <c r="C4" s="373"/>
      <c r="D4" s="373"/>
    </row>
    <row r="5" spans="1:17" ht="15">
      <c r="A5" s="173"/>
      <c r="C5" s="127" t="s">
        <v>363</v>
      </c>
      <c r="D5" s="151">
        <v>45352</v>
      </c>
      <c r="F5" s="151">
        <v>45383</v>
      </c>
      <c r="H5" s="151">
        <v>45413</v>
      </c>
      <c r="J5" s="160"/>
    </row>
    <row r="6" spans="1:17" ht="15">
      <c r="J6" s="160"/>
    </row>
    <row r="7" spans="1:17" ht="15">
      <c r="D7" s="128" t="s">
        <v>35</v>
      </c>
      <c r="F7" s="128" t="s">
        <v>34</v>
      </c>
      <c r="G7" s="135"/>
      <c r="H7" s="128" t="s">
        <v>33</v>
      </c>
      <c r="J7" s="160"/>
    </row>
    <row r="8" spans="1:17" ht="15">
      <c r="A8" s="128" t="s">
        <v>32</v>
      </c>
      <c r="D8" s="172" t="s">
        <v>48</v>
      </c>
      <c r="E8" s="172"/>
      <c r="F8" s="172"/>
      <c r="G8" s="172"/>
      <c r="H8" s="172"/>
      <c r="I8" s="190"/>
      <c r="J8" s="160"/>
      <c r="M8" s="168"/>
      <c r="N8" s="168"/>
      <c r="O8" s="168"/>
    </row>
    <row r="9" spans="1:17" ht="15">
      <c r="A9" s="128" t="s">
        <v>31</v>
      </c>
      <c r="B9" s="171" t="s">
        <v>30</v>
      </c>
      <c r="C9" s="127" t="s">
        <v>362</v>
      </c>
      <c r="D9" s="169">
        <v>45323</v>
      </c>
      <c r="E9" s="170"/>
      <c r="F9" s="169">
        <v>45352</v>
      </c>
      <c r="G9" s="170"/>
      <c r="H9" s="169">
        <v>45383</v>
      </c>
      <c r="J9" s="160"/>
      <c r="L9" s="167"/>
      <c r="M9" s="167"/>
      <c r="N9" s="168"/>
      <c r="O9" s="168"/>
    </row>
    <row r="10" spans="1:17" ht="15.75">
      <c r="A10" s="128" t="s">
        <v>210</v>
      </c>
      <c r="B10" s="130" t="s">
        <v>361</v>
      </c>
      <c r="D10" s="135"/>
      <c r="J10" s="160"/>
      <c r="L10" s="167"/>
      <c r="M10" s="167"/>
    </row>
    <row r="11" spans="1:17" ht="15">
      <c r="A11" s="128" t="s">
        <v>45</v>
      </c>
      <c r="B11" s="127" t="s">
        <v>360</v>
      </c>
      <c r="D11" s="135"/>
      <c r="J11" s="160"/>
      <c r="L11" s="167"/>
      <c r="M11" s="166"/>
    </row>
    <row r="12" spans="1:17" ht="16.5">
      <c r="A12" s="128" t="s">
        <v>208</v>
      </c>
      <c r="B12" s="127" t="s">
        <v>359</v>
      </c>
      <c r="C12" s="128" t="s">
        <v>12</v>
      </c>
      <c r="D12" s="165">
        <v>0</v>
      </c>
      <c r="E12" s="164"/>
      <c r="F12" s="165">
        <v>0</v>
      </c>
      <c r="G12" s="164"/>
      <c r="H12" s="165">
        <v>0</v>
      </c>
      <c r="I12" s="165"/>
      <c r="J12" s="160"/>
      <c r="L12" s="167"/>
      <c r="M12" s="166"/>
      <c r="N12" s="135"/>
      <c r="O12" s="135"/>
    </row>
    <row r="13" spans="1:17" ht="16.5">
      <c r="A13" s="128" t="s">
        <v>207</v>
      </c>
      <c r="B13" s="127" t="s">
        <v>358</v>
      </c>
      <c r="C13" s="128" t="s">
        <v>12</v>
      </c>
      <c r="D13" s="165">
        <v>0</v>
      </c>
      <c r="E13" s="164"/>
      <c r="F13" s="165">
        <v>0</v>
      </c>
      <c r="G13" s="164"/>
      <c r="H13" s="165">
        <v>0</v>
      </c>
      <c r="I13" s="165"/>
      <c r="J13" s="160"/>
      <c r="L13" s="167"/>
      <c r="M13" s="166"/>
      <c r="N13" s="135"/>
      <c r="O13" s="135"/>
    </row>
    <row r="14" spans="1:17" ht="16.5">
      <c r="A14" s="128" t="s">
        <v>206</v>
      </c>
      <c r="B14" s="127" t="s">
        <v>357</v>
      </c>
      <c r="C14" s="128" t="s">
        <v>12</v>
      </c>
      <c r="D14" s="165">
        <v>0</v>
      </c>
      <c r="E14" s="164"/>
      <c r="F14" s="165">
        <v>0</v>
      </c>
      <c r="G14" s="164"/>
      <c r="H14" s="165">
        <v>0</v>
      </c>
      <c r="I14" s="165"/>
      <c r="J14" s="160"/>
      <c r="L14" s="167"/>
      <c r="M14" s="166"/>
      <c r="N14" s="135"/>
      <c r="O14" s="135"/>
    </row>
    <row r="15" spans="1:17" ht="16.5">
      <c r="A15" s="128" t="s">
        <v>205</v>
      </c>
      <c r="B15" s="127" t="s">
        <v>356</v>
      </c>
      <c r="C15" s="128" t="s">
        <v>12</v>
      </c>
      <c r="D15" s="163">
        <v>0</v>
      </c>
      <c r="E15" s="164"/>
      <c r="F15" s="163">
        <v>0</v>
      </c>
      <c r="G15" s="164"/>
      <c r="H15" s="163">
        <v>0</v>
      </c>
      <c r="I15" s="165"/>
      <c r="J15" s="160"/>
      <c r="L15" s="167"/>
      <c r="M15" s="166"/>
      <c r="N15" s="135"/>
      <c r="O15" s="135"/>
      <c r="Q15" s="344"/>
    </row>
    <row r="16" spans="1:17" ht="15.75">
      <c r="A16" s="128" t="s">
        <v>204</v>
      </c>
      <c r="B16" s="130" t="s">
        <v>355</v>
      </c>
      <c r="C16" s="128" t="s">
        <v>12</v>
      </c>
      <c r="D16" s="135">
        <f>SUM(D12:D15)</f>
        <v>0</v>
      </c>
      <c r="F16" s="135">
        <f>SUM(F12:F15)</f>
        <v>0</v>
      </c>
      <c r="H16" s="135">
        <f>SUM(H12:H15)</f>
        <v>0</v>
      </c>
      <c r="J16" s="160"/>
      <c r="L16" s="167"/>
      <c r="M16" s="166"/>
      <c r="N16" s="135"/>
      <c r="O16" s="135"/>
      <c r="Q16" s="344"/>
    </row>
    <row r="17" spans="1:17" ht="15">
      <c r="A17" s="128" t="s">
        <v>202</v>
      </c>
      <c r="B17" s="127" t="s">
        <v>354</v>
      </c>
      <c r="C17" s="128" t="s">
        <v>12</v>
      </c>
      <c r="D17" s="135">
        <v>371940.625</v>
      </c>
      <c r="F17" s="135">
        <v>40637.512000000002</v>
      </c>
      <c r="G17" s="135"/>
      <c r="H17" s="135">
        <v>1682447.77</v>
      </c>
      <c r="J17" s="160"/>
      <c r="L17" s="167"/>
      <c r="M17" s="166"/>
      <c r="N17" s="135"/>
      <c r="O17" s="135"/>
      <c r="Q17" s="344"/>
    </row>
    <row r="18" spans="1:17" ht="15">
      <c r="A18" s="128" t="s">
        <v>200</v>
      </c>
      <c r="B18" s="127" t="s">
        <v>353</v>
      </c>
      <c r="D18" s="135"/>
      <c r="F18" s="165"/>
      <c r="G18" s="164"/>
      <c r="H18" s="165"/>
      <c r="J18" s="160"/>
      <c r="Q18" s="344"/>
    </row>
    <row r="19" spans="1:17" ht="15">
      <c r="A19" s="128" t="s">
        <v>198</v>
      </c>
      <c r="B19" s="127" t="s">
        <v>352</v>
      </c>
      <c r="C19" s="128" t="s">
        <v>12</v>
      </c>
      <c r="D19" s="165">
        <v>0</v>
      </c>
      <c r="F19" s="165">
        <v>0</v>
      </c>
      <c r="G19" s="164"/>
      <c r="H19" s="165">
        <v>0</v>
      </c>
      <c r="J19" s="160"/>
      <c r="Q19" s="344"/>
    </row>
    <row r="20" spans="1:17" ht="15">
      <c r="A20" s="128" t="s">
        <v>196</v>
      </c>
      <c r="B20" s="127" t="s">
        <v>351</v>
      </c>
      <c r="C20" s="128" t="s">
        <v>12</v>
      </c>
      <c r="D20" s="165">
        <v>0</v>
      </c>
      <c r="F20" s="165">
        <v>0</v>
      </c>
      <c r="G20" s="164"/>
      <c r="H20" s="165">
        <v>0</v>
      </c>
      <c r="J20" s="160"/>
      <c r="Q20" s="344"/>
    </row>
    <row r="21" spans="1:17" ht="15">
      <c r="A21" s="128" t="s">
        <v>195</v>
      </c>
      <c r="B21" s="127" t="s">
        <v>350</v>
      </c>
      <c r="D21" s="135"/>
      <c r="F21" s="135"/>
      <c r="G21" s="164"/>
      <c r="H21" s="135"/>
      <c r="J21" s="160"/>
      <c r="Q21" s="344"/>
    </row>
    <row r="22" spans="1:17" ht="15">
      <c r="A22" s="128" t="s">
        <v>194</v>
      </c>
      <c r="B22" s="127" t="s">
        <v>189</v>
      </c>
      <c r="C22" s="128" t="s">
        <v>12</v>
      </c>
      <c r="D22" s="165">
        <v>1128359.0900000001</v>
      </c>
      <c r="F22" s="165">
        <v>875887.38</v>
      </c>
      <c r="G22" s="164"/>
      <c r="H22" s="165">
        <v>8666.74</v>
      </c>
      <c r="J22" s="160"/>
      <c r="Q22" s="344"/>
    </row>
    <row r="23" spans="1:17" ht="15">
      <c r="A23" s="128" t="s">
        <v>192</v>
      </c>
      <c r="B23" s="127" t="s">
        <v>232</v>
      </c>
      <c r="C23" s="128" t="s">
        <v>12</v>
      </c>
      <c r="D23" s="165">
        <v>-10752.54</v>
      </c>
      <c r="F23" s="165">
        <v>-834.99</v>
      </c>
      <c r="G23" s="165"/>
      <c r="H23" s="165">
        <v>-209026.03</v>
      </c>
      <c r="J23" s="160"/>
      <c r="Q23" s="344"/>
    </row>
    <row r="24" spans="1:17" ht="15">
      <c r="A24" s="128" t="s">
        <v>190</v>
      </c>
      <c r="B24" s="127" t="s">
        <v>349</v>
      </c>
      <c r="C24" s="128" t="s">
        <v>12</v>
      </c>
      <c r="D24" s="458">
        <v>179</v>
      </c>
      <c r="F24" s="458">
        <v>597</v>
      </c>
      <c r="G24" s="164"/>
      <c r="H24" s="458">
        <v>2642.99</v>
      </c>
      <c r="J24" s="160"/>
    </row>
    <row r="25" spans="1:17" ht="15">
      <c r="A25" s="128" t="s">
        <v>188</v>
      </c>
      <c r="B25" s="127" t="s">
        <v>348</v>
      </c>
      <c r="C25" s="128" t="s">
        <v>12</v>
      </c>
      <c r="D25" s="458">
        <v>-337</v>
      </c>
      <c r="F25" s="458">
        <v>-146</v>
      </c>
      <c r="G25" s="164"/>
      <c r="H25" s="458">
        <v>-317.02</v>
      </c>
      <c r="J25" s="160"/>
    </row>
    <row r="26" spans="1:17" ht="15">
      <c r="A26" s="128" t="s">
        <v>186</v>
      </c>
      <c r="B26" s="127" t="s">
        <v>347</v>
      </c>
      <c r="C26" s="128" t="s">
        <v>12</v>
      </c>
      <c r="D26" s="165"/>
      <c r="F26" s="165"/>
      <c r="G26" s="164"/>
      <c r="H26" s="165"/>
      <c r="J26" s="160"/>
    </row>
    <row r="27" spans="1:17" ht="16.5">
      <c r="A27" s="128" t="s">
        <v>184</v>
      </c>
      <c r="B27" s="127" t="s">
        <v>346</v>
      </c>
      <c r="C27" s="128" t="s">
        <v>12</v>
      </c>
      <c r="D27" s="163">
        <v>648071.81000000006</v>
      </c>
      <c r="F27" s="163">
        <v>192075.39</v>
      </c>
      <c r="G27" s="164"/>
      <c r="H27" s="163">
        <v>-101671.64000000001</v>
      </c>
      <c r="J27" s="160"/>
    </row>
    <row r="28" spans="1:17" ht="15.75">
      <c r="A28" s="128" t="s">
        <v>181</v>
      </c>
      <c r="B28" s="130" t="s">
        <v>345</v>
      </c>
      <c r="C28" s="128" t="s">
        <v>12</v>
      </c>
      <c r="D28" s="135">
        <f>SUM(D16:D27)</f>
        <v>2137460.9850000003</v>
      </c>
      <c r="F28" s="135">
        <f>SUM(F16:F27)</f>
        <v>1108216.2919999999</v>
      </c>
      <c r="H28" s="135">
        <f>SUM(H16:H27)</f>
        <v>1382742.81</v>
      </c>
      <c r="J28" s="160"/>
      <c r="M28" s="135"/>
    </row>
    <row r="29" spans="1:17" ht="15">
      <c r="A29" s="128" t="s">
        <v>180</v>
      </c>
      <c r="D29" s="135"/>
      <c r="J29" s="160"/>
      <c r="M29" s="135"/>
    </row>
    <row r="30" spans="1:17" ht="15">
      <c r="A30" s="128">
        <v>21</v>
      </c>
      <c r="B30" s="127" t="s">
        <v>344</v>
      </c>
      <c r="C30" s="128" t="s">
        <v>12</v>
      </c>
      <c r="D30" s="165"/>
      <c r="F30" s="165"/>
      <c r="G30" s="164"/>
      <c r="H30" s="165"/>
      <c r="J30" s="160"/>
    </row>
    <row r="31" spans="1:17" ht="15">
      <c r="A31" s="128">
        <v>22</v>
      </c>
      <c r="B31" s="127" t="s">
        <v>343</v>
      </c>
      <c r="C31" s="128" t="s">
        <v>12</v>
      </c>
      <c r="D31" s="165">
        <v>0</v>
      </c>
      <c r="F31" s="165">
        <v>0</v>
      </c>
      <c r="G31" s="164"/>
      <c r="H31" s="165">
        <v>0</v>
      </c>
      <c r="J31" s="160"/>
    </row>
    <row r="32" spans="1:17" ht="15">
      <c r="A32" s="128">
        <v>23</v>
      </c>
      <c r="B32" s="127" t="s">
        <v>342</v>
      </c>
      <c r="C32" s="128" t="s">
        <v>12</v>
      </c>
      <c r="D32" s="163">
        <v>0</v>
      </c>
      <c r="F32" s="163">
        <v>0</v>
      </c>
      <c r="G32" s="164"/>
      <c r="H32" s="163">
        <v>0</v>
      </c>
      <c r="J32" s="160"/>
    </row>
    <row r="33" spans="1:15" ht="16.5" thickBot="1">
      <c r="A33" s="128">
        <v>24</v>
      </c>
      <c r="B33" s="130" t="s">
        <v>341</v>
      </c>
      <c r="C33" s="128" t="s">
        <v>12</v>
      </c>
      <c r="D33" s="162">
        <f>SUM(D17:D27)</f>
        <v>2137460.9850000003</v>
      </c>
      <c r="F33" s="162">
        <f>F28+SUM(F30:F32)</f>
        <v>1108216.2919999999</v>
      </c>
      <c r="G33" s="320">
        <f>G28+SUM(G30:G32)</f>
        <v>0</v>
      </c>
      <c r="H33" s="161">
        <f>H28+SUM(H30:H32)</f>
        <v>1382742.81</v>
      </c>
      <c r="J33" s="160"/>
      <c r="L33" s="159"/>
    </row>
    <row r="34" spans="1:15" ht="15" thickTop="1">
      <c r="D34" s="135"/>
      <c r="E34" s="135"/>
      <c r="F34" s="135"/>
      <c r="H34" s="135"/>
      <c r="J34" s="135"/>
      <c r="L34" s="135"/>
      <c r="M34" s="135"/>
      <c r="N34" s="135"/>
      <c r="O34" s="135"/>
    </row>
    <row r="35" spans="1:15" ht="16.5">
      <c r="B35" s="157" t="s">
        <v>340</v>
      </c>
      <c r="F35" s="135"/>
      <c r="H35" s="158"/>
    </row>
    <row r="36" spans="1:15" ht="16.5">
      <c r="B36" s="157" t="s">
        <v>339</v>
      </c>
    </row>
    <row r="37" spans="1:15">
      <c r="B37" s="142" t="s">
        <v>338</v>
      </c>
    </row>
    <row r="38" spans="1:15">
      <c r="D38" s="140"/>
    </row>
    <row r="39" spans="1:15">
      <c r="D39" s="156"/>
    </row>
    <row r="67" spans="1:1">
      <c r="A67" s="127" t="str">
        <f>A1</f>
        <v>Atmos Energy Corporation</v>
      </c>
    </row>
    <row r="87" spans="4:10">
      <c r="D87" s="155"/>
      <c r="F87" s="155"/>
      <c r="H87" s="155"/>
      <c r="J87" s="155"/>
    </row>
    <row r="88" spans="4:10">
      <c r="D88" s="155"/>
      <c r="F88" s="155"/>
      <c r="H88" s="155"/>
      <c r="J88" s="155"/>
    </row>
    <row r="89" spans="4:10">
      <c r="D89" s="155"/>
      <c r="F89" s="155"/>
      <c r="H89" s="155"/>
      <c r="J89" s="155"/>
    </row>
    <row r="90" spans="4:10">
      <c r="D90" s="155"/>
      <c r="F90" s="155"/>
      <c r="H90" s="155"/>
      <c r="J90" s="155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  <ignoredErrors>
    <ignoredError sqref="A10:A2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93"/>
  <sheetViews>
    <sheetView showGridLines="0" zoomScale="80" zoomScaleNormal="80" zoomScaleSheetLayoutView="90" workbookViewId="0">
      <selection activeCell="R31" sqref="R31"/>
    </sheetView>
  </sheetViews>
  <sheetFormatPr defaultColWidth="12.5703125" defaultRowHeight="14.25"/>
  <cols>
    <col min="1" max="1" width="6.140625" style="127" customWidth="1"/>
    <col min="2" max="2" width="35.7109375" style="127" customWidth="1"/>
    <col min="3" max="3" width="6.140625" style="127" customWidth="1"/>
    <col min="4" max="4" width="17" style="127" customWidth="1"/>
    <col min="5" max="5" width="2.28515625" style="127" customWidth="1"/>
    <col min="6" max="6" width="16.42578125" style="127" customWidth="1"/>
    <col min="7" max="7" width="2.28515625" style="127" customWidth="1"/>
    <col min="8" max="8" width="16.42578125" style="127" customWidth="1"/>
    <col min="9" max="9" width="2.28515625" style="127" customWidth="1"/>
    <col min="10" max="10" width="16.42578125" style="127" customWidth="1"/>
    <col min="11" max="11" width="2.28515625" style="127" customWidth="1"/>
    <col min="12" max="12" width="20.7109375" style="127" customWidth="1"/>
    <col min="13" max="13" width="9.85546875" style="127" customWidth="1"/>
    <col min="14" max="14" width="18" style="127" bestFit="1" customWidth="1"/>
    <col min="15" max="15" width="14.85546875" style="127" bestFit="1" customWidth="1"/>
    <col min="16" max="16384" width="12.5703125" style="127"/>
  </cols>
  <sheetData>
    <row r="1" spans="1:17" ht="15">
      <c r="A1" s="174" t="s">
        <v>40</v>
      </c>
      <c r="H1" s="127" t="s">
        <v>337</v>
      </c>
    </row>
    <row r="2" spans="1:17">
      <c r="A2" s="173" t="s">
        <v>365</v>
      </c>
      <c r="H2" s="127" t="s">
        <v>377</v>
      </c>
    </row>
    <row r="3" spans="1:17">
      <c r="A3" s="372">
        <f>D.1!A3:D3</f>
        <v>45383</v>
      </c>
      <c r="B3" s="372"/>
      <c r="C3" s="372"/>
      <c r="D3" s="372"/>
    </row>
    <row r="4" spans="1:17">
      <c r="A4" s="373" t="str">
        <f>D.1!A4</f>
        <v>2024-00185</v>
      </c>
      <c r="B4" s="373"/>
      <c r="C4" s="373"/>
      <c r="D4" s="373"/>
    </row>
    <row r="5" spans="1:17" ht="15">
      <c r="A5" s="173"/>
      <c r="C5" s="127" t="s">
        <v>363</v>
      </c>
      <c r="D5" s="151">
        <f>EDATE(D9,1)</f>
        <v>45352</v>
      </c>
      <c r="F5" s="151">
        <f>EDATE(F9,1)</f>
        <v>45383</v>
      </c>
      <c r="H5" s="151">
        <f>EDATE(H9,1)</f>
        <v>45413</v>
      </c>
      <c r="J5" s="160"/>
    </row>
    <row r="6" spans="1:17" ht="15">
      <c r="J6" s="160"/>
    </row>
    <row r="7" spans="1:17" ht="15">
      <c r="D7" s="128" t="s">
        <v>35</v>
      </c>
      <c r="F7" s="128" t="s">
        <v>34</v>
      </c>
      <c r="G7" s="135"/>
      <c r="H7" s="128" t="s">
        <v>33</v>
      </c>
      <c r="J7" s="160"/>
    </row>
    <row r="8" spans="1:17" ht="15">
      <c r="A8" s="128" t="s">
        <v>32</v>
      </c>
      <c r="D8" s="172" t="s">
        <v>48</v>
      </c>
      <c r="E8" s="172"/>
      <c r="F8" s="172"/>
      <c r="G8" s="172"/>
      <c r="H8" s="172"/>
      <c r="I8" s="172"/>
      <c r="J8" s="160"/>
      <c r="L8" s="168"/>
      <c r="M8" s="181"/>
      <c r="N8" s="181"/>
    </row>
    <row r="9" spans="1:17" ht="15">
      <c r="A9" s="128" t="s">
        <v>31</v>
      </c>
      <c r="B9" s="171" t="s">
        <v>30</v>
      </c>
      <c r="C9" s="127" t="s">
        <v>362</v>
      </c>
      <c r="D9" s="169">
        <v>45323</v>
      </c>
      <c r="E9" s="170"/>
      <c r="F9" s="169">
        <v>45352</v>
      </c>
      <c r="G9" s="170"/>
      <c r="H9" s="169">
        <v>45383</v>
      </c>
      <c r="I9" s="170"/>
      <c r="J9" s="160"/>
      <c r="M9" s="181"/>
      <c r="N9" s="181"/>
    </row>
    <row r="10" spans="1:17" ht="15.75">
      <c r="A10" s="128" t="s">
        <v>210</v>
      </c>
      <c r="B10" s="130" t="s">
        <v>376</v>
      </c>
      <c r="D10" s="135"/>
      <c r="J10" s="160"/>
      <c r="M10" s="181"/>
      <c r="N10" s="181"/>
    </row>
    <row r="11" spans="1:17" ht="15">
      <c r="A11" s="128" t="s">
        <v>45</v>
      </c>
      <c r="B11" s="127" t="s">
        <v>360</v>
      </c>
      <c r="D11" s="135"/>
      <c r="J11" s="160"/>
      <c r="M11" s="181"/>
      <c r="N11" s="181"/>
    </row>
    <row r="12" spans="1:17" ht="16.5">
      <c r="A12" s="128" t="s">
        <v>208</v>
      </c>
      <c r="B12" s="127" t="s">
        <v>359</v>
      </c>
      <c r="C12" s="128" t="s">
        <v>119</v>
      </c>
      <c r="D12" s="165">
        <v>1733997.0100000002</v>
      </c>
      <c r="E12" s="164"/>
      <c r="F12" s="165">
        <v>1832968.72</v>
      </c>
      <c r="G12" s="164"/>
      <c r="H12" s="165">
        <v>1631199.3900000001</v>
      </c>
      <c r="I12" s="164"/>
      <c r="J12" s="160"/>
      <c r="L12" s="135"/>
      <c r="M12" s="181"/>
      <c r="N12" s="181"/>
    </row>
    <row r="13" spans="1:17" ht="16.5">
      <c r="A13" s="128" t="s">
        <v>207</v>
      </c>
      <c r="B13" s="127" t="s">
        <v>358</v>
      </c>
      <c r="C13" s="128" t="s">
        <v>119</v>
      </c>
      <c r="D13" s="165">
        <v>400812.46</v>
      </c>
      <c r="E13" s="164"/>
      <c r="F13" s="165">
        <v>393032.42000000004</v>
      </c>
      <c r="G13" s="164"/>
      <c r="H13" s="165">
        <v>295500.92</v>
      </c>
      <c r="I13" s="164"/>
      <c r="J13" s="160"/>
      <c r="L13" s="135"/>
      <c r="M13" s="160"/>
      <c r="N13" s="160"/>
    </row>
    <row r="14" spans="1:17" ht="16.5">
      <c r="A14" s="128" t="s">
        <v>206</v>
      </c>
      <c r="B14" s="127" t="s">
        <v>375</v>
      </c>
      <c r="C14" s="128" t="s">
        <v>119</v>
      </c>
      <c r="D14" s="165">
        <v>41458.060000000005</v>
      </c>
      <c r="E14" s="165"/>
      <c r="F14" s="165">
        <v>42554.560000000005</v>
      </c>
      <c r="G14" s="165"/>
      <c r="H14" s="165">
        <v>7067.43</v>
      </c>
      <c r="I14" s="164"/>
      <c r="J14" s="160"/>
      <c r="L14" s="135"/>
      <c r="M14" s="160"/>
      <c r="N14" s="160"/>
    </row>
    <row r="15" spans="1:17" ht="16.5">
      <c r="A15" s="128" t="s">
        <v>205</v>
      </c>
      <c r="B15" s="127" t="s">
        <v>540</v>
      </c>
      <c r="C15" s="128" t="s">
        <v>119</v>
      </c>
      <c r="D15" s="165">
        <v>15840</v>
      </c>
      <c r="E15" s="165"/>
      <c r="F15" s="165">
        <v>15840</v>
      </c>
      <c r="G15" s="165"/>
      <c r="H15" s="165">
        <v>15840</v>
      </c>
      <c r="I15" s="164"/>
      <c r="J15" s="160"/>
      <c r="L15" s="135"/>
      <c r="M15" s="160"/>
      <c r="N15" s="160"/>
      <c r="Q15" s="345"/>
    </row>
    <row r="16" spans="1:17" ht="15">
      <c r="A16" s="128" t="s">
        <v>204</v>
      </c>
      <c r="B16" s="127" t="s">
        <v>374</v>
      </c>
      <c r="C16" s="128" t="s">
        <v>119</v>
      </c>
      <c r="D16" s="163">
        <v>0</v>
      </c>
      <c r="E16" s="164"/>
      <c r="F16" s="163">
        <v>0</v>
      </c>
      <c r="G16" s="164"/>
      <c r="H16" s="163">
        <v>0</v>
      </c>
      <c r="I16" s="164"/>
      <c r="J16" s="160"/>
      <c r="L16" s="135"/>
      <c r="M16" s="160"/>
      <c r="N16" s="180"/>
      <c r="Q16" s="344"/>
    </row>
    <row r="17" spans="1:17" ht="15.75">
      <c r="A17" s="128" t="s">
        <v>202</v>
      </c>
      <c r="B17" s="130" t="s">
        <v>355</v>
      </c>
      <c r="C17" s="128" t="s">
        <v>119</v>
      </c>
      <c r="D17" s="135">
        <f>SUM(D12:D16)</f>
        <v>2192107.5300000003</v>
      </c>
      <c r="F17" s="135">
        <f>SUM(F12:F16)</f>
        <v>2284395.7000000002</v>
      </c>
      <c r="H17" s="135">
        <f>SUM(H12:H16)</f>
        <v>1949607.74</v>
      </c>
      <c r="J17" s="176"/>
      <c r="L17" s="135"/>
      <c r="M17" s="160"/>
      <c r="N17" s="180"/>
      <c r="Q17" s="344"/>
    </row>
    <row r="18" spans="1:17" ht="15">
      <c r="A18" s="128" t="s">
        <v>200</v>
      </c>
      <c r="B18" s="127" t="s">
        <v>354</v>
      </c>
      <c r="C18" s="128" t="s">
        <v>119</v>
      </c>
      <c r="D18" s="135">
        <v>795525.73</v>
      </c>
      <c r="F18" s="135">
        <v>40009.269999999997</v>
      </c>
      <c r="H18" s="135">
        <v>2006509.82</v>
      </c>
      <c r="J18" s="238"/>
      <c r="L18" s="135"/>
      <c r="M18" s="160"/>
      <c r="N18" s="180"/>
      <c r="Q18" s="344"/>
    </row>
    <row r="19" spans="1:17" ht="15">
      <c r="A19" s="128" t="s">
        <v>198</v>
      </c>
      <c r="B19" s="127" t="s">
        <v>373</v>
      </c>
      <c r="C19" s="128" t="s">
        <v>119</v>
      </c>
      <c r="D19" s="135">
        <v>0</v>
      </c>
      <c r="F19" s="135">
        <v>0</v>
      </c>
      <c r="H19" s="135">
        <v>0</v>
      </c>
      <c r="J19" s="160"/>
      <c r="L19" s="135"/>
      <c r="M19" s="160"/>
      <c r="N19" s="180"/>
      <c r="Q19" s="344"/>
    </row>
    <row r="20" spans="1:17" ht="15">
      <c r="A20" s="128" t="s">
        <v>196</v>
      </c>
      <c r="B20" s="127" t="s">
        <v>353</v>
      </c>
      <c r="D20" s="135"/>
      <c r="F20" s="135"/>
      <c r="G20" s="164"/>
      <c r="H20" s="135"/>
      <c r="J20" s="160"/>
      <c r="M20" s="160"/>
      <c r="N20" s="180"/>
      <c r="Q20" s="344"/>
    </row>
    <row r="21" spans="1:17" ht="15">
      <c r="A21" s="128" t="s">
        <v>195</v>
      </c>
      <c r="B21" s="127" t="s">
        <v>352</v>
      </c>
      <c r="C21" s="128" t="s">
        <v>119</v>
      </c>
      <c r="D21" s="165"/>
      <c r="F21" s="165"/>
      <c r="G21" s="164"/>
      <c r="H21" s="165"/>
      <c r="J21" s="160"/>
      <c r="M21" s="160"/>
      <c r="N21" s="180"/>
      <c r="Q21" s="344"/>
    </row>
    <row r="22" spans="1:17" ht="15">
      <c r="A22" s="128" t="s">
        <v>194</v>
      </c>
      <c r="B22" s="127" t="s">
        <v>351</v>
      </c>
      <c r="C22" s="128" t="s">
        <v>119</v>
      </c>
      <c r="D22" s="165"/>
      <c r="F22" s="165"/>
      <c r="G22" s="164"/>
      <c r="H22" s="165"/>
      <c r="J22" s="160"/>
      <c r="M22" s="160"/>
      <c r="N22" s="180"/>
      <c r="Q22" s="344"/>
    </row>
    <row r="23" spans="1:17" ht="15">
      <c r="A23" s="128" t="s">
        <v>192</v>
      </c>
      <c r="B23" s="127" t="s">
        <v>372</v>
      </c>
      <c r="C23" s="128" t="s">
        <v>119</v>
      </c>
      <c r="D23" s="165">
        <v>147954</v>
      </c>
      <c r="F23" s="165">
        <v>147954</v>
      </c>
      <c r="G23" s="165"/>
      <c r="H23" s="165">
        <v>147954</v>
      </c>
      <c r="J23" s="160"/>
      <c r="M23" s="160"/>
      <c r="N23" s="180"/>
      <c r="Q23" s="344"/>
    </row>
    <row r="24" spans="1:17" ht="15">
      <c r="A24" s="128" t="s">
        <v>190</v>
      </c>
      <c r="B24" s="127" t="s">
        <v>350</v>
      </c>
      <c r="D24" s="135"/>
      <c r="F24" s="135"/>
      <c r="G24" s="164"/>
      <c r="H24" s="135"/>
      <c r="J24" s="160"/>
      <c r="M24" s="160"/>
      <c r="N24" s="180"/>
    </row>
    <row r="25" spans="1:17" ht="15">
      <c r="A25" s="128" t="s">
        <v>188</v>
      </c>
      <c r="B25" s="127" t="s">
        <v>189</v>
      </c>
      <c r="C25" s="128" t="s">
        <v>119</v>
      </c>
      <c r="D25" s="165">
        <v>4167729.36</v>
      </c>
      <c r="F25" s="165">
        <v>3184081.39</v>
      </c>
      <c r="G25" s="164"/>
      <c r="H25" s="165">
        <v>22720</v>
      </c>
      <c r="J25" s="160"/>
      <c r="M25" s="160"/>
      <c r="N25" s="180"/>
    </row>
    <row r="26" spans="1:17" ht="15">
      <c r="A26" s="128" t="s">
        <v>186</v>
      </c>
      <c r="B26" s="127" t="s">
        <v>232</v>
      </c>
      <c r="C26" s="128" t="s">
        <v>119</v>
      </c>
      <c r="D26" s="165">
        <v>-29777.03</v>
      </c>
      <c r="F26" s="165">
        <v>-2200</v>
      </c>
      <c r="G26" s="164"/>
      <c r="H26" s="165">
        <v>-306312.44</v>
      </c>
      <c r="J26" s="238"/>
      <c r="M26" s="160"/>
      <c r="N26" s="180"/>
    </row>
    <row r="27" spans="1:17" ht="15">
      <c r="A27" s="128" t="s">
        <v>184</v>
      </c>
      <c r="B27" s="127" t="s">
        <v>349</v>
      </c>
      <c r="C27" s="128" t="s">
        <v>119</v>
      </c>
      <c r="D27" s="458">
        <v>389.78</v>
      </c>
      <c r="F27" s="458">
        <v>881.28</v>
      </c>
      <c r="G27" s="164"/>
      <c r="H27" s="458">
        <v>3865.09</v>
      </c>
      <c r="J27" s="160"/>
      <c r="M27" s="160"/>
      <c r="N27" s="180"/>
    </row>
    <row r="28" spans="1:17" ht="15">
      <c r="A28" s="128" t="s">
        <v>181</v>
      </c>
      <c r="B28" s="127" t="s">
        <v>348</v>
      </c>
      <c r="C28" s="128" t="s">
        <v>119</v>
      </c>
      <c r="D28" s="165">
        <v>-1099.46</v>
      </c>
      <c r="F28" s="165">
        <v>-538.27</v>
      </c>
      <c r="G28" s="164"/>
      <c r="H28" s="165">
        <v>-1109.6099999999999</v>
      </c>
      <c r="J28" s="238"/>
      <c r="M28" s="160"/>
      <c r="N28" s="180"/>
    </row>
    <row r="29" spans="1:17" ht="15">
      <c r="A29" s="128" t="s">
        <v>180</v>
      </c>
      <c r="B29" s="127" t="s">
        <v>347</v>
      </c>
      <c r="C29" s="128" t="s">
        <v>119</v>
      </c>
      <c r="D29" s="165">
        <v>0</v>
      </c>
      <c r="F29" s="165">
        <v>0</v>
      </c>
      <c r="G29" s="164"/>
      <c r="H29" s="165">
        <v>0</v>
      </c>
      <c r="J29" s="160"/>
      <c r="M29" s="160"/>
      <c r="N29" s="180"/>
    </row>
    <row r="30" spans="1:17" ht="16.5">
      <c r="A30" s="128" t="s">
        <v>179</v>
      </c>
      <c r="B30" s="127" t="s">
        <v>346</v>
      </c>
      <c r="C30" s="128" t="s">
        <v>119</v>
      </c>
      <c r="D30" s="163">
        <v>1025531.2200000001</v>
      </c>
      <c r="F30" s="163">
        <v>-195620.20999999996</v>
      </c>
      <c r="G30" s="164"/>
      <c r="H30" s="163">
        <v>873668.94</v>
      </c>
      <c r="J30" s="160"/>
      <c r="L30" s="238"/>
      <c r="M30" s="238"/>
    </row>
    <row r="31" spans="1:17" ht="15.75">
      <c r="A31" s="128" t="s">
        <v>178</v>
      </c>
      <c r="B31" s="130" t="s">
        <v>371</v>
      </c>
      <c r="C31" s="128" t="s">
        <v>119</v>
      </c>
      <c r="D31" s="135">
        <f>SUM(D17:D30)</f>
        <v>8298361.1299999999</v>
      </c>
      <c r="F31" s="135">
        <f>SUM(F17:F30)</f>
        <v>5458963.1600000011</v>
      </c>
      <c r="H31" s="135">
        <f>SUM(H17:H30)</f>
        <v>4696903.54</v>
      </c>
      <c r="J31" s="176"/>
      <c r="M31" s="129"/>
      <c r="N31" s="129"/>
      <c r="O31" s="129"/>
    </row>
    <row r="32" spans="1:17" ht="15">
      <c r="A32" s="128" t="s">
        <v>143</v>
      </c>
      <c r="B32" s="127" t="s">
        <v>370</v>
      </c>
      <c r="D32" s="135"/>
      <c r="F32" s="135"/>
      <c r="H32" s="135"/>
      <c r="J32" s="160"/>
      <c r="M32" s="140"/>
      <c r="N32" s="140"/>
      <c r="O32" s="140"/>
    </row>
    <row r="33" spans="1:13" ht="15">
      <c r="A33" s="128" t="s">
        <v>176</v>
      </c>
      <c r="B33" s="127" t="s">
        <v>344</v>
      </c>
      <c r="C33" s="128" t="s">
        <v>119</v>
      </c>
      <c r="D33" s="179"/>
      <c r="F33" s="235"/>
      <c r="G33" s="164"/>
      <c r="H33" s="178"/>
      <c r="J33" s="160"/>
    </row>
    <row r="34" spans="1:13" ht="15">
      <c r="A34" s="128" t="s">
        <v>175</v>
      </c>
      <c r="B34" s="127" t="s">
        <v>343</v>
      </c>
      <c r="C34" s="128" t="s">
        <v>119</v>
      </c>
      <c r="D34" s="165"/>
      <c r="F34" s="165"/>
      <c r="G34" s="164"/>
      <c r="H34" s="165"/>
      <c r="J34" s="160"/>
    </row>
    <row r="35" spans="1:13" ht="15">
      <c r="A35" s="128" t="s">
        <v>173</v>
      </c>
      <c r="B35" s="127" t="s">
        <v>369</v>
      </c>
      <c r="C35" s="128" t="s">
        <v>119</v>
      </c>
      <c r="D35" s="163"/>
      <c r="F35" s="163"/>
      <c r="G35" s="164"/>
      <c r="H35" s="163"/>
      <c r="J35" s="160"/>
      <c r="M35" s="129"/>
    </row>
    <row r="36" spans="1:13" ht="15.75" thickBot="1">
      <c r="A36" s="128" t="s">
        <v>172</v>
      </c>
      <c r="B36" s="130" t="s">
        <v>368</v>
      </c>
      <c r="C36" s="128" t="s">
        <v>119</v>
      </c>
      <c r="D36" s="177">
        <f>D31+D33+D34+D35</f>
        <v>8298361.1299999999</v>
      </c>
      <c r="F36" s="177">
        <f>F31+F33+F34+F35</f>
        <v>5458963.1600000011</v>
      </c>
      <c r="H36" s="177">
        <f>H31+H33+H34+H35</f>
        <v>4696903.54</v>
      </c>
      <c r="J36" s="140"/>
      <c r="L36" s="140"/>
      <c r="M36" s="129"/>
    </row>
    <row r="37" spans="1:13" ht="15.75" thickTop="1">
      <c r="D37" s="135"/>
      <c r="E37" s="135"/>
      <c r="F37" s="135"/>
      <c r="H37" s="135"/>
      <c r="J37" s="160"/>
      <c r="L37" s="135"/>
      <c r="M37" s="129"/>
    </row>
    <row r="38" spans="1:13" ht="16.5">
      <c r="B38" s="157" t="s">
        <v>367</v>
      </c>
      <c r="M38" s="140"/>
    </row>
    <row r="39" spans="1:13" ht="16.5">
      <c r="B39" s="157" t="s">
        <v>366</v>
      </c>
      <c r="M39" s="129"/>
    </row>
    <row r="40" spans="1:13">
      <c r="B40" s="142" t="s">
        <v>338</v>
      </c>
    </row>
    <row r="41" spans="1:13">
      <c r="A41" s="128"/>
      <c r="F41" s="135"/>
      <c r="H41" s="239"/>
      <c r="M41" s="238"/>
    </row>
    <row r="42" spans="1:13">
      <c r="A42" s="128"/>
      <c r="D42" s="319"/>
      <c r="E42" s="319"/>
      <c r="F42" s="319"/>
      <c r="H42" s="159"/>
    </row>
    <row r="43" spans="1:13">
      <c r="A43" s="128"/>
      <c r="B43" s="164"/>
      <c r="D43" s="140"/>
      <c r="F43" s="140"/>
      <c r="H43" s="140"/>
    </row>
    <row r="44" spans="1:13">
      <c r="A44" s="128"/>
    </row>
    <row r="45" spans="1:13">
      <c r="A45" s="128"/>
    </row>
    <row r="48" spans="1:13">
      <c r="D48" s="128"/>
      <c r="L48" s="168"/>
    </row>
    <row r="49" spans="1:12">
      <c r="A49" s="128"/>
      <c r="B49" s="128"/>
      <c r="D49" s="128"/>
      <c r="F49" s="128"/>
      <c r="H49" s="128"/>
      <c r="J49" s="128"/>
      <c r="L49" s="168"/>
    </row>
    <row r="50" spans="1:12">
      <c r="A50" s="128"/>
      <c r="D50" s="140"/>
      <c r="F50" s="140"/>
      <c r="G50" s="140"/>
      <c r="H50" s="140"/>
      <c r="I50" s="140"/>
      <c r="J50" s="140"/>
    </row>
    <row r="51" spans="1:12">
      <c r="A51" s="128"/>
      <c r="D51" s="140"/>
      <c r="F51" s="140"/>
      <c r="G51" s="140"/>
      <c r="H51" s="140"/>
      <c r="I51" s="140"/>
      <c r="J51" s="140"/>
    </row>
    <row r="52" spans="1:12">
      <c r="A52" s="128"/>
      <c r="C52" s="128"/>
      <c r="D52" s="175"/>
      <c r="E52" s="164"/>
      <c r="F52" s="175"/>
      <c r="G52" s="175"/>
      <c r="H52" s="175"/>
      <c r="I52" s="164"/>
      <c r="J52" s="175"/>
    </row>
    <row r="53" spans="1:12">
      <c r="A53" s="128"/>
      <c r="C53" s="128"/>
      <c r="D53" s="175"/>
      <c r="E53" s="164"/>
      <c r="F53" s="175"/>
      <c r="G53" s="175"/>
      <c r="H53" s="175"/>
      <c r="I53" s="164"/>
      <c r="J53" s="175"/>
    </row>
    <row r="54" spans="1:12">
      <c r="A54" s="128"/>
      <c r="C54" s="128"/>
      <c r="D54" s="140"/>
      <c r="F54" s="140"/>
      <c r="G54" s="140"/>
      <c r="H54" s="140"/>
      <c r="J54" s="140"/>
      <c r="L54" s="135"/>
    </row>
    <row r="55" spans="1:12">
      <c r="A55" s="128"/>
      <c r="C55" s="128"/>
      <c r="D55" s="140"/>
      <c r="F55" s="140"/>
      <c r="G55" s="140"/>
      <c r="H55" s="140"/>
      <c r="J55" s="140"/>
      <c r="L55" s="135"/>
    </row>
    <row r="56" spans="1:12">
      <c r="A56" s="128"/>
    </row>
    <row r="57" spans="1:12">
      <c r="A57" s="128"/>
      <c r="C57" s="128"/>
      <c r="D57" s="175"/>
      <c r="F57" s="175"/>
      <c r="G57" s="164"/>
      <c r="H57" s="175"/>
      <c r="J57" s="175"/>
    </row>
    <row r="58" spans="1:12">
      <c r="A58" s="128"/>
      <c r="C58" s="128"/>
      <c r="D58" s="175"/>
      <c r="F58" s="175"/>
      <c r="G58" s="164"/>
      <c r="H58" s="175"/>
      <c r="J58" s="175"/>
    </row>
    <row r="59" spans="1:12">
      <c r="A59" s="128"/>
      <c r="D59" s="140"/>
      <c r="F59" s="165"/>
      <c r="G59" s="164"/>
      <c r="H59" s="175"/>
      <c r="J59" s="175"/>
    </row>
    <row r="60" spans="1:12">
      <c r="A60" s="128"/>
      <c r="C60" s="128"/>
      <c r="D60" s="175"/>
      <c r="F60" s="175"/>
      <c r="G60" s="164"/>
      <c r="H60" s="175"/>
      <c r="J60" s="175"/>
    </row>
    <row r="61" spans="1:12">
      <c r="A61" s="128"/>
      <c r="C61" s="128"/>
      <c r="D61" s="175"/>
      <c r="F61" s="175"/>
      <c r="G61" s="164"/>
      <c r="H61" s="175"/>
      <c r="J61" s="175"/>
    </row>
    <row r="62" spans="1:12">
      <c r="A62" s="128"/>
      <c r="C62" s="128"/>
      <c r="D62" s="175"/>
      <c r="F62" s="175"/>
      <c r="G62" s="164"/>
      <c r="H62" s="175"/>
      <c r="J62" s="175"/>
    </row>
    <row r="63" spans="1:12">
      <c r="A63" s="128"/>
      <c r="C63" s="128"/>
      <c r="D63" s="140"/>
      <c r="F63" s="140"/>
      <c r="H63" s="140"/>
      <c r="J63" s="140"/>
    </row>
    <row r="64" spans="1:12">
      <c r="A64" s="128"/>
      <c r="C64" s="128"/>
      <c r="D64" s="175"/>
      <c r="F64" s="175"/>
      <c r="G64" s="164"/>
      <c r="H64" s="175"/>
      <c r="J64" s="175"/>
    </row>
    <row r="65" spans="1:10">
      <c r="A65" s="128"/>
      <c r="C65" s="128"/>
      <c r="D65" s="140"/>
      <c r="F65" s="140"/>
      <c r="H65" s="140"/>
      <c r="J65" s="140"/>
    </row>
    <row r="66" spans="1:10">
      <c r="F66" s="140"/>
    </row>
    <row r="67" spans="1:10">
      <c r="A67" s="128"/>
      <c r="C67" s="128"/>
      <c r="D67" s="175"/>
      <c r="F67" s="175"/>
      <c r="G67" s="164"/>
      <c r="H67" s="175"/>
      <c r="J67" s="175"/>
    </row>
    <row r="68" spans="1:10">
      <c r="A68" s="128"/>
      <c r="C68" s="128"/>
      <c r="D68" s="175"/>
      <c r="F68" s="175"/>
      <c r="G68" s="164"/>
      <c r="H68" s="175"/>
      <c r="J68" s="175"/>
    </row>
    <row r="69" spans="1:10">
      <c r="D69" s="175"/>
      <c r="F69" s="175"/>
      <c r="G69" s="164"/>
      <c r="H69" s="175"/>
      <c r="J69" s="175"/>
    </row>
    <row r="70" spans="1:10">
      <c r="A70" s="173"/>
      <c r="C70" s="128"/>
      <c r="D70" s="175"/>
      <c r="F70" s="175"/>
      <c r="G70" s="164"/>
      <c r="H70" s="175"/>
      <c r="J70" s="175"/>
    </row>
    <row r="71" spans="1:10">
      <c r="D71" s="140"/>
      <c r="F71" s="135"/>
      <c r="G71" s="135"/>
      <c r="H71" s="135"/>
      <c r="J71" s="135"/>
    </row>
    <row r="72" spans="1:10">
      <c r="A72" s="128"/>
      <c r="C72" s="128"/>
      <c r="D72" s="140"/>
      <c r="F72" s="140"/>
      <c r="G72" s="135"/>
      <c r="H72" s="140"/>
      <c r="J72" s="140"/>
    </row>
    <row r="73" spans="1:10">
      <c r="D73" s="137"/>
      <c r="F73" s="140"/>
      <c r="H73" s="140"/>
      <c r="J73" s="140"/>
    </row>
    <row r="93" spans="6:6">
      <c r="F93" s="175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  <ignoredErrors>
    <ignoredError sqref="A10:A3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zoomScale="70" zoomScaleNormal="70" zoomScaleSheetLayoutView="82" zoomScalePageLayoutView="55" workbookViewId="0">
      <selection activeCell="R32" sqref="R32"/>
    </sheetView>
  </sheetViews>
  <sheetFormatPr defaultColWidth="12.5703125" defaultRowHeight="15"/>
  <cols>
    <col min="1" max="1" width="7" style="127" customWidth="1"/>
    <col min="2" max="2" width="19.140625" style="127" customWidth="1"/>
    <col min="3" max="3" width="31.7109375" style="127" bestFit="1" customWidth="1"/>
    <col min="4" max="4" width="17" style="127" customWidth="1"/>
    <col min="5" max="5" width="12.7109375" style="127" bestFit="1" customWidth="1"/>
    <col min="6" max="6" width="17" style="127" bestFit="1" customWidth="1"/>
    <col min="7" max="7" width="12.140625" style="127" bestFit="1" customWidth="1"/>
    <col min="8" max="8" width="18.140625" style="127" customWidth="1"/>
    <col min="9" max="9" width="12" style="127" bestFit="1" customWidth="1"/>
    <col min="10" max="10" width="18.7109375" style="182" customWidth="1"/>
    <col min="11" max="11" width="13.140625" style="127" bestFit="1" customWidth="1"/>
    <col min="12" max="12" width="19.42578125" style="127" customWidth="1"/>
    <col min="13" max="13" width="9.85546875" style="160" customWidth="1"/>
    <col min="14" max="14" width="19" style="127" customWidth="1"/>
    <col min="15" max="15" width="16.85546875" style="127" bestFit="1" customWidth="1"/>
    <col min="16" max="16" width="30.28515625" style="127" bestFit="1" customWidth="1"/>
    <col min="17" max="17" width="7.42578125" style="127" bestFit="1" customWidth="1"/>
    <col min="18" max="18" width="18.140625" style="127" bestFit="1" customWidth="1"/>
    <col min="19" max="16384" width="12.5703125" style="127"/>
  </cols>
  <sheetData>
    <row r="1" spans="1:18" ht="15.75">
      <c r="A1" s="130" t="s">
        <v>40</v>
      </c>
      <c r="B1" s="173"/>
      <c r="N1" s="127" t="s">
        <v>337</v>
      </c>
    </row>
    <row r="2" spans="1:18">
      <c r="A2" s="127" t="s">
        <v>400</v>
      </c>
      <c r="B2" s="173"/>
      <c r="N2" s="127" t="s">
        <v>399</v>
      </c>
    </row>
    <row r="3" spans="1:18">
      <c r="A3" s="372">
        <f>D.1!A3:D3</f>
        <v>45383</v>
      </c>
      <c r="B3" s="372"/>
      <c r="C3" s="372"/>
      <c r="D3" s="372"/>
    </row>
    <row r="4" spans="1:18">
      <c r="A4" s="373" t="str">
        <f>D.1!A4</f>
        <v>2024-00185</v>
      </c>
      <c r="B4" s="373"/>
      <c r="C4" s="373"/>
      <c r="D4" s="373"/>
    </row>
    <row r="5" spans="1:18" ht="17.25" customHeight="1">
      <c r="D5" s="128" t="s">
        <v>35</v>
      </c>
      <c r="E5" s="128" t="s">
        <v>34</v>
      </c>
      <c r="F5" s="128" t="s">
        <v>33</v>
      </c>
      <c r="G5" s="128" t="s">
        <v>129</v>
      </c>
      <c r="H5" s="128" t="s">
        <v>128</v>
      </c>
      <c r="I5" s="168" t="s">
        <v>212</v>
      </c>
      <c r="J5" s="128" t="s">
        <v>334</v>
      </c>
      <c r="K5" s="128" t="s">
        <v>398</v>
      </c>
      <c r="L5" s="128" t="s">
        <v>397</v>
      </c>
      <c r="N5" s="128" t="s">
        <v>396</v>
      </c>
      <c r="O5" s="135"/>
      <c r="P5" s="128"/>
    </row>
    <row r="6" spans="1:18" ht="15" customHeight="1">
      <c r="A6" s="128" t="s">
        <v>32</v>
      </c>
      <c r="E6" s="128" t="s">
        <v>395</v>
      </c>
      <c r="F6" s="128" t="s">
        <v>395</v>
      </c>
      <c r="G6" s="128" t="s">
        <v>7</v>
      </c>
      <c r="H6" s="128" t="s">
        <v>7</v>
      </c>
      <c r="I6" s="128" t="s">
        <v>394</v>
      </c>
      <c r="J6" s="189" t="s">
        <v>393</v>
      </c>
      <c r="K6" s="128" t="s">
        <v>523</v>
      </c>
      <c r="L6" s="128" t="s">
        <v>524</v>
      </c>
      <c r="N6" s="128" t="s">
        <v>122</v>
      </c>
    </row>
    <row r="7" spans="1:18" ht="15" customHeight="1">
      <c r="A7" s="128" t="s">
        <v>31</v>
      </c>
      <c r="B7" s="173" t="s">
        <v>48</v>
      </c>
      <c r="C7" s="128" t="s">
        <v>392</v>
      </c>
      <c r="D7" s="128" t="s">
        <v>391</v>
      </c>
      <c r="E7" s="128" t="s">
        <v>123</v>
      </c>
      <c r="F7" s="128" t="s">
        <v>390</v>
      </c>
      <c r="G7" s="128" t="s">
        <v>123</v>
      </c>
      <c r="H7" s="128" t="s">
        <v>390</v>
      </c>
      <c r="I7" s="128" t="s">
        <v>123</v>
      </c>
      <c r="J7" s="189" t="s">
        <v>390</v>
      </c>
      <c r="K7" s="128" t="s">
        <v>123</v>
      </c>
      <c r="L7" s="128" t="s">
        <v>390</v>
      </c>
      <c r="N7" s="128" t="s">
        <v>389</v>
      </c>
    </row>
    <row r="8" spans="1:18" ht="15" customHeight="1">
      <c r="A8" s="128"/>
      <c r="B8" s="173"/>
      <c r="C8" s="128"/>
      <c r="D8" s="128"/>
      <c r="E8" s="128"/>
      <c r="F8" s="128"/>
      <c r="G8" s="128"/>
      <c r="H8" s="128"/>
    </row>
    <row r="9" spans="1:18" ht="15" customHeight="1">
      <c r="A9" s="128" t="s">
        <v>210</v>
      </c>
      <c r="B9" s="188">
        <v>45323</v>
      </c>
      <c r="C9" s="127" t="s">
        <v>388</v>
      </c>
      <c r="D9" s="175">
        <v>2974230.2286999999</v>
      </c>
      <c r="E9" s="296">
        <v>-0.88</v>
      </c>
      <c r="F9" s="137">
        <f>ROUND($D9*E9,2)</f>
        <v>-2617322.6</v>
      </c>
      <c r="G9" s="296">
        <v>0</v>
      </c>
      <c r="H9" s="137">
        <f>ROUND($D9*G9,2)</f>
        <v>0</v>
      </c>
      <c r="I9" s="271">
        <v>0.16800000000000001</v>
      </c>
      <c r="J9" s="137">
        <f>ROUND($D9*I9,2)</f>
        <v>499670.68</v>
      </c>
      <c r="K9" s="271">
        <v>4.2412000000000001</v>
      </c>
      <c r="L9" s="137">
        <f>ROUND($D9*K9,2)</f>
        <v>12614305.25</v>
      </c>
      <c r="M9" s="459"/>
      <c r="N9" s="137">
        <f>F9+H9+J9+L9</f>
        <v>10496653.33</v>
      </c>
      <c r="O9" s="184"/>
    </row>
    <row r="10" spans="1:18" ht="15" customHeight="1">
      <c r="A10" s="128" t="s">
        <v>45</v>
      </c>
      <c r="C10" s="127" t="s">
        <v>387</v>
      </c>
      <c r="D10" s="460">
        <v>2828.8184000000001</v>
      </c>
      <c r="E10" s="296">
        <v>-0.88</v>
      </c>
      <c r="F10" s="141">
        <f>ROUND($D10*E10,2)</f>
        <v>-2489.36</v>
      </c>
      <c r="G10" s="296">
        <f>G9</f>
        <v>0</v>
      </c>
      <c r="H10" s="141">
        <f>ROUND($D10*G10,2)</f>
        <v>0</v>
      </c>
      <c r="I10" s="271">
        <v>0.16800000000000001</v>
      </c>
      <c r="J10" s="141">
        <f>ROUND($D10*I10,2)</f>
        <v>475.24</v>
      </c>
      <c r="K10" s="271">
        <v>3.1139999999999999</v>
      </c>
      <c r="L10" s="141">
        <f>ROUND($D10*K10,2)</f>
        <v>8808.94</v>
      </c>
      <c r="M10" s="459"/>
      <c r="N10" s="248">
        <f>F10+H10+J10+L10</f>
        <v>6794.8200000000006</v>
      </c>
      <c r="O10" s="184"/>
    </row>
    <row r="11" spans="1:18" ht="15" customHeight="1">
      <c r="A11" s="128" t="s">
        <v>205</v>
      </c>
      <c r="C11" s="127" t="s">
        <v>386</v>
      </c>
      <c r="D11" s="290">
        <f>SUM(D9:D10)</f>
        <v>2977059.0471000001</v>
      </c>
      <c r="E11" s="296"/>
      <c r="F11" s="137">
        <f>SUM(F9:F10)</f>
        <v>-2619811.96</v>
      </c>
      <c r="G11" s="140"/>
      <c r="H11" s="137">
        <f>H9+H10</f>
        <v>0</v>
      </c>
      <c r="I11" s="271"/>
      <c r="J11" s="137">
        <f>SUM(J9:J10)</f>
        <v>500145.91999999998</v>
      </c>
      <c r="K11" s="271"/>
      <c r="L11" s="137">
        <f>SUM(L9:L10)</f>
        <v>12623114.189999999</v>
      </c>
      <c r="M11" s="137"/>
      <c r="N11" s="137">
        <f>SUM(N9:N10)</f>
        <v>10503448.15</v>
      </c>
      <c r="O11" s="140"/>
      <c r="P11" s="325"/>
      <c r="Q11" s="137"/>
      <c r="R11" s="137"/>
    </row>
    <row r="12" spans="1:18" ht="15" customHeight="1">
      <c r="A12" s="128" t="s">
        <v>204</v>
      </c>
      <c r="C12" s="127" t="s">
        <v>385</v>
      </c>
      <c r="D12" s="461">
        <v>0</v>
      </c>
      <c r="E12" s="296"/>
      <c r="F12" s="460">
        <v>-11144.860000000335</v>
      </c>
      <c r="G12" s="140"/>
      <c r="H12" s="141">
        <v>0</v>
      </c>
      <c r="I12" s="271"/>
      <c r="J12" s="141">
        <v>6592.8900000000795</v>
      </c>
      <c r="K12" s="271"/>
      <c r="L12" s="141">
        <v>66546.99000000082</v>
      </c>
      <c r="M12" s="459"/>
      <c r="N12" s="248">
        <f>F12+H12+J12+L12</f>
        <v>61995.020000000564</v>
      </c>
      <c r="O12" s="326"/>
      <c r="P12" s="327"/>
    </row>
    <row r="13" spans="1:18" ht="15" customHeight="1">
      <c r="A13" s="128" t="s">
        <v>202</v>
      </c>
      <c r="C13" s="127" t="s">
        <v>122</v>
      </c>
      <c r="D13" s="240">
        <f>SUM(D11:D12)</f>
        <v>2977059.0471000001</v>
      </c>
      <c r="E13" s="296"/>
      <c r="F13" s="137">
        <f>F11+F12</f>
        <v>-2630956.8200000003</v>
      </c>
      <c r="G13" s="140"/>
      <c r="H13" s="137">
        <f>H11+H12</f>
        <v>0</v>
      </c>
      <c r="I13" s="271"/>
      <c r="J13" s="137">
        <f>J11+J12</f>
        <v>506738.81000000006</v>
      </c>
      <c r="K13" s="271"/>
      <c r="L13" s="137">
        <f>L11+L12</f>
        <v>12689661.18</v>
      </c>
      <c r="M13" s="137"/>
      <c r="N13" s="137">
        <f>N11+N12</f>
        <v>10565443.170000002</v>
      </c>
      <c r="O13" s="137">
        <f>F13+L13</f>
        <v>10058704.359999999</v>
      </c>
      <c r="P13" s="328"/>
      <c r="Q13" s="159"/>
      <c r="R13" s="294"/>
    </row>
    <row r="14" spans="1:18" ht="15" customHeight="1">
      <c r="A14" s="128" t="s">
        <v>200</v>
      </c>
      <c r="D14" s="462"/>
      <c r="E14" s="296"/>
      <c r="F14" s="236"/>
      <c r="G14" s="459"/>
      <c r="H14" s="236"/>
      <c r="I14" s="271"/>
      <c r="J14" s="236"/>
      <c r="K14" s="271"/>
      <c r="L14" s="236"/>
      <c r="M14" s="459"/>
      <c r="N14" s="137"/>
      <c r="O14" s="137"/>
      <c r="P14" s="295"/>
    </row>
    <row r="15" spans="1:18" ht="15" customHeight="1">
      <c r="A15" s="128" t="s">
        <v>198</v>
      </c>
      <c r="D15" s="240"/>
      <c r="E15" s="296"/>
      <c r="I15" s="271"/>
      <c r="K15" s="271"/>
      <c r="M15" s="459"/>
      <c r="N15" s="137"/>
      <c r="O15" s="137"/>
      <c r="P15" s="328"/>
      <c r="Q15" s="344"/>
    </row>
    <row r="16" spans="1:18" ht="15" customHeight="1">
      <c r="A16" s="128" t="s">
        <v>196</v>
      </c>
      <c r="B16" s="187">
        <v>45352</v>
      </c>
      <c r="C16" s="127" t="s">
        <v>388</v>
      </c>
      <c r="D16" s="175">
        <v>1754880.7461000001</v>
      </c>
      <c r="E16" s="296">
        <f>E9</f>
        <v>-0.88</v>
      </c>
      <c r="F16" s="137">
        <f>ROUND($D16*E16,2)</f>
        <v>-1544295.06</v>
      </c>
      <c r="G16" s="296">
        <f>G9</f>
        <v>0</v>
      </c>
      <c r="H16" s="137">
        <f>ROUND($D16*G16,2)</f>
        <v>0</v>
      </c>
      <c r="I16" s="271">
        <f>+I9</f>
        <v>0.16800000000000001</v>
      </c>
      <c r="J16" s="137">
        <f>ROUND($D16*I16,2)</f>
        <v>294819.96999999997</v>
      </c>
      <c r="K16" s="271">
        <f>K9</f>
        <v>4.2412000000000001</v>
      </c>
      <c r="L16" s="137">
        <f>ROUND($D16*K16,2)</f>
        <v>7442800.2199999997</v>
      </c>
      <c r="M16" s="459"/>
      <c r="N16" s="137">
        <f>F16+H16+J16+L16</f>
        <v>6193325.1299999999</v>
      </c>
      <c r="O16" s="137"/>
      <c r="P16" s="329"/>
      <c r="Q16" s="345"/>
    </row>
    <row r="17" spans="1:18" ht="15" customHeight="1">
      <c r="A17" s="128" t="s">
        <v>195</v>
      </c>
      <c r="C17" s="127" t="s">
        <v>387</v>
      </c>
      <c r="D17" s="460">
        <v>2303.9570000000003</v>
      </c>
      <c r="E17" s="296">
        <f>E10</f>
        <v>-0.88</v>
      </c>
      <c r="F17" s="141">
        <f>ROUND($D17*E17,2)</f>
        <v>-2027.48</v>
      </c>
      <c r="G17" s="296">
        <f>G10</f>
        <v>0</v>
      </c>
      <c r="H17" s="141">
        <f>ROUND($D17*G17,2)</f>
        <v>0</v>
      </c>
      <c r="I17" s="271">
        <f>I10</f>
        <v>0.16800000000000001</v>
      </c>
      <c r="J17" s="141">
        <f>ROUND($D17*I17,2)</f>
        <v>387.06</v>
      </c>
      <c r="K17" s="271">
        <f>K10</f>
        <v>3.1139999999999999</v>
      </c>
      <c r="L17" s="141">
        <f>ROUND($D17*K17,2)</f>
        <v>7174.52</v>
      </c>
      <c r="M17" s="459"/>
      <c r="N17" s="248">
        <f>F17+H17+J17+L17</f>
        <v>5534.1</v>
      </c>
      <c r="O17" s="137"/>
      <c r="P17" s="329"/>
      <c r="Q17" s="345"/>
    </row>
    <row r="18" spans="1:18" ht="15" customHeight="1">
      <c r="A18" s="128" t="s">
        <v>188</v>
      </c>
      <c r="C18" s="127" t="s">
        <v>386</v>
      </c>
      <c r="D18" s="290">
        <f>SUM(D16:D17)</f>
        <v>1757184.7031</v>
      </c>
      <c r="E18" s="296"/>
      <c r="F18" s="137">
        <f>SUM(F16:F17)</f>
        <v>-1546322.54</v>
      </c>
      <c r="G18" s="140"/>
      <c r="H18" s="137">
        <f>H16+H17</f>
        <v>0</v>
      </c>
      <c r="I18" s="271"/>
      <c r="J18" s="137">
        <f>SUM(J16:J17)</f>
        <v>295207.02999999997</v>
      </c>
      <c r="K18" s="271"/>
      <c r="L18" s="137">
        <f>SUM(L16:L17)</f>
        <v>7449974.7399999993</v>
      </c>
      <c r="M18" s="137"/>
      <c r="N18" s="137">
        <f>SUM(N16:N17)</f>
        <v>6198859.2299999995</v>
      </c>
      <c r="O18" s="137"/>
      <c r="P18" s="329"/>
      <c r="Q18" s="345"/>
    </row>
    <row r="19" spans="1:18" ht="15" customHeight="1">
      <c r="A19" s="128" t="s">
        <v>186</v>
      </c>
      <c r="C19" s="127" t="s">
        <v>385</v>
      </c>
      <c r="D19" s="461">
        <v>0</v>
      </c>
      <c r="E19" s="296"/>
      <c r="F19" s="141">
        <v>-312.57999999984168</v>
      </c>
      <c r="G19" s="140"/>
      <c r="H19" s="141">
        <v>0</v>
      </c>
      <c r="I19" s="271"/>
      <c r="J19" s="141">
        <v>3766.6900000000278</v>
      </c>
      <c r="K19" s="271"/>
      <c r="L19" s="141">
        <v>49442.270000000935</v>
      </c>
      <c r="M19" s="459"/>
      <c r="N19" s="248">
        <f>F19+H19+J19+L19</f>
        <v>52896.380000001125</v>
      </c>
      <c r="O19" s="137"/>
      <c r="P19" s="329"/>
      <c r="Q19" s="345"/>
    </row>
    <row r="20" spans="1:18" ht="15" customHeight="1">
      <c r="A20" s="128" t="s">
        <v>184</v>
      </c>
      <c r="C20" s="127" t="s">
        <v>122</v>
      </c>
      <c r="D20" s="290">
        <f>D18+D19</f>
        <v>1757184.7031</v>
      </c>
      <c r="E20" s="296"/>
      <c r="F20" s="137">
        <f>F18+F19</f>
        <v>-1546635.1199999999</v>
      </c>
      <c r="G20" s="140"/>
      <c r="H20" s="137">
        <f>H18+H19</f>
        <v>0</v>
      </c>
      <c r="I20" s="271"/>
      <c r="J20" s="137">
        <f>J18+J19</f>
        <v>298973.71999999997</v>
      </c>
      <c r="K20" s="271"/>
      <c r="L20" s="137">
        <f>L18+L19</f>
        <v>7499417.0099999998</v>
      </c>
      <c r="M20" s="137"/>
      <c r="N20" s="137">
        <f>N18+N19</f>
        <v>6251755.6100000003</v>
      </c>
      <c r="O20" s="137">
        <f>F20+L20</f>
        <v>5952781.8899999997</v>
      </c>
      <c r="P20" s="329"/>
      <c r="Q20" s="345"/>
    </row>
    <row r="21" spans="1:18" ht="15" customHeight="1">
      <c r="A21" s="128" t="s">
        <v>181</v>
      </c>
      <c r="D21" s="462"/>
      <c r="E21" s="296"/>
      <c r="F21" s="236"/>
      <c r="G21" s="459"/>
      <c r="H21" s="236"/>
      <c r="I21" s="271"/>
      <c r="J21" s="236"/>
      <c r="K21" s="271"/>
      <c r="L21" s="236"/>
      <c r="M21" s="459"/>
      <c r="N21" s="137"/>
      <c r="O21" s="137"/>
      <c r="P21" s="329"/>
      <c r="Q21" s="345"/>
    </row>
    <row r="22" spans="1:18" ht="15" customHeight="1">
      <c r="A22" s="128" t="s">
        <v>180</v>
      </c>
      <c r="D22" s="240"/>
      <c r="E22" s="296"/>
      <c r="I22" s="271"/>
      <c r="K22" s="271"/>
      <c r="M22" s="459"/>
      <c r="N22" s="137"/>
      <c r="O22" s="137"/>
      <c r="P22" s="329"/>
      <c r="Q22" s="345"/>
    </row>
    <row r="23" spans="1:18" ht="15" customHeight="1">
      <c r="A23" s="128" t="s">
        <v>179</v>
      </c>
      <c r="B23" s="187">
        <v>45383</v>
      </c>
      <c r="C23" s="127" t="s">
        <v>388</v>
      </c>
      <c r="D23" s="175">
        <v>1287288.8149999999</v>
      </c>
      <c r="E23" s="296">
        <f>E9</f>
        <v>-0.88</v>
      </c>
      <c r="F23" s="137">
        <f>ROUND($D23*E23,2)</f>
        <v>-1132814.1599999999</v>
      </c>
      <c r="G23" s="296">
        <f>G9</f>
        <v>0</v>
      </c>
      <c r="H23" s="137">
        <f>ROUND($D23*G23,2)</f>
        <v>0</v>
      </c>
      <c r="I23" s="271">
        <f>+I9</f>
        <v>0.16800000000000001</v>
      </c>
      <c r="J23" s="137">
        <f>ROUND($D23*I23,2)</f>
        <v>216264.52</v>
      </c>
      <c r="K23" s="271">
        <f>K9</f>
        <v>4.2412000000000001</v>
      </c>
      <c r="L23" s="137">
        <f>ROUND($D23*K23,2)</f>
        <v>5459649.3200000003</v>
      </c>
      <c r="M23" s="459"/>
      <c r="N23" s="137">
        <f>F23+H23+J23+L23</f>
        <v>4543099.6800000006</v>
      </c>
      <c r="O23" s="137"/>
      <c r="P23" s="329"/>
      <c r="Q23" s="345"/>
    </row>
    <row r="24" spans="1:18" ht="15" customHeight="1">
      <c r="A24" s="128" t="s">
        <v>178</v>
      </c>
      <c r="C24" s="127" t="s">
        <v>387</v>
      </c>
      <c r="D24" s="460">
        <v>1721.7092000000002</v>
      </c>
      <c r="E24" s="296">
        <f>E10</f>
        <v>-0.88</v>
      </c>
      <c r="F24" s="141">
        <f>ROUND($D24*E24,2)</f>
        <v>-1515.1</v>
      </c>
      <c r="G24" s="296">
        <f>G10</f>
        <v>0</v>
      </c>
      <c r="H24" s="141">
        <f>ROUND($D24*G24,2)</f>
        <v>0</v>
      </c>
      <c r="I24" s="271">
        <f>I10</f>
        <v>0.16800000000000001</v>
      </c>
      <c r="J24" s="141">
        <f>ROUND($D24*I24,2)</f>
        <v>289.25</v>
      </c>
      <c r="K24" s="271">
        <f>K10</f>
        <v>3.1139999999999999</v>
      </c>
      <c r="L24" s="141">
        <f>ROUND($D24*K24,2)</f>
        <v>5361.4</v>
      </c>
      <c r="M24" s="459"/>
      <c r="N24" s="248">
        <f>F24+H24+J24+L24</f>
        <v>4135.5499999999993</v>
      </c>
      <c r="O24" s="137"/>
      <c r="P24" s="329"/>
    </row>
    <row r="25" spans="1:18" ht="15" customHeight="1">
      <c r="A25" s="128" t="s">
        <v>173</v>
      </c>
      <c r="C25" s="127" t="s">
        <v>386</v>
      </c>
      <c r="D25" s="290">
        <f>SUM(D23:D24)</f>
        <v>1289010.5241999999</v>
      </c>
      <c r="E25" s="271"/>
      <c r="F25" s="137">
        <f>SUM(F23:F24)</f>
        <v>-1134329.26</v>
      </c>
      <c r="G25" s="140"/>
      <c r="H25" s="137">
        <f>H23+H24</f>
        <v>0</v>
      </c>
      <c r="I25" s="271"/>
      <c r="J25" s="137">
        <f>SUM(J23:J24)</f>
        <v>216553.77</v>
      </c>
      <c r="K25" s="271"/>
      <c r="L25" s="137">
        <f>SUM(L23:L24)</f>
        <v>5465010.7200000007</v>
      </c>
      <c r="M25" s="137"/>
      <c r="N25" s="137">
        <f>SUM(N23:N24)</f>
        <v>4547235.2300000004</v>
      </c>
      <c r="O25" s="137"/>
      <c r="P25" s="329"/>
    </row>
    <row r="26" spans="1:18" ht="15" customHeight="1">
      <c r="A26" s="128" t="s">
        <v>172</v>
      </c>
      <c r="C26" s="127" t="s">
        <v>385</v>
      </c>
      <c r="D26" s="461">
        <v>0</v>
      </c>
      <c r="E26" s="271"/>
      <c r="F26" s="141">
        <v>-218.41000000014901</v>
      </c>
      <c r="G26" s="140"/>
      <c r="H26" s="141">
        <v>0</v>
      </c>
      <c r="I26" s="271"/>
      <c r="J26" s="141">
        <v>3681.5400000000245</v>
      </c>
      <c r="K26" s="271"/>
      <c r="L26" s="141">
        <v>48823.329999997724</v>
      </c>
      <c r="M26" s="459"/>
      <c r="N26" s="248">
        <f>F26+H26+J26+L26</f>
        <v>52286.459999997598</v>
      </c>
      <c r="O26" s="137"/>
      <c r="P26" s="329"/>
    </row>
    <row r="27" spans="1:18" ht="15" customHeight="1">
      <c r="A27" s="128" t="s">
        <v>170</v>
      </c>
      <c r="B27" s="160"/>
      <c r="C27" s="127" t="s">
        <v>122</v>
      </c>
      <c r="D27" s="290">
        <f>D25+D26</f>
        <v>1289010.5241999999</v>
      </c>
      <c r="E27" s="271"/>
      <c r="F27" s="137">
        <f>F25+F26</f>
        <v>-1134547.6700000002</v>
      </c>
      <c r="G27" s="140"/>
      <c r="H27" s="137">
        <f>H25+H26</f>
        <v>0</v>
      </c>
      <c r="J27" s="137">
        <f>J25+J26</f>
        <v>220235.31000000003</v>
      </c>
      <c r="L27" s="137">
        <f>L25+L26</f>
        <v>5513834.049999998</v>
      </c>
      <c r="M27" s="137"/>
      <c r="N27" s="137">
        <f>N25+N26</f>
        <v>4599521.6899999976</v>
      </c>
      <c r="O27" s="137">
        <f>F27+L27</f>
        <v>4379286.379999998</v>
      </c>
      <c r="P27" s="329"/>
      <c r="R27" s="137"/>
    </row>
    <row r="28" spans="1:18" ht="15" customHeight="1">
      <c r="A28" s="128" t="s">
        <v>166</v>
      </c>
      <c r="B28" s="160"/>
      <c r="C28" s="160"/>
      <c r="D28" s="459"/>
      <c r="E28" s="463"/>
      <c r="F28" s="236"/>
      <c r="G28" s="459"/>
      <c r="H28" s="236"/>
      <c r="J28" s="236"/>
      <c r="L28" s="236"/>
      <c r="M28" s="459"/>
      <c r="N28" s="137"/>
      <c r="O28" s="137"/>
    </row>
    <row r="29" spans="1:18" ht="15" customHeight="1">
      <c r="A29" s="128" t="s">
        <v>161</v>
      </c>
      <c r="B29" s="160"/>
      <c r="C29" s="160"/>
      <c r="D29" s="464"/>
      <c r="E29" s="463"/>
      <c r="F29" s="459"/>
      <c r="G29" s="459"/>
      <c r="H29" s="459"/>
      <c r="L29" s="140"/>
      <c r="M29" s="459"/>
      <c r="O29" s="137"/>
    </row>
    <row r="30" spans="1:18" ht="15" customHeight="1" thickBot="1">
      <c r="A30" s="128" t="s">
        <v>160</v>
      </c>
      <c r="B30" s="127" t="s">
        <v>384</v>
      </c>
      <c r="E30" s="271"/>
      <c r="F30" s="330">
        <f>F13+F20+F27</f>
        <v>-5312139.6100000003</v>
      </c>
      <c r="G30" s="137"/>
      <c r="H30" s="137"/>
      <c r="L30" s="140"/>
      <c r="M30" s="459"/>
      <c r="N30" s="137"/>
      <c r="O30" s="137"/>
    </row>
    <row r="31" spans="1:18" ht="15" customHeight="1" thickTop="1" thickBot="1">
      <c r="A31" s="128" t="s">
        <v>159</v>
      </c>
      <c r="B31" s="127" t="s">
        <v>383</v>
      </c>
      <c r="F31" s="137"/>
      <c r="G31" s="137"/>
      <c r="H31" s="330">
        <f>H13+H20+H27</f>
        <v>0</v>
      </c>
      <c r="L31" s="140"/>
      <c r="M31" s="459"/>
      <c r="N31" s="137"/>
      <c r="O31" s="137"/>
      <c r="P31" s="331"/>
    </row>
    <row r="32" spans="1:18" ht="15" customHeight="1" thickTop="1" thickBot="1">
      <c r="A32" s="128" t="s">
        <v>157</v>
      </c>
      <c r="B32" s="127" t="s">
        <v>382</v>
      </c>
      <c r="J32" s="332">
        <f>J13+J20+J27</f>
        <v>1025947.8400000001</v>
      </c>
      <c r="M32" s="459"/>
      <c r="O32" s="137"/>
      <c r="P32" s="331"/>
    </row>
    <row r="33" spans="1:18" ht="15" customHeight="1" thickTop="1" thickBot="1">
      <c r="A33" s="128" t="s">
        <v>156</v>
      </c>
      <c r="B33" s="127" t="s">
        <v>381</v>
      </c>
      <c r="L33" s="332">
        <f>L13+L20+L27</f>
        <v>25702912.239999995</v>
      </c>
      <c r="O33" s="137"/>
      <c r="P33" s="331"/>
    </row>
    <row r="34" spans="1:18" ht="15" customHeight="1" thickTop="1" thickBot="1">
      <c r="A34" s="128" t="s">
        <v>155</v>
      </c>
      <c r="B34" s="127" t="s">
        <v>380</v>
      </c>
      <c r="N34" s="332">
        <f>N13+N20+N27</f>
        <v>21416720.469999999</v>
      </c>
      <c r="P34" s="133"/>
      <c r="Q34" s="133"/>
      <c r="R34" s="133"/>
    </row>
    <row r="35" spans="1:18" ht="15" customHeight="1" thickTop="1">
      <c r="A35" s="128" t="s">
        <v>154</v>
      </c>
    </row>
    <row r="36" spans="1:18" ht="15" customHeight="1" thickBot="1">
      <c r="A36" s="128" t="s">
        <v>152</v>
      </c>
      <c r="K36" s="137"/>
      <c r="O36" s="330">
        <f>+SUM(O13:O33)</f>
        <v>20390772.629999999</v>
      </c>
      <c r="P36" s="137"/>
      <c r="Q36" s="137"/>
      <c r="R36" s="137"/>
    </row>
    <row r="37" spans="1:18" ht="15" customHeight="1" thickTop="1">
      <c r="A37" s="128" t="s">
        <v>151</v>
      </c>
      <c r="B37" s="130" t="s">
        <v>379</v>
      </c>
      <c r="C37" s="130"/>
      <c r="D37" s="130"/>
      <c r="E37" s="130"/>
      <c r="F37" s="130"/>
      <c r="G37" s="130"/>
      <c r="H37" s="130"/>
    </row>
    <row r="38" spans="1:18" ht="15" customHeight="1">
      <c r="A38" s="128" t="s">
        <v>150</v>
      </c>
      <c r="B38" s="130" t="s">
        <v>378</v>
      </c>
      <c r="C38" s="130"/>
      <c r="D38" s="130"/>
      <c r="E38" s="130"/>
      <c r="F38" s="130"/>
      <c r="G38" s="130"/>
      <c r="H38" s="130"/>
    </row>
    <row r="39" spans="1:18" ht="15" customHeight="1">
      <c r="A39" s="128"/>
    </row>
    <row r="40" spans="1:18" ht="15" customHeight="1">
      <c r="A40" s="128"/>
      <c r="B40" s="130"/>
    </row>
    <row r="41" spans="1:18" ht="15" customHeight="1">
      <c r="A41" s="128"/>
      <c r="D41" s="185"/>
      <c r="E41" s="184"/>
      <c r="F41" s="140"/>
      <c r="G41" s="140"/>
      <c r="H41" s="140"/>
    </row>
    <row r="42" spans="1:18" ht="15" customHeight="1">
      <c r="A42" s="128"/>
      <c r="D42" s="185"/>
      <c r="E42" s="184"/>
      <c r="F42" s="140"/>
      <c r="G42" s="140"/>
      <c r="H42" s="140"/>
    </row>
    <row r="43" spans="1:18" ht="15" customHeight="1">
      <c r="A43" s="128"/>
      <c r="D43" s="183"/>
      <c r="F43" s="140"/>
      <c r="G43" s="140"/>
      <c r="H43" s="140"/>
    </row>
    <row r="44" spans="1:18" ht="15" customHeight="1">
      <c r="A44" s="128"/>
    </row>
    <row r="45" spans="1:18" ht="15" customHeight="1">
      <c r="A45" s="128"/>
      <c r="B45" s="186"/>
      <c r="D45" s="185"/>
      <c r="E45" s="144"/>
      <c r="F45" s="137"/>
      <c r="G45" s="137"/>
      <c r="H45" s="137"/>
    </row>
    <row r="46" spans="1:18" ht="15" customHeight="1">
      <c r="A46" s="128"/>
      <c r="D46" s="185"/>
      <c r="E46" s="184"/>
      <c r="F46" s="140"/>
      <c r="G46" s="140"/>
      <c r="H46" s="140"/>
    </row>
    <row r="47" spans="1:18" ht="15" customHeight="1">
      <c r="A47" s="128"/>
      <c r="D47" s="185"/>
      <c r="E47" s="184"/>
      <c r="F47" s="140"/>
      <c r="G47" s="140"/>
      <c r="H47" s="140"/>
    </row>
    <row r="48" spans="1:18" ht="15" customHeight="1">
      <c r="A48" s="128"/>
      <c r="D48" s="185"/>
      <c r="E48" s="184"/>
      <c r="F48" s="140"/>
      <c r="G48" s="140"/>
      <c r="H48" s="140"/>
    </row>
    <row r="49" spans="1:8" ht="15" customHeight="1">
      <c r="A49" s="128"/>
      <c r="D49" s="185"/>
      <c r="E49" s="184"/>
      <c r="F49" s="140"/>
      <c r="G49" s="140"/>
      <c r="H49" s="140"/>
    </row>
    <row r="50" spans="1:8" ht="15" customHeight="1">
      <c r="A50" s="128"/>
      <c r="D50" s="185"/>
      <c r="E50" s="184"/>
      <c r="F50" s="140"/>
      <c r="G50" s="140"/>
      <c r="H50" s="140"/>
    </row>
    <row r="51" spans="1:8" ht="15" customHeight="1">
      <c r="A51" s="128"/>
      <c r="D51" s="185"/>
      <c r="E51" s="184"/>
      <c r="F51" s="140"/>
      <c r="G51" s="140"/>
      <c r="H51" s="140"/>
    </row>
    <row r="52" spans="1:8" ht="15" customHeight="1">
      <c r="A52" s="128"/>
      <c r="D52" s="185"/>
      <c r="E52" s="184"/>
      <c r="F52" s="140"/>
      <c r="G52" s="140"/>
      <c r="H52" s="140"/>
    </row>
    <row r="53" spans="1:8" ht="15" customHeight="1">
      <c r="A53" s="128"/>
      <c r="D53" s="183"/>
      <c r="F53" s="140"/>
      <c r="G53" s="140"/>
      <c r="H53" s="140"/>
    </row>
    <row r="54" spans="1:8" ht="15" customHeight="1">
      <c r="A54" s="128"/>
    </row>
    <row r="55" spans="1:8" ht="15" customHeight="1">
      <c r="A55" s="128"/>
    </row>
    <row r="56" spans="1:8" ht="15" customHeight="1">
      <c r="A56" s="128"/>
    </row>
    <row r="57" spans="1:8" ht="15" customHeight="1">
      <c r="A57" s="128"/>
    </row>
    <row r="58" spans="1:8" ht="15" customHeight="1">
      <c r="A58" s="128"/>
    </row>
    <row r="59" spans="1:8" ht="15" customHeight="1">
      <c r="A59" s="128"/>
    </row>
    <row r="60" spans="1:8" ht="15" customHeight="1">
      <c r="A60" s="128"/>
    </row>
    <row r="61" spans="1:8" ht="15" customHeight="1">
      <c r="A61" s="128"/>
      <c r="D61" s="185"/>
      <c r="E61" s="184"/>
      <c r="F61" s="140"/>
      <c r="G61" s="140"/>
      <c r="H61" s="140"/>
    </row>
    <row r="62" spans="1:8" ht="15" customHeight="1">
      <c r="A62" s="128"/>
      <c r="D62" s="185"/>
      <c r="E62" s="184"/>
      <c r="F62" s="140"/>
      <c r="G62" s="140"/>
      <c r="H62" s="140"/>
    </row>
    <row r="63" spans="1:8" ht="15" customHeight="1">
      <c r="A63" s="128"/>
      <c r="D63" s="183"/>
      <c r="F63" s="140"/>
      <c r="G63" s="140"/>
      <c r="H63" s="140"/>
    </row>
    <row r="64" spans="1:8" ht="15" customHeight="1">
      <c r="A64" s="128"/>
    </row>
    <row r="65" spans="1:1" ht="15" customHeight="1">
      <c r="A65" s="128"/>
    </row>
    <row r="66" spans="1:1" ht="15" customHeight="1">
      <c r="A66" s="128"/>
    </row>
    <row r="67" spans="1:1" ht="15" customHeight="1">
      <c r="A67" s="128"/>
    </row>
    <row r="68" spans="1:1" ht="15" customHeight="1">
      <c r="A68" s="128"/>
    </row>
    <row r="69" spans="1:1" ht="15" customHeight="1">
      <c r="A69" s="128"/>
    </row>
    <row r="70" spans="1:1" ht="15" customHeight="1">
      <c r="A70" s="128"/>
    </row>
    <row r="71" spans="1:1" ht="15" customHeight="1">
      <c r="A71" s="128"/>
    </row>
    <row r="72" spans="1:1" ht="15" customHeight="1">
      <c r="A72" s="128"/>
    </row>
    <row r="73" spans="1:1">
      <c r="A73" s="128"/>
    </row>
    <row r="74" spans="1:1">
      <c r="A74" s="128"/>
    </row>
    <row r="75" spans="1:1">
      <c r="A75" s="128"/>
    </row>
    <row r="76" spans="1:1">
      <c r="A76" s="128"/>
    </row>
    <row r="77" spans="1:1">
      <c r="A77" s="128"/>
    </row>
    <row r="78" spans="1:1">
      <c r="A78" s="128"/>
    </row>
    <row r="79" spans="1:1">
      <c r="A79" s="128"/>
    </row>
    <row r="80" spans="1:1">
      <c r="A80" s="128"/>
    </row>
    <row r="81" spans="1:1">
      <c r="A81" s="128"/>
    </row>
    <row r="82" spans="1:1">
      <c r="A82" s="128"/>
    </row>
    <row r="83" spans="1:1">
      <c r="A83" s="128"/>
    </row>
    <row r="84" spans="1:1">
      <c r="A84" s="128"/>
    </row>
    <row r="85" spans="1:1">
      <c r="A85" s="128"/>
    </row>
    <row r="86" spans="1:1">
      <c r="A86" s="128"/>
    </row>
    <row r="87" spans="1:1">
      <c r="A87" s="128"/>
    </row>
    <row r="88" spans="1:1">
      <c r="A88" s="128"/>
    </row>
    <row r="89" spans="1:1">
      <c r="A89" s="128"/>
    </row>
    <row r="90" spans="1:1">
      <c r="A90" s="128"/>
    </row>
    <row r="91" spans="1:1">
      <c r="A91" s="128"/>
    </row>
    <row r="92" spans="1:1">
      <c r="A92" s="128"/>
    </row>
    <row r="93" spans="1:1">
      <c r="A93" s="128"/>
    </row>
    <row r="94" spans="1:1">
      <c r="A94" s="128"/>
    </row>
    <row r="95" spans="1:1">
      <c r="A95" s="128"/>
    </row>
    <row r="96" spans="1:1">
      <c r="A96" s="128"/>
    </row>
    <row r="97" spans="1:1">
      <c r="A97" s="128"/>
    </row>
    <row r="98" spans="1:1">
      <c r="A98" s="128"/>
    </row>
    <row r="99" spans="1:1">
      <c r="A99" s="128"/>
    </row>
    <row r="100" spans="1:1">
      <c r="A100" s="128"/>
    </row>
    <row r="101" spans="1:1">
      <c r="A101" s="128"/>
    </row>
    <row r="102" spans="1:1">
      <c r="A102" s="128"/>
    </row>
    <row r="103" spans="1:1">
      <c r="A103" s="128"/>
    </row>
    <row r="104" spans="1:1">
      <c r="A104" s="128"/>
    </row>
    <row r="105" spans="1:1">
      <c r="A105" s="128"/>
    </row>
    <row r="106" spans="1:1">
      <c r="A106" s="128"/>
    </row>
    <row r="107" spans="1:1">
      <c r="A107" s="128"/>
    </row>
    <row r="108" spans="1:1">
      <c r="A108" s="128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  <ignoredErrors>
    <ignoredError sqref="A9:A38" numberStoredAsText="1"/>
    <ignoredError sqref="D11:F15 D25:F27 D16:E24" unlockedFormula="1"/>
    <ignoredError sqref="G25:N25 H10:N24" formula="1"/>
    <ignoredError sqref="F16:F24 G10:G24" formula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R98"/>
  <sheetViews>
    <sheetView showGridLines="0" zoomScale="80" zoomScaleNormal="80" zoomScaleSheetLayoutView="69" workbookViewId="0">
      <pane ySplit="7" topLeftCell="A8" activePane="bottomLeft" state="frozen"/>
      <selection activeCell="L49" sqref="L49"/>
      <selection pane="bottomLeft" activeCell="S24" sqref="S24"/>
    </sheetView>
  </sheetViews>
  <sheetFormatPr defaultColWidth="12.5703125" defaultRowHeight="14.25"/>
  <cols>
    <col min="1" max="1" width="4.85546875" style="128" customWidth="1"/>
    <col min="2" max="2" width="2.28515625" style="127" customWidth="1"/>
    <col min="3" max="3" width="35.5703125" style="127" customWidth="1"/>
    <col min="4" max="4" width="13" style="127" customWidth="1"/>
    <col min="5" max="5" width="2.28515625" style="127" customWidth="1"/>
    <col min="6" max="6" width="17.140625" style="127" customWidth="1"/>
    <col min="7" max="7" width="2.28515625" style="127" customWidth="1"/>
    <col min="8" max="8" width="13" style="127" customWidth="1"/>
    <col min="9" max="9" width="2.28515625" style="127" customWidth="1"/>
    <col min="10" max="10" width="17.140625" style="127" customWidth="1"/>
    <col min="11" max="11" width="2.28515625" style="127" customWidth="1"/>
    <col min="12" max="12" width="13" style="127" customWidth="1"/>
    <col min="13" max="13" width="2.7109375" style="127" customWidth="1"/>
    <col min="14" max="14" width="17.140625" style="127" customWidth="1"/>
    <col min="15" max="15" width="2.28515625" style="127" customWidth="1"/>
    <col min="16" max="16" width="14.28515625" style="127" bestFit="1" customWidth="1"/>
    <col min="17" max="17" width="2.28515625" style="127" customWidth="1"/>
    <col min="18" max="18" width="16.28515625" style="127" bestFit="1" customWidth="1"/>
    <col min="19" max="19" width="13.5703125" style="127" bestFit="1" customWidth="1"/>
    <col min="20" max="16384" width="12.5703125" style="127"/>
  </cols>
  <sheetData>
    <row r="1" spans="1:18" ht="15">
      <c r="A1" s="130" t="s">
        <v>40</v>
      </c>
      <c r="C1" s="130"/>
      <c r="H1" s="191"/>
      <c r="I1" s="191"/>
      <c r="L1" s="191"/>
      <c r="M1" s="191"/>
      <c r="N1" s="127" t="s">
        <v>337</v>
      </c>
      <c r="P1" s="191"/>
      <c r="Q1" s="191"/>
    </row>
    <row r="2" spans="1:18">
      <c r="A2" s="127" t="s">
        <v>411</v>
      </c>
      <c r="H2" s="191"/>
      <c r="L2" s="191"/>
      <c r="M2" s="191"/>
      <c r="N2" s="127" t="s">
        <v>410</v>
      </c>
      <c r="P2" s="191"/>
      <c r="Q2" s="191"/>
    </row>
    <row r="3" spans="1:18">
      <c r="A3" s="127" t="s">
        <v>409</v>
      </c>
      <c r="L3" s="191"/>
      <c r="M3" s="191"/>
      <c r="P3" s="191"/>
      <c r="Q3" s="191"/>
    </row>
    <row r="4" spans="1:18">
      <c r="A4" s="127"/>
      <c r="D4" s="143" t="s">
        <v>35</v>
      </c>
      <c r="F4" s="128" t="s">
        <v>34</v>
      </c>
      <c r="G4" s="135"/>
      <c r="H4" s="143" t="s">
        <v>33</v>
      </c>
      <c r="J4" s="128" t="s">
        <v>129</v>
      </c>
      <c r="L4" s="143" t="s">
        <v>128</v>
      </c>
      <c r="N4" s="128" t="s">
        <v>212</v>
      </c>
      <c r="O4" s="128"/>
      <c r="P4" s="191"/>
      <c r="Q4" s="191"/>
    </row>
    <row r="5" spans="1:18" ht="15">
      <c r="C5" s="143" t="s">
        <v>363</v>
      </c>
      <c r="D5" s="375">
        <v>45352</v>
      </c>
      <c r="E5" s="375"/>
      <c r="F5" s="375"/>
      <c r="G5" s="190"/>
      <c r="H5" s="375">
        <v>45383</v>
      </c>
      <c r="I5" s="375"/>
      <c r="J5" s="375"/>
      <c r="K5" s="190"/>
      <c r="L5" s="375">
        <v>45413</v>
      </c>
      <c r="M5" s="375"/>
      <c r="N5" s="375"/>
      <c r="P5" s="160"/>
      <c r="Q5" s="160"/>
      <c r="R5" s="160"/>
    </row>
    <row r="6" spans="1:18" ht="15">
      <c r="D6" s="376">
        <v>45323</v>
      </c>
      <c r="E6" s="376"/>
      <c r="F6" s="376"/>
      <c r="G6" s="190"/>
      <c r="H6" s="376">
        <v>45352</v>
      </c>
      <c r="I6" s="376"/>
      <c r="J6" s="376"/>
      <c r="K6" s="190"/>
      <c r="L6" s="376">
        <v>45383</v>
      </c>
      <c r="M6" s="376"/>
      <c r="N6" s="376"/>
      <c r="O6" s="190"/>
      <c r="P6" s="160"/>
      <c r="Q6" s="160"/>
      <c r="R6" s="160"/>
    </row>
    <row r="7" spans="1:18" ht="15">
      <c r="B7" s="127" t="s">
        <v>30</v>
      </c>
      <c r="C7" s="128"/>
      <c r="D7" s="128" t="s">
        <v>291</v>
      </c>
      <c r="E7" s="128"/>
      <c r="F7" s="128" t="s">
        <v>312</v>
      </c>
      <c r="G7" s="128"/>
      <c r="H7" s="128" t="s">
        <v>291</v>
      </c>
      <c r="I7" s="128"/>
      <c r="J7" s="128" t="s">
        <v>312</v>
      </c>
      <c r="K7" s="128"/>
      <c r="L7" s="128" t="s">
        <v>291</v>
      </c>
      <c r="M7" s="128"/>
      <c r="N7" s="128" t="s">
        <v>312</v>
      </c>
      <c r="O7" s="128"/>
      <c r="P7" s="160"/>
      <c r="Q7" s="160"/>
      <c r="R7" s="160"/>
    </row>
    <row r="8" spans="1:18" ht="1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60"/>
      <c r="Q8" s="160"/>
      <c r="R8" s="160"/>
    </row>
    <row r="9" spans="1:18" ht="15.75">
      <c r="A9" s="128">
        <v>1</v>
      </c>
      <c r="B9" s="130" t="s">
        <v>408</v>
      </c>
      <c r="L9" s="307"/>
      <c r="P9" s="160"/>
      <c r="Q9" s="160"/>
      <c r="R9" s="160"/>
    </row>
    <row r="10" spans="1:18" ht="15">
      <c r="A10" s="128">
        <v>2</v>
      </c>
      <c r="C10" s="127" t="s">
        <v>548</v>
      </c>
      <c r="D10" s="135"/>
      <c r="E10" s="184"/>
      <c r="F10" s="140"/>
      <c r="G10" s="140"/>
      <c r="H10" s="135"/>
      <c r="I10" s="184"/>
      <c r="J10" s="140"/>
      <c r="K10" s="140"/>
      <c r="L10" s="307"/>
      <c r="M10" s="184"/>
      <c r="N10" s="140"/>
      <c r="O10" s="140"/>
      <c r="P10" s="160"/>
      <c r="Q10" s="160"/>
      <c r="R10" s="160"/>
    </row>
    <row r="11" spans="1:18" ht="15">
      <c r="A11" s="128">
        <v>3</v>
      </c>
      <c r="C11" s="127" t="s">
        <v>549</v>
      </c>
      <c r="D11" s="135"/>
      <c r="E11" s="184"/>
      <c r="F11" s="140"/>
      <c r="G11" s="140"/>
      <c r="H11" s="135"/>
      <c r="I11" s="184"/>
      <c r="J11" s="140"/>
      <c r="K11" s="140"/>
      <c r="L11" s="307"/>
      <c r="M11" s="184"/>
      <c r="N11" s="140"/>
      <c r="O11" s="140"/>
      <c r="P11" s="160"/>
      <c r="Q11" s="160"/>
      <c r="R11" s="160"/>
    </row>
    <row r="12" spans="1:18" ht="15">
      <c r="A12" s="128">
        <v>4</v>
      </c>
      <c r="C12" s="127" t="s">
        <v>550</v>
      </c>
      <c r="D12" s="135"/>
      <c r="E12" s="184"/>
      <c r="F12" s="140"/>
      <c r="G12" s="140"/>
      <c r="H12" s="135"/>
      <c r="I12" s="184"/>
      <c r="J12" s="140"/>
      <c r="K12" s="140"/>
      <c r="L12" s="307"/>
      <c r="M12" s="184"/>
      <c r="N12" s="140"/>
      <c r="O12" s="140"/>
      <c r="P12" s="160"/>
      <c r="Q12" s="160"/>
      <c r="R12" s="160"/>
    </row>
    <row r="13" spans="1:18" ht="15">
      <c r="A13" s="128">
        <v>5</v>
      </c>
      <c r="C13" s="127" t="s">
        <v>551</v>
      </c>
      <c r="D13" s="135"/>
      <c r="E13" s="184"/>
      <c r="F13" s="140"/>
      <c r="G13" s="140"/>
      <c r="H13" s="135"/>
      <c r="I13" s="184"/>
      <c r="J13" s="140"/>
      <c r="K13" s="140"/>
      <c r="L13" s="307"/>
      <c r="M13" s="184"/>
      <c r="N13" s="140"/>
      <c r="O13" s="140"/>
      <c r="P13" s="160"/>
      <c r="Q13" s="160"/>
      <c r="R13" s="160"/>
    </row>
    <row r="14" spans="1:18" ht="15">
      <c r="A14" s="128">
        <v>6</v>
      </c>
      <c r="C14" s="127" t="s">
        <v>552</v>
      </c>
      <c r="D14" s="135"/>
      <c r="E14" s="184"/>
      <c r="F14" s="140"/>
      <c r="G14" s="140"/>
      <c r="H14" s="135"/>
      <c r="I14" s="184"/>
      <c r="J14" s="140"/>
      <c r="K14" s="140"/>
      <c r="L14" s="307"/>
      <c r="M14" s="184"/>
      <c r="N14" s="140"/>
      <c r="O14" s="140"/>
      <c r="P14" s="160"/>
      <c r="Q14" s="160"/>
      <c r="R14" s="160"/>
    </row>
    <row r="15" spans="1:18" ht="15">
      <c r="A15" s="128">
        <v>7</v>
      </c>
      <c r="C15" s="127" t="s">
        <v>553</v>
      </c>
      <c r="D15" s="135"/>
      <c r="E15" s="184"/>
      <c r="F15" s="140"/>
      <c r="G15" s="140"/>
      <c r="H15" s="135"/>
      <c r="I15" s="184"/>
      <c r="J15" s="140"/>
      <c r="K15" s="140"/>
      <c r="L15" s="307"/>
      <c r="M15" s="184"/>
      <c r="N15" s="140"/>
      <c r="O15" s="140"/>
      <c r="P15" s="160"/>
      <c r="Q15" s="160"/>
      <c r="R15" s="160"/>
    </row>
    <row r="16" spans="1:18" ht="15">
      <c r="A16" s="128">
        <v>8</v>
      </c>
      <c r="C16" s="127" t="s">
        <v>544</v>
      </c>
      <c r="D16" s="135"/>
      <c r="E16" s="184"/>
      <c r="F16" s="140"/>
      <c r="G16" s="140"/>
      <c r="H16" s="135"/>
      <c r="I16" s="184"/>
      <c r="J16" s="140"/>
      <c r="K16" s="140"/>
      <c r="L16" s="307"/>
      <c r="M16" s="184"/>
      <c r="N16" s="140"/>
      <c r="O16" s="140"/>
      <c r="P16" s="160"/>
      <c r="Q16" s="160"/>
      <c r="R16" s="160"/>
    </row>
    <row r="17" spans="1:18" ht="15">
      <c r="A17" s="128">
        <v>9</v>
      </c>
      <c r="C17" s="127" t="s">
        <v>554</v>
      </c>
      <c r="D17" s="135"/>
      <c r="E17" s="184"/>
      <c r="F17" s="140"/>
      <c r="G17" s="140"/>
      <c r="H17" s="135"/>
      <c r="I17" s="184"/>
      <c r="J17" s="140"/>
      <c r="K17" s="140"/>
      <c r="L17" s="307"/>
      <c r="M17" s="184"/>
      <c r="N17" s="140"/>
      <c r="O17" s="140"/>
      <c r="P17" s="160"/>
      <c r="Q17" s="160"/>
      <c r="R17" s="160"/>
    </row>
    <row r="18" spans="1:18" ht="15">
      <c r="A18" s="128">
        <v>10</v>
      </c>
      <c r="C18" s="127" t="s">
        <v>555</v>
      </c>
      <c r="D18" s="135"/>
      <c r="E18" s="184"/>
      <c r="F18" s="140"/>
      <c r="G18" s="140"/>
      <c r="H18" s="135"/>
      <c r="I18" s="184"/>
      <c r="J18" s="140"/>
      <c r="K18" s="140"/>
      <c r="L18" s="307"/>
      <c r="M18" s="184"/>
      <c r="N18" s="140"/>
      <c r="O18" s="140"/>
      <c r="P18" s="160"/>
      <c r="Q18" s="160"/>
      <c r="R18" s="160"/>
    </row>
    <row r="19" spans="1:18" ht="15">
      <c r="A19" s="128">
        <v>11</v>
      </c>
      <c r="C19" s="127" t="s">
        <v>556</v>
      </c>
      <c r="D19" s="135"/>
      <c r="F19" s="140"/>
      <c r="G19" s="140"/>
      <c r="H19" s="135"/>
      <c r="J19" s="140"/>
      <c r="K19" s="140"/>
      <c r="L19" s="307"/>
      <c r="N19" s="140"/>
      <c r="O19" s="140"/>
      <c r="P19" s="160"/>
      <c r="Q19" s="160"/>
      <c r="R19" s="160"/>
    </row>
    <row r="20" spans="1:18" ht="15">
      <c r="A20" s="128">
        <v>12</v>
      </c>
      <c r="C20" s="127" t="s">
        <v>557</v>
      </c>
      <c r="D20" s="135"/>
      <c r="F20" s="140"/>
      <c r="G20" s="140"/>
      <c r="H20" s="135"/>
      <c r="J20" s="140"/>
      <c r="K20" s="140"/>
      <c r="L20" s="307"/>
      <c r="N20" s="140"/>
      <c r="O20" s="140"/>
      <c r="P20" s="160"/>
      <c r="Q20" s="160"/>
      <c r="R20" s="160"/>
    </row>
    <row r="21" spans="1:18" ht="15">
      <c r="A21" s="128">
        <v>13</v>
      </c>
      <c r="C21" s="127" t="s">
        <v>558</v>
      </c>
      <c r="D21" s="356"/>
      <c r="F21" s="357"/>
      <c r="H21" s="356"/>
      <c r="J21" s="357"/>
      <c r="L21" s="358"/>
      <c r="N21" s="357"/>
      <c r="P21" s="160"/>
      <c r="Q21" s="160"/>
      <c r="R21" s="160"/>
    </row>
    <row r="22" spans="1:18" ht="15">
      <c r="A22" s="128">
        <v>14</v>
      </c>
      <c r="D22" s="135"/>
      <c r="E22" s="184"/>
      <c r="F22" s="140"/>
      <c r="G22" s="140"/>
      <c r="H22" s="135"/>
      <c r="I22" s="184"/>
      <c r="J22" s="140"/>
      <c r="K22" s="140"/>
      <c r="L22" s="307"/>
      <c r="M22" s="184"/>
      <c r="N22" s="140"/>
      <c r="O22" s="140"/>
      <c r="P22" s="160"/>
      <c r="Q22" s="160"/>
      <c r="R22" s="160"/>
    </row>
    <row r="23" spans="1:18" ht="15.75">
      <c r="A23" s="128">
        <v>15</v>
      </c>
      <c r="B23" s="130" t="s">
        <v>407</v>
      </c>
      <c r="D23" s="135">
        <v>212795</v>
      </c>
      <c r="F23" s="132">
        <v>446513.32000000007</v>
      </c>
      <c r="G23" s="137"/>
      <c r="H23" s="135">
        <v>29723</v>
      </c>
      <c r="J23" s="132">
        <v>34201.579999999987</v>
      </c>
      <c r="K23" s="137"/>
      <c r="L23" s="307">
        <v>1310129</v>
      </c>
      <c r="N23" s="132">
        <v>1480871.5900000012</v>
      </c>
      <c r="O23" s="137"/>
      <c r="P23" s="160"/>
      <c r="Q23" s="160"/>
      <c r="R23" s="160"/>
    </row>
    <row r="24" spans="1:18" ht="15.75">
      <c r="A24" s="128">
        <v>16</v>
      </c>
      <c r="B24" s="130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60"/>
      <c r="Q24" s="160"/>
      <c r="R24" s="160"/>
    </row>
    <row r="25" spans="1:18" ht="15">
      <c r="A25" s="128">
        <v>17</v>
      </c>
      <c r="D25" s="135"/>
      <c r="F25" s="140"/>
      <c r="G25" s="140"/>
      <c r="H25" s="135"/>
      <c r="J25" s="140"/>
      <c r="L25" s="135"/>
      <c r="N25" s="140"/>
      <c r="P25" s="160"/>
      <c r="Q25" s="160"/>
      <c r="R25" s="160"/>
    </row>
    <row r="26" spans="1:18" ht="15.75">
      <c r="A26" s="128">
        <v>18</v>
      </c>
      <c r="B26" s="130" t="s">
        <v>406</v>
      </c>
      <c r="P26" s="160"/>
      <c r="Q26" s="160"/>
      <c r="R26" s="160"/>
    </row>
    <row r="27" spans="1:18" ht="15">
      <c r="A27" s="128">
        <v>19</v>
      </c>
      <c r="C27" s="127" t="s">
        <v>559</v>
      </c>
      <c r="D27" s="135"/>
      <c r="E27" s="184"/>
      <c r="F27" s="140"/>
      <c r="G27" s="140"/>
      <c r="H27" s="135"/>
      <c r="I27" s="184"/>
      <c r="J27" s="140"/>
      <c r="K27" s="140"/>
      <c r="L27" s="135"/>
      <c r="M27" s="184"/>
      <c r="N27" s="140"/>
      <c r="O27" s="140"/>
      <c r="P27" s="160"/>
      <c r="Q27" s="160"/>
      <c r="R27" s="160"/>
    </row>
    <row r="28" spans="1:18" ht="15">
      <c r="A28" s="128">
        <v>20</v>
      </c>
      <c r="C28" s="127" t="s">
        <v>546</v>
      </c>
      <c r="D28" s="135"/>
      <c r="E28" s="184"/>
      <c r="F28" s="140"/>
      <c r="H28" s="135"/>
      <c r="I28" s="184"/>
      <c r="J28" s="140"/>
      <c r="L28" s="135"/>
      <c r="M28" s="184"/>
      <c r="N28" s="140"/>
      <c r="P28" s="160"/>
      <c r="Q28" s="160"/>
      <c r="R28" s="160"/>
    </row>
    <row r="29" spans="1:18" ht="15">
      <c r="A29" s="128">
        <v>21</v>
      </c>
      <c r="C29" s="127" t="s">
        <v>551</v>
      </c>
      <c r="D29" s="135"/>
      <c r="E29" s="184"/>
      <c r="F29" s="140"/>
      <c r="G29" s="140"/>
      <c r="H29" s="135"/>
      <c r="I29" s="184"/>
      <c r="J29" s="140"/>
      <c r="K29" s="140"/>
      <c r="L29" s="135"/>
      <c r="M29" s="184"/>
      <c r="N29" s="140"/>
      <c r="O29" s="140"/>
      <c r="P29" s="160"/>
      <c r="Q29" s="160"/>
      <c r="R29" s="160"/>
    </row>
    <row r="30" spans="1:18" ht="15">
      <c r="A30" s="128">
        <v>22</v>
      </c>
      <c r="C30" s="127" t="s">
        <v>556</v>
      </c>
      <c r="D30" s="135"/>
      <c r="E30" s="184"/>
      <c r="F30" s="140"/>
      <c r="G30" s="140"/>
      <c r="H30" s="135"/>
      <c r="I30" s="184"/>
      <c r="J30" s="140"/>
      <c r="K30" s="140"/>
      <c r="L30" s="135"/>
      <c r="M30" s="184"/>
      <c r="N30" s="140"/>
      <c r="O30" s="140"/>
      <c r="P30" s="160"/>
      <c r="Q30" s="160"/>
      <c r="R30" s="160"/>
    </row>
    <row r="31" spans="1:18" ht="15">
      <c r="A31" s="128">
        <v>23</v>
      </c>
      <c r="C31" s="127" t="s">
        <v>557</v>
      </c>
      <c r="F31" s="140"/>
      <c r="G31" s="140"/>
      <c r="J31" s="140"/>
      <c r="K31" s="140"/>
      <c r="N31" s="140"/>
      <c r="O31" s="140"/>
      <c r="P31" s="160"/>
      <c r="Q31" s="160"/>
      <c r="R31" s="160"/>
    </row>
    <row r="32" spans="1:18" ht="15">
      <c r="A32" s="128">
        <v>24</v>
      </c>
      <c r="C32" s="127" t="s">
        <v>560</v>
      </c>
      <c r="D32" s="356"/>
      <c r="F32" s="357"/>
      <c r="H32" s="356"/>
      <c r="J32" s="357"/>
      <c r="L32" s="356"/>
      <c r="N32" s="357"/>
      <c r="P32" s="160"/>
      <c r="Q32" s="160"/>
      <c r="R32" s="160"/>
    </row>
    <row r="33" spans="1:18" ht="15">
      <c r="A33" s="128">
        <v>25</v>
      </c>
      <c r="D33" s="135"/>
      <c r="E33" s="184"/>
      <c r="F33" s="140"/>
      <c r="G33" s="140"/>
      <c r="H33" s="135"/>
      <c r="I33" s="184"/>
      <c r="J33" s="140"/>
      <c r="K33" s="140"/>
      <c r="L33" s="135"/>
      <c r="M33" s="184"/>
      <c r="N33" s="140"/>
      <c r="O33" s="140"/>
      <c r="P33" s="160"/>
      <c r="Q33" s="160"/>
      <c r="R33" s="160"/>
    </row>
    <row r="34" spans="1:18" ht="15.75">
      <c r="A34" s="128">
        <v>26</v>
      </c>
      <c r="B34" s="130" t="s">
        <v>122</v>
      </c>
      <c r="D34" s="135">
        <v>79822</v>
      </c>
      <c r="F34" s="132">
        <v>188290.77999999997</v>
      </c>
      <c r="G34" s="135"/>
      <c r="H34" s="135">
        <v>0</v>
      </c>
      <c r="J34" s="132">
        <v>7.66</v>
      </c>
      <c r="K34" s="137"/>
      <c r="L34" s="135">
        <v>312846</v>
      </c>
      <c r="N34" s="132">
        <v>457419.20999999985</v>
      </c>
      <c r="O34" s="137"/>
      <c r="P34" s="160"/>
      <c r="Q34" s="160"/>
      <c r="R34" s="160"/>
    </row>
    <row r="35" spans="1:18" ht="15.75">
      <c r="A35" s="128">
        <v>27</v>
      </c>
      <c r="B35" s="130"/>
      <c r="D35" s="135"/>
      <c r="H35" s="135"/>
      <c r="L35" s="135"/>
      <c r="P35" s="160"/>
      <c r="Q35" s="160"/>
      <c r="R35" s="160"/>
    </row>
    <row r="36" spans="1:18" ht="15.75">
      <c r="A36" s="128">
        <v>28</v>
      </c>
      <c r="B36" s="130"/>
      <c r="D36" s="140"/>
      <c r="E36" s="140"/>
      <c r="H36" s="140"/>
      <c r="I36" s="140"/>
      <c r="L36" s="140"/>
      <c r="M36" s="140"/>
      <c r="P36" s="160"/>
      <c r="Q36" s="160"/>
      <c r="R36" s="160"/>
    </row>
    <row r="37" spans="1:18" ht="15.75">
      <c r="A37" s="128">
        <v>29</v>
      </c>
      <c r="B37" s="130" t="s">
        <v>236</v>
      </c>
      <c r="P37" s="160"/>
      <c r="Q37" s="160"/>
      <c r="R37" s="160"/>
    </row>
    <row r="38" spans="1:18" ht="15">
      <c r="A38" s="128">
        <v>30</v>
      </c>
      <c r="C38" s="127" t="s">
        <v>544</v>
      </c>
      <c r="D38" s="135"/>
      <c r="E38" s="184"/>
      <c r="F38" s="140"/>
      <c r="G38" s="140"/>
      <c r="H38" s="135"/>
      <c r="I38" s="184"/>
      <c r="J38" s="140"/>
      <c r="K38" s="140"/>
      <c r="L38" s="135"/>
      <c r="M38" s="184"/>
      <c r="N38" s="140"/>
      <c r="O38" s="140"/>
      <c r="P38" s="160"/>
      <c r="Q38" s="160"/>
      <c r="R38" s="160"/>
    </row>
    <row r="39" spans="1:18" ht="15">
      <c r="A39" s="128">
        <v>31</v>
      </c>
      <c r="C39" s="127" t="s">
        <v>554</v>
      </c>
      <c r="D39" s="135"/>
      <c r="E39" s="184"/>
      <c r="F39" s="140"/>
      <c r="G39" s="140"/>
      <c r="H39" s="135"/>
      <c r="I39" s="184"/>
      <c r="J39" s="140"/>
      <c r="K39" s="140"/>
      <c r="L39" s="135"/>
      <c r="M39" s="184"/>
      <c r="N39" s="140"/>
      <c r="O39" s="140"/>
      <c r="P39" s="160"/>
      <c r="Q39" s="160"/>
      <c r="R39" s="160"/>
    </row>
    <row r="40" spans="1:18" ht="15">
      <c r="A40" s="128">
        <v>32</v>
      </c>
      <c r="C40" s="127" t="s">
        <v>556</v>
      </c>
      <c r="D40" s="135"/>
      <c r="E40" s="184"/>
      <c r="F40" s="140"/>
      <c r="G40" s="140"/>
      <c r="H40" s="135"/>
      <c r="I40" s="184"/>
      <c r="J40" s="140"/>
      <c r="K40" s="140"/>
      <c r="L40" s="135"/>
      <c r="M40" s="184"/>
      <c r="N40" s="140"/>
      <c r="O40" s="140"/>
      <c r="P40" s="160"/>
      <c r="Q40" s="160"/>
      <c r="R40" s="160"/>
    </row>
    <row r="41" spans="1:18" ht="15">
      <c r="A41" s="128">
        <v>33</v>
      </c>
      <c r="C41" s="127" t="s">
        <v>557</v>
      </c>
      <c r="F41" s="140"/>
      <c r="G41" s="140"/>
      <c r="J41" s="140"/>
      <c r="K41" s="140"/>
      <c r="N41" s="140"/>
      <c r="O41" s="140"/>
      <c r="P41" s="160"/>
      <c r="Q41" s="160"/>
      <c r="R41" s="160"/>
    </row>
    <row r="42" spans="1:18" ht="15">
      <c r="A42" s="128">
        <v>34</v>
      </c>
      <c r="C42" s="127" t="s">
        <v>560</v>
      </c>
      <c r="D42" s="356"/>
      <c r="F42" s="357"/>
      <c r="H42" s="356"/>
      <c r="J42" s="357"/>
      <c r="L42" s="356"/>
      <c r="N42" s="357"/>
      <c r="P42" s="160"/>
      <c r="Q42" s="160"/>
      <c r="R42" s="160"/>
    </row>
    <row r="43" spans="1:18" ht="15">
      <c r="A43" s="128">
        <v>35</v>
      </c>
      <c r="D43" s="135"/>
      <c r="E43" s="184"/>
      <c r="F43" s="140"/>
      <c r="G43" s="140"/>
      <c r="H43" s="135"/>
      <c r="I43" s="184"/>
      <c r="J43" s="140"/>
      <c r="K43" s="140"/>
      <c r="L43" s="135"/>
      <c r="M43" s="184"/>
      <c r="N43" s="140"/>
      <c r="O43" s="140"/>
      <c r="P43" s="160"/>
      <c r="Q43" s="160"/>
      <c r="R43" s="160"/>
    </row>
    <row r="44" spans="1:18" ht="15.75">
      <c r="A44" s="128">
        <v>36</v>
      </c>
      <c r="B44" s="130" t="s">
        <v>122</v>
      </c>
      <c r="D44" s="135">
        <v>72026</v>
      </c>
      <c r="F44" s="132">
        <v>148610.08000000002</v>
      </c>
      <c r="G44" s="135"/>
      <c r="H44" s="135">
        <v>72</v>
      </c>
      <c r="J44" s="132">
        <v>108.53</v>
      </c>
      <c r="K44" s="137"/>
      <c r="L44" s="135">
        <v>29768</v>
      </c>
      <c r="N44" s="132">
        <v>31955.09</v>
      </c>
      <c r="O44" s="137"/>
      <c r="P44" s="160"/>
      <c r="Q44" s="160"/>
      <c r="R44" s="160"/>
    </row>
    <row r="45" spans="1:18" ht="15.75">
      <c r="A45" s="128">
        <v>37</v>
      </c>
      <c r="B45" s="130"/>
      <c r="D45" s="135"/>
      <c r="H45" s="135"/>
      <c r="L45" s="135"/>
      <c r="P45" s="160"/>
      <c r="Q45" s="160"/>
      <c r="R45" s="160"/>
    </row>
    <row r="46" spans="1:18" ht="15.75">
      <c r="A46" s="128">
        <v>38</v>
      </c>
      <c r="B46" s="130"/>
      <c r="D46" s="140"/>
      <c r="E46" s="140"/>
      <c r="H46" s="140"/>
      <c r="I46" s="140"/>
      <c r="L46" s="140"/>
      <c r="M46" s="140"/>
      <c r="P46" s="160"/>
      <c r="Q46" s="160"/>
      <c r="R46" s="160"/>
    </row>
    <row r="47" spans="1:18" ht="15.75">
      <c r="A47" s="128">
        <v>39</v>
      </c>
      <c r="B47" s="130" t="s">
        <v>405</v>
      </c>
      <c r="P47" s="160"/>
      <c r="Q47" s="160"/>
      <c r="R47" s="160"/>
    </row>
    <row r="48" spans="1:18" ht="15">
      <c r="A48" s="128">
        <v>40</v>
      </c>
      <c r="C48" s="127" t="s">
        <v>544</v>
      </c>
      <c r="D48" s="135"/>
      <c r="E48" s="184"/>
      <c r="F48" s="140"/>
      <c r="G48" s="140"/>
      <c r="H48" s="135"/>
      <c r="I48" s="184"/>
      <c r="J48" s="140"/>
      <c r="K48" s="140"/>
      <c r="L48" s="135"/>
      <c r="M48" s="184"/>
      <c r="N48" s="140"/>
      <c r="O48" s="140"/>
      <c r="P48" s="160"/>
      <c r="Q48" s="160"/>
      <c r="R48" s="160"/>
    </row>
    <row r="49" spans="1:18" ht="15">
      <c r="A49" s="128">
        <v>41</v>
      </c>
      <c r="C49" s="127" t="s">
        <v>412</v>
      </c>
      <c r="D49" s="135"/>
      <c r="E49" s="184"/>
      <c r="F49" s="140"/>
      <c r="G49" s="140"/>
      <c r="H49" s="135"/>
      <c r="I49" s="184"/>
      <c r="J49" s="140"/>
      <c r="K49" s="140"/>
      <c r="L49" s="135"/>
      <c r="M49" s="184"/>
      <c r="N49" s="140"/>
      <c r="O49" s="140"/>
      <c r="P49" s="160"/>
      <c r="Q49" s="160"/>
      <c r="R49" s="160"/>
    </row>
    <row r="50" spans="1:18" ht="15">
      <c r="A50" s="128">
        <v>42</v>
      </c>
      <c r="C50" s="127" t="s">
        <v>561</v>
      </c>
      <c r="D50" s="135"/>
      <c r="E50" s="184"/>
      <c r="F50" s="140"/>
      <c r="G50" s="140"/>
      <c r="H50" s="135"/>
      <c r="I50" s="184"/>
      <c r="J50" s="140"/>
      <c r="K50" s="140"/>
      <c r="L50" s="135"/>
      <c r="M50" s="184"/>
      <c r="N50" s="140"/>
      <c r="O50" s="140"/>
      <c r="P50" s="160"/>
      <c r="Q50" s="160"/>
      <c r="R50" s="160"/>
    </row>
    <row r="51" spans="1:18" ht="15">
      <c r="A51" s="128">
        <v>43</v>
      </c>
      <c r="C51" s="127" t="s">
        <v>556</v>
      </c>
      <c r="D51" s="135"/>
      <c r="E51" s="184"/>
      <c r="F51" s="140"/>
      <c r="G51" s="140"/>
      <c r="H51" s="135"/>
      <c r="I51" s="184"/>
      <c r="J51" s="140"/>
      <c r="K51" s="140"/>
      <c r="L51" s="135"/>
      <c r="M51" s="184"/>
      <c r="N51" s="140"/>
      <c r="O51" s="140"/>
      <c r="P51" s="160"/>
      <c r="Q51" s="160"/>
      <c r="R51" s="160"/>
    </row>
    <row r="52" spans="1:18" ht="15">
      <c r="A52" s="128">
        <v>44</v>
      </c>
      <c r="C52" s="127" t="s">
        <v>557</v>
      </c>
      <c r="F52" s="140"/>
      <c r="G52" s="140"/>
      <c r="J52" s="140"/>
      <c r="K52" s="140"/>
      <c r="N52" s="140"/>
      <c r="O52" s="140"/>
      <c r="P52" s="160"/>
      <c r="Q52" s="160"/>
      <c r="R52" s="160"/>
    </row>
    <row r="53" spans="1:18" ht="15">
      <c r="A53" s="128">
        <v>45</v>
      </c>
      <c r="C53" s="127" t="s">
        <v>560</v>
      </c>
      <c r="D53" s="356"/>
      <c r="F53" s="357"/>
      <c r="H53" s="356"/>
      <c r="J53" s="357"/>
      <c r="L53" s="356"/>
      <c r="N53" s="357"/>
      <c r="P53" s="160"/>
      <c r="Q53" s="160"/>
      <c r="R53" s="160"/>
    </row>
    <row r="54" spans="1:18" ht="15">
      <c r="A54" s="128">
        <v>46</v>
      </c>
      <c r="D54" s="135"/>
      <c r="E54" s="184"/>
      <c r="F54" s="140"/>
      <c r="G54" s="140"/>
      <c r="H54" s="135"/>
      <c r="I54" s="184"/>
      <c r="J54" s="140"/>
      <c r="K54" s="140"/>
      <c r="L54" s="135"/>
      <c r="M54" s="184"/>
      <c r="N54" s="140"/>
      <c r="O54" s="140"/>
      <c r="P54" s="160"/>
      <c r="Q54" s="160"/>
      <c r="R54" s="160"/>
    </row>
    <row r="55" spans="1:18" ht="15.75">
      <c r="A55" s="128">
        <v>47</v>
      </c>
      <c r="B55" s="130" t="s">
        <v>122</v>
      </c>
      <c r="D55" s="135">
        <v>-8264</v>
      </c>
      <c r="F55" s="132">
        <v>-13460.150000000001</v>
      </c>
      <c r="G55" s="135"/>
      <c r="H55" s="135">
        <v>-7076</v>
      </c>
      <c r="J55" s="132">
        <v>-6947.92</v>
      </c>
      <c r="K55" s="137"/>
      <c r="L55" s="135">
        <v>13602</v>
      </c>
      <c r="N55" s="132">
        <v>25350.61</v>
      </c>
      <c r="O55" s="137"/>
      <c r="P55" s="160"/>
      <c r="Q55" s="160"/>
      <c r="R55" s="160"/>
    </row>
    <row r="56" spans="1:18" ht="15.75">
      <c r="A56" s="128">
        <v>48</v>
      </c>
      <c r="B56" s="130"/>
      <c r="D56" s="135"/>
      <c r="H56" s="135"/>
      <c r="L56" s="135"/>
      <c r="O56" s="140"/>
      <c r="P56" s="160"/>
      <c r="Q56" s="160"/>
      <c r="R56" s="160"/>
    </row>
    <row r="57" spans="1:18" ht="15.75">
      <c r="A57" s="128">
        <v>49</v>
      </c>
      <c r="B57" s="130"/>
      <c r="D57" s="140"/>
      <c r="E57" s="140"/>
      <c r="H57" s="140"/>
      <c r="I57" s="140"/>
      <c r="L57" s="140"/>
      <c r="M57" s="140"/>
      <c r="O57" s="140"/>
      <c r="P57" s="160"/>
      <c r="Q57" s="160"/>
      <c r="R57" s="160"/>
    </row>
    <row r="58" spans="1:18" ht="15.75">
      <c r="A58" s="128">
        <v>50</v>
      </c>
      <c r="B58" s="130" t="s">
        <v>404</v>
      </c>
      <c r="D58" s="140"/>
      <c r="E58" s="140"/>
      <c r="H58" s="140"/>
      <c r="I58" s="140"/>
      <c r="L58" s="140"/>
      <c r="M58" s="140"/>
      <c r="P58" s="160"/>
      <c r="Q58" s="160"/>
      <c r="R58" s="160"/>
    </row>
    <row r="59" spans="1:18" ht="15">
      <c r="A59" s="128">
        <v>51</v>
      </c>
      <c r="C59" s="127" t="s">
        <v>544</v>
      </c>
      <c r="D59" s="140"/>
      <c r="E59" s="140"/>
      <c r="H59" s="140"/>
      <c r="I59" s="140"/>
      <c r="L59" s="140"/>
      <c r="M59" s="140"/>
      <c r="O59" s="140"/>
      <c r="P59" s="160"/>
      <c r="Q59" s="160"/>
      <c r="R59" s="160"/>
    </row>
    <row r="60" spans="1:18" ht="15.75">
      <c r="A60" s="128">
        <v>52</v>
      </c>
      <c r="B60" s="130"/>
      <c r="C60" s="127" t="s">
        <v>548</v>
      </c>
      <c r="D60" s="140"/>
      <c r="E60" s="140"/>
      <c r="H60" s="140"/>
      <c r="I60" s="140"/>
      <c r="L60" s="140"/>
      <c r="M60" s="140"/>
      <c r="O60" s="137"/>
      <c r="P60" s="160"/>
      <c r="Q60" s="160"/>
      <c r="R60" s="160"/>
    </row>
    <row r="61" spans="1:18" ht="15.75">
      <c r="A61" s="128">
        <v>53</v>
      </c>
      <c r="B61" s="130"/>
      <c r="C61" s="127" t="s">
        <v>561</v>
      </c>
      <c r="D61" s="140"/>
      <c r="E61" s="140"/>
      <c r="H61" s="140"/>
      <c r="I61" s="140"/>
      <c r="L61" s="140"/>
      <c r="M61" s="140"/>
      <c r="O61" s="135"/>
      <c r="P61" s="160"/>
      <c r="Q61" s="160"/>
      <c r="R61" s="160"/>
    </row>
    <row r="62" spans="1:18" ht="15.75">
      <c r="A62" s="128">
        <v>54</v>
      </c>
      <c r="B62" s="130"/>
      <c r="C62" s="127" t="s">
        <v>556</v>
      </c>
      <c r="D62" s="140"/>
      <c r="E62" s="140"/>
      <c r="H62" s="140"/>
      <c r="I62" s="140"/>
      <c r="L62" s="140"/>
      <c r="M62" s="140"/>
      <c r="P62" s="160"/>
      <c r="Q62" s="160"/>
      <c r="R62" s="160"/>
    </row>
    <row r="63" spans="1:18" ht="15.75">
      <c r="A63" s="128">
        <v>55</v>
      </c>
      <c r="B63" s="130"/>
      <c r="C63" s="127" t="s">
        <v>557</v>
      </c>
      <c r="D63" s="140"/>
      <c r="E63" s="140"/>
      <c r="H63" s="140"/>
      <c r="I63" s="140"/>
      <c r="L63" s="140"/>
      <c r="M63" s="140"/>
      <c r="P63" s="160"/>
      <c r="Q63" s="160"/>
      <c r="R63" s="160"/>
    </row>
    <row r="64" spans="1:18" ht="15">
      <c r="A64" s="128">
        <v>56</v>
      </c>
      <c r="C64" s="127" t="s">
        <v>560</v>
      </c>
      <c r="D64" s="356"/>
      <c r="F64" s="357"/>
      <c r="H64" s="356"/>
      <c r="J64" s="357"/>
      <c r="L64" s="356"/>
      <c r="N64" s="357"/>
      <c r="O64" s="137"/>
      <c r="P64" s="160"/>
      <c r="Q64" s="160"/>
      <c r="R64" s="160"/>
    </row>
    <row r="65" spans="1:18" ht="15.75">
      <c r="A65" s="128">
        <v>57</v>
      </c>
      <c r="B65" s="130"/>
      <c r="D65" s="140"/>
      <c r="E65" s="140"/>
      <c r="H65" s="140"/>
      <c r="I65" s="140"/>
      <c r="L65" s="140"/>
      <c r="M65" s="140"/>
      <c r="O65" s="135"/>
      <c r="P65" s="160"/>
      <c r="Q65" s="160"/>
      <c r="R65" s="160"/>
    </row>
    <row r="66" spans="1:18" ht="15.75">
      <c r="A66" s="128">
        <v>58</v>
      </c>
      <c r="B66" s="130" t="s">
        <v>122</v>
      </c>
      <c r="D66" s="135">
        <v>0</v>
      </c>
      <c r="E66" s="140"/>
      <c r="F66" s="132">
        <v>0</v>
      </c>
      <c r="H66" s="135">
        <v>0</v>
      </c>
      <c r="I66" s="140"/>
      <c r="J66" s="132">
        <v>0</v>
      </c>
      <c r="L66" s="135">
        <v>0</v>
      </c>
      <c r="M66" s="140"/>
      <c r="N66" s="132">
        <v>0</v>
      </c>
      <c r="P66" s="160"/>
      <c r="Q66" s="160"/>
      <c r="R66" s="160"/>
    </row>
    <row r="67" spans="1:18" ht="15.75">
      <c r="A67" s="128">
        <v>59</v>
      </c>
      <c r="B67" s="130"/>
      <c r="D67" s="140"/>
      <c r="E67" s="140"/>
      <c r="H67" s="140"/>
      <c r="I67" s="140"/>
      <c r="L67" s="140"/>
      <c r="M67" s="140"/>
      <c r="P67" s="160"/>
      <c r="Q67" s="160"/>
      <c r="R67" s="160"/>
    </row>
    <row r="68" spans="1:18" ht="15.75">
      <c r="A68" s="128">
        <v>60</v>
      </c>
      <c r="B68" s="130"/>
      <c r="D68" s="140"/>
      <c r="E68" s="140"/>
      <c r="H68" s="140"/>
      <c r="I68" s="140"/>
      <c r="L68" s="140"/>
      <c r="M68" s="140"/>
      <c r="P68" s="160"/>
      <c r="Q68" s="160"/>
      <c r="R68" s="160"/>
    </row>
    <row r="69" spans="1:18" ht="15.75">
      <c r="A69" s="128">
        <v>61</v>
      </c>
      <c r="B69" s="130" t="s">
        <v>545</v>
      </c>
      <c r="D69" s="318"/>
      <c r="E69" s="132"/>
      <c r="F69" s="132"/>
      <c r="G69" s="132"/>
      <c r="H69" s="318"/>
      <c r="I69" s="132"/>
      <c r="J69" s="132"/>
      <c r="K69" s="132"/>
      <c r="L69" s="318"/>
      <c r="M69" s="132"/>
      <c r="N69" s="132"/>
      <c r="P69" s="160"/>
      <c r="Q69" s="160"/>
      <c r="R69" s="160"/>
    </row>
    <row r="70" spans="1:18" ht="15">
      <c r="A70" s="128">
        <v>62</v>
      </c>
      <c r="C70" s="127" t="s">
        <v>547</v>
      </c>
      <c r="D70" s="341"/>
      <c r="E70" s="339"/>
      <c r="F70" s="338"/>
      <c r="G70" s="339"/>
      <c r="H70" s="341"/>
      <c r="I70" s="339"/>
      <c r="J70" s="339"/>
      <c r="K70" s="339"/>
      <c r="L70" s="341"/>
      <c r="M70" s="339"/>
      <c r="N70" s="339"/>
      <c r="O70" s="140"/>
      <c r="P70" s="160"/>
      <c r="Q70" s="160"/>
      <c r="R70" s="160"/>
    </row>
    <row r="71" spans="1:18" ht="15.75">
      <c r="A71" s="128">
        <v>52</v>
      </c>
      <c r="B71" s="130"/>
      <c r="C71" s="127" t="s">
        <v>548</v>
      </c>
      <c r="D71" s="140"/>
      <c r="E71" s="140"/>
      <c r="H71" s="140"/>
      <c r="I71" s="140"/>
      <c r="L71" s="140"/>
      <c r="M71" s="140"/>
      <c r="O71" s="137"/>
      <c r="P71" s="160"/>
      <c r="Q71" s="160"/>
      <c r="R71" s="160"/>
    </row>
    <row r="72" spans="1:18" ht="15.75">
      <c r="A72" s="128">
        <v>53</v>
      </c>
      <c r="B72" s="130"/>
      <c r="C72" s="127" t="s">
        <v>561</v>
      </c>
      <c r="D72" s="140"/>
      <c r="E72" s="140"/>
      <c r="H72" s="140"/>
      <c r="I72" s="140"/>
      <c r="L72" s="140"/>
      <c r="M72" s="140"/>
      <c r="O72" s="135"/>
      <c r="P72" s="160"/>
      <c r="Q72" s="160"/>
      <c r="R72" s="160"/>
    </row>
    <row r="73" spans="1:18" ht="15.75">
      <c r="A73" s="128">
        <v>54</v>
      </c>
      <c r="B73" s="130"/>
      <c r="C73" s="127" t="s">
        <v>556</v>
      </c>
      <c r="D73" s="140"/>
      <c r="E73" s="140"/>
      <c r="H73" s="140"/>
      <c r="I73" s="140"/>
      <c r="L73" s="140"/>
      <c r="M73" s="140"/>
      <c r="P73" s="160"/>
      <c r="Q73" s="160"/>
      <c r="R73" s="160"/>
    </row>
    <row r="74" spans="1:18" ht="15.75">
      <c r="A74" s="128">
        <v>55</v>
      </c>
      <c r="B74" s="130"/>
      <c r="C74" s="127" t="s">
        <v>557</v>
      </c>
      <c r="D74" s="140"/>
      <c r="E74" s="140"/>
      <c r="H74" s="140"/>
      <c r="I74" s="140"/>
      <c r="L74" s="140"/>
      <c r="M74" s="140"/>
      <c r="P74" s="160"/>
      <c r="Q74" s="160"/>
      <c r="R74" s="160"/>
    </row>
    <row r="75" spans="1:18" ht="15">
      <c r="A75" s="128">
        <v>63</v>
      </c>
      <c r="C75" s="127" t="s">
        <v>560</v>
      </c>
      <c r="D75" s="342"/>
      <c r="E75" s="337"/>
      <c r="F75" s="340"/>
      <c r="G75" s="337"/>
      <c r="H75" s="342"/>
      <c r="I75" s="337"/>
      <c r="J75" s="340"/>
      <c r="K75" s="337"/>
      <c r="L75" s="342"/>
      <c r="M75" s="337"/>
      <c r="N75" s="340"/>
      <c r="P75" s="160"/>
      <c r="Q75" s="160"/>
      <c r="R75" s="160"/>
    </row>
    <row r="76" spans="1:18" ht="15.75">
      <c r="A76" s="128">
        <v>64</v>
      </c>
      <c r="B76" s="130"/>
      <c r="D76" s="318"/>
      <c r="E76" s="132"/>
      <c r="F76" s="132"/>
      <c r="G76" s="132"/>
      <c r="H76" s="318"/>
      <c r="I76" s="132"/>
      <c r="J76" s="132"/>
      <c r="K76" s="132"/>
      <c r="L76" s="318"/>
      <c r="M76" s="132"/>
      <c r="N76" s="132"/>
      <c r="P76" s="160"/>
      <c r="Q76" s="160"/>
      <c r="R76" s="160"/>
    </row>
    <row r="77" spans="1:18" ht="15.75">
      <c r="A77" s="128">
        <v>65</v>
      </c>
      <c r="B77" s="130" t="s">
        <v>122</v>
      </c>
      <c r="D77" s="318">
        <v>15561.625</v>
      </c>
      <c r="E77" s="132"/>
      <c r="F77" s="132">
        <v>25571.69999999999</v>
      </c>
      <c r="G77" s="132"/>
      <c r="H77" s="318">
        <v>17918.511999999999</v>
      </c>
      <c r="I77" s="132"/>
      <c r="J77" s="132">
        <v>12639.420000000009</v>
      </c>
      <c r="K77" s="132"/>
      <c r="L77" s="318">
        <v>16102.771000000001</v>
      </c>
      <c r="M77" s="132"/>
      <c r="N77" s="132">
        <v>10913.319999999998</v>
      </c>
      <c r="P77" s="160"/>
      <c r="Q77" s="160"/>
      <c r="R77" s="160"/>
    </row>
    <row r="78" spans="1:18" ht="15.75">
      <c r="A78" s="128">
        <v>66</v>
      </c>
      <c r="B78" s="130"/>
      <c r="D78" s="318"/>
      <c r="E78" s="132"/>
      <c r="F78" s="132"/>
      <c r="G78" s="132"/>
      <c r="H78" s="318"/>
      <c r="I78" s="132"/>
      <c r="J78" s="132"/>
      <c r="K78" s="132"/>
      <c r="L78" s="318"/>
      <c r="M78" s="132"/>
      <c r="N78" s="132"/>
      <c r="P78" s="160"/>
      <c r="Q78" s="160"/>
      <c r="R78" s="160"/>
    </row>
    <row r="79" spans="1:18" ht="15.75">
      <c r="A79" s="128">
        <v>67</v>
      </c>
      <c r="B79" s="130"/>
      <c r="D79" s="318"/>
      <c r="E79" s="132"/>
      <c r="F79" s="132"/>
      <c r="G79" s="132"/>
      <c r="H79" s="318"/>
      <c r="I79" s="132"/>
      <c r="J79" s="132"/>
      <c r="K79" s="132"/>
      <c r="L79" s="318"/>
      <c r="M79" s="132"/>
      <c r="N79" s="132"/>
      <c r="P79" s="160"/>
      <c r="Q79" s="160"/>
      <c r="R79" s="160"/>
    </row>
    <row r="80" spans="1:18" ht="15.75">
      <c r="A80" s="128">
        <v>68</v>
      </c>
      <c r="B80" s="130" t="s">
        <v>403</v>
      </c>
      <c r="C80" s="128"/>
      <c r="D80" s="140"/>
      <c r="E80" s="140"/>
      <c r="H80" s="140"/>
      <c r="I80" s="140"/>
      <c r="L80" s="140"/>
      <c r="M80" s="140"/>
      <c r="P80" s="160"/>
      <c r="Q80" s="160"/>
      <c r="R80" s="160"/>
    </row>
    <row r="81" spans="1:18" ht="15">
      <c r="A81" s="128">
        <v>69</v>
      </c>
      <c r="C81" s="127" t="s">
        <v>122</v>
      </c>
      <c r="D81" s="135">
        <f>D23+D34+D44+D55+D66+D77</f>
        <v>371940.625</v>
      </c>
      <c r="F81" s="132">
        <f>F23+F34+F44+F55+F66+F77</f>
        <v>795525.7300000001</v>
      </c>
      <c r="G81" s="137"/>
      <c r="H81" s="135">
        <f>H23+H34+H44+H55+H66+H77</f>
        <v>40637.512000000002</v>
      </c>
      <c r="J81" s="132">
        <f>J23+J34+J44+J55+J66+J77</f>
        <v>40009.270000000004</v>
      </c>
      <c r="K81" s="137"/>
      <c r="L81" s="135">
        <f>L23+L34+L44+L55+L66+L77</f>
        <v>1682447.7709999999</v>
      </c>
      <c r="N81" s="132">
        <f>N23+N34+N44+N55+N66+N77</f>
        <v>2006509.8200000015</v>
      </c>
      <c r="P81" s="160"/>
      <c r="Q81" s="160"/>
      <c r="R81" s="160"/>
    </row>
    <row r="82" spans="1:18" ht="15">
      <c r="A82" s="128">
        <v>70</v>
      </c>
      <c r="D82" s="135"/>
      <c r="F82" s="135"/>
      <c r="G82" s="135"/>
      <c r="H82" s="135"/>
      <c r="J82" s="135"/>
      <c r="K82" s="135"/>
      <c r="L82" s="135"/>
      <c r="N82" s="135"/>
      <c r="P82" s="160"/>
      <c r="Q82" s="160"/>
      <c r="R82" s="160"/>
    </row>
    <row r="83" spans="1:18" ht="15">
      <c r="A83" s="128">
        <v>71</v>
      </c>
      <c r="H83" s="135"/>
      <c r="J83" s="127" t="s">
        <v>402</v>
      </c>
      <c r="P83" s="160"/>
      <c r="Q83" s="160"/>
      <c r="R83" s="160"/>
    </row>
    <row r="84" spans="1:18" ht="15">
      <c r="A84" s="128">
        <v>72</v>
      </c>
      <c r="D84" s="127" t="s">
        <v>401</v>
      </c>
      <c r="P84" s="160"/>
      <c r="Q84" s="160"/>
      <c r="R84" s="160"/>
    </row>
    <row r="85" spans="1:18" ht="15">
      <c r="P85" s="160"/>
      <c r="Q85" s="160"/>
      <c r="R85" s="160"/>
    </row>
    <row r="86" spans="1:18" ht="15">
      <c r="P86" s="160"/>
      <c r="Q86" s="160"/>
      <c r="R86" s="160"/>
    </row>
    <row r="87" spans="1:18" ht="15">
      <c r="P87" s="160"/>
      <c r="Q87" s="160"/>
      <c r="R87" s="160"/>
    </row>
    <row r="88" spans="1:18" ht="15">
      <c r="P88" s="160"/>
      <c r="Q88" s="160"/>
      <c r="R88" s="160"/>
    </row>
    <row r="89" spans="1:18" ht="15">
      <c r="P89" s="160"/>
      <c r="Q89" s="160"/>
      <c r="R89" s="160"/>
    </row>
    <row r="90" spans="1:18" ht="15">
      <c r="P90" s="160"/>
      <c r="Q90" s="160"/>
      <c r="R90" s="160"/>
    </row>
    <row r="91" spans="1:18" ht="15">
      <c r="P91" s="160"/>
      <c r="Q91" s="160"/>
      <c r="R91" s="160"/>
    </row>
    <row r="92" spans="1:18" ht="15">
      <c r="P92" s="160"/>
      <c r="Q92" s="160"/>
      <c r="R92" s="160"/>
    </row>
    <row r="93" spans="1:18" ht="15">
      <c r="P93" s="160"/>
      <c r="Q93" s="160"/>
      <c r="R93" s="160"/>
    </row>
    <row r="94" spans="1:18" ht="15">
      <c r="P94" s="160"/>
      <c r="Q94" s="160"/>
      <c r="R94" s="160"/>
    </row>
    <row r="95" spans="1:18" ht="15">
      <c r="P95" s="160"/>
      <c r="Q95" s="160"/>
      <c r="R95" s="160"/>
    </row>
    <row r="96" spans="1:18" ht="15">
      <c r="P96" s="160"/>
      <c r="Q96" s="160"/>
      <c r="R96" s="160"/>
    </row>
    <row r="97" spans="16:18" ht="15">
      <c r="P97" s="160"/>
      <c r="Q97" s="160"/>
      <c r="R97" s="160"/>
    </row>
    <row r="98" spans="16:18" ht="15">
      <c r="P98" s="160"/>
      <c r="Q98" s="160"/>
      <c r="R98" s="160"/>
    </row>
  </sheetData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4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zoomScale="80" zoomScaleNormal="80" zoomScaleSheetLayoutView="100" workbookViewId="0">
      <pane ySplit="4" topLeftCell="A5" activePane="bottomLeft" state="frozen"/>
      <selection activeCell="L49" sqref="L49"/>
      <selection pane="bottomLeft" activeCell="H27" sqref="H27"/>
    </sheetView>
  </sheetViews>
  <sheetFormatPr defaultColWidth="9.140625" defaultRowHeight="12.75"/>
  <cols>
    <col min="1" max="1" width="6.28515625" style="192" customWidth="1"/>
    <col min="2" max="2" width="19.5703125" style="192" bestFit="1" customWidth="1"/>
    <col min="3" max="3" width="14.42578125" style="192" customWidth="1"/>
    <col min="4" max="4" width="14.5703125" style="192" bestFit="1" customWidth="1"/>
    <col min="5" max="6" width="14" style="192" bestFit="1" customWidth="1"/>
    <col min="7" max="7" width="13" style="192" bestFit="1" customWidth="1"/>
    <col min="8" max="8" width="12.28515625" style="192" bestFit="1" customWidth="1"/>
    <col min="9" max="9" width="17.7109375" style="192" bestFit="1" customWidth="1"/>
    <col min="10" max="10" width="15" style="192" bestFit="1" customWidth="1"/>
    <col min="11" max="12" width="9.140625" style="192"/>
    <col min="13" max="13" width="9.85546875" style="192" customWidth="1"/>
    <col min="14" max="16384" width="9.140625" style="192"/>
  </cols>
  <sheetData>
    <row r="1" spans="1:17" ht="15">
      <c r="A1" s="308" t="s">
        <v>40</v>
      </c>
      <c r="J1" s="127" t="s">
        <v>337</v>
      </c>
    </row>
    <row r="2" spans="1:17" ht="14.25">
      <c r="A2" s="309" t="s">
        <v>414</v>
      </c>
      <c r="J2" s="127" t="s">
        <v>422</v>
      </c>
    </row>
    <row r="3" spans="1:17" ht="14.25">
      <c r="A3" s="309" t="str">
        <f>"Twelve Months Ended "&amp;TEXT(B18,"MMMM, YYYY")</f>
        <v>Twelve Months Ended November, 2023</v>
      </c>
    </row>
    <row r="5" spans="1:17" ht="51">
      <c r="A5" s="310" t="s">
        <v>421</v>
      </c>
      <c r="B5" s="310" t="s">
        <v>48</v>
      </c>
      <c r="C5" s="310" t="s">
        <v>420</v>
      </c>
      <c r="D5" s="310" t="s">
        <v>419</v>
      </c>
      <c r="E5" s="310" t="s">
        <v>418</v>
      </c>
      <c r="F5" s="310" t="s">
        <v>417</v>
      </c>
      <c r="G5" s="310" t="s">
        <v>416</v>
      </c>
      <c r="H5" s="310" t="s">
        <v>415</v>
      </c>
      <c r="I5" s="310" t="s">
        <v>414</v>
      </c>
      <c r="J5" s="310" t="s">
        <v>413</v>
      </c>
    </row>
    <row r="6" spans="1:17">
      <c r="B6" s="311" t="s">
        <v>35</v>
      </c>
      <c r="C6" s="311" t="s">
        <v>34</v>
      </c>
      <c r="D6" s="311" t="s">
        <v>33</v>
      </c>
      <c r="E6" s="311" t="s">
        <v>129</v>
      </c>
      <c r="F6" s="311" t="s">
        <v>128</v>
      </c>
      <c r="G6" s="311" t="s">
        <v>212</v>
      </c>
      <c r="H6" s="311" t="s">
        <v>334</v>
      </c>
      <c r="I6" s="311" t="s">
        <v>398</v>
      </c>
      <c r="J6" s="311" t="s">
        <v>397</v>
      </c>
    </row>
    <row r="7" spans="1:17">
      <c r="A7" s="194">
        <v>1</v>
      </c>
      <c r="B7" s="321">
        <v>44896</v>
      </c>
      <c r="C7" s="323">
        <v>-140621.26</v>
      </c>
      <c r="D7" s="323">
        <v>-222815.26</v>
      </c>
      <c r="E7" s="323">
        <v>-14132.93</v>
      </c>
      <c r="F7" s="285">
        <f>+C7+D7+E7</f>
        <v>-377569.45</v>
      </c>
      <c r="G7" s="323">
        <v>16999.64</v>
      </c>
      <c r="H7" s="323">
        <v>14908.15</v>
      </c>
      <c r="I7" s="193">
        <f>-C7-G7</f>
        <v>123621.62000000001</v>
      </c>
      <c r="J7" s="193">
        <f>SUM(I$7:I7)</f>
        <v>123621.62000000001</v>
      </c>
    </row>
    <row r="8" spans="1:17">
      <c r="A8" s="194">
        <v>2</v>
      </c>
      <c r="B8" s="322">
        <f>EDATE(B7,1)</f>
        <v>44927</v>
      </c>
      <c r="C8" s="323">
        <v>-67602.64</v>
      </c>
      <c r="D8" s="323">
        <v>-115582.51</v>
      </c>
      <c r="E8" s="323">
        <v>-7867.88</v>
      </c>
      <c r="F8" s="285">
        <f t="shared" ref="F8:F18" si="0">+C8+D8+E8</f>
        <v>-191053.03</v>
      </c>
      <c r="G8" s="323">
        <v>6316.57</v>
      </c>
      <c r="H8" s="323">
        <v>6697.76</v>
      </c>
      <c r="I8" s="193">
        <f t="shared" ref="I8:I18" si="1">-C8-G8</f>
        <v>61286.07</v>
      </c>
      <c r="J8" s="193">
        <f>SUM(I$7:I8)</f>
        <v>184907.69</v>
      </c>
    </row>
    <row r="9" spans="1:17">
      <c r="A9" s="194">
        <v>3</v>
      </c>
      <c r="B9" s="322">
        <f t="shared" ref="B9:B18" si="2">EDATE(B8,1)</f>
        <v>44958</v>
      </c>
      <c r="C9" s="323">
        <v>-70638.98</v>
      </c>
      <c r="D9" s="323">
        <v>-98723.46</v>
      </c>
      <c r="E9" s="323">
        <v>-8913.5199999999986</v>
      </c>
      <c r="F9" s="285">
        <f t="shared" si="0"/>
        <v>-178275.96</v>
      </c>
      <c r="G9" s="323">
        <v>9987.14</v>
      </c>
      <c r="H9" s="323">
        <v>8593.2099999999991</v>
      </c>
      <c r="I9" s="193">
        <f t="shared" si="1"/>
        <v>60651.839999999997</v>
      </c>
      <c r="J9" s="193">
        <f>SUM(I$7:I9)</f>
        <v>245559.53</v>
      </c>
    </row>
    <row r="10" spans="1:17">
      <c r="A10" s="194">
        <v>4</v>
      </c>
      <c r="B10" s="322">
        <f t="shared" si="2"/>
        <v>44986</v>
      </c>
      <c r="C10" s="323">
        <v>-51865.01</v>
      </c>
      <c r="D10" s="323">
        <v>-93317.94</v>
      </c>
      <c r="E10" s="323">
        <v>-6882.39</v>
      </c>
      <c r="F10" s="285">
        <f t="shared" si="0"/>
        <v>-152065.34000000003</v>
      </c>
      <c r="G10" s="323">
        <v>7244.93</v>
      </c>
      <c r="H10" s="323">
        <v>5448.95</v>
      </c>
      <c r="I10" s="193">
        <f t="shared" si="1"/>
        <v>44620.08</v>
      </c>
      <c r="J10" s="193">
        <f>SUM(I$7:I10)</f>
        <v>290179.61</v>
      </c>
    </row>
    <row r="11" spans="1:17">
      <c r="A11" s="194">
        <v>5</v>
      </c>
      <c r="B11" s="322">
        <f t="shared" si="2"/>
        <v>45017</v>
      </c>
      <c r="C11" s="323">
        <v>-40142.42</v>
      </c>
      <c r="D11" s="323">
        <v>-64904.05</v>
      </c>
      <c r="E11" s="323">
        <v>-4743.4900000000007</v>
      </c>
      <c r="F11" s="285">
        <f t="shared" si="0"/>
        <v>-109789.96</v>
      </c>
      <c r="G11" s="323">
        <v>3100.98</v>
      </c>
      <c r="H11" s="323">
        <v>3444.91</v>
      </c>
      <c r="I11" s="193">
        <f t="shared" si="1"/>
        <v>37041.439999999995</v>
      </c>
      <c r="J11" s="193">
        <f>SUM(I$7:I11)</f>
        <v>327221.05</v>
      </c>
    </row>
    <row r="12" spans="1:17">
      <c r="A12" s="194">
        <v>6</v>
      </c>
      <c r="B12" s="322">
        <f t="shared" si="2"/>
        <v>45047</v>
      </c>
      <c r="C12" s="323">
        <v>-81248.81</v>
      </c>
      <c r="D12" s="323">
        <v>-121220.6</v>
      </c>
      <c r="E12" s="323">
        <v>-8191.7</v>
      </c>
      <c r="F12" s="285">
        <f t="shared" si="0"/>
        <v>-210661.11000000002</v>
      </c>
      <c r="G12" s="323">
        <v>2228.6799999999998</v>
      </c>
      <c r="H12" s="323">
        <v>2939.4</v>
      </c>
      <c r="I12" s="193">
        <f t="shared" si="1"/>
        <v>79020.13</v>
      </c>
      <c r="J12" s="193">
        <f>SUM(I$7:I12)</f>
        <v>406241.18</v>
      </c>
    </row>
    <row r="13" spans="1:17">
      <c r="A13" s="194">
        <v>7</v>
      </c>
      <c r="B13" s="322">
        <f t="shared" si="2"/>
        <v>45078</v>
      </c>
      <c r="C13" s="323">
        <v>-72443.850000000006</v>
      </c>
      <c r="D13" s="323">
        <v>-62112.23</v>
      </c>
      <c r="E13" s="323">
        <v>-6106.7400000000007</v>
      </c>
      <c r="F13" s="285">
        <f t="shared" si="0"/>
        <v>-140662.82</v>
      </c>
      <c r="G13" s="323">
        <v>5224.55</v>
      </c>
      <c r="H13" s="323">
        <v>2840.01</v>
      </c>
      <c r="I13" s="193">
        <f t="shared" si="1"/>
        <v>67219.3</v>
      </c>
      <c r="J13" s="193">
        <f>SUM(I$7:I13)</f>
        <v>473460.47999999998</v>
      </c>
    </row>
    <row r="14" spans="1:17">
      <c r="A14" s="194">
        <v>8</v>
      </c>
      <c r="B14" s="322">
        <f t="shared" si="2"/>
        <v>45108</v>
      </c>
      <c r="C14" s="323">
        <v>-98343.58</v>
      </c>
      <c r="D14" s="323">
        <v>-82082.47</v>
      </c>
      <c r="E14" s="323">
        <v>-8400.2899999999991</v>
      </c>
      <c r="F14" s="285">
        <f t="shared" si="0"/>
        <v>-188826.34</v>
      </c>
      <c r="G14" s="323">
        <v>4572.58</v>
      </c>
      <c r="H14" s="323">
        <v>4399.01</v>
      </c>
      <c r="I14" s="193">
        <f t="shared" si="1"/>
        <v>93771</v>
      </c>
      <c r="J14" s="193">
        <f>SUM(I$7:I14)</f>
        <v>567231.48</v>
      </c>
    </row>
    <row r="15" spans="1:17">
      <c r="A15" s="194">
        <v>9</v>
      </c>
      <c r="B15" s="322">
        <f t="shared" si="2"/>
        <v>45139</v>
      </c>
      <c r="C15" s="323">
        <v>-195037.19</v>
      </c>
      <c r="D15" s="323">
        <v>-157921.89000000001</v>
      </c>
      <c r="E15" s="323">
        <v>-16883.96</v>
      </c>
      <c r="F15" s="285">
        <f>+C15+D15+E15</f>
        <v>-369843.04000000004</v>
      </c>
      <c r="G15" s="323">
        <v>5323.94</v>
      </c>
      <c r="H15" s="323">
        <v>7798.27</v>
      </c>
      <c r="I15" s="193">
        <f t="shared" si="1"/>
        <v>189713.25</v>
      </c>
      <c r="J15" s="193">
        <f>SUM(I$7:I15)</f>
        <v>756944.73</v>
      </c>
      <c r="Q15" s="343"/>
    </row>
    <row r="16" spans="1:17">
      <c r="A16" s="194">
        <v>10</v>
      </c>
      <c r="B16" s="322">
        <f t="shared" si="2"/>
        <v>45170</v>
      </c>
      <c r="C16" s="323">
        <v>-158070.39000000001</v>
      </c>
      <c r="D16" s="323">
        <v>-119447.5</v>
      </c>
      <c r="E16" s="323">
        <v>-12799.27</v>
      </c>
      <c r="F16" s="285">
        <f t="shared" si="0"/>
        <v>-290317.16000000003</v>
      </c>
      <c r="G16" s="323">
        <v>8104.49</v>
      </c>
      <c r="H16" s="323">
        <v>4452.03</v>
      </c>
      <c r="I16" s="193">
        <f t="shared" si="1"/>
        <v>149965.90000000002</v>
      </c>
      <c r="J16" s="193">
        <f>SUM(I$7:I16)</f>
        <v>906910.63</v>
      </c>
      <c r="Q16" s="343"/>
    </row>
    <row r="17" spans="1:17">
      <c r="A17" s="194">
        <v>11</v>
      </c>
      <c r="B17" s="322">
        <f t="shared" si="2"/>
        <v>45200</v>
      </c>
      <c r="C17" s="323">
        <v>-174686.78</v>
      </c>
      <c r="D17" s="323">
        <v>-133527.38</v>
      </c>
      <c r="E17" s="323">
        <v>-24709.89</v>
      </c>
      <c r="F17" s="285">
        <f t="shared" si="0"/>
        <v>-332924.05000000005</v>
      </c>
      <c r="G17" s="323">
        <v>32680.98</v>
      </c>
      <c r="H17" s="323">
        <v>20698.66</v>
      </c>
      <c r="I17" s="193">
        <f t="shared" si="1"/>
        <v>142005.79999999999</v>
      </c>
      <c r="J17" s="193">
        <f>SUM(I$7:I17)</f>
        <v>1048916.43</v>
      </c>
      <c r="Q17" s="343"/>
    </row>
    <row r="18" spans="1:17">
      <c r="A18" s="194">
        <v>12</v>
      </c>
      <c r="B18" s="322">
        <f t="shared" si="2"/>
        <v>45231</v>
      </c>
      <c r="C18" s="323">
        <v>-68600.97</v>
      </c>
      <c r="D18" s="323">
        <v>-68566.92</v>
      </c>
      <c r="E18" s="323">
        <v>-15584.28</v>
      </c>
      <c r="F18" s="285">
        <f t="shared" si="0"/>
        <v>-152752.17000000001</v>
      </c>
      <c r="G18" s="323">
        <v>46971.39</v>
      </c>
      <c r="H18" s="323">
        <v>12809.76</v>
      </c>
      <c r="I18" s="193">
        <f t="shared" si="1"/>
        <v>21629.58</v>
      </c>
      <c r="J18" s="193">
        <f>SUM(I$7:I18)</f>
        <v>1070546.01</v>
      </c>
      <c r="Q18" s="343"/>
    </row>
    <row r="19" spans="1:17">
      <c r="A19" s="194"/>
      <c r="C19" s="193"/>
      <c r="D19" s="193"/>
      <c r="E19" s="193"/>
      <c r="F19" s="193"/>
      <c r="G19" s="193"/>
      <c r="H19" s="193"/>
      <c r="I19" s="193"/>
      <c r="J19" s="193"/>
      <c r="Q19" s="343"/>
    </row>
    <row r="20" spans="1:17">
      <c r="A20" s="194"/>
      <c r="B20" s="336"/>
      <c r="C20" s="193"/>
      <c r="D20" s="193"/>
      <c r="E20" s="193"/>
      <c r="F20" s="193"/>
      <c r="G20" s="193"/>
      <c r="H20" s="193"/>
      <c r="I20" s="193"/>
      <c r="J20" s="193"/>
      <c r="Q20" s="343"/>
    </row>
    <row r="21" spans="1:17">
      <c r="A21" s="194"/>
      <c r="C21" s="193"/>
      <c r="D21" s="193"/>
      <c r="E21" s="193"/>
      <c r="F21" s="193"/>
      <c r="G21" s="193"/>
      <c r="H21" s="193"/>
      <c r="I21" s="193"/>
      <c r="J21" s="193"/>
      <c r="Q21" s="343"/>
    </row>
    <row r="22" spans="1:17">
      <c r="A22" s="194"/>
      <c r="C22" s="193"/>
      <c r="D22" s="193"/>
      <c r="E22" s="193"/>
      <c r="F22" s="193"/>
      <c r="G22" s="193"/>
      <c r="H22" s="193"/>
      <c r="I22" s="193"/>
      <c r="J22" s="193"/>
      <c r="Q22" s="343"/>
    </row>
    <row r="23" spans="1:17">
      <c r="C23" s="193"/>
      <c r="D23" s="193"/>
      <c r="E23" s="193"/>
      <c r="F23" s="193"/>
      <c r="G23" s="193"/>
      <c r="H23" s="193"/>
      <c r="I23" s="193"/>
      <c r="J23" s="193"/>
    </row>
    <row r="24" spans="1:17">
      <c r="F24" s="285" t="s">
        <v>522</v>
      </c>
    </row>
    <row r="25" spans="1:17">
      <c r="D25" s="299"/>
    </row>
    <row r="26" spans="1:17">
      <c r="D26" s="300"/>
    </row>
    <row r="27" spans="1:17">
      <c r="D27" s="301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209"/>
    <col min="7" max="7" width="12.28515625" style="209" bestFit="1" customWidth="1"/>
    <col min="8" max="8" width="10" style="209" bestFit="1" customWidth="1"/>
    <col min="9" max="9" width="12.140625" style="209" customWidth="1"/>
    <col min="10" max="10" width="10.28515625" style="209" customWidth="1"/>
    <col min="11" max="11" width="14" style="209" bestFit="1" customWidth="1"/>
    <col min="12" max="14" width="8.85546875" style="209"/>
    <col min="15" max="15" width="10.85546875" style="209" customWidth="1"/>
    <col min="16" max="16" width="10.28515625" style="209" bestFit="1" customWidth="1"/>
    <col min="17" max="27" width="8.85546875" style="209"/>
    <col min="28" max="28" width="4.140625" style="209" bestFit="1" customWidth="1"/>
    <col min="29" max="262" width="8.85546875" style="209"/>
    <col min="263" max="263" width="11.28515625" style="209" bestFit="1" customWidth="1"/>
    <col min="264" max="264" width="9.42578125" style="209" bestFit="1" customWidth="1"/>
    <col min="265" max="265" width="12.140625" style="209" bestFit="1" customWidth="1"/>
    <col min="266" max="266" width="10.28515625" style="209" bestFit="1" customWidth="1"/>
    <col min="267" max="267" width="14" style="209" bestFit="1" customWidth="1"/>
    <col min="268" max="270" width="8.85546875" style="209"/>
    <col min="271" max="271" width="10.85546875" style="209" customWidth="1"/>
    <col min="272" max="272" width="10.28515625" style="209" bestFit="1" customWidth="1"/>
    <col min="273" max="518" width="8.85546875" style="209"/>
    <col min="519" max="519" width="11.28515625" style="209" bestFit="1" customWidth="1"/>
    <col min="520" max="520" width="9.42578125" style="209" bestFit="1" customWidth="1"/>
    <col min="521" max="521" width="12.140625" style="209" bestFit="1" customWidth="1"/>
    <col min="522" max="522" width="10.28515625" style="209" bestFit="1" customWidth="1"/>
    <col min="523" max="523" width="14" style="209" bestFit="1" customWidth="1"/>
    <col min="524" max="526" width="8.85546875" style="209"/>
    <col min="527" max="527" width="10.85546875" style="209" customWidth="1"/>
    <col min="528" max="528" width="10.28515625" style="209" bestFit="1" customWidth="1"/>
    <col min="529" max="774" width="8.85546875" style="209"/>
    <col min="775" max="775" width="11.28515625" style="209" bestFit="1" customWidth="1"/>
    <col min="776" max="776" width="9.42578125" style="209" bestFit="1" customWidth="1"/>
    <col min="777" max="777" width="12.140625" style="209" bestFit="1" customWidth="1"/>
    <col min="778" max="778" width="10.28515625" style="209" bestFit="1" customWidth="1"/>
    <col min="779" max="779" width="14" style="209" bestFit="1" customWidth="1"/>
    <col min="780" max="782" width="8.85546875" style="209"/>
    <col min="783" max="783" width="10.85546875" style="209" customWidth="1"/>
    <col min="784" max="784" width="10.28515625" style="209" bestFit="1" customWidth="1"/>
    <col min="785" max="1030" width="8.85546875" style="209"/>
    <col min="1031" max="1031" width="11.28515625" style="209" bestFit="1" customWidth="1"/>
    <col min="1032" max="1032" width="9.42578125" style="209" bestFit="1" customWidth="1"/>
    <col min="1033" max="1033" width="12.140625" style="209" bestFit="1" customWidth="1"/>
    <col min="1034" max="1034" width="10.28515625" style="209" bestFit="1" customWidth="1"/>
    <col min="1035" max="1035" width="14" style="209" bestFit="1" customWidth="1"/>
    <col min="1036" max="1038" width="8.85546875" style="209"/>
    <col min="1039" max="1039" width="10.85546875" style="209" customWidth="1"/>
    <col min="1040" max="1040" width="10.28515625" style="209" bestFit="1" customWidth="1"/>
    <col min="1041" max="1286" width="8.85546875" style="209"/>
    <col min="1287" max="1287" width="11.28515625" style="209" bestFit="1" customWidth="1"/>
    <col min="1288" max="1288" width="9.42578125" style="209" bestFit="1" customWidth="1"/>
    <col min="1289" max="1289" width="12.140625" style="209" bestFit="1" customWidth="1"/>
    <col min="1290" max="1290" width="10.28515625" style="209" bestFit="1" customWidth="1"/>
    <col min="1291" max="1291" width="14" style="209" bestFit="1" customWidth="1"/>
    <col min="1292" max="1294" width="8.85546875" style="209"/>
    <col min="1295" max="1295" width="10.85546875" style="209" customWidth="1"/>
    <col min="1296" max="1296" width="10.28515625" style="209" bestFit="1" customWidth="1"/>
    <col min="1297" max="1542" width="8.85546875" style="209"/>
    <col min="1543" max="1543" width="11.28515625" style="209" bestFit="1" customWidth="1"/>
    <col min="1544" max="1544" width="9.42578125" style="209" bestFit="1" customWidth="1"/>
    <col min="1545" max="1545" width="12.140625" style="209" bestFit="1" customWidth="1"/>
    <col min="1546" max="1546" width="10.28515625" style="209" bestFit="1" customWidth="1"/>
    <col min="1547" max="1547" width="14" style="209" bestFit="1" customWidth="1"/>
    <col min="1548" max="1550" width="8.85546875" style="209"/>
    <col min="1551" max="1551" width="10.85546875" style="209" customWidth="1"/>
    <col min="1552" max="1552" width="10.28515625" style="209" bestFit="1" customWidth="1"/>
    <col min="1553" max="1798" width="8.85546875" style="209"/>
    <col min="1799" max="1799" width="11.28515625" style="209" bestFit="1" customWidth="1"/>
    <col min="1800" max="1800" width="9.42578125" style="209" bestFit="1" customWidth="1"/>
    <col min="1801" max="1801" width="12.140625" style="209" bestFit="1" customWidth="1"/>
    <col min="1802" max="1802" width="10.28515625" style="209" bestFit="1" customWidth="1"/>
    <col min="1803" max="1803" width="14" style="209" bestFit="1" customWidth="1"/>
    <col min="1804" max="1806" width="8.85546875" style="209"/>
    <col min="1807" max="1807" width="10.85546875" style="209" customWidth="1"/>
    <col min="1808" max="1808" width="10.28515625" style="209" bestFit="1" customWidth="1"/>
    <col min="1809" max="2054" width="8.85546875" style="209"/>
    <col min="2055" max="2055" width="11.28515625" style="209" bestFit="1" customWidth="1"/>
    <col min="2056" max="2056" width="9.42578125" style="209" bestFit="1" customWidth="1"/>
    <col min="2057" max="2057" width="12.140625" style="209" bestFit="1" customWidth="1"/>
    <col min="2058" max="2058" width="10.28515625" style="209" bestFit="1" customWidth="1"/>
    <col min="2059" max="2059" width="14" style="209" bestFit="1" customWidth="1"/>
    <col min="2060" max="2062" width="8.85546875" style="209"/>
    <col min="2063" max="2063" width="10.85546875" style="209" customWidth="1"/>
    <col min="2064" max="2064" width="10.28515625" style="209" bestFit="1" customWidth="1"/>
    <col min="2065" max="2310" width="8.85546875" style="209"/>
    <col min="2311" max="2311" width="11.28515625" style="209" bestFit="1" customWidth="1"/>
    <col min="2312" max="2312" width="9.42578125" style="209" bestFit="1" customWidth="1"/>
    <col min="2313" max="2313" width="12.140625" style="209" bestFit="1" customWidth="1"/>
    <col min="2314" max="2314" width="10.28515625" style="209" bestFit="1" customWidth="1"/>
    <col min="2315" max="2315" width="14" style="209" bestFit="1" customWidth="1"/>
    <col min="2316" max="2318" width="8.85546875" style="209"/>
    <col min="2319" max="2319" width="10.85546875" style="209" customWidth="1"/>
    <col min="2320" max="2320" width="10.28515625" style="209" bestFit="1" customWidth="1"/>
    <col min="2321" max="2566" width="8.85546875" style="209"/>
    <col min="2567" max="2567" width="11.28515625" style="209" bestFit="1" customWidth="1"/>
    <col min="2568" max="2568" width="9.42578125" style="209" bestFit="1" customWidth="1"/>
    <col min="2569" max="2569" width="12.140625" style="209" bestFit="1" customWidth="1"/>
    <col min="2570" max="2570" width="10.28515625" style="209" bestFit="1" customWidth="1"/>
    <col min="2571" max="2571" width="14" style="209" bestFit="1" customWidth="1"/>
    <col min="2572" max="2574" width="8.85546875" style="209"/>
    <col min="2575" max="2575" width="10.85546875" style="209" customWidth="1"/>
    <col min="2576" max="2576" width="10.28515625" style="209" bestFit="1" customWidth="1"/>
    <col min="2577" max="2822" width="8.85546875" style="209"/>
    <col min="2823" max="2823" width="11.28515625" style="209" bestFit="1" customWidth="1"/>
    <col min="2824" max="2824" width="9.42578125" style="209" bestFit="1" customWidth="1"/>
    <col min="2825" max="2825" width="12.140625" style="209" bestFit="1" customWidth="1"/>
    <col min="2826" max="2826" width="10.28515625" style="209" bestFit="1" customWidth="1"/>
    <col min="2827" max="2827" width="14" style="209" bestFit="1" customWidth="1"/>
    <col min="2828" max="2830" width="8.85546875" style="209"/>
    <col min="2831" max="2831" width="10.85546875" style="209" customWidth="1"/>
    <col min="2832" max="2832" width="10.28515625" style="209" bestFit="1" customWidth="1"/>
    <col min="2833" max="3078" width="8.85546875" style="209"/>
    <col min="3079" max="3079" width="11.28515625" style="209" bestFit="1" customWidth="1"/>
    <col min="3080" max="3080" width="9.42578125" style="209" bestFit="1" customWidth="1"/>
    <col min="3081" max="3081" width="12.140625" style="209" bestFit="1" customWidth="1"/>
    <col min="3082" max="3082" width="10.28515625" style="209" bestFit="1" customWidth="1"/>
    <col min="3083" max="3083" width="14" style="209" bestFit="1" customWidth="1"/>
    <col min="3084" max="3086" width="8.85546875" style="209"/>
    <col min="3087" max="3087" width="10.85546875" style="209" customWidth="1"/>
    <col min="3088" max="3088" width="10.28515625" style="209" bestFit="1" customWidth="1"/>
    <col min="3089" max="3334" width="8.85546875" style="209"/>
    <col min="3335" max="3335" width="11.28515625" style="209" bestFit="1" customWidth="1"/>
    <col min="3336" max="3336" width="9.42578125" style="209" bestFit="1" customWidth="1"/>
    <col min="3337" max="3337" width="12.140625" style="209" bestFit="1" customWidth="1"/>
    <col min="3338" max="3338" width="10.28515625" style="209" bestFit="1" customWidth="1"/>
    <col min="3339" max="3339" width="14" style="209" bestFit="1" customWidth="1"/>
    <col min="3340" max="3342" width="8.85546875" style="209"/>
    <col min="3343" max="3343" width="10.85546875" style="209" customWidth="1"/>
    <col min="3344" max="3344" width="10.28515625" style="209" bestFit="1" customWidth="1"/>
    <col min="3345" max="3590" width="8.85546875" style="209"/>
    <col min="3591" max="3591" width="11.28515625" style="209" bestFit="1" customWidth="1"/>
    <col min="3592" max="3592" width="9.42578125" style="209" bestFit="1" customWidth="1"/>
    <col min="3593" max="3593" width="12.140625" style="209" bestFit="1" customWidth="1"/>
    <col min="3594" max="3594" width="10.28515625" style="209" bestFit="1" customWidth="1"/>
    <col min="3595" max="3595" width="14" style="209" bestFit="1" customWidth="1"/>
    <col min="3596" max="3598" width="8.85546875" style="209"/>
    <col min="3599" max="3599" width="10.85546875" style="209" customWidth="1"/>
    <col min="3600" max="3600" width="10.28515625" style="209" bestFit="1" customWidth="1"/>
    <col min="3601" max="3846" width="8.85546875" style="209"/>
    <col min="3847" max="3847" width="11.28515625" style="209" bestFit="1" customWidth="1"/>
    <col min="3848" max="3848" width="9.42578125" style="209" bestFit="1" customWidth="1"/>
    <col min="3849" max="3849" width="12.140625" style="209" bestFit="1" customWidth="1"/>
    <col min="3850" max="3850" width="10.28515625" style="209" bestFit="1" customWidth="1"/>
    <col min="3851" max="3851" width="14" style="209" bestFit="1" customWidth="1"/>
    <col min="3852" max="3854" width="8.85546875" style="209"/>
    <col min="3855" max="3855" width="10.85546875" style="209" customWidth="1"/>
    <col min="3856" max="3856" width="10.28515625" style="209" bestFit="1" customWidth="1"/>
    <col min="3857" max="4102" width="8.85546875" style="209"/>
    <col min="4103" max="4103" width="11.28515625" style="209" bestFit="1" customWidth="1"/>
    <col min="4104" max="4104" width="9.42578125" style="209" bestFit="1" customWidth="1"/>
    <col min="4105" max="4105" width="12.140625" style="209" bestFit="1" customWidth="1"/>
    <col min="4106" max="4106" width="10.28515625" style="209" bestFit="1" customWidth="1"/>
    <col min="4107" max="4107" width="14" style="209" bestFit="1" customWidth="1"/>
    <col min="4108" max="4110" width="8.85546875" style="209"/>
    <col min="4111" max="4111" width="10.85546875" style="209" customWidth="1"/>
    <col min="4112" max="4112" width="10.28515625" style="209" bestFit="1" customWidth="1"/>
    <col min="4113" max="4358" width="8.85546875" style="209"/>
    <col min="4359" max="4359" width="11.28515625" style="209" bestFit="1" customWidth="1"/>
    <col min="4360" max="4360" width="9.42578125" style="209" bestFit="1" customWidth="1"/>
    <col min="4361" max="4361" width="12.140625" style="209" bestFit="1" customWidth="1"/>
    <col min="4362" max="4362" width="10.28515625" style="209" bestFit="1" customWidth="1"/>
    <col min="4363" max="4363" width="14" style="209" bestFit="1" customWidth="1"/>
    <col min="4364" max="4366" width="8.85546875" style="209"/>
    <col min="4367" max="4367" width="10.85546875" style="209" customWidth="1"/>
    <col min="4368" max="4368" width="10.28515625" style="209" bestFit="1" customWidth="1"/>
    <col min="4369" max="4614" width="8.85546875" style="209"/>
    <col min="4615" max="4615" width="11.28515625" style="209" bestFit="1" customWidth="1"/>
    <col min="4616" max="4616" width="9.42578125" style="209" bestFit="1" customWidth="1"/>
    <col min="4617" max="4617" width="12.140625" style="209" bestFit="1" customWidth="1"/>
    <col min="4618" max="4618" width="10.28515625" style="209" bestFit="1" customWidth="1"/>
    <col min="4619" max="4619" width="14" style="209" bestFit="1" customWidth="1"/>
    <col min="4620" max="4622" width="8.85546875" style="209"/>
    <col min="4623" max="4623" width="10.85546875" style="209" customWidth="1"/>
    <col min="4624" max="4624" width="10.28515625" style="209" bestFit="1" customWidth="1"/>
    <col min="4625" max="4870" width="8.85546875" style="209"/>
    <col min="4871" max="4871" width="11.28515625" style="209" bestFit="1" customWidth="1"/>
    <col min="4872" max="4872" width="9.42578125" style="209" bestFit="1" customWidth="1"/>
    <col min="4873" max="4873" width="12.140625" style="209" bestFit="1" customWidth="1"/>
    <col min="4874" max="4874" width="10.28515625" style="209" bestFit="1" customWidth="1"/>
    <col min="4875" max="4875" width="14" style="209" bestFit="1" customWidth="1"/>
    <col min="4876" max="4878" width="8.85546875" style="209"/>
    <col min="4879" max="4879" width="10.85546875" style="209" customWidth="1"/>
    <col min="4880" max="4880" width="10.28515625" style="209" bestFit="1" customWidth="1"/>
    <col min="4881" max="5126" width="8.85546875" style="209"/>
    <col min="5127" max="5127" width="11.28515625" style="209" bestFit="1" customWidth="1"/>
    <col min="5128" max="5128" width="9.42578125" style="209" bestFit="1" customWidth="1"/>
    <col min="5129" max="5129" width="12.140625" style="209" bestFit="1" customWidth="1"/>
    <col min="5130" max="5130" width="10.28515625" style="209" bestFit="1" customWidth="1"/>
    <col min="5131" max="5131" width="14" style="209" bestFit="1" customWidth="1"/>
    <col min="5132" max="5134" width="8.85546875" style="209"/>
    <col min="5135" max="5135" width="10.85546875" style="209" customWidth="1"/>
    <col min="5136" max="5136" width="10.28515625" style="209" bestFit="1" customWidth="1"/>
    <col min="5137" max="5382" width="8.85546875" style="209"/>
    <col min="5383" max="5383" width="11.28515625" style="209" bestFit="1" customWidth="1"/>
    <col min="5384" max="5384" width="9.42578125" style="209" bestFit="1" customWidth="1"/>
    <col min="5385" max="5385" width="12.140625" style="209" bestFit="1" customWidth="1"/>
    <col min="5386" max="5386" width="10.28515625" style="209" bestFit="1" customWidth="1"/>
    <col min="5387" max="5387" width="14" style="209" bestFit="1" customWidth="1"/>
    <col min="5388" max="5390" width="8.85546875" style="209"/>
    <col min="5391" max="5391" width="10.85546875" style="209" customWidth="1"/>
    <col min="5392" max="5392" width="10.28515625" style="209" bestFit="1" customWidth="1"/>
    <col min="5393" max="5638" width="8.85546875" style="209"/>
    <col min="5639" max="5639" width="11.28515625" style="209" bestFit="1" customWidth="1"/>
    <col min="5640" max="5640" width="9.42578125" style="209" bestFit="1" customWidth="1"/>
    <col min="5641" max="5641" width="12.140625" style="209" bestFit="1" customWidth="1"/>
    <col min="5642" max="5642" width="10.28515625" style="209" bestFit="1" customWidth="1"/>
    <col min="5643" max="5643" width="14" style="209" bestFit="1" customWidth="1"/>
    <col min="5644" max="5646" width="8.85546875" style="209"/>
    <col min="5647" max="5647" width="10.85546875" style="209" customWidth="1"/>
    <col min="5648" max="5648" width="10.28515625" style="209" bestFit="1" customWidth="1"/>
    <col min="5649" max="5894" width="8.85546875" style="209"/>
    <col min="5895" max="5895" width="11.28515625" style="209" bestFit="1" customWidth="1"/>
    <col min="5896" max="5896" width="9.42578125" style="209" bestFit="1" customWidth="1"/>
    <col min="5897" max="5897" width="12.140625" style="209" bestFit="1" customWidth="1"/>
    <col min="5898" max="5898" width="10.28515625" style="209" bestFit="1" customWidth="1"/>
    <col min="5899" max="5899" width="14" style="209" bestFit="1" customWidth="1"/>
    <col min="5900" max="5902" width="8.85546875" style="209"/>
    <col min="5903" max="5903" width="10.85546875" style="209" customWidth="1"/>
    <col min="5904" max="5904" width="10.28515625" style="209" bestFit="1" customWidth="1"/>
    <col min="5905" max="6150" width="8.85546875" style="209"/>
    <col min="6151" max="6151" width="11.28515625" style="209" bestFit="1" customWidth="1"/>
    <col min="6152" max="6152" width="9.42578125" style="209" bestFit="1" customWidth="1"/>
    <col min="6153" max="6153" width="12.140625" style="209" bestFit="1" customWidth="1"/>
    <col min="6154" max="6154" width="10.28515625" style="209" bestFit="1" customWidth="1"/>
    <col min="6155" max="6155" width="14" style="209" bestFit="1" customWidth="1"/>
    <col min="6156" max="6158" width="8.85546875" style="209"/>
    <col min="6159" max="6159" width="10.85546875" style="209" customWidth="1"/>
    <col min="6160" max="6160" width="10.28515625" style="209" bestFit="1" customWidth="1"/>
    <col min="6161" max="6406" width="8.85546875" style="209"/>
    <col min="6407" max="6407" width="11.28515625" style="209" bestFit="1" customWidth="1"/>
    <col min="6408" max="6408" width="9.42578125" style="209" bestFit="1" customWidth="1"/>
    <col min="6409" max="6409" width="12.140625" style="209" bestFit="1" customWidth="1"/>
    <col min="6410" max="6410" width="10.28515625" style="209" bestFit="1" customWidth="1"/>
    <col min="6411" max="6411" width="14" style="209" bestFit="1" customWidth="1"/>
    <col min="6412" max="6414" width="8.85546875" style="209"/>
    <col min="6415" max="6415" width="10.85546875" style="209" customWidth="1"/>
    <col min="6416" max="6416" width="10.28515625" style="209" bestFit="1" customWidth="1"/>
    <col min="6417" max="6662" width="8.85546875" style="209"/>
    <col min="6663" max="6663" width="11.28515625" style="209" bestFit="1" customWidth="1"/>
    <col min="6664" max="6664" width="9.42578125" style="209" bestFit="1" customWidth="1"/>
    <col min="6665" max="6665" width="12.140625" style="209" bestFit="1" customWidth="1"/>
    <col min="6666" max="6666" width="10.28515625" style="209" bestFit="1" customWidth="1"/>
    <col min="6667" max="6667" width="14" style="209" bestFit="1" customWidth="1"/>
    <col min="6668" max="6670" width="8.85546875" style="209"/>
    <col min="6671" max="6671" width="10.85546875" style="209" customWidth="1"/>
    <col min="6672" max="6672" width="10.28515625" style="209" bestFit="1" customWidth="1"/>
    <col min="6673" max="6918" width="8.85546875" style="209"/>
    <col min="6919" max="6919" width="11.28515625" style="209" bestFit="1" customWidth="1"/>
    <col min="6920" max="6920" width="9.42578125" style="209" bestFit="1" customWidth="1"/>
    <col min="6921" max="6921" width="12.140625" style="209" bestFit="1" customWidth="1"/>
    <col min="6922" max="6922" width="10.28515625" style="209" bestFit="1" customWidth="1"/>
    <col min="6923" max="6923" width="14" style="209" bestFit="1" customWidth="1"/>
    <col min="6924" max="6926" width="8.85546875" style="209"/>
    <col min="6927" max="6927" width="10.85546875" style="209" customWidth="1"/>
    <col min="6928" max="6928" width="10.28515625" style="209" bestFit="1" customWidth="1"/>
    <col min="6929" max="7174" width="8.85546875" style="209"/>
    <col min="7175" max="7175" width="11.28515625" style="209" bestFit="1" customWidth="1"/>
    <col min="7176" max="7176" width="9.42578125" style="209" bestFit="1" customWidth="1"/>
    <col min="7177" max="7177" width="12.140625" style="209" bestFit="1" customWidth="1"/>
    <col min="7178" max="7178" width="10.28515625" style="209" bestFit="1" customWidth="1"/>
    <col min="7179" max="7179" width="14" style="209" bestFit="1" customWidth="1"/>
    <col min="7180" max="7182" width="8.85546875" style="209"/>
    <col min="7183" max="7183" width="10.85546875" style="209" customWidth="1"/>
    <col min="7184" max="7184" width="10.28515625" style="209" bestFit="1" customWidth="1"/>
    <col min="7185" max="7430" width="8.85546875" style="209"/>
    <col min="7431" max="7431" width="11.28515625" style="209" bestFit="1" customWidth="1"/>
    <col min="7432" max="7432" width="9.42578125" style="209" bestFit="1" customWidth="1"/>
    <col min="7433" max="7433" width="12.140625" style="209" bestFit="1" customWidth="1"/>
    <col min="7434" max="7434" width="10.28515625" style="209" bestFit="1" customWidth="1"/>
    <col min="7435" max="7435" width="14" style="209" bestFit="1" customWidth="1"/>
    <col min="7436" max="7438" width="8.85546875" style="209"/>
    <col min="7439" max="7439" width="10.85546875" style="209" customWidth="1"/>
    <col min="7440" max="7440" width="10.28515625" style="209" bestFit="1" customWidth="1"/>
    <col min="7441" max="7686" width="8.85546875" style="209"/>
    <col min="7687" max="7687" width="11.28515625" style="209" bestFit="1" customWidth="1"/>
    <col min="7688" max="7688" width="9.42578125" style="209" bestFit="1" customWidth="1"/>
    <col min="7689" max="7689" width="12.140625" style="209" bestFit="1" customWidth="1"/>
    <col min="7690" max="7690" width="10.28515625" style="209" bestFit="1" customWidth="1"/>
    <col min="7691" max="7691" width="14" style="209" bestFit="1" customWidth="1"/>
    <col min="7692" max="7694" width="8.85546875" style="209"/>
    <col min="7695" max="7695" width="10.85546875" style="209" customWidth="1"/>
    <col min="7696" max="7696" width="10.28515625" style="209" bestFit="1" customWidth="1"/>
    <col min="7697" max="7942" width="8.85546875" style="209"/>
    <col min="7943" max="7943" width="11.28515625" style="209" bestFit="1" customWidth="1"/>
    <col min="7944" max="7944" width="9.42578125" style="209" bestFit="1" customWidth="1"/>
    <col min="7945" max="7945" width="12.140625" style="209" bestFit="1" customWidth="1"/>
    <col min="7946" max="7946" width="10.28515625" style="209" bestFit="1" customWidth="1"/>
    <col min="7947" max="7947" width="14" style="209" bestFit="1" customWidth="1"/>
    <col min="7948" max="7950" width="8.85546875" style="209"/>
    <col min="7951" max="7951" width="10.85546875" style="209" customWidth="1"/>
    <col min="7952" max="7952" width="10.28515625" style="209" bestFit="1" customWidth="1"/>
    <col min="7953" max="8198" width="8.85546875" style="209"/>
    <col min="8199" max="8199" width="11.28515625" style="209" bestFit="1" customWidth="1"/>
    <col min="8200" max="8200" width="9.42578125" style="209" bestFit="1" customWidth="1"/>
    <col min="8201" max="8201" width="12.140625" style="209" bestFit="1" customWidth="1"/>
    <col min="8202" max="8202" width="10.28515625" style="209" bestFit="1" customWidth="1"/>
    <col min="8203" max="8203" width="14" style="209" bestFit="1" customWidth="1"/>
    <col min="8204" max="8206" width="8.85546875" style="209"/>
    <col min="8207" max="8207" width="10.85546875" style="209" customWidth="1"/>
    <col min="8208" max="8208" width="10.28515625" style="209" bestFit="1" customWidth="1"/>
    <col min="8209" max="8454" width="8.85546875" style="209"/>
    <col min="8455" max="8455" width="11.28515625" style="209" bestFit="1" customWidth="1"/>
    <col min="8456" max="8456" width="9.42578125" style="209" bestFit="1" customWidth="1"/>
    <col min="8457" max="8457" width="12.140625" style="209" bestFit="1" customWidth="1"/>
    <col min="8458" max="8458" width="10.28515625" style="209" bestFit="1" customWidth="1"/>
    <col min="8459" max="8459" width="14" style="209" bestFit="1" customWidth="1"/>
    <col min="8460" max="8462" width="8.85546875" style="209"/>
    <col min="8463" max="8463" width="10.85546875" style="209" customWidth="1"/>
    <col min="8464" max="8464" width="10.28515625" style="209" bestFit="1" customWidth="1"/>
    <col min="8465" max="8710" width="8.85546875" style="209"/>
    <col min="8711" max="8711" width="11.28515625" style="209" bestFit="1" customWidth="1"/>
    <col min="8712" max="8712" width="9.42578125" style="209" bestFit="1" customWidth="1"/>
    <col min="8713" max="8713" width="12.140625" style="209" bestFit="1" customWidth="1"/>
    <col min="8714" max="8714" width="10.28515625" style="209" bestFit="1" customWidth="1"/>
    <col min="8715" max="8715" width="14" style="209" bestFit="1" customWidth="1"/>
    <col min="8716" max="8718" width="8.85546875" style="209"/>
    <col min="8719" max="8719" width="10.85546875" style="209" customWidth="1"/>
    <col min="8720" max="8720" width="10.28515625" style="209" bestFit="1" customWidth="1"/>
    <col min="8721" max="8966" width="8.85546875" style="209"/>
    <col min="8967" max="8967" width="11.28515625" style="209" bestFit="1" customWidth="1"/>
    <col min="8968" max="8968" width="9.42578125" style="209" bestFit="1" customWidth="1"/>
    <col min="8969" max="8969" width="12.140625" style="209" bestFit="1" customWidth="1"/>
    <col min="8970" max="8970" width="10.28515625" style="209" bestFit="1" customWidth="1"/>
    <col min="8971" max="8971" width="14" style="209" bestFit="1" customWidth="1"/>
    <col min="8972" max="8974" width="8.85546875" style="209"/>
    <col min="8975" max="8975" width="10.85546875" style="209" customWidth="1"/>
    <col min="8976" max="8976" width="10.28515625" style="209" bestFit="1" customWidth="1"/>
    <col min="8977" max="9222" width="8.85546875" style="209"/>
    <col min="9223" max="9223" width="11.28515625" style="209" bestFit="1" customWidth="1"/>
    <col min="9224" max="9224" width="9.42578125" style="209" bestFit="1" customWidth="1"/>
    <col min="9225" max="9225" width="12.140625" style="209" bestFit="1" customWidth="1"/>
    <col min="9226" max="9226" width="10.28515625" style="209" bestFit="1" customWidth="1"/>
    <col min="9227" max="9227" width="14" style="209" bestFit="1" customWidth="1"/>
    <col min="9228" max="9230" width="8.85546875" style="209"/>
    <col min="9231" max="9231" width="10.85546875" style="209" customWidth="1"/>
    <col min="9232" max="9232" width="10.28515625" style="209" bestFit="1" customWidth="1"/>
    <col min="9233" max="9478" width="8.85546875" style="209"/>
    <col min="9479" max="9479" width="11.28515625" style="209" bestFit="1" customWidth="1"/>
    <col min="9480" max="9480" width="9.42578125" style="209" bestFit="1" customWidth="1"/>
    <col min="9481" max="9481" width="12.140625" style="209" bestFit="1" customWidth="1"/>
    <col min="9482" max="9482" width="10.28515625" style="209" bestFit="1" customWidth="1"/>
    <col min="9483" max="9483" width="14" style="209" bestFit="1" customWidth="1"/>
    <col min="9484" max="9486" width="8.85546875" style="209"/>
    <col min="9487" max="9487" width="10.85546875" style="209" customWidth="1"/>
    <col min="9488" max="9488" width="10.28515625" style="209" bestFit="1" customWidth="1"/>
    <col min="9489" max="9734" width="8.85546875" style="209"/>
    <col min="9735" max="9735" width="11.28515625" style="209" bestFit="1" customWidth="1"/>
    <col min="9736" max="9736" width="9.42578125" style="209" bestFit="1" customWidth="1"/>
    <col min="9737" max="9737" width="12.140625" style="209" bestFit="1" customWidth="1"/>
    <col min="9738" max="9738" width="10.28515625" style="209" bestFit="1" customWidth="1"/>
    <col min="9739" max="9739" width="14" style="209" bestFit="1" customWidth="1"/>
    <col min="9740" max="9742" width="8.85546875" style="209"/>
    <col min="9743" max="9743" width="10.85546875" style="209" customWidth="1"/>
    <col min="9744" max="9744" width="10.28515625" style="209" bestFit="1" customWidth="1"/>
    <col min="9745" max="9990" width="8.85546875" style="209"/>
    <col min="9991" max="9991" width="11.28515625" style="209" bestFit="1" customWidth="1"/>
    <col min="9992" max="9992" width="9.42578125" style="209" bestFit="1" customWidth="1"/>
    <col min="9993" max="9993" width="12.140625" style="209" bestFit="1" customWidth="1"/>
    <col min="9994" max="9994" width="10.28515625" style="209" bestFit="1" customWidth="1"/>
    <col min="9995" max="9995" width="14" style="209" bestFit="1" customWidth="1"/>
    <col min="9996" max="9998" width="8.85546875" style="209"/>
    <col min="9999" max="9999" width="10.85546875" style="209" customWidth="1"/>
    <col min="10000" max="10000" width="10.28515625" style="209" bestFit="1" customWidth="1"/>
    <col min="10001" max="10246" width="8.85546875" style="209"/>
    <col min="10247" max="10247" width="11.28515625" style="209" bestFit="1" customWidth="1"/>
    <col min="10248" max="10248" width="9.42578125" style="209" bestFit="1" customWidth="1"/>
    <col min="10249" max="10249" width="12.140625" style="209" bestFit="1" customWidth="1"/>
    <col min="10250" max="10250" width="10.28515625" style="209" bestFit="1" customWidth="1"/>
    <col min="10251" max="10251" width="14" style="209" bestFit="1" customWidth="1"/>
    <col min="10252" max="10254" width="8.85546875" style="209"/>
    <col min="10255" max="10255" width="10.85546875" style="209" customWidth="1"/>
    <col min="10256" max="10256" width="10.28515625" style="209" bestFit="1" customWidth="1"/>
    <col min="10257" max="10502" width="8.85546875" style="209"/>
    <col min="10503" max="10503" width="11.28515625" style="209" bestFit="1" customWidth="1"/>
    <col min="10504" max="10504" width="9.42578125" style="209" bestFit="1" customWidth="1"/>
    <col min="10505" max="10505" width="12.140625" style="209" bestFit="1" customWidth="1"/>
    <col min="10506" max="10506" width="10.28515625" style="209" bestFit="1" customWidth="1"/>
    <col min="10507" max="10507" width="14" style="209" bestFit="1" customWidth="1"/>
    <col min="10508" max="10510" width="8.85546875" style="209"/>
    <col min="10511" max="10511" width="10.85546875" style="209" customWidth="1"/>
    <col min="10512" max="10512" width="10.28515625" style="209" bestFit="1" customWidth="1"/>
    <col min="10513" max="10758" width="8.85546875" style="209"/>
    <col min="10759" max="10759" width="11.28515625" style="209" bestFit="1" customWidth="1"/>
    <col min="10760" max="10760" width="9.42578125" style="209" bestFit="1" customWidth="1"/>
    <col min="10761" max="10761" width="12.140625" style="209" bestFit="1" customWidth="1"/>
    <col min="10762" max="10762" width="10.28515625" style="209" bestFit="1" customWidth="1"/>
    <col min="10763" max="10763" width="14" style="209" bestFit="1" customWidth="1"/>
    <col min="10764" max="10766" width="8.85546875" style="209"/>
    <col min="10767" max="10767" width="10.85546875" style="209" customWidth="1"/>
    <col min="10768" max="10768" width="10.28515625" style="209" bestFit="1" customWidth="1"/>
    <col min="10769" max="11014" width="8.85546875" style="209"/>
    <col min="11015" max="11015" width="11.28515625" style="209" bestFit="1" customWidth="1"/>
    <col min="11016" max="11016" width="9.42578125" style="209" bestFit="1" customWidth="1"/>
    <col min="11017" max="11017" width="12.140625" style="209" bestFit="1" customWidth="1"/>
    <col min="11018" max="11018" width="10.28515625" style="209" bestFit="1" customWidth="1"/>
    <col min="11019" max="11019" width="14" style="209" bestFit="1" customWidth="1"/>
    <col min="11020" max="11022" width="8.85546875" style="209"/>
    <col min="11023" max="11023" width="10.85546875" style="209" customWidth="1"/>
    <col min="11024" max="11024" width="10.28515625" style="209" bestFit="1" customWidth="1"/>
    <col min="11025" max="11270" width="8.85546875" style="209"/>
    <col min="11271" max="11271" width="11.28515625" style="209" bestFit="1" customWidth="1"/>
    <col min="11272" max="11272" width="9.42578125" style="209" bestFit="1" customWidth="1"/>
    <col min="11273" max="11273" width="12.140625" style="209" bestFit="1" customWidth="1"/>
    <col min="11274" max="11274" width="10.28515625" style="209" bestFit="1" customWidth="1"/>
    <col min="11275" max="11275" width="14" style="209" bestFit="1" customWidth="1"/>
    <col min="11276" max="11278" width="8.85546875" style="209"/>
    <col min="11279" max="11279" width="10.85546875" style="209" customWidth="1"/>
    <col min="11280" max="11280" width="10.28515625" style="209" bestFit="1" customWidth="1"/>
    <col min="11281" max="11526" width="8.85546875" style="209"/>
    <col min="11527" max="11527" width="11.28515625" style="209" bestFit="1" customWidth="1"/>
    <col min="11528" max="11528" width="9.42578125" style="209" bestFit="1" customWidth="1"/>
    <col min="11529" max="11529" width="12.140625" style="209" bestFit="1" customWidth="1"/>
    <col min="11530" max="11530" width="10.28515625" style="209" bestFit="1" customWidth="1"/>
    <col min="11531" max="11531" width="14" style="209" bestFit="1" customWidth="1"/>
    <col min="11532" max="11534" width="8.85546875" style="209"/>
    <col min="11535" max="11535" width="10.85546875" style="209" customWidth="1"/>
    <col min="11536" max="11536" width="10.28515625" style="209" bestFit="1" customWidth="1"/>
    <col min="11537" max="11782" width="8.85546875" style="209"/>
    <col min="11783" max="11783" width="11.28515625" style="209" bestFit="1" customWidth="1"/>
    <col min="11784" max="11784" width="9.42578125" style="209" bestFit="1" customWidth="1"/>
    <col min="11785" max="11785" width="12.140625" style="209" bestFit="1" customWidth="1"/>
    <col min="11786" max="11786" width="10.28515625" style="209" bestFit="1" customWidth="1"/>
    <col min="11787" max="11787" width="14" style="209" bestFit="1" customWidth="1"/>
    <col min="11788" max="11790" width="8.85546875" style="209"/>
    <col min="11791" max="11791" width="10.85546875" style="209" customWidth="1"/>
    <col min="11792" max="11792" width="10.28515625" style="209" bestFit="1" customWidth="1"/>
    <col min="11793" max="12038" width="8.85546875" style="209"/>
    <col min="12039" max="12039" width="11.28515625" style="209" bestFit="1" customWidth="1"/>
    <col min="12040" max="12040" width="9.42578125" style="209" bestFit="1" customWidth="1"/>
    <col min="12041" max="12041" width="12.140625" style="209" bestFit="1" customWidth="1"/>
    <col min="12042" max="12042" width="10.28515625" style="209" bestFit="1" customWidth="1"/>
    <col min="12043" max="12043" width="14" style="209" bestFit="1" customWidth="1"/>
    <col min="12044" max="12046" width="8.85546875" style="209"/>
    <col min="12047" max="12047" width="10.85546875" style="209" customWidth="1"/>
    <col min="12048" max="12048" width="10.28515625" style="209" bestFit="1" customWidth="1"/>
    <col min="12049" max="12294" width="8.85546875" style="209"/>
    <col min="12295" max="12295" width="11.28515625" style="209" bestFit="1" customWidth="1"/>
    <col min="12296" max="12296" width="9.42578125" style="209" bestFit="1" customWidth="1"/>
    <col min="12297" max="12297" width="12.140625" style="209" bestFit="1" customWidth="1"/>
    <col min="12298" max="12298" width="10.28515625" style="209" bestFit="1" customWidth="1"/>
    <col min="12299" max="12299" width="14" style="209" bestFit="1" customWidth="1"/>
    <col min="12300" max="12302" width="8.85546875" style="209"/>
    <col min="12303" max="12303" width="10.85546875" style="209" customWidth="1"/>
    <col min="12304" max="12304" width="10.28515625" style="209" bestFit="1" customWidth="1"/>
    <col min="12305" max="12550" width="8.85546875" style="209"/>
    <col min="12551" max="12551" width="11.28515625" style="209" bestFit="1" customWidth="1"/>
    <col min="12552" max="12552" width="9.42578125" style="209" bestFit="1" customWidth="1"/>
    <col min="12553" max="12553" width="12.140625" style="209" bestFit="1" customWidth="1"/>
    <col min="12554" max="12554" width="10.28515625" style="209" bestFit="1" customWidth="1"/>
    <col min="12555" max="12555" width="14" style="209" bestFit="1" customWidth="1"/>
    <col min="12556" max="12558" width="8.85546875" style="209"/>
    <col min="12559" max="12559" width="10.85546875" style="209" customWidth="1"/>
    <col min="12560" max="12560" width="10.28515625" style="209" bestFit="1" customWidth="1"/>
    <col min="12561" max="12806" width="8.85546875" style="209"/>
    <col min="12807" max="12807" width="11.28515625" style="209" bestFit="1" customWidth="1"/>
    <col min="12808" max="12808" width="9.42578125" style="209" bestFit="1" customWidth="1"/>
    <col min="12809" max="12809" width="12.140625" style="209" bestFit="1" customWidth="1"/>
    <col min="12810" max="12810" width="10.28515625" style="209" bestFit="1" customWidth="1"/>
    <col min="12811" max="12811" width="14" style="209" bestFit="1" customWidth="1"/>
    <col min="12812" max="12814" width="8.85546875" style="209"/>
    <col min="12815" max="12815" width="10.85546875" style="209" customWidth="1"/>
    <col min="12816" max="12816" width="10.28515625" style="209" bestFit="1" customWidth="1"/>
    <col min="12817" max="13062" width="8.85546875" style="209"/>
    <col min="13063" max="13063" width="11.28515625" style="209" bestFit="1" customWidth="1"/>
    <col min="13064" max="13064" width="9.42578125" style="209" bestFit="1" customWidth="1"/>
    <col min="13065" max="13065" width="12.140625" style="209" bestFit="1" customWidth="1"/>
    <col min="13066" max="13066" width="10.28515625" style="209" bestFit="1" customWidth="1"/>
    <col min="13067" max="13067" width="14" style="209" bestFit="1" customWidth="1"/>
    <col min="13068" max="13070" width="8.85546875" style="209"/>
    <col min="13071" max="13071" width="10.85546875" style="209" customWidth="1"/>
    <col min="13072" max="13072" width="10.28515625" style="209" bestFit="1" customWidth="1"/>
    <col min="13073" max="13318" width="8.85546875" style="209"/>
    <col min="13319" max="13319" width="11.28515625" style="209" bestFit="1" customWidth="1"/>
    <col min="13320" max="13320" width="9.42578125" style="209" bestFit="1" customWidth="1"/>
    <col min="13321" max="13321" width="12.140625" style="209" bestFit="1" customWidth="1"/>
    <col min="13322" max="13322" width="10.28515625" style="209" bestFit="1" customWidth="1"/>
    <col min="13323" max="13323" width="14" style="209" bestFit="1" customWidth="1"/>
    <col min="13324" max="13326" width="8.85546875" style="209"/>
    <col min="13327" max="13327" width="10.85546875" style="209" customWidth="1"/>
    <col min="13328" max="13328" width="10.28515625" style="209" bestFit="1" customWidth="1"/>
    <col min="13329" max="13574" width="8.85546875" style="209"/>
    <col min="13575" max="13575" width="11.28515625" style="209" bestFit="1" customWidth="1"/>
    <col min="13576" max="13576" width="9.42578125" style="209" bestFit="1" customWidth="1"/>
    <col min="13577" max="13577" width="12.140625" style="209" bestFit="1" customWidth="1"/>
    <col min="13578" max="13578" width="10.28515625" style="209" bestFit="1" customWidth="1"/>
    <col min="13579" max="13579" width="14" style="209" bestFit="1" customWidth="1"/>
    <col min="13580" max="13582" width="8.85546875" style="209"/>
    <col min="13583" max="13583" width="10.85546875" style="209" customWidth="1"/>
    <col min="13584" max="13584" width="10.28515625" style="209" bestFit="1" customWidth="1"/>
    <col min="13585" max="13830" width="8.85546875" style="209"/>
    <col min="13831" max="13831" width="11.28515625" style="209" bestFit="1" customWidth="1"/>
    <col min="13832" max="13832" width="9.42578125" style="209" bestFit="1" customWidth="1"/>
    <col min="13833" max="13833" width="12.140625" style="209" bestFit="1" customWidth="1"/>
    <col min="13834" max="13834" width="10.28515625" style="209" bestFit="1" customWidth="1"/>
    <col min="13835" max="13835" width="14" style="209" bestFit="1" customWidth="1"/>
    <col min="13836" max="13838" width="8.85546875" style="209"/>
    <col min="13839" max="13839" width="10.85546875" style="209" customWidth="1"/>
    <col min="13840" max="13840" width="10.28515625" style="209" bestFit="1" customWidth="1"/>
    <col min="13841" max="14086" width="8.85546875" style="209"/>
    <col min="14087" max="14087" width="11.28515625" style="209" bestFit="1" customWidth="1"/>
    <col min="14088" max="14088" width="9.42578125" style="209" bestFit="1" customWidth="1"/>
    <col min="14089" max="14089" width="12.140625" style="209" bestFit="1" customWidth="1"/>
    <col min="14090" max="14090" width="10.28515625" style="209" bestFit="1" customWidth="1"/>
    <col min="14091" max="14091" width="14" style="209" bestFit="1" customWidth="1"/>
    <col min="14092" max="14094" width="8.85546875" style="209"/>
    <col min="14095" max="14095" width="10.85546875" style="209" customWidth="1"/>
    <col min="14096" max="14096" width="10.28515625" style="209" bestFit="1" customWidth="1"/>
    <col min="14097" max="14342" width="8.85546875" style="209"/>
    <col min="14343" max="14343" width="11.28515625" style="209" bestFit="1" customWidth="1"/>
    <col min="14344" max="14344" width="9.42578125" style="209" bestFit="1" customWidth="1"/>
    <col min="14345" max="14345" width="12.140625" style="209" bestFit="1" customWidth="1"/>
    <col min="14346" max="14346" width="10.28515625" style="209" bestFit="1" customWidth="1"/>
    <col min="14347" max="14347" width="14" style="209" bestFit="1" customWidth="1"/>
    <col min="14348" max="14350" width="8.85546875" style="209"/>
    <col min="14351" max="14351" width="10.85546875" style="209" customWidth="1"/>
    <col min="14352" max="14352" width="10.28515625" style="209" bestFit="1" customWidth="1"/>
    <col min="14353" max="14598" width="8.85546875" style="209"/>
    <col min="14599" max="14599" width="11.28515625" style="209" bestFit="1" customWidth="1"/>
    <col min="14600" max="14600" width="9.42578125" style="209" bestFit="1" customWidth="1"/>
    <col min="14601" max="14601" width="12.140625" style="209" bestFit="1" customWidth="1"/>
    <col min="14602" max="14602" width="10.28515625" style="209" bestFit="1" customWidth="1"/>
    <col min="14603" max="14603" width="14" style="209" bestFit="1" customWidth="1"/>
    <col min="14604" max="14606" width="8.85546875" style="209"/>
    <col min="14607" max="14607" width="10.85546875" style="209" customWidth="1"/>
    <col min="14608" max="14608" width="10.28515625" style="209" bestFit="1" customWidth="1"/>
    <col min="14609" max="14854" width="8.85546875" style="209"/>
    <col min="14855" max="14855" width="11.28515625" style="209" bestFit="1" customWidth="1"/>
    <col min="14856" max="14856" width="9.42578125" style="209" bestFit="1" customWidth="1"/>
    <col min="14857" max="14857" width="12.140625" style="209" bestFit="1" customWidth="1"/>
    <col min="14858" max="14858" width="10.28515625" style="209" bestFit="1" customWidth="1"/>
    <col min="14859" max="14859" width="14" style="209" bestFit="1" customWidth="1"/>
    <col min="14860" max="14862" width="8.85546875" style="209"/>
    <col min="14863" max="14863" width="10.85546875" style="209" customWidth="1"/>
    <col min="14864" max="14864" width="10.28515625" style="209" bestFit="1" customWidth="1"/>
    <col min="14865" max="15110" width="8.85546875" style="209"/>
    <col min="15111" max="15111" width="11.28515625" style="209" bestFit="1" customWidth="1"/>
    <col min="15112" max="15112" width="9.42578125" style="209" bestFit="1" customWidth="1"/>
    <col min="15113" max="15113" width="12.140625" style="209" bestFit="1" customWidth="1"/>
    <col min="15114" max="15114" width="10.28515625" style="209" bestFit="1" customWidth="1"/>
    <col min="15115" max="15115" width="14" style="209" bestFit="1" customWidth="1"/>
    <col min="15116" max="15118" width="8.85546875" style="209"/>
    <col min="15119" max="15119" width="10.85546875" style="209" customWidth="1"/>
    <col min="15120" max="15120" width="10.28515625" style="209" bestFit="1" customWidth="1"/>
    <col min="15121" max="15366" width="8.85546875" style="209"/>
    <col min="15367" max="15367" width="11.28515625" style="209" bestFit="1" customWidth="1"/>
    <col min="15368" max="15368" width="9.42578125" style="209" bestFit="1" customWidth="1"/>
    <col min="15369" max="15369" width="12.140625" style="209" bestFit="1" customWidth="1"/>
    <col min="15370" max="15370" width="10.28515625" style="209" bestFit="1" customWidth="1"/>
    <col min="15371" max="15371" width="14" style="209" bestFit="1" customWidth="1"/>
    <col min="15372" max="15374" width="8.85546875" style="209"/>
    <col min="15375" max="15375" width="10.85546875" style="209" customWidth="1"/>
    <col min="15376" max="15376" width="10.28515625" style="209" bestFit="1" customWidth="1"/>
    <col min="15377" max="15622" width="8.85546875" style="209"/>
    <col min="15623" max="15623" width="11.28515625" style="209" bestFit="1" customWidth="1"/>
    <col min="15624" max="15624" width="9.42578125" style="209" bestFit="1" customWidth="1"/>
    <col min="15625" max="15625" width="12.140625" style="209" bestFit="1" customWidth="1"/>
    <col min="15626" max="15626" width="10.28515625" style="209" bestFit="1" customWidth="1"/>
    <col min="15627" max="15627" width="14" style="209" bestFit="1" customWidth="1"/>
    <col min="15628" max="15630" width="8.85546875" style="209"/>
    <col min="15631" max="15631" width="10.85546875" style="209" customWidth="1"/>
    <col min="15632" max="15632" width="10.28515625" style="209" bestFit="1" customWidth="1"/>
    <col min="15633" max="15878" width="8.85546875" style="209"/>
    <col min="15879" max="15879" width="11.28515625" style="209" bestFit="1" customWidth="1"/>
    <col min="15880" max="15880" width="9.42578125" style="209" bestFit="1" customWidth="1"/>
    <col min="15881" max="15881" width="12.140625" style="209" bestFit="1" customWidth="1"/>
    <col min="15882" max="15882" width="10.28515625" style="209" bestFit="1" customWidth="1"/>
    <col min="15883" max="15883" width="14" style="209" bestFit="1" customWidth="1"/>
    <col min="15884" max="15886" width="8.85546875" style="209"/>
    <col min="15887" max="15887" width="10.85546875" style="209" customWidth="1"/>
    <col min="15888" max="15888" width="10.28515625" style="209" bestFit="1" customWidth="1"/>
    <col min="15889" max="16134" width="8.85546875" style="209"/>
    <col min="16135" max="16135" width="11.28515625" style="209" bestFit="1" customWidth="1"/>
    <col min="16136" max="16136" width="9.42578125" style="209" bestFit="1" customWidth="1"/>
    <col min="16137" max="16137" width="12.140625" style="209" bestFit="1" customWidth="1"/>
    <col min="16138" max="16138" width="10.28515625" style="209" bestFit="1" customWidth="1"/>
    <col min="16139" max="16139" width="14" style="209" bestFit="1" customWidth="1"/>
    <col min="16140" max="16142" width="8.85546875" style="209"/>
    <col min="16143" max="16143" width="10.85546875" style="209" customWidth="1"/>
    <col min="16144" max="16144" width="10.28515625" style="209" bestFit="1" customWidth="1"/>
    <col min="16145" max="16384" width="8.85546875" style="209"/>
  </cols>
  <sheetData>
    <row r="1" spans="1:16" ht="15">
      <c r="A1" s="234" t="s">
        <v>40</v>
      </c>
      <c r="B1" s="233"/>
      <c r="C1" s="233"/>
      <c r="D1" s="233"/>
      <c r="E1" s="233"/>
      <c r="F1" s="233"/>
      <c r="G1" s="233"/>
      <c r="H1" s="233"/>
      <c r="I1" s="233"/>
      <c r="J1" s="232"/>
      <c r="K1" s="231" t="s">
        <v>438</v>
      </c>
      <c r="O1" s="253" t="s">
        <v>516</v>
      </c>
    </row>
    <row r="2" spans="1:16" ht="15">
      <c r="A2" s="234" t="s">
        <v>1</v>
      </c>
      <c r="B2" s="233"/>
      <c r="C2" s="233"/>
      <c r="D2" s="233"/>
      <c r="E2" s="233"/>
      <c r="F2" s="233"/>
      <c r="G2" s="233"/>
      <c r="H2" s="233"/>
      <c r="I2" s="233"/>
      <c r="J2" s="232"/>
      <c r="K2" s="231" t="s">
        <v>37</v>
      </c>
      <c r="O2" s="209" t="s">
        <v>510</v>
      </c>
    </row>
    <row r="3" spans="1:16" ht="15">
      <c r="A3" s="230" t="s">
        <v>528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O3" s="212">
        <v>40664</v>
      </c>
      <c r="P3" s="255">
        <v>1.6000000000000001E-3</v>
      </c>
    </row>
    <row r="4" spans="1:16" ht="15">
      <c r="A4" s="219" t="s">
        <v>509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O4" s="212">
        <v>40695</v>
      </c>
      <c r="P4" s="254">
        <v>1.5E-3</v>
      </c>
    </row>
    <row r="5" spans="1:16" ht="14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O5" s="212">
        <v>40725</v>
      </c>
      <c r="P5" s="254">
        <v>1.4E-3</v>
      </c>
    </row>
    <row r="6" spans="1:16" ht="14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O6" s="212">
        <v>40756</v>
      </c>
      <c r="P6" s="255">
        <v>1.6000000000000001E-3</v>
      </c>
    </row>
    <row r="7" spans="1:16" ht="15">
      <c r="A7" s="229" t="s">
        <v>32</v>
      </c>
      <c r="B7" s="228"/>
      <c r="C7" s="228"/>
      <c r="D7" s="228"/>
      <c r="E7" s="228"/>
      <c r="F7" s="228"/>
      <c r="G7" s="218"/>
      <c r="H7" s="218"/>
      <c r="I7" s="218"/>
      <c r="J7" s="218"/>
      <c r="K7" s="218"/>
      <c r="O7" s="212">
        <v>40787</v>
      </c>
      <c r="P7" s="254">
        <v>1.4E-3</v>
      </c>
    </row>
    <row r="8" spans="1:16" ht="15">
      <c r="A8" s="226" t="s">
        <v>31</v>
      </c>
      <c r="B8" s="227" t="s">
        <v>508</v>
      </c>
      <c r="C8" s="227"/>
      <c r="D8" s="227"/>
      <c r="E8" s="227"/>
      <c r="F8" s="220"/>
      <c r="G8" s="220"/>
      <c r="H8" s="220"/>
      <c r="I8" s="220"/>
      <c r="J8" s="218"/>
      <c r="K8" s="226" t="s">
        <v>507</v>
      </c>
      <c r="O8" s="212">
        <v>40817</v>
      </c>
      <c r="P8" s="254">
        <v>1.5E-3</v>
      </c>
    </row>
    <row r="9" spans="1:16" ht="14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O9" s="212">
        <v>40848</v>
      </c>
      <c r="P9" s="254">
        <v>1.4E-3</v>
      </c>
    </row>
    <row r="10" spans="1:16" ht="14.25">
      <c r="A10" s="213">
        <v>1</v>
      </c>
      <c r="B10" s="218" t="s">
        <v>519</v>
      </c>
      <c r="C10" s="218"/>
      <c r="D10" s="218"/>
      <c r="E10" s="218"/>
      <c r="F10" s="218"/>
      <c r="G10" s="218"/>
      <c r="H10" s="218"/>
      <c r="I10" s="218"/>
      <c r="J10" s="218"/>
      <c r="K10" s="274">
        <v>0</v>
      </c>
      <c r="O10" s="212">
        <v>40878</v>
      </c>
      <c r="P10" s="254">
        <v>1.4E-3</v>
      </c>
    </row>
    <row r="11" spans="1:16" ht="14.25">
      <c r="A11" s="213">
        <v>2</v>
      </c>
      <c r="C11" s="218"/>
      <c r="D11" s="218"/>
      <c r="E11" s="218"/>
      <c r="F11" s="218"/>
      <c r="G11" s="218"/>
      <c r="H11" s="218"/>
      <c r="I11" s="218"/>
      <c r="J11" s="218"/>
      <c r="K11" s="275"/>
      <c r="O11" s="212">
        <v>40909</v>
      </c>
      <c r="P11" s="254">
        <v>1.4E-3</v>
      </c>
    </row>
    <row r="12" spans="1:16" ht="14.25">
      <c r="A12" s="213">
        <v>3</v>
      </c>
      <c r="B12" s="218" t="s">
        <v>527</v>
      </c>
      <c r="C12" s="218"/>
      <c r="D12" s="218"/>
      <c r="E12" s="218"/>
      <c r="F12" s="218"/>
      <c r="G12" s="218"/>
      <c r="H12" s="218"/>
      <c r="I12" s="218"/>
      <c r="J12" s="218"/>
      <c r="K12" s="276">
        <v>0</v>
      </c>
      <c r="O12" s="212">
        <v>40940</v>
      </c>
      <c r="P12" s="254">
        <v>1.6999999999999999E-3</v>
      </c>
    </row>
    <row r="13" spans="1:16" ht="14.25">
      <c r="A13" s="213">
        <v>4</v>
      </c>
      <c r="B13" s="218" t="s">
        <v>506</v>
      </c>
      <c r="C13" s="218"/>
      <c r="D13" s="218"/>
      <c r="E13" s="218"/>
      <c r="F13" s="218"/>
      <c r="G13" s="218"/>
      <c r="H13" s="218"/>
      <c r="I13" s="218"/>
      <c r="J13" s="218"/>
      <c r="K13" s="277">
        <v>0</v>
      </c>
      <c r="O13" s="212">
        <v>40969</v>
      </c>
      <c r="P13" s="254">
        <v>1.8E-3</v>
      </c>
    </row>
    <row r="14" spans="1:16" ht="15" thickBot="1">
      <c r="A14" s="213">
        <v>5</v>
      </c>
      <c r="B14" s="218" t="s">
        <v>505</v>
      </c>
      <c r="C14" s="218"/>
      <c r="D14" s="218"/>
      <c r="E14" s="218"/>
      <c r="F14" s="218"/>
      <c r="G14" s="218"/>
      <c r="H14" s="218"/>
      <c r="I14" s="218"/>
      <c r="J14" s="218"/>
      <c r="K14" s="242">
        <f>SUM(K10:K13)</f>
        <v>0</v>
      </c>
      <c r="O14" s="212">
        <v>41000</v>
      </c>
      <c r="P14" s="254">
        <v>2E-3</v>
      </c>
    </row>
    <row r="15" spans="1:16" ht="15.75" thickTop="1" thickBot="1">
      <c r="A15" s="213">
        <v>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O15" s="222" t="s">
        <v>162</v>
      </c>
      <c r="P15" s="254">
        <f>AVERAGE(P3:P14)</f>
        <v>1.5583333333333334E-3</v>
      </c>
    </row>
    <row r="16" spans="1:16" ht="15" thickBot="1">
      <c r="A16" s="213">
        <v>7</v>
      </c>
      <c r="B16" s="218" t="s">
        <v>504</v>
      </c>
      <c r="C16" s="218"/>
      <c r="D16" s="218"/>
      <c r="E16" s="218"/>
      <c r="F16" s="218"/>
      <c r="G16" s="218"/>
      <c r="H16" s="218"/>
      <c r="I16" s="218"/>
      <c r="J16" s="218"/>
      <c r="K16" s="278">
        <v>0</v>
      </c>
      <c r="O16" s="222" t="s">
        <v>502</v>
      </c>
      <c r="P16" s="256">
        <v>5.0000000000000001E-3</v>
      </c>
    </row>
    <row r="17" spans="1:17" ht="14.25">
      <c r="A17" s="213">
        <v>8</v>
      </c>
      <c r="B17" s="218" t="s">
        <v>503</v>
      </c>
      <c r="C17" s="218"/>
      <c r="D17" s="218"/>
      <c r="E17" s="218"/>
      <c r="F17" s="218"/>
      <c r="G17" s="218"/>
      <c r="H17" s="218"/>
      <c r="I17" s="218"/>
      <c r="J17" s="218"/>
      <c r="K17" s="218"/>
      <c r="O17" s="222" t="s">
        <v>123</v>
      </c>
      <c r="P17" s="254">
        <f>P15-P16</f>
        <v>-3.4416666666666667E-3</v>
      </c>
    </row>
    <row r="18" spans="1:17" ht="14.25">
      <c r="A18" s="213">
        <v>9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O18" s="222"/>
    </row>
    <row r="19" spans="1:17" ht="15">
      <c r="A19" s="213">
        <v>10</v>
      </c>
      <c r="B19" s="218"/>
      <c r="C19" s="218"/>
      <c r="D19" s="218"/>
      <c r="E19" s="218"/>
      <c r="F19" s="218"/>
      <c r="G19" s="218"/>
      <c r="H19" s="225" t="s">
        <v>501</v>
      </c>
      <c r="I19" s="225" t="s">
        <v>500</v>
      </c>
      <c r="J19" s="225" t="s">
        <v>499</v>
      </c>
      <c r="K19" s="218"/>
      <c r="O19" s="209" t="s">
        <v>498</v>
      </c>
    </row>
    <row r="20" spans="1:17" ht="15">
      <c r="A20" s="213">
        <v>11</v>
      </c>
      <c r="B20" s="221" t="s">
        <v>163</v>
      </c>
      <c r="C20" s="220"/>
      <c r="D20" s="220"/>
      <c r="E20" s="220"/>
      <c r="F20" s="220"/>
      <c r="G20" s="218"/>
      <c r="H20" s="224" t="s">
        <v>21</v>
      </c>
      <c r="I20" s="224" t="s">
        <v>22</v>
      </c>
      <c r="J20" s="224" t="s">
        <v>122</v>
      </c>
      <c r="K20" s="218"/>
    </row>
    <row r="21" spans="1:17" ht="14.25">
      <c r="A21" s="213">
        <v>12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</row>
    <row r="22" spans="1:17" ht="14.25">
      <c r="A22" s="213">
        <v>13</v>
      </c>
      <c r="B22" s="218" t="s">
        <v>497</v>
      </c>
      <c r="C22" s="218"/>
      <c r="D22" s="218"/>
      <c r="E22" s="218"/>
      <c r="F22" s="218"/>
      <c r="G22" s="218"/>
      <c r="H22" s="279">
        <v>0</v>
      </c>
      <c r="I22" s="280">
        <f>K14</f>
        <v>0</v>
      </c>
      <c r="J22" s="257">
        <f>SUM(H22:I22)</f>
        <v>0</v>
      </c>
      <c r="K22" s="218"/>
    </row>
    <row r="23" spans="1:17" ht="14.25">
      <c r="A23" s="213">
        <v>14</v>
      </c>
      <c r="B23" s="218"/>
      <c r="C23" s="218"/>
      <c r="D23" s="218"/>
      <c r="E23" s="218"/>
      <c r="F23" s="218"/>
      <c r="G23" s="218"/>
      <c r="H23" s="281">
        <v>0</v>
      </c>
      <c r="I23" s="282">
        <v>0</v>
      </c>
      <c r="J23" s="258">
        <f>SUM(H23:I23)</f>
        <v>0</v>
      </c>
      <c r="K23" s="218"/>
      <c r="P23" s="254"/>
    </row>
    <row r="24" spans="1:17" ht="14.25">
      <c r="A24" s="213">
        <v>15</v>
      </c>
      <c r="B24" s="218"/>
      <c r="C24" s="218"/>
      <c r="D24" s="218"/>
      <c r="E24" s="218"/>
      <c r="F24" s="218"/>
      <c r="G24" s="218"/>
      <c r="H24" s="223"/>
      <c r="I24" s="259"/>
      <c r="J24" s="259"/>
      <c r="K24" s="218"/>
    </row>
    <row r="25" spans="1:17" ht="14.25">
      <c r="A25" s="213">
        <v>16</v>
      </c>
      <c r="B25" s="218" t="s">
        <v>496</v>
      </c>
      <c r="C25" s="218"/>
      <c r="D25" s="218"/>
      <c r="E25" s="218"/>
      <c r="F25" s="218"/>
      <c r="G25" s="218"/>
      <c r="H25" s="258">
        <f>SUM(H22:H24)</f>
        <v>0</v>
      </c>
      <c r="I25" s="258">
        <f>SUM(I22:I24)</f>
        <v>0</v>
      </c>
      <c r="J25" s="260">
        <f>SUM(J22:J24)</f>
        <v>0</v>
      </c>
      <c r="K25" s="218"/>
    </row>
    <row r="26" spans="1:17" ht="14.25">
      <c r="A26" s="213">
        <v>17</v>
      </c>
      <c r="B26" s="218" t="s">
        <v>495</v>
      </c>
      <c r="C26" s="218"/>
      <c r="D26" s="218"/>
      <c r="E26" s="218"/>
      <c r="F26" s="218"/>
      <c r="G26" s="218"/>
      <c r="H26" s="223">
        <f>H25*K16</f>
        <v>0</v>
      </c>
      <c r="I26" s="223">
        <f>I25*K16</f>
        <v>0</v>
      </c>
      <c r="J26" s="259">
        <f>SUM(H26:I26)</f>
        <v>0</v>
      </c>
      <c r="K26" s="218"/>
      <c r="Q26" s="254"/>
    </row>
    <row r="27" spans="1:17" ht="15" thickBot="1">
      <c r="A27" s="213">
        <v>18</v>
      </c>
      <c r="B27" s="218" t="s">
        <v>122</v>
      </c>
      <c r="C27" s="218"/>
      <c r="D27" s="218"/>
      <c r="E27" s="218"/>
      <c r="F27" s="218"/>
      <c r="G27" s="218"/>
      <c r="H27" s="261">
        <f>SUM(H25:H26)</f>
        <v>0</v>
      </c>
      <c r="I27" s="261">
        <f>SUM(I25:I26)</f>
        <v>0</v>
      </c>
      <c r="J27" s="261">
        <f>SUM(J25:J26)</f>
        <v>0</v>
      </c>
      <c r="K27" s="218"/>
      <c r="O27" s="222" t="s">
        <v>494</v>
      </c>
      <c r="Q27" s="254"/>
    </row>
    <row r="28" spans="1:17" ht="15" thickTop="1">
      <c r="A28" s="213">
        <v>19</v>
      </c>
      <c r="B28" s="218"/>
      <c r="C28" s="218"/>
      <c r="D28" s="218"/>
      <c r="E28" s="218"/>
      <c r="F28" s="218"/>
      <c r="G28" s="218"/>
      <c r="H28" s="262"/>
      <c r="I28" s="262"/>
      <c r="J28" s="262"/>
      <c r="K28" s="218"/>
      <c r="O28" s="209" t="s">
        <v>492</v>
      </c>
      <c r="Q28" s="254"/>
    </row>
    <row r="29" spans="1:17" ht="15">
      <c r="A29" s="213">
        <v>20</v>
      </c>
      <c r="B29" s="221" t="s">
        <v>493</v>
      </c>
      <c r="C29" s="220"/>
      <c r="D29" s="220"/>
      <c r="E29" s="220"/>
      <c r="F29" s="220"/>
      <c r="G29" s="218"/>
      <c r="H29" s="218"/>
      <c r="I29" s="218"/>
      <c r="J29" s="218"/>
      <c r="K29" s="218"/>
      <c r="O29" s="209" t="s">
        <v>491</v>
      </c>
      <c r="Q29" s="254"/>
    </row>
    <row r="30" spans="1:17" ht="15">
      <c r="A30" s="213">
        <v>21</v>
      </c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O30" s="209" t="s">
        <v>489</v>
      </c>
      <c r="Q30" s="254"/>
    </row>
    <row r="31" spans="1:17" ht="14.25">
      <c r="A31" s="213">
        <v>22</v>
      </c>
      <c r="B31" s="218" t="s">
        <v>490</v>
      </c>
      <c r="C31" s="218"/>
      <c r="D31" s="218"/>
      <c r="E31" s="218"/>
      <c r="F31" s="218"/>
      <c r="G31" s="218"/>
      <c r="H31" s="218"/>
      <c r="I31" s="218"/>
      <c r="J31" s="218"/>
      <c r="K31" s="218"/>
      <c r="O31" s="209" t="s">
        <v>487</v>
      </c>
      <c r="Q31" s="254"/>
    </row>
    <row r="32" spans="1:17" ht="14.25">
      <c r="A32" s="213">
        <v>23</v>
      </c>
      <c r="B32" s="218" t="s">
        <v>488</v>
      </c>
      <c r="C32" s="218"/>
      <c r="D32" s="218"/>
      <c r="E32" s="218"/>
      <c r="F32" s="218"/>
      <c r="G32" s="263">
        <f>+B.8!F22</f>
        <v>0.1452</v>
      </c>
      <c r="H32" s="218"/>
      <c r="I32" s="218"/>
      <c r="J32" s="218"/>
      <c r="K32" s="218"/>
      <c r="O32" s="209" t="s">
        <v>485</v>
      </c>
      <c r="Q32" s="254"/>
    </row>
    <row r="33" spans="1:17" ht="14.25">
      <c r="A33" s="213">
        <v>24</v>
      </c>
      <c r="B33" s="218" t="s">
        <v>486</v>
      </c>
      <c r="C33" s="218"/>
      <c r="D33" s="218"/>
      <c r="E33" s="218"/>
      <c r="F33" s="218"/>
      <c r="G33" s="218"/>
      <c r="H33" s="218"/>
      <c r="I33" s="218"/>
      <c r="J33" s="218"/>
      <c r="K33" s="218"/>
      <c r="Q33" s="254"/>
    </row>
    <row r="34" spans="1:17" ht="14.25">
      <c r="A34" s="213">
        <v>25</v>
      </c>
      <c r="B34" s="218" t="s">
        <v>484</v>
      </c>
      <c r="C34" s="218"/>
      <c r="D34" s="218"/>
      <c r="E34" s="218"/>
      <c r="F34" s="218"/>
      <c r="G34" s="263">
        <f>1-G32</f>
        <v>0.8548</v>
      </c>
      <c r="H34" s="218"/>
      <c r="I34" s="218"/>
      <c r="J34" s="218"/>
      <c r="K34" s="218"/>
      <c r="O34" s="209" t="s">
        <v>482</v>
      </c>
      <c r="Q34" s="254"/>
    </row>
    <row r="35" spans="1:17" ht="14.25">
      <c r="A35" s="213">
        <v>26</v>
      </c>
      <c r="B35" s="218" t="s">
        <v>483</v>
      </c>
      <c r="C35" s="218"/>
      <c r="D35" s="218"/>
      <c r="E35" s="218"/>
      <c r="F35" s="218"/>
      <c r="G35" s="218"/>
      <c r="H35" s="218"/>
      <c r="I35" s="218"/>
      <c r="J35" s="218"/>
      <c r="K35" s="218"/>
      <c r="O35" s="209" t="s">
        <v>480</v>
      </c>
      <c r="Q35" s="254"/>
    </row>
    <row r="36" spans="1:17" ht="14.25">
      <c r="A36" s="213">
        <v>27</v>
      </c>
      <c r="B36" s="218" t="s">
        <v>481</v>
      </c>
      <c r="C36" s="218"/>
      <c r="D36" s="218"/>
      <c r="E36" s="218"/>
      <c r="F36" s="218"/>
      <c r="G36" s="218">
        <f>+B.6!G35</f>
        <v>16200546.423659999</v>
      </c>
      <c r="H36" s="218"/>
      <c r="I36" s="218"/>
      <c r="J36" s="218"/>
      <c r="K36" s="218"/>
      <c r="O36" s="209" t="s">
        <v>478</v>
      </c>
      <c r="Q36" s="254"/>
    </row>
    <row r="37" spans="1:17" ht="14.25">
      <c r="A37" s="213">
        <v>28</v>
      </c>
      <c r="B37" s="218" t="s">
        <v>479</v>
      </c>
      <c r="C37" s="218"/>
      <c r="D37" s="218"/>
      <c r="E37" s="218"/>
      <c r="F37" s="218"/>
      <c r="G37" s="218"/>
      <c r="H37" s="218"/>
      <c r="I37" s="218"/>
      <c r="J37" s="218"/>
      <c r="K37" s="218"/>
      <c r="O37" s="209" t="s">
        <v>476</v>
      </c>
      <c r="Q37" s="254"/>
    </row>
    <row r="38" spans="1:17" ht="14.25">
      <c r="A38" s="213">
        <v>29</v>
      </c>
      <c r="B38" s="218" t="s">
        <v>477</v>
      </c>
      <c r="C38" s="218"/>
      <c r="D38" s="218"/>
      <c r="E38" s="218"/>
      <c r="F38" s="218"/>
      <c r="G38" s="218">
        <f>+B.6!F35</f>
        <v>16499843.667199999</v>
      </c>
      <c r="H38" s="218"/>
      <c r="I38" s="218"/>
      <c r="J38" s="218"/>
      <c r="K38" s="218"/>
      <c r="O38" s="209" t="s">
        <v>475</v>
      </c>
    </row>
    <row r="39" spans="1:17" ht="14.25">
      <c r="A39" s="213">
        <v>30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O39" s="209" t="s">
        <v>473</v>
      </c>
    </row>
    <row r="40" spans="1:17" ht="14.25">
      <c r="A40" s="213">
        <v>31</v>
      </c>
      <c r="B40" s="218" t="s">
        <v>474</v>
      </c>
      <c r="C40" s="218"/>
      <c r="D40" s="218"/>
      <c r="E40" s="218"/>
      <c r="F40" s="218"/>
      <c r="G40" s="257">
        <f>H27</f>
        <v>0</v>
      </c>
      <c r="H40" s="264">
        <f>ROUND(G40/$G$38,4)</f>
        <v>0</v>
      </c>
      <c r="I40" s="216" t="s">
        <v>456</v>
      </c>
      <c r="J40" s="218"/>
      <c r="K40" s="218"/>
      <c r="O40" s="209" t="s">
        <v>471</v>
      </c>
    </row>
    <row r="41" spans="1:17" ht="14.25">
      <c r="A41" s="213">
        <v>32</v>
      </c>
      <c r="B41" s="218" t="s">
        <v>472</v>
      </c>
      <c r="C41" s="218"/>
      <c r="D41" s="218"/>
      <c r="E41" s="218"/>
      <c r="F41" s="218"/>
      <c r="G41" s="257">
        <f>H27</f>
        <v>0</v>
      </c>
      <c r="H41" s="264">
        <f>ROUND(G41/$G$36,4)</f>
        <v>0</v>
      </c>
      <c r="I41" s="216" t="s">
        <v>456</v>
      </c>
      <c r="J41" s="218"/>
      <c r="K41" s="218"/>
      <c r="O41" s="209" t="s">
        <v>469</v>
      </c>
    </row>
    <row r="42" spans="1:17" ht="14.25">
      <c r="A42" s="213">
        <v>33</v>
      </c>
      <c r="B42" s="218" t="s">
        <v>470</v>
      </c>
      <c r="C42" s="218"/>
      <c r="D42" s="218"/>
      <c r="E42" s="218"/>
      <c r="F42" s="218"/>
      <c r="G42" s="217">
        <f>I27</f>
        <v>0</v>
      </c>
      <c r="H42" s="218"/>
      <c r="I42" s="265">
        <f>ROUND(I27/G38,4)</f>
        <v>0</v>
      </c>
      <c r="J42" s="216" t="s">
        <v>456</v>
      </c>
      <c r="K42" s="218"/>
      <c r="O42" s="209" t="s">
        <v>467</v>
      </c>
    </row>
    <row r="43" spans="1:17" ht="15" thickBot="1">
      <c r="A43" s="213">
        <v>34</v>
      </c>
      <c r="B43" s="218" t="s">
        <v>468</v>
      </c>
      <c r="C43" s="218"/>
      <c r="D43" s="218"/>
      <c r="E43" s="218"/>
      <c r="F43" s="218"/>
      <c r="G43" s="218"/>
      <c r="H43" s="218"/>
      <c r="I43" s="218"/>
      <c r="J43" s="218"/>
      <c r="K43" s="216"/>
      <c r="O43" s="209" t="s">
        <v>465</v>
      </c>
    </row>
    <row r="44" spans="1:17" ht="15.75" thickBot="1">
      <c r="A44" s="213">
        <v>35</v>
      </c>
      <c r="B44" s="218" t="s">
        <v>466</v>
      </c>
      <c r="C44" s="218"/>
      <c r="D44" s="218"/>
      <c r="E44" s="218"/>
      <c r="F44" s="218"/>
      <c r="G44" s="218"/>
      <c r="H44" s="266">
        <f>SUM(H40:H41)</f>
        <v>0</v>
      </c>
      <c r="I44" s="214" t="s">
        <v>456</v>
      </c>
      <c r="J44" s="218"/>
      <c r="K44" s="218"/>
    </row>
    <row r="45" spans="1:17" ht="15.75" thickBot="1">
      <c r="A45" s="213">
        <v>36</v>
      </c>
      <c r="B45" s="218" t="s">
        <v>464</v>
      </c>
      <c r="C45" s="218"/>
      <c r="D45" s="218"/>
      <c r="E45" s="218"/>
      <c r="F45" s="218"/>
      <c r="G45" s="218"/>
      <c r="H45" s="267"/>
      <c r="I45" s="215"/>
      <c r="J45" s="218"/>
      <c r="K45" s="218"/>
      <c r="M45" s="209" t="s">
        <v>522</v>
      </c>
    </row>
    <row r="46" spans="1:17" ht="15.75" thickBot="1">
      <c r="A46" s="213">
        <v>37</v>
      </c>
      <c r="B46" s="218" t="s">
        <v>463</v>
      </c>
      <c r="C46" s="218"/>
      <c r="D46" s="218"/>
      <c r="E46" s="218"/>
      <c r="F46" s="218"/>
      <c r="G46" s="218"/>
      <c r="H46" s="266">
        <f>SUM(H40:H40)</f>
        <v>0</v>
      </c>
      <c r="I46" s="214" t="s">
        <v>456</v>
      </c>
      <c r="J46" s="218"/>
      <c r="K46" s="218"/>
      <c r="O46" s="209" t="s">
        <v>461</v>
      </c>
    </row>
    <row r="47" spans="1:17" ht="15" thickBot="1">
      <c r="A47" s="213">
        <v>38</v>
      </c>
      <c r="B47" s="218" t="s">
        <v>462</v>
      </c>
      <c r="C47" s="218"/>
      <c r="D47" s="218"/>
      <c r="E47" s="218"/>
      <c r="F47" s="218"/>
      <c r="G47" s="218"/>
      <c r="H47" s="218"/>
      <c r="I47" s="218"/>
      <c r="J47" s="218"/>
      <c r="K47" s="218"/>
      <c r="O47" s="209" t="s">
        <v>459</v>
      </c>
    </row>
    <row r="48" spans="1:17" ht="15.75" thickBot="1">
      <c r="A48" s="213">
        <v>39</v>
      </c>
      <c r="B48" s="218" t="s">
        <v>460</v>
      </c>
      <c r="C48" s="218"/>
      <c r="D48" s="218"/>
      <c r="E48" s="218"/>
      <c r="F48" s="218"/>
      <c r="G48" s="218"/>
      <c r="H48" s="218"/>
      <c r="I48" s="268">
        <f>I42+H44</f>
        <v>0</v>
      </c>
      <c r="J48" s="214" t="s">
        <v>456</v>
      </c>
      <c r="K48" s="218"/>
    </row>
    <row r="49" spans="1:20" ht="15.75" thickBot="1">
      <c r="A49" s="213">
        <v>40</v>
      </c>
      <c r="B49" s="218" t="s">
        <v>458</v>
      </c>
      <c r="C49" s="218"/>
      <c r="D49" s="218"/>
      <c r="E49" s="218"/>
      <c r="F49" s="218"/>
      <c r="G49" s="218"/>
      <c r="H49" s="218"/>
      <c r="I49" s="269"/>
      <c r="J49" s="215"/>
      <c r="K49" s="218"/>
    </row>
    <row r="50" spans="1:20" ht="15.75" thickBot="1">
      <c r="A50" s="213">
        <v>41</v>
      </c>
      <c r="B50" s="218" t="s">
        <v>457</v>
      </c>
      <c r="C50" s="218"/>
      <c r="D50" s="218"/>
      <c r="E50" s="218"/>
      <c r="F50" s="218"/>
      <c r="G50" s="218"/>
      <c r="H50" s="218"/>
      <c r="I50" s="268">
        <f>I42+H46</f>
        <v>0</v>
      </c>
      <c r="J50" s="214" t="s">
        <v>456</v>
      </c>
      <c r="K50" s="218"/>
      <c r="O50" s="209" t="s">
        <v>455</v>
      </c>
    </row>
    <row r="51" spans="1:20">
      <c r="O51" s="209" t="s">
        <v>454</v>
      </c>
    </row>
    <row r="52" spans="1:20">
      <c r="O52" s="209" t="s">
        <v>453</v>
      </c>
    </row>
    <row r="53" spans="1:20">
      <c r="O53" s="209" t="s">
        <v>452</v>
      </c>
    </row>
    <row r="54" spans="1:20">
      <c r="O54" s="209" t="s">
        <v>451</v>
      </c>
    </row>
    <row r="55" spans="1:20">
      <c r="O55" s="209" t="s">
        <v>450</v>
      </c>
    </row>
    <row r="56" spans="1:20" ht="92.25" customHeight="1">
      <c r="O56" s="377" t="s">
        <v>520</v>
      </c>
      <c r="P56" s="378"/>
      <c r="Q56" s="378"/>
      <c r="R56" s="378"/>
      <c r="S56" s="378"/>
      <c r="T56" s="378"/>
    </row>
    <row r="57" spans="1:20" ht="141.75" customHeight="1">
      <c r="O57" s="377" t="s">
        <v>521</v>
      </c>
      <c r="P57" s="378"/>
      <c r="Q57" s="378"/>
      <c r="R57" s="378"/>
      <c r="S57" s="378"/>
      <c r="T57" s="378"/>
    </row>
    <row r="58" spans="1:20">
      <c r="O58" s="209" t="s">
        <v>449</v>
      </c>
    </row>
    <row r="59" spans="1:20">
      <c r="O59" s="209" t="s">
        <v>448</v>
      </c>
    </row>
    <row r="60" spans="1:20">
      <c r="O60" s="209" t="s">
        <v>447</v>
      </c>
    </row>
    <row r="61" spans="1:20">
      <c r="O61" s="209" t="s">
        <v>446</v>
      </c>
    </row>
    <row r="62" spans="1:20">
      <c r="O62" s="209" t="s">
        <v>445</v>
      </c>
    </row>
    <row r="63" spans="1:20">
      <c r="O63" s="209" t="s">
        <v>444</v>
      </c>
    </row>
    <row r="65" spans="15:15">
      <c r="O65" s="209" t="s">
        <v>443</v>
      </c>
    </row>
    <row r="67" spans="15:15">
      <c r="O67" s="209" t="s">
        <v>442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91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Q36"/>
  <sheetViews>
    <sheetView zoomScale="80" zoomScaleNormal="80" zoomScaleSheetLayoutView="130" workbookViewId="0">
      <selection activeCell="N30" sqref="N30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2" width="9.140625" style="1"/>
    <col min="13" max="13" width="8" style="1" bestFit="1" customWidth="1"/>
    <col min="14" max="14" width="10.85546875" style="2" bestFit="1" customWidth="1"/>
    <col min="15" max="16384" width="9.140625" style="1"/>
  </cols>
  <sheetData>
    <row r="1" spans="1:17">
      <c r="A1" s="6" t="s">
        <v>40</v>
      </c>
      <c r="K1" s="15" t="s">
        <v>39</v>
      </c>
    </row>
    <row r="2" spans="1:17">
      <c r="A2" s="1" t="str">
        <f>A.1!A2</f>
        <v>Comparison of Current and Previous Cases</v>
      </c>
      <c r="K2" s="15" t="s">
        <v>44</v>
      </c>
    </row>
    <row r="3" spans="1:17">
      <c r="A3" s="1" t="s">
        <v>43</v>
      </c>
    </row>
    <row r="5" spans="1:17">
      <c r="G5" s="3" t="s">
        <v>35</v>
      </c>
      <c r="I5" s="3" t="s">
        <v>34</v>
      </c>
      <c r="K5" s="3" t="s">
        <v>33</v>
      </c>
    </row>
    <row r="6" spans="1:17">
      <c r="A6" s="14" t="s">
        <v>32</v>
      </c>
      <c r="B6" s="6"/>
      <c r="C6" s="6"/>
      <c r="D6" s="6"/>
      <c r="E6" s="6"/>
      <c r="F6" s="6"/>
      <c r="G6" s="361" t="s">
        <v>9</v>
      </c>
      <c r="H6" s="361"/>
      <c r="I6" s="361"/>
      <c r="J6" s="6"/>
      <c r="K6" s="6"/>
    </row>
    <row r="7" spans="1:17">
      <c r="A7" s="13" t="s">
        <v>31</v>
      </c>
      <c r="B7" s="11" t="s">
        <v>30</v>
      </c>
      <c r="C7" s="11"/>
      <c r="D7" s="11"/>
      <c r="E7" s="11"/>
      <c r="F7" s="11"/>
      <c r="G7" s="16" t="str">
        <f>A.1!G7</f>
        <v>2024-00060</v>
      </c>
      <c r="H7" s="11"/>
      <c r="I7" s="16" t="str">
        <f>A.1!I7</f>
        <v>2024-00185</v>
      </c>
      <c r="J7" s="11"/>
      <c r="K7" s="11" t="s">
        <v>29</v>
      </c>
    </row>
    <row r="8" spans="1:17">
      <c r="G8" s="3" t="s">
        <v>28</v>
      </c>
      <c r="I8" s="3" t="s">
        <v>28</v>
      </c>
      <c r="K8" s="3" t="s">
        <v>28</v>
      </c>
    </row>
    <row r="9" spans="1:17">
      <c r="A9" s="4">
        <v>1</v>
      </c>
      <c r="B9" s="7" t="s">
        <v>42</v>
      </c>
    </row>
    <row r="10" spans="1:17">
      <c r="A10" s="4">
        <v>2</v>
      </c>
    </row>
    <row r="11" spans="1:17">
      <c r="A11" s="4">
        <v>3</v>
      </c>
      <c r="B11" s="335" t="s">
        <v>529</v>
      </c>
      <c r="G11" s="381"/>
    </row>
    <row r="12" spans="1:17">
      <c r="A12" s="4">
        <v>4</v>
      </c>
      <c r="B12" s="8" t="s">
        <v>14</v>
      </c>
      <c r="C12" s="4">
        <v>300</v>
      </c>
      <c r="D12" s="1" t="s">
        <v>12</v>
      </c>
      <c r="G12" s="382">
        <v>1.5483</v>
      </c>
      <c r="H12" s="273"/>
      <c r="I12" s="5">
        <v>1.5483</v>
      </c>
      <c r="K12" s="5">
        <f>I12-G12</f>
        <v>0</v>
      </c>
      <c r="N12" s="349"/>
    </row>
    <row r="13" spans="1:17">
      <c r="A13" s="4">
        <v>5</v>
      </c>
      <c r="B13" s="8" t="s">
        <v>26</v>
      </c>
      <c r="C13" s="4">
        <v>14700</v>
      </c>
      <c r="D13" s="1" t="s">
        <v>12</v>
      </c>
      <c r="G13" s="382">
        <v>1.0762</v>
      </c>
      <c r="H13" s="273"/>
      <c r="I13" s="5">
        <v>1.0762</v>
      </c>
      <c r="K13" s="5">
        <f>I13-G13</f>
        <v>0</v>
      </c>
      <c r="N13" s="349"/>
    </row>
    <row r="14" spans="1:17">
      <c r="A14" s="4">
        <v>6</v>
      </c>
      <c r="B14" s="8" t="s">
        <v>13</v>
      </c>
      <c r="C14" s="4">
        <v>15000</v>
      </c>
      <c r="D14" s="1" t="s">
        <v>12</v>
      </c>
      <c r="G14" s="382">
        <v>0.88880000000000003</v>
      </c>
      <c r="I14" s="5">
        <v>0.88880000000000003</v>
      </c>
      <c r="K14" s="5">
        <f>I14-G14</f>
        <v>0</v>
      </c>
      <c r="N14" s="349"/>
    </row>
    <row r="15" spans="1:17">
      <c r="A15" s="4">
        <v>7</v>
      </c>
      <c r="G15" s="381"/>
      <c r="Q15" s="251"/>
    </row>
    <row r="16" spans="1:17">
      <c r="A16" s="4">
        <v>8</v>
      </c>
      <c r="G16" s="381"/>
      <c r="Q16" s="251"/>
    </row>
    <row r="17" spans="1:17">
      <c r="A17" s="4">
        <v>9</v>
      </c>
      <c r="B17" s="7" t="s">
        <v>41</v>
      </c>
      <c r="G17" s="381"/>
      <c r="Q17" s="251"/>
    </row>
    <row r="18" spans="1:17">
      <c r="A18" s="4">
        <v>10</v>
      </c>
      <c r="G18" s="381"/>
      <c r="Q18" s="251"/>
    </row>
    <row r="19" spans="1:17">
      <c r="A19" s="4">
        <v>11</v>
      </c>
      <c r="B19" s="335" t="str">
        <f>+B11</f>
        <v>Simple Margin / Distribution Charge (per Case No. 2015-00343)</v>
      </c>
      <c r="G19" s="381"/>
      <c r="Q19" s="251"/>
    </row>
    <row r="20" spans="1:17">
      <c r="A20" s="4">
        <v>12</v>
      </c>
      <c r="B20" s="8" t="s">
        <v>14</v>
      </c>
      <c r="C20" s="4">
        <v>15000</v>
      </c>
      <c r="D20" s="1" t="s">
        <v>12</v>
      </c>
      <c r="G20" s="382">
        <v>0.95569999999999999</v>
      </c>
      <c r="H20" s="273"/>
      <c r="I20" s="5">
        <v>0.95569999999999999</v>
      </c>
      <c r="K20" s="5">
        <f>I20-G20</f>
        <v>0</v>
      </c>
      <c r="Q20" s="251"/>
    </row>
    <row r="21" spans="1:17">
      <c r="A21" s="4">
        <v>13</v>
      </c>
      <c r="B21" s="8" t="s">
        <v>13</v>
      </c>
      <c r="C21" s="4">
        <v>15000</v>
      </c>
      <c r="D21" s="1" t="s">
        <v>12</v>
      </c>
      <c r="G21" s="382">
        <v>0.78369999999999995</v>
      </c>
      <c r="H21" s="273"/>
      <c r="I21" s="5">
        <v>0.78369999999999995</v>
      </c>
      <c r="K21" s="5">
        <f>I21-G21</f>
        <v>0</v>
      </c>
      <c r="Q21" s="251"/>
    </row>
    <row r="22" spans="1:17">
      <c r="A22" s="4">
        <v>14</v>
      </c>
      <c r="G22" s="381"/>
      <c r="Q22" s="251"/>
    </row>
    <row r="23" spans="1:17">
      <c r="A23" s="4"/>
      <c r="G23" s="381"/>
      <c r="Q23" s="251"/>
    </row>
    <row r="24" spans="1:17">
      <c r="A24" s="4"/>
    </row>
    <row r="25" spans="1:17">
      <c r="A25" s="4"/>
    </row>
    <row r="26" spans="1:17">
      <c r="A26" s="4"/>
    </row>
    <row r="27" spans="1:17">
      <c r="A27" s="4"/>
    </row>
    <row r="28" spans="1:17">
      <c r="A28" s="4"/>
    </row>
    <row r="29" spans="1:17">
      <c r="A29" s="4"/>
    </row>
    <row r="30" spans="1:17">
      <c r="A30" s="4"/>
    </row>
    <row r="31" spans="1:17">
      <c r="A31" s="4"/>
    </row>
    <row r="32" spans="1:17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195" customWidth="1"/>
    <col min="3" max="4" width="2.85546875" style="195" customWidth="1"/>
    <col min="5" max="8" width="9.28515625" style="195" customWidth="1"/>
    <col min="9" max="9" width="24" style="195" customWidth="1"/>
    <col min="10" max="10" width="9.28515625" style="195" customWidth="1"/>
    <col min="11" max="11" width="11.5703125" style="195" customWidth="1"/>
    <col min="12" max="16384" width="9.28515625" style="195"/>
  </cols>
  <sheetData>
    <row r="1" spans="1:12">
      <c r="A1" s="208" t="s">
        <v>439</v>
      </c>
      <c r="B1" s="208"/>
      <c r="C1" s="207"/>
      <c r="D1" s="207"/>
      <c r="E1" s="207"/>
      <c r="F1" s="207"/>
      <c r="G1" s="207"/>
      <c r="H1" s="207"/>
      <c r="I1" s="207"/>
      <c r="J1" s="207"/>
      <c r="K1" s="195" t="s">
        <v>438</v>
      </c>
    </row>
    <row r="2" spans="1:12">
      <c r="A2" s="208" t="s">
        <v>437</v>
      </c>
      <c r="B2" s="208"/>
      <c r="C2" s="207"/>
      <c r="D2" s="207"/>
      <c r="E2" s="207"/>
      <c r="F2" s="207"/>
      <c r="G2" s="207"/>
      <c r="H2" s="207"/>
      <c r="I2" s="207"/>
      <c r="J2" s="207"/>
      <c r="K2" s="195" t="s">
        <v>44</v>
      </c>
    </row>
    <row r="3" spans="1:12">
      <c r="A3" s="208" t="s">
        <v>436</v>
      </c>
      <c r="B3" s="208"/>
      <c r="C3" s="207"/>
      <c r="D3" s="207"/>
      <c r="E3" s="207"/>
      <c r="F3" s="207"/>
      <c r="G3" s="207"/>
      <c r="H3" s="207"/>
      <c r="I3" s="207"/>
      <c r="J3" s="207"/>
    </row>
    <row r="6" spans="1:12">
      <c r="A6" s="195" t="s">
        <v>435</v>
      </c>
    </row>
    <row r="8" spans="1:12">
      <c r="A8" s="195" t="s">
        <v>434</v>
      </c>
      <c r="J8" s="195" t="str">
        <f>+E.1!A3</f>
        <v>Case No. 2016-00129</v>
      </c>
      <c r="K8" s="283"/>
      <c r="L8" s="206"/>
    </row>
    <row r="9" spans="1:12">
      <c r="A9" s="195" t="s">
        <v>518</v>
      </c>
    </row>
    <row r="12" spans="1:12">
      <c r="A12" s="195" t="s">
        <v>433</v>
      </c>
    </row>
    <row r="14" spans="1:12">
      <c r="A14" s="195" t="s">
        <v>526</v>
      </c>
    </row>
    <row r="15" spans="1:12">
      <c r="A15" s="195" t="s">
        <v>432</v>
      </c>
    </row>
    <row r="17" spans="3:9">
      <c r="I17" s="198"/>
    </row>
    <row r="19" spans="3:9">
      <c r="C19" s="195" t="s">
        <v>431</v>
      </c>
    </row>
    <row r="21" spans="3:9">
      <c r="C21" s="195" t="s">
        <v>430</v>
      </c>
      <c r="I21" s="270">
        <f>-E.1!K14</f>
        <v>0</v>
      </c>
    </row>
    <row r="22" spans="3:9">
      <c r="C22" s="195" t="s">
        <v>429</v>
      </c>
      <c r="I22" s="198">
        <v>0</v>
      </c>
    </row>
    <row r="23" spans="3:9">
      <c r="C23" s="195" t="s">
        <v>428</v>
      </c>
      <c r="I23" s="200">
        <f>I24-I21-I22</f>
        <v>0</v>
      </c>
    </row>
    <row r="24" spans="3:9" ht="16.5" thickBot="1">
      <c r="E24" s="195" t="s">
        <v>122</v>
      </c>
      <c r="I24" s="205">
        <f>-I35</f>
        <v>0</v>
      </c>
    </row>
    <row r="25" spans="3:9" ht="16.5" thickTop="1">
      <c r="I25" s="204"/>
    </row>
    <row r="27" spans="3:9">
      <c r="C27" s="195" t="s">
        <v>427</v>
      </c>
    </row>
    <row r="29" spans="3:9">
      <c r="C29" s="195" t="s">
        <v>240</v>
      </c>
    </row>
    <row r="30" spans="3:9">
      <c r="D30" s="195" t="s">
        <v>426</v>
      </c>
      <c r="I30" s="203">
        <f>'WP-E.1'!B23</f>
        <v>0</v>
      </c>
    </row>
    <row r="31" spans="3:9">
      <c r="D31" s="195" t="s">
        <v>425</v>
      </c>
      <c r="I31" s="202">
        <f>'WP-E.1'!C23</f>
        <v>0</v>
      </c>
    </row>
    <row r="32" spans="3:9">
      <c r="D32" s="195" t="s">
        <v>424</v>
      </c>
      <c r="I32" s="202">
        <f>'WP-E.1'!D23</f>
        <v>0</v>
      </c>
    </row>
    <row r="33" spans="3:9">
      <c r="D33" s="195" t="s">
        <v>423</v>
      </c>
      <c r="I33" s="202">
        <f>'WP-E.1'!E23</f>
        <v>0</v>
      </c>
    </row>
    <row r="34" spans="3:9">
      <c r="C34" s="201" t="s">
        <v>288</v>
      </c>
      <c r="I34" s="200"/>
    </row>
    <row r="35" spans="3:9" ht="16.5" thickBot="1">
      <c r="E35" s="195" t="s">
        <v>122</v>
      </c>
      <c r="I35" s="199">
        <f>SUM(I30:I34)</f>
        <v>0</v>
      </c>
    </row>
    <row r="36" spans="3:9" ht="16.5" thickTop="1">
      <c r="I36" s="198"/>
    </row>
    <row r="39" spans="3:9">
      <c r="E39" s="197"/>
    </row>
    <row r="47" spans="3:9">
      <c r="I47" s="196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209"/>
    <col min="2" max="2" width="10.7109375" style="209" bestFit="1" customWidth="1"/>
    <col min="3" max="3" width="11" style="209" bestFit="1" customWidth="1"/>
    <col min="4" max="4" width="10.85546875" style="209" bestFit="1" customWidth="1"/>
    <col min="5" max="5" width="14.42578125" style="209" bestFit="1" customWidth="1"/>
    <col min="6" max="6" width="10.7109375" style="209" bestFit="1" customWidth="1"/>
    <col min="7" max="16384" width="9.140625" style="209"/>
  </cols>
  <sheetData>
    <row r="1" spans="1:15">
      <c r="F1" s="209" t="s">
        <v>517</v>
      </c>
    </row>
    <row r="5" spans="1:15">
      <c r="A5" s="209" t="s">
        <v>441</v>
      </c>
    </row>
    <row r="8" spans="1:15">
      <c r="A8" s="209" t="s">
        <v>48</v>
      </c>
      <c r="B8" s="209" t="s">
        <v>426</v>
      </c>
      <c r="C8" s="209" t="s">
        <v>425</v>
      </c>
      <c r="D8" s="209" t="s">
        <v>424</v>
      </c>
      <c r="E8" s="209" t="s">
        <v>423</v>
      </c>
      <c r="F8" s="209" t="s">
        <v>122</v>
      </c>
    </row>
    <row r="9" spans="1:15">
      <c r="A9" s="212">
        <v>41852</v>
      </c>
      <c r="B9" s="297">
        <v>158961.51319999999</v>
      </c>
      <c r="C9" s="297">
        <v>141504.38870000001</v>
      </c>
      <c r="D9" s="297">
        <v>21718.821400000001</v>
      </c>
      <c r="E9" s="297">
        <v>30639.5383</v>
      </c>
      <c r="F9" s="209">
        <f>SUM(B9:E9)</f>
        <v>352824.26160000003</v>
      </c>
      <c r="H9" s="249"/>
      <c r="L9" s="243"/>
      <c r="M9" s="243"/>
      <c r="N9" s="243"/>
      <c r="O9" s="243"/>
    </row>
    <row r="10" spans="1:15">
      <c r="A10" s="212">
        <v>41883</v>
      </c>
      <c r="B10" s="297">
        <v>173004.0906</v>
      </c>
      <c r="C10" s="297">
        <v>182628.03279999999</v>
      </c>
      <c r="D10" s="297">
        <v>15995.840399999999</v>
      </c>
      <c r="E10" s="297">
        <v>34244.456899999997</v>
      </c>
      <c r="F10" s="209">
        <f>SUM(B10:E10)</f>
        <v>405872.42069999996</v>
      </c>
      <c r="H10" s="249"/>
      <c r="L10" s="243"/>
      <c r="M10" s="243"/>
      <c r="N10" s="243"/>
      <c r="O10" s="243"/>
    </row>
    <row r="11" spans="1:15">
      <c r="A11" s="212">
        <v>41913</v>
      </c>
      <c r="B11" s="297">
        <v>238493.9026</v>
      </c>
      <c r="C11" s="297">
        <v>239355.46410000001</v>
      </c>
      <c r="D11" s="297">
        <v>35722.877899999999</v>
      </c>
      <c r="E11" s="297">
        <v>43775.160799999998</v>
      </c>
      <c r="F11" s="209">
        <f>SUM(B11:E11)</f>
        <v>557347.40540000005</v>
      </c>
      <c r="H11" s="249"/>
      <c r="L11" s="243"/>
      <c r="M11" s="243"/>
      <c r="N11" s="243"/>
      <c r="O11" s="243"/>
    </row>
    <row r="12" spans="1:15">
      <c r="A12" s="212">
        <v>41944</v>
      </c>
      <c r="B12" s="297">
        <v>872654.14540000004</v>
      </c>
      <c r="C12" s="297">
        <v>390726.05829999998</v>
      </c>
      <c r="D12" s="297">
        <v>43805.2762</v>
      </c>
      <c r="E12" s="297">
        <v>85802.631299999994</v>
      </c>
      <c r="F12" s="209">
        <f t="shared" ref="F12:F20" si="0">SUM(B12:E12)</f>
        <v>1392988.1111999999</v>
      </c>
      <c r="H12" s="249"/>
      <c r="L12" s="243"/>
      <c r="M12" s="243"/>
      <c r="N12" s="243"/>
      <c r="O12" s="243"/>
    </row>
    <row r="13" spans="1:15">
      <c r="A13" s="212">
        <v>41974</v>
      </c>
      <c r="B13" s="297">
        <v>1632491.5681</v>
      </c>
      <c r="C13" s="297">
        <v>705077.81050000002</v>
      </c>
      <c r="D13" s="297">
        <v>89855.670800000007</v>
      </c>
      <c r="E13" s="297">
        <v>153903.71170000001</v>
      </c>
      <c r="F13" s="209">
        <f t="shared" si="0"/>
        <v>2581328.7610999998</v>
      </c>
      <c r="H13" s="249"/>
      <c r="L13" s="243"/>
      <c r="M13" s="243"/>
      <c r="N13" s="243"/>
      <c r="O13" s="243"/>
    </row>
    <row r="14" spans="1:15">
      <c r="A14" s="212">
        <v>42005</v>
      </c>
      <c r="B14" s="297">
        <v>2213741.1485000001</v>
      </c>
      <c r="C14" s="297">
        <v>975517.43790000002</v>
      </c>
      <c r="D14" s="297">
        <v>121881.40949999999</v>
      </c>
      <c r="E14" s="297">
        <v>209593.76930000001</v>
      </c>
      <c r="F14" s="209">
        <f t="shared" si="0"/>
        <v>3520733.7652000003</v>
      </c>
      <c r="H14" s="249"/>
      <c r="L14" s="243"/>
      <c r="M14" s="243"/>
      <c r="N14" s="243"/>
      <c r="O14" s="243"/>
    </row>
    <row r="15" spans="1:15">
      <c r="A15" s="212">
        <v>42036</v>
      </c>
      <c r="B15" s="297">
        <v>1817597.5035000001</v>
      </c>
      <c r="C15" s="297">
        <v>844546.01450000005</v>
      </c>
      <c r="D15" s="297">
        <v>94906.321500000005</v>
      </c>
      <c r="E15" s="297">
        <v>176706.0387</v>
      </c>
      <c r="F15" s="209">
        <f t="shared" si="0"/>
        <v>2933755.8782000002</v>
      </c>
      <c r="H15" s="249"/>
      <c r="L15" s="243"/>
      <c r="M15" s="243"/>
      <c r="N15" s="243"/>
      <c r="O15" s="243"/>
    </row>
    <row r="16" spans="1:15">
      <c r="A16" s="212">
        <v>42064</v>
      </c>
      <c r="B16" s="297">
        <v>2409789.2143999999</v>
      </c>
      <c r="C16" s="297">
        <v>1007671.9408</v>
      </c>
      <c r="D16" s="297">
        <v>169506.30910000001</v>
      </c>
      <c r="E16" s="297">
        <v>226828.78779999999</v>
      </c>
      <c r="F16" s="209">
        <f t="shared" si="0"/>
        <v>3813796.2521000002</v>
      </c>
      <c r="H16" s="249"/>
      <c r="L16" s="243"/>
      <c r="M16" s="243"/>
      <c r="N16" s="243"/>
      <c r="O16" s="243"/>
    </row>
    <row r="17" spans="1:15">
      <c r="A17" s="212">
        <v>42095</v>
      </c>
      <c r="B17" s="297">
        <v>840910.45070000004</v>
      </c>
      <c r="C17" s="297">
        <v>401850.52179999999</v>
      </c>
      <c r="D17" s="297">
        <v>53596.465850000001</v>
      </c>
      <c r="E17" s="297">
        <v>87909.298200000005</v>
      </c>
      <c r="F17" s="209">
        <f t="shared" si="0"/>
        <v>1384266.7365500003</v>
      </c>
      <c r="H17" s="249"/>
      <c r="L17" s="243"/>
      <c r="M17" s="243"/>
      <c r="N17" s="243"/>
      <c r="O17" s="243"/>
    </row>
    <row r="18" spans="1:15">
      <c r="A18" s="212">
        <v>42125</v>
      </c>
      <c r="B18" s="297">
        <v>329075.9436</v>
      </c>
      <c r="C18" s="297">
        <v>198011.92790000001</v>
      </c>
      <c r="D18" s="297">
        <v>41289.269999999997</v>
      </c>
      <c r="E18" s="297">
        <v>50030.712800000001</v>
      </c>
      <c r="F18" s="209">
        <f t="shared" si="0"/>
        <v>618407.85430000001</v>
      </c>
      <c r="H18" s="249"/>
      <c r="L18" s="243"/>
      <c r="M18" s="243"/>
      <c r="N18" s="243"/>
      <c r="O18" s="243"/>
    </row>
    <row r="19" spans="1:15">
      <c r="A19" s="212">
        <v>42156</v>
      </c>
      <c r="B19" s="297">
        <v>196516.9406</v>
      </c>
      <c r="C19" s="297">
        <v>149991.2708</v>
      </c>
      <c r="D19" s="297">
        <v>35203.321900000003</v>
      </c>
      <c r="E19" s="297">
        <v>30772.874400000001</v>
      </c>
      <c r="F19" s="209">
        <f t="shared" si="0"/>
        <v>412484.40769999998</v>
      </c>
      <c r="H19" s="249"/>
      <c r="L19" s="243"/>
      <c r="M19" s="243"/>
      <c r="N19" s="243"/>
      <c r="O19" s="243"/>
    </row>
    <row r="20" spans="1:15">
      <c r="A20" s="212">
        <v>42186</v>
      </c>
      <c r="B20" s="297">
        <v>158183.5889</v>
      </c>
      <c r="C20" s="297">
        <v>140989.4682</v>
      </c>
      <c r="D20" s="297">
        <v>14840.625899999999</v>
      </c>
      <c r="E20" s="297">
        <v>25864.262200000001</v>
      </c>
      <c r="F20" s="209">
        <f t="shared" si="0"/>
        <v>339877.94519999996</v>
      </c>
      <c r="H20" s="249"/>
      <c r="L20" s="243"/>
      <c r="M20" s="243"/>
      <c r="N20" s="243"/>
      <c r="O20" s="243"/>
    </row>
    <row r="21" spans="1:15">
      <c r="A21" s="209" t="s">
        <v>122</v>
      </c>
      <c r="B21" s="209">
        <f>SUM(B9:B20)</f>
        <v>11041420.010100001</v>
      </c>
      <c r="C21" s="209">
        <f>SUM(C9:C20)</f>
        <v>5377870.3363000005</v>
      </c>
      <c r="D21" s="209">
        <f>SUM(D9:D20)</f>
        <v>738322.21045000013</v>
      </c>
      <c r="E21" s="209">
        <f>SUM(E9:E20)</f>
        <v>1156071.2424000003</v>
      </c>
      <c r="F21" s="209">
        <f>SUM(F9:F20)</f>
        <v>18313683.799249999</v>
      </c>
      <c r="L21" s="243"/>
      <c r="M21" s="243"/>
      <c r="N21" s="243"/>
      <c r="O21" s="243"/>
    </row>
    <row r="22" spans="1:15">
      <c r="A22" s="209" t="s">
        <v>440</v>
      </c>
      <c r="B22" s="211">
        <f>+E.1!I50</f>
        <v>0</v>
      </c>
      <c r="C22" s="211">
        <f>B22</f>
        <v>0</v>
      </c>
      <c r="D22" s="211">
        <f>C22</f>
        <v>0</v>
      </c>
      <c r="E22" s="211">
        <f>D22</f>
        <v>0</v>
      </c>
      <c r="F22" s="211">
        <f>E22</f>
        <v>0</v>
      </c>
      <c r="L22" s="243"/>
      <c r="M22" s="243"/>
      <c r="N22" s="243"/>
      <c r="O22" s="243"/>
    </row>
    <row r="23" spans="1:15">
      <c r="B23" s="210">
        <f>ROUND(B21*B22,2)</f>
        <v>0</v>
      </c>
      <c r="C23" s="210">
        <f>ROUND(C21*C22,2)</f>
        <v>0</v>
      </c>
      <c r="D23" s="210">
        <f>ROUND(D21*D22,2)</f>
        <v>0</v>
      </c>
      <c r="E23" s="210">
        <f>ROUND(E21*E22,2)</f>
        <v>0</v>
      </c>
      <c r="F23" s="210">
        <f>ROUND(F21*F22,2)</f>
        <v>0</v>
      </c>
      <c r="L23" s="244"/>
      <c r="M23" s="244"/>
      <c r="N23" s="244"/>
      <c r="O23" s="244"/>
    </row>
    <row r="27" spans="1:15">
      <c r="D27" s="249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17" t="s">
        <v>101</v>
      </c>
      <c r="B1" s="17" t="s">
        <v>100</v>
      </c>
      <c r="C1" s="17" t="s">
        <v>99</v>
      </c>
      <c r="D1" s="1" t="s">
        <v>98</v>
      </c>
      <c r="E1" s="1" t="s">
        <v>30</v>
      </c>
      <c r="F1" s="1" t="s">
        <v>97</v>
      </c>
      <c r="G1" s="1" t="s">
        <v>96</v>
      </c>
      <c r="H1" s="1" t="s">
        <v>95</v>
      </c>
      <c r="I1" s="1" t="s">
        <v>94</v>
      </c>
      <c r="J1" s="1" t="s">
        <v>93</v>
      </c>
      <c r="K1" s="1" t="s">
        <v>92</v>
      </c>
    </row>
    <row r="2" spans="1:13">
      <c r="A2" s="33" t="s">
        <v>54</v>
      </c>
      <c r="B2" s="33" t="s">
        <v>88</v>
      </c>
      <c r="C2" s="33" t="s">
        <v>60</v>
      </c>
      <c r="D2" s="32" t="e">
        <f t="shared" ref="D2:D33" si="0">EffectiveDate</f>
        <v>#REF!</v>
      </c>
      <c r="E2" s="30" t="s">
        <v>91</v>
      </c>
      <c r="F2" s="30" t="s">
        <v>50</v>
      </c>
      <c r="G2" s="30" t="e">
        <f>#REF!</f>
        <v>#REF!</v>
      </c>
      <c r="H2" s="30">
        <v>1</v>
      </c>
      <c r="I2" s="30">
        <v>1</v>
      </c>
      <c r="J2" s="30" t="s">
        <v>49</v>
      </c>
      <c r="K2" s="30">
        <v>9</v>
      </c>
    </row>
    <row r="3" spans="1:13">
      <c r="A3" s="33" t="s">
        <v>54</v>
      </c>
      <c r="B3" s="33" t="s">
        <v>88</v>
      </c>
      <c r="C3" s="33" t="s">
        <v>58</v>
      </c>
      <c r="D3" s="32" t="e">
        <f t="shared" si="0"/>
        <v>#REF!</v>
      </c>
      <c r="E3" s="30" t="s">
        <v>90</v>
      </c>
      <c r="F3" s="30" t="s">
        <v>50</v>
      </c>
      <c r="G3" s="31" t="e">
        <f>#REF!</f>
        <v>#REF!</v>
      </c>
      <c r="H3" s="30">
        <v>1</v>
      </c>
      <c r="I3" s="30">
        <v>1</v>
      </c>
      <c r="J3" s="30" t="s">
        <v>49</v>
      </c>
      <c r="K3" s="30">
        <v>9</v>
      </c>
    </row>
    <row r="4" spans="1:13">
      <c r="A4" s="33" t="s">
        <v>54</v>
      </c>
      <c r="B4" s="33" t="s">
        <v>88</v>
      </c>
      <c r="C4" s="33" t="s">
        <v>56</v>
      </c>
      <c r="D4" s="32" t="e">
        <f t="shared" si="0"/>
        <v>#REF!</v>
      </c>
      <c r="E4" s="30" t="s">
        <v>89</v>
      </c>
      <c r="F4" s="30" t="s">
        <v>50</v>
      </c>
      <c r="G4" s="31" t="e">
        <f>#REF!</f>
        <v>#REF!</v>
      </c>
      <c r="H4" s="30">
        <v>1</v>
      </c>
      <c r="I4" s="30">
        <v>1</v>
      </c>
      <c r="J4" s="30" t="s">
        <v>49</v>
      </c>
      <c r="K4" s="30">
        <v>9</v>
      </c>
    </row>
    <row r="5" spans="1:13">
      <c r="A5" s="29" t="s">
        <v>54</v>
      </c>
      <c r="B5" s="29" t="s">
        <v>88</v>
      </c>
      <c r="C5" s="29" t="s">
        <v>52</v>
      </c>
      <c r="D5" s="28" t="e">
        <f t="shared" si="0"/>
        <v>#REF!</v>
      </c>
      <c r="E5" s="27" t="s">
        <v>87</v>
      </c>
      <c r="F5" s="27" t="s">
        <v>50</v>
      </c>
      <c r="G5" s="27" t="e">
        <f>#REF!</f>
        <v>#REF!</v>
      </c>
      <c r="H5" s="27">
        <v>1</v>
      </c>
      <c r="I5" s="27">
        <v>1</v>
      </c>
      <c r="J5" s="27" t="s">
        <v>49</v>
      </c>
      <c r="K5" s="27">
        <v>9</v>
      </c>
      <c r="M5" s="1" t="e">
        <f>SUM(G2:G5)</f>
        <v>#REF!</v>
      </c>
    </row>
    <row r="6" spans="1:13">
      <c r="A6" s="24" t="s">
        <v>54</v>
      </c>
      <c r="B6" s="24" t="s">
        <v>86</v>
      </c>
      <c r="C6" s="24" t="s">
        <v>60</v>
      </c>
      <c r="D6" s="23" t="e">
        <f t="shared" si="0"/>
        <v>#REF!</v>
      </c>
      <c r="E6" s="21" t="s">
        <v>80</v>
      </c>
      <c r="F6" s="21" t="s">
        <v>50</v>
      </c>
      <c r="G6" s="21" t="e">
        <f>G2</f>
        <v>#REF!</v>
      </c>
      <c r="H6" s="21">
        <v>1</v>
      </c>
      <c r="I6" s="21">
        <v>1</v>
      </c>
      <c r="J6" s="21" t="s">
        <v>49</v>
      </c>
      <c r="K6" s="21">
        <v>9</v>
      </c>
    </row>
    <row r="7" spans="1:13">
      <c r="A7" s="24" t="s">
        <v>54</v>
      </c>
      <c r="B7" s="24" t="s">
        <v>86</v>
      </c>
      <c r="C7" s="24" t="s">
        <v>58</v>
      </c>
      <c r="D7" s="23" t="e">
        <f t="shared" si="0"/>
        <v>#REF!</v>
      </c>
      <c r="E7" s="21" t="s">
        <v>79</v>
      </c>
      <c r="F7" s="21" t="s">
        <v>50</v>
      </c>
      <c r="G7" s="21" t="e">
        <f>G3</f>
        <v>#REF!</v>
      </c>
      <c r="H7" s="21">
        <v>1</v>
      </c>
      <c r="I7" s="21">
        <v>1</v>
      </c>
      <c r="J7" s="21" t="s">
        <v>49</v>
      </c>
      <c r="K7" s="21">
        <v>9</v>
      </c>
    </row>
    <row r="8" spans="1:13">
      <c r="A8" s="24" t="s">
        <v>54</v>
      </c>
      <c r="B8" s="24" t="s">
        <v>86</v>
      </c>
      <c r="C8" s="24" t="s">
        <v>56</v>
      </c>
      <c r="D8" s="23" t="e">
        <f t="shared" si="0"/>
        <v>#REF!</v>
      </c>
      <c r="E8" s="21" t="s">
        <v>78</v>
      </c>
      <c r="F8" s="21" t="s">
        <v>50</v>
      </c>
      <c r="G8" s="22" t="e">
        <f>G4</f>
        <v>#REF!</v>
      </c>
      <c r="H8" s="21">
        <v>1</v>
      </c>
      <c r="I8" s="21">
        <v>1</v>
      </c>
      <c r="J8" s="21" t="s">
        <v>49</v>
      </c>
      <c r="K8" s="21">
        <v>9</v>
      </c>
    </row>
    <row r="9" spans="1:13">
      <c r="A9" s="20" t="s">
        <v>54</v>
      </c>
      <c r="B9" s="20" t="s">
        <v>86</v>
      </c>
      <c r="C9" s="20" t="s">
        <v>52</v>
      </c>
      <c r="D9" s="19" t="e">
        <f t="shared" si="0"/>
        <v>#REF!</v>
      </c>
      <c r="E9" s="18" t="s">
        <v>76</v>
      </c>
      <c r="F9" s="18" t="s">
        <v>50</v>
      </c>
      <c r="G9" s="18" t="e">
        <f>G5</f>
        <v>#REF!</v>
      </c>
      <c r="H9" s="18">
        <v>1</v>
      </c>
      <c r="I9" s="18">
        <v>1</v>
      </c>
      <c r="J9" s="18" t="s">
        <v>49</v>
      </c>
      <c r="K9" s="18">
        <v>9</v>
      </c>
      <c r="M9" s="1" t="e">
        <f>SUM(G6:G9)</f>
        <v>#REF!</v>
      </c>
    </row>
    <row r="10" spans="1:13">
      <c r="A10" s="33" t="s">
        <v>54</v>
      </c>
      <c r="B10" s="33" t="s">
        <v>82</v>
      </c>
      <c r="C10" s="33" t="s">
        <v>60</v>
      </c>
      <c r="D10" s="32" t="e">
        <f t="shared" si="0"/>
        <v>#REF!</v>
      </c>
      <c r="E10" s="30" t="s">
        <v>85</v>
      </c>
      <c r="F10" s="30" t="s">
        <v>50</v>
      </c>
      <c r="G10" s="30" t="e">
        <f>#REF!</f>
        <v>#REF!</v>
      </c>
      <c r="H10" s="30">
        <v>1</v>
      </c>
      <c r="I10" s="30">
        <v>1</v>
      </c>
      <c r="J10" s="30" t="s">
        <v>49</v>
      </c>
      <c r="K10" s="30">
        <v>9</v>
      </c>
    </row>
    <row r="11" spans="1:13">
      <c r="A11" s="33" t="s">
        <v>54</v>
      </c>
      <c r="B11" s="33" t="s">
        <v>82</v>
      </c>
      <c r="C11" s="33" t="s">
        <v>58</v>
      </c>
      <c r="D11" s="32" t="e">
        <f t="shared" si="0"/>
        <v>#REF!</v>
      </c>
      <c r="E11" s="30" t="s">
        <v>84</v>
      </c>
      <c r="F11" s="30" t="s">
        <v>50</v>
      </c>
      <c r="G11" s="31" t="e">
        <f>G3</f>
        <v>#REF!</v>
      </c>
      <c r="H11" s="30">
        <v>1</v>
      </c>
      <c r="I11" s="30">
        <v>1</v>
      </c>
      <c r="J11" s="30" t="s">
        <v>49</v>
      </c>
      <c r="K11" s="30">
        <v>9</v>
      </c>
    </row>
    <row r="12" spans="1:13">
      <c r="A12" s="33" t="s">
        <v>54</v>
      </c>
      <c r="B12" s="33" t="s">
        <v>82</v>
      </c>
      <c r="C12" s="33" t="s">
        <v>56</v>
      </c>
      <c r="D12" s="32" t="e">
        <f t="shared" si="0"/>
        <v>#REF!</v>
      </c>
      <c r="E12" s="30" t="s">
        <v>83</v>
      </c>
      <c r="F12" s="30" t="s">
        <v>50</v>
      </c>
      <c r="G12" s="31" t="e">
        <f>#REF!</f>
        <v>#REF!</v>
      </c>
      <c r="H12" s="30">
        <v>1</v>
      </c>
      <c r="I12" s="30">
        <v>1</v>
      </c>
      <c r="J12" s="30" t="s">
        <v>49</v>
      </c>
      <c r="K12" s="30">
        <v>9</v>
      </c>
    </row>
    <row r="13" spans="1:13">
      <c r="A13" s="29" t="s">
        <v>54</v>
      </c>
      <c r="B13" s="29" t="s">
        <v>82</v>
      </c>
      <c r="C13" s="29" t="s">
        <v>52</v>
      </c>
      <c r="D13" s="28" t="e">
        <f t="shared" si="0"/>
        <v>#REF!</v>
      </c>
      <c r="E13" s="27" t="s">
        <v>81</v>
      </c>
      <c r="F13" s="27" t="s">
        <v>50</v>
      </c>
      <c r="G13" s="27" t="e">
        <f>#REF!</f>
        <v>#REF!</v>
      </c>
      <c r="H13" s="27">
        <v>1</v>
      </c>
      <c r="I13" s="27">
        <v>1</v>
      </c>
      <c r="J13" s="27" t="s">
        <v>49</v>
      </c>
      <c r="K13" s="27">
        <v>9</v>
      </c>
      <c r="M13" s="1" t="e">
        <f>SUM(G10:G13)</f>
        <v>#REF!</v>
      </c>
    </row>
    <row r="14" spans="1:13">
      <c r="A14" s="24" t="s">
        <v>54</v>
      </c>
      <c r="B14" s="24" t="s">
        <v>77</v>
      </c>
      <c r="C14" s="24" t="s">
        <v>60</v>
      </c>
      <c r="D14" s="23" t="e">
        <f t="shared" si="0"/>
        <v>#REF!</v>
      </c>
      <c r="E14" s="21" t="s">
        <v>80</v>
      </c>
      <c r="F14" s="21" t="s">
        <v>50</v>
      </c>
      <c r="G14" s="21" t="e">
        <f>G2</f>
        <v>#REF!</v>
      </c>
      <c r="H14" s="21">
        <v>1</v>
      </c>
      <c r="I14" s="21">
        <v>1</v>
      </c>
      <c r="J14" s="21" t="s">
        <v>49</v>
      </c>
      <c r="K14" s="21">
        <v>9</v>
      </c>
    </row>
    <row r="15" spans="1:13">
      <c r="A15" s="24" t="s">
        <v>54</v>
      </c>
      <c r="B15" s="24" t="s">
        <v>77</v>
      </c>
      <c r="C15" s="24" t="s">
        <v>58</v>
      </c>
      <c r="D15" s="23" t="e">
        <f t="shared" si="0"/>
        <v>#REF!</v>
      </c>
      <c r="E15" s="21" t="s">
        <v>79</v>
      </c>
      <c r="F15" s="21" t="s">
        <v>50</v>
      </c>
      <c r="G15" s="21" t="e">
        <f>G3</f>
        <v>#REF!</v>
      </c>
      <c r="H15" s="21">
        <v>1</v>
      </c>
      <c r="I15" s="21">
        <v>1</v>
      </c>
      <c r="J15" s="21" t="s">
        <v>49</v>
      </c>
      <c r="K15" s="21">
        <v>9</v>
      </c>
    </row>
    <row r="16" spans="1:13">
      <c r="A16" s="24" t="s">
        <v>54</v>
      </c>
      <c r="B16" s="24" t="s">
        <v>77</v>
      </c>
      <c r="C16" s="24" t="s">
        <v>56</v>
      </c>
      <c r="D16" s="23" t="e">
        <f t="shared" si="0"/>
        <v>#REF!</v>
      </c>
      <c r="E16" s="21" t="s">
        <v>78</v>
      </c>
      <c r="F16" s="21" t="s">
        <v>50</v>
      </c>
      <c r="G16" s="22" t="e">
        <f>G4</f>
        <v>#REF!</v>
      </c>
      <c r="H16" s="21">
        <v>1</v>
      </c>
      <c r="I16" s="21">
        <v>1</v>
      </c>
      <c r="J16" s="21" t="s">
        <v>49</v>
      </c>
      <c r="K16" s="21">
        <v>9</v>
      </c>
    </row>
    <row r="17" spans="1:13">
      <c r="A17" s="20" t="s">
        <v>54</v>
      </c>
      <c r="B17" s="20" t="s">
        <v>77</v>
      </c>
      <c r="C17" s="20" t="s">
        <v>52</v>
      </c>
      <c r="D17" s="19" t="e">
        <f t="shared" si="0"/>
        <v>#REF!</v>
      </c>
      <c r="E17" s="18" t="s">
        <v>76</v>
      </c>
      <c r="F17" s="18" t="s">
        <v>50</v>
      </c>
      <c r="G17" s="18" t="e">
        <f>G5</f>
        <v>#REF!</v>
      </c>
      <c r="H17" s="18">
        <v>1</v>
      </c>
      <c r="I17" s="18">
        <v>1</v>
      </c>
      <c r="J17" s="18" t="s">
        <v>49</v>
      </c>
      <c r="K17" s="18">
        <v>9</v>
      </c>
      <c r="M17" s="1" t="e">
        <f>SUM(G14:G17)</f>
        <v>#REF!</v>
      </c>
    </row>
    <row r="18" spans="1:13">
      <c r="A18" s="35" t="s">
        <v>54</v>
      </c>
      <c r="B18" s="35" t="s">
        <v>72</v>
      </c>
      <c r="C18" s="35" t="s">
        <v>60</v>
      </c>
      <c r="D18" s="32" t="e">
        <f t="shared" si="0"/>
        <v>#REF!</v>
      </c>
      <c r="E18" s="34" t="s">
        <v>75</v>
      </c>
      <c r="F18" s="34" t="s">
        <v>50</v>
      </c>
      <c r="G18" s="30" t="e">
        <f>G2</f>
        <v>#REF!</v>
      </c>
      <c r="H18" s="34">
        <v>1</v>
      </c>
      <c r="I18" s="34">
        <v>1</v>
      </c>
      <c r="J18" s="34" t="s">
        <v>49</v>
      </c>
      <c r="K18" s="34">
        <v>9</v>
      </c>
    </row>
    <row r="19" spans="1:13">
      <c r="A19" s="33" t="s">
        <v>54</v>
      </c>
      <c r="B19" s="33" t="s">
        <v>72</v>
      </c>
      <c r="C19" s="33" t="s">
        <v>58</v>
      </c>
      <c r="D19" s="32" t="e">
        <f t="shared" si="0"/>
        <v>#REF!</v>
      </c>
      <c r="E19" s="30" t="s">
        <v>74</v>
      </c>
      <c r="F19" s="30" t="s">
        <v>50</v>
      </c>
      <c r="G19" s="30" t="e">
        <f>G3</f>
        <v>#REF!</v>
      </c>
      <c r="H19" s="30">
        <v>1</v>
      </c>
      <c r="I19" s="30">
        <v>1</v>
      </c>
      <c r="J19" s="30" t="s">
        <v>49</v>
      </c>
      <c r="K19" s="30">
        <v>9</v>
      </c>
    </row>
    <row r="20" spans="1:13">
      <c r="A20" s="33" t="s">
        <v>54</v>
      </c>
      <c r="B20" s="33" t="s">
        <v>72</v>
      </c>
      <c r="C20" s="33" t="s">
        <v>56</v>
      </c>
      <c r="D20" s="32" t="e">
        <f t="shared" si="0"/>
        <v>#REF!</v>
      </c>
      <c r="E20" s="30" t="s">
        <v>73</v>
      </c>
      <c r="F20" s="30" t="s">
        <v>50</v>
      </c>
      <c r="G20" s="31" t="e">
        <f>G4</f>
        <v>#REF!</v>
      </c>
      <c r="H20" s="30">
        <v>1</v>
      </c>
      <c r="I20" s="30">
        <v>1</v>
      </c>
      <c r="J20" s="30" t="s">
        <v>49</v>
      </c>
      <c r="K20" s="30">
        <v>9</v>
      </c>
    </row>
    <row r="21" spans="1:13">
      <c r="A21" s="29" t="s">
        <v>54</v>
      </c>
      <c r="B21" s="29" t="s">
        <v>72</v>
      </c>
      <c r="C21" s="29" t="s">
        <v>52</v>
      </c>
      <c r="D21" s="28" t="e">
        <f t="shared" si="0"/>
        <v>#REF!</v>
      </c>
      <c r="E21" s="27" t="s">
        <v>71</v>
      </c>
      <c r="F21" s="27" t="s">
        <v>50</v>
      </c>
      <c r="G21" s="30" t="e">
        <f>G5</f>
        <v>#REF!</v>
      </c>
      <c r="H21" s="27">
        <v>1</v>
      </c>
      <c r="I21" s="27">
        <v>1</v>
      </c>
      <c r="J21" s="27" t="s">
        <v>49</v>
      </c>
      <c r="K21" s="27">
        <v>9</v>
      </c>
      <c r="M21" s="1" t="e">
        <f>SUM(G18:G21)</f>
        <v>#REF!</v>
      </c>
    </row>
    <row r="22" spans="1:13">
      <c r="A22" s="26" t="s">
        <v>54</v>
      </c>
      <c r="B22" s="26" t="s">
        <v>67</v>
      </c>
      <c r="C22" s="26" t="s">
        <v>60</v>
      </c>
      <c r="D22" s="23" t="e">
        <f t="shared" si="0"/>
        <v>#REF!</v>
      </c>
      <c r="E22" s="25" t="s">
        <v>70</v>
      </c>
      <c r="F22" s="25" t="s">
        <v>50</v>
      </c>
      <c r="G22" s="25" t="e">
        <f>G10</f>
        <v>#REF!</v>
      </c>
      <c r="H22" s="25">
        <v>1</v>
      </c>
      <c r="I22" s="25">
        <v>1</v>
      </c>
      <c r="J22" s="25" t="s">
        <v>49</v>
      </c>
      <c r="K22" s="25">
        <v>9</v>
      </c>
    </row>
    <row r="23" spans="1:13">
      <c r="A23" s="24" t="s">
        <v>54</v>
      </c>
      <c r="B23" s="24" t="s">
        <v>67</v>
      </c>
      <c r="C23" s="24" t="s">
        <v>58</v>
      </c>
      <c r="D23" s="23" t="e">
        <f t="shared" si="0"/>
        <v>#REF!</v>
      </c>
      <c r="E23" s="21" t="s">
        <v>69</v>
      </c>
      <c r="F23" s="21" t="s">
        <v>50</v>
      </c>
      <c r="G23" s="22" t="e">
        <f>G3</f>
        <v>#REF!</v>
      </c>
      <c r="H23" s="21">
        <v>1</v>
      </c>
      <c r="I23" s="21">
        <v>1</v>
      </c>
      <c r="J23" s="21" t="s">
        <v>49</v>
      </c>
      <c r="K23" s="21">
        <v>9</v>
      </c>
    </row>
    <row r="24" spans="1:13">
      <c r="A24" s="24" t="s">
        <v>54</v>
      </c>
      <c r="B24" s="24" t="s">
        <v>67</v>
      </c>
      <c r="C24" s="24" t="s">
        <v>56</v>
      </c>
      <c r="D24" s="23" t="e">
        <f t="shared" si="0"/>
        <v>#REF!</v>
      </c>
      <c r="E24" s="21" t="s">
        <v>68</v>
      </c>
      <c r="F24" s="21" t="s">
        <v>50</v>
      </c>
      <c r="G24" s="22" t="e">
        <f>G12</f>
        <v>#REF!</v>
      </c>
      <c r="H24" s="21">
        <v>1</v>
      </c>
      <c r="I24" s="21">
        <v>1</v>
      </c>
      <c r="J24" s="21" t="s">
        <v>49</v>
      </c>
      <c r="K24" s="21">
        <v>9</v>
      </c>
    </row>
    <row r="25" spans="1:13">
      <c r="A25" s="20" t="s">
        <v>54</v>
      </c>
      <c r="B25" s="20" t="s">
        <v>67</v>
      </c>
      <c r="C25" s="20" t="s">
        <v>52</v>
      </c>
      <c r="D25" s="19" t="e">
        <f t="shared" si="0"/>
        <v>#REF!</v>
      </c>
      <c r="E25" s="18" t="s">
        <v>66</v>
      </c>
      <c r="F25" s="18" t="s">
        <v>50</v>
      </c>
      <c r="G25" s="18" t="e">
        <f>G13</f>
        <v>#REF!</v>
      </c>
      <c r="H25" s="18">
        <v>1</v>
      </c>
      <c r="I25" s="18">
        <v>1</v>
      </c>
      <c r="J25" s="18" t="s">
        <v>49</v>
      </c>
      <c r="K25" s="18">
        <v>9</v>
      </c>
      <c r="M25" s="1" t="e">
        <f>SUM(G22:G25)</f>
        <v>#REF!</v>
      </c>
    </row>
    <row r="26" spans="1:13">
      <c r="A26" s="35" t="s">
        <v>54</v>
      </c>
      <c r="B26" s="35" t="s">
        <v>62</v>
      </c>
      <c r="C26" s="35" t="s">
        <v>60</v>
      </c>
      <c r="D26" s="32" t="e">
        <f t="shared" si="0"/>
        <v>#REF!</v>
      </c>
      <c r="E26" s="34" t="s">
        <v>65</v>
      </c>
      <c r="F26" s="34" t="s">
        <v>50</v>
      </c>
      <c r="G26" s="34" t="e">
        <f>G10</f>
        <v>#REF!</v>
      </c>
      <c r="H26" s="34">
        <v>1</v>
      </c>
      <c r="I26" s="34">
        <v>1</v>
      </c>
      <c r="J26" s="34" t="s">
        <v>49</v>
      </c>
      <c r="K26" s="34">
        <v>9</v>
      </c>
    </row>
    <row r="27" spans="1:13">
      <c r="A27" s="33" t="s">
        <v>54</v>
      </c>
      <c r="B27" s="33" t="s">
        <v>62</v>
      </c>
      <c r="C27" s="33" t="s">
        <v>58</v>
      </c>
      <c r="D27" s="32" t="e">
        <f t="shared" si="0"/>
        <v>#REF!</v>
      </c>
      <c r="E27" s="30" t="s">
        <v>64</v>
      </c>
      <c r="F27" s="30" t="s">
        <v>50</v>
      </c>
      <c r="G27" s="30" t="e">
        <f>G11</f>
        <v>#REF!</v>
      </c>
      <c r="H27" s="30">
        <v>1</v>
      </c>
      <c r="I27" s="30">
        <v>1</v>
      </c>
      <c r="J27" s="30" t="s">
        <v>49</v>
      </c>
      <c r="K27" s="30">
        <v>9</v>
      </c>
    </row>
    <row r="28" spans="1:13">
      <c r="A28" s="33" t="s">
        <v>54</v>
      </c>
      <c r="B28" s="33" t="s">
        <v>62</v>
      </c>
      <c r="C28" s="33" t="s">
        <v>56</v>
      </c>
      <c r="D28" s="32" t="e">
        <f t="shared" si="0"/>
        <v>#REF!</v>
      </c>
      <c r="E28" s="30" t="s">
        <v>63</v>
      </c>
      <c r="F28" s="30" t="s">
        <v>50</v>
      </c>
      <c r="G28" s="31" t="e">
        <f>G12</f>
        <v>#REF!</v>
      </c>
      <c r="H28" s="30">
        <v>1</v>
      </c>
      <c r="I28" s="30">
        <v>1</v>
      </c>
      <c r="J28" s="30" t="s">
        <v>49</v>
      </c>
      <c r="K28" s="30">
        <v>9</v>
      </c>
    </row>
    <row r="29" spans="1:13">
      <c r="A29" s="29" t="s">
        <v>54</v>
      </c>
      <c r="B29" s="29" t="s">
        <v>62</v>
      </c>
      <c r="C29" s="29" t="s">
        <v>52</v>
      </c>
      <c r="D29" s="28" t="e">
        <f t="shared" si="0"/>
        <v>#REF!</v>
      </c>
      <c r="E29" s="27" t="s">
        <v>61</v>
      </c>
      <c r="F29" s="27" t="s">
        <v>50</v>
      </c>
      <c r="G29" s="27" t="e">
        <f>G13</f>
        <v>#REF!</v>
      </c>
      <c r="H29" s="27">
        <v>1</v>
      </c>
      <c r="I29" s="27">
        <v>1</v>
      </c>
      <c r="J29" s="27" t="s">
        <v>49</v>
      </c>
      <c r="K29" s="27">
        <v>9</v>
      </c>
      <c r="M29" s="1" t="e">
        <f>SUM(G26:G29)</f>
        <v>#REF!</v>
      </c>
    </row>
    <row r="30" spans="1:13">
      <c r="A30" s="26" t="s">
        <v>54</v>
      </c>
      <c r="B30" s="26" t="s">
        <v>53</v>
      </c>
      <c r="C30" s="26" t="s">
        <v>60</v>
      </c>
      <c r="D30" s="23" t="e">
        <f t="shared" si="0"/>
        <v>#REF!</v>
      </c>
      <c r="E30" s="25" t="s">
        <v>59</v>
      </c>
      <c r="F30" s="25" t="s">
        <v>50</v>
      </c>
      <c r="G30" s="21" t="e">
        <f>G10</f>
        <v>#REF!</v>
      </c>
      <c r="H30" s="25">
        <v>1</v>
      </c>
      <c r="I30" s="25">
        <v>1</v>
      </c>
      <c r="J30" s="25" t="s">
        <v>49</v>
      </c>
      <c r="K30" s="25">
        <v>9</v>
      </c>
    </row>
    <row r="31" spans="1:13">
      <c r="A31" s="24" t="s">
        <v>54</v>
      </c>
      <c r="B31" s="24" t="s">
        <v>53</v>
      </c>
      <c r="C31" s="24" t="s">
        <v>58</v>
      </c>
      <c r="D31" s="23" t="e">
        <f t="shared" si="0"/>
        <v>#REF!</v>
      </c>
      <c r="E31" s="21" t="s">
        <v>57</v>
      </c>
      <c r="F31" s="21" t="s">
        <v>50</v>
      </c>
      <c r="G31" s="21" t="e">
        <f>G11</f>
        <v>#REF!</v>
      </c>
      <c r="H31" s="21">
        <v>1</v>
      </c>
      <c r="I31" s="21">
        <v>1</v>
      </c>
      <c r="J31" s="21" t="s">
        <v>49</v>
      </c>
      <c r="K31" s="21">
        <v>9</v>
      </c>
    </row>
    <row r="32" spans="1:13">
      <c r="A32" s="24" t="s">
        <v>54</v>
      </c>
      <c r="B32" s="24" t="s">
        <v>53</v>
      </c>
      <c r="C32" s="24" t="s">
        <v>56</v>
      </c>
      <c r="D32" s="23" t="e">
        <f t="shared" si="0"/>
        <v>#REF!</v>
      </c>
      <c r="E32" s="21" t="s">
        <v>55</v>
      </c>
      <c r="F32" s="21" t="s">
        <v>50</v>
      </c>
      <c r="G32" s="22" t="e">
        <f>G16</f>
        <v>#REF!</v>
      </c>
      <c r="H32" s="21">
        <v>1</v>
      </c>
      <c r="I32" s="21">
        <v>1</v>
      </c>
      <c r="J32" s="21" t="s">
        <v>49</v>
      </c>
      <c r="K32" s="21">
        <v>9</v>
      </c>
    </row>
    <row r="33" spans="1:13">
      <c r="A33" s="20" t="s">
        <v>54</v>
      </c>
      <c r="B33" s="20" t="s">
        <v>53</v>
      </c>
      <c r="C33" s="20" t="s">
        <v>52</v>
      </c>
      <c r="D33" s="19" t="e">
        <f t="shared" si="0"/>
        <v>#REF!</v>
      </c>
      <c r="E33" s="18" t="s">
        <v>51</v>
      </c>
      <c r="F33" s="18" t="s">
        <v>50</v>
      </c>
      <c r="G33" s="18" t="e">
        <f>G13</f>
        <v>#REF!</v>
      </c>
      <c r="H33" s="18">
        <v>1</v>
      </c>
      <c r="I33" s="18">
        <v>1</v>
      </c>
      <c r="J33" s="18" t="s">
        <v>49</v>
      </c>
      <c r="K33" s="18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250" bestFit="1" customWidth="1"/>
  </cols>
  <sheetData>
    <row r="1" spans="1:1">
      <c r="A1" s="250">
        <v>41970</v>
      </c>
    </row>
    <row r="2" spans="1:1">
      <c r="A2" s="250">
        <v>41998</v>
      </c>
    </row>
    <row r="3" spans="1:1">
      <c r="A3" s="250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zoomScale="85" zoomScaleNormal="85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M53" sqref="M53"/>
    </sheetView>
  </sheetViews>
  <sheetFormatPr defaultColWidth="9.85546875" defaultRowHeight="14.25"/>
  <cols>
    <col min="1" max="1" width="4.85546875" style="36" customWidth="1"/>
    <col min="2" max="2" width="18" style="36" customWidth="1"/>
    <col min="3" max="3" width="10.28515625" style="36" customWidth="1"/>
    <col min="4" max="4" width="17.85546875" style="36" bestFit="1" customWidth="1"/>
    <col min="5" max="5" width="13.42578125" style="36" customWidth="1"/>
    <col min="6" max="6" width="9.42578125" style="36" customWidth="1"/>
    <col min="7" max="7" width="13.42578125" style="36" customWidth="1"/>
    <col min="8" max="8" width="1.85546875" style="36" customWidth="1"/>
    <col min="9" max="9" width="13.42578125" style="36" customWidth="1"/>
    <col min="10" max="10" width="1.85546875" style="36" customWidth="1"/>
    <col min="11" max="11" width="12.140625" style="36" customWidth="1"/>
    <col min="12" max="12" width="10.85546875" style="36" bestFit="1" customWidth="1"/>
    <col min="13" max="16384" width="9.85546875" style="36"/>
  </cols>
  <sheetData>
    <row r="1" spans="1:17" ht="15">
      <c r="A1" s="62" t="s">
        <v>40</v>
      </c>
      <c r="B1" s="50"/>
      <c r="C1" s="50"/>
      <c r="D1" s="50"/>
      <c r="E1" s="50"/>
      <c r="F1" s="50"/>
      <c r="G1" s="50"/>
      <c r="H1" s="50"/>
      <c r="I1" s="38" t="s">
        <v>133</v>
      </c>
      <c r="J1" s="38"/>
    </row>
    <row r="2" spans="1:17">
      <c r="A2" s="50" t="s">
        <v>132</v>
      </c>
      <c r="B2" s="50"/>
      <c r="C2" s="50"/>
      <c r="D2" s="50"/>
      <c r="E2" s="50"/>
      <c r="F2" s="50"/>
      <c r="G2" s="50"/>
      <c r="H2" s="50"/>
      <c r="I2" s="38" t="s">
        <v>131</v>
      </c>
      <c r="J2" s="38"/>
    </row>
    <row r="3" spans="1:17">
      <c r="A3" s="61" t="s">
        <v>130</v>
      </c>
      <c r="B3" s="50"/>
      <c r="C3" s="50"/>
      <c r="D3" s="50"/>
      <c r="E3" s="50"/>
      <c r="F3" s="50"/>
      <c r="G3" s="50"/>
      <c r="H3" s="50"/>
      <c r="I3" s="50"/>
      <c r="J3" s="38"/>
    </row>
    <row r="4" spans="1:17">
      <c r="A4" s="38"/>
      <c r="B4" s="38"/>
      <c r="C4" s="38"/>
      <c r="D4" s="38"/>
      <c r="E4" s="38"/>
      <c r="F4" s="60"/>
      <c r="G4" s="38"/>
      <c r="H4" s="38"/>
      <c r="I4" s="38"/>
      <c r="J4" s="38"/>
    </row>
    <row r="5" spans="1:17" ht="15">
      <c r="A5" s="55"/>
      <c r="B5" s="38"/>
      <c r="C5" s="38"/>
      <c r="D5" s="54" t="s">
        <v>35</v>
      </c>
      <c r="E5" s="54" t="s">
        <v>34</v>
      </c>
      <c r="F5" s="54" t="s">
        <v>33</v>
      </c>
      <c r="G5" s="54" t="s">
        <v>129</v>
      </c>
      <c r="H5" s="38"/>
      <c r="I5" s="54" t="s">
        <v>128</v>
      </c>
      <c r="J5" s="38"/>
    </row>
    <row r="6" spans="1:17" ht="15">
      <c r="A6" s="55"/>
      <c r="B6" s="55"/>
      <c r="C6" s="55"/>
      <c r="D6" s="394"/>
      <c r="E6" s="394"/>
      <c r="F6" s="394"/>
      <c r="G6" s="395" t="s">
        <v>127</v>
      </c>
      <c r="H6" s="59"/>
      <c r="I6" s="59"/>
      <c r="J6" s="59"/>
    </row>
    <row r="7" spans="1:17" ht="15">
      <c r="A7" s="58" t="s">
        <v>32</v>
      </c>
      <c r="B7" s="55"/>
      <c r="C7" s="55"/>
      <c r="D7" s="396" t="s">
        <v>0</v>
      </c>
      <c r="E7" s="396" t="s">
        <v>126</v>
      </c>
      <c r="F7" s="394"/>
      <c r="G7" s="394"/>
      <c r="H7" s="55"/>
      <c r="I7" s="55"/>
      <c r="J7" s="55"/>
    </row>
    <row r="8" spans="1:17" ht="15">
      <c r="A8" s="57" t="s">
        <v>31</v>
      </c>
      <c r="B8" s="56" t="s">
        <v>30</v>
      </c>
      <c r="C8" s="56"/>
      <c r="D8" s="397" t="s">
        <v>125</v>
      </c>
      <c r="E8" s="397" t="s">
        <v>124</v>
      </c>
      <c r="F8" s="397" t="s">
        <v>123</v>
      </c>
      <c r="G8" s="397" t="s">
        <v>122</v>
      </c>
      <c r="H8" s="56"/>
      <c r="I8" s="57" t="s">
        <v>21</v>
      </c>
      <c r="J8" s="56"/>
    </row>
    <row r="9" spans="1:17" ht="15">
      <c r="A9" s="38"/>
      <c r="B9" s="55"/>
      <c r="C9" s="38"/>
      <c r="E9" s="64" t="s">
        <v>121</v>
      </c>
      <c r="F9" s="64" t="s">
        <v>120</v>
      </c>
      <c r="G9" s="64" t="s">
        <v>119</v>
      </c>
      <c r="H9" s="38"/>
      <c r="I9" s="54" t="s">
        <v>119</v>
      </c>
      <c r="J9" s="38"/>
      <c r="N9" s="53"/>
    </row>
    <row r="10" spans="1:17" ht="15">
      <c r="A10" s="38">
        <v>1</v>
      </c>
      <c r="B10" s="51" t="s">
        <v>118</v>
      </c>
      <c r="C10" s="38"/>
      <c r="G10" s="47"/>
      <c r="H10" s="38"/>
      <c r="I10" s="44"/>
      <c r="J10" s="38"/>
    </row>
    <row r="11" spans="1:17">
      <c r="A11" s="38">
        <v>2</v>
      </c>
      <c r="B11" s="38" t="s">
        <v>113</v>
      </c>
      <c r="C11" s="54">
        <v>29760</v>
      </c>
      <c r="D11" s="47"/>
      <c r="E11" s="47">
        <v>12175247</v>
      </c>
      <c r="F11" s="398"/>
      <c r="G11" s="47"/>
      <c r="H11" s="38"/>
      <c r="I11" s="44"/>
      <c r="J11" s="38"/>
    </row>
    <row r="12" spans="1:17">
      <c r="A12" s="38">
        <v>3</v>
      </c>
      <c r="B12" s="38" t="s">
        <v>117</v>
      </c>
      <c r="C12" s="54"/>
      <c r="D12" s="399" t="s">
        <v>112</v>
      </c>
      <c r="F12" s="37">
        <v>0.30880000000000002</v>
      </c>
      <c r="G12" s="47">
        <f>ROUND($E$11*$F12,0)</f>
        <v>3759716</v>
      </c>
      <c r="H12" s="38"/>
      <c r="I12" s="44">
        <f>ROUND($E$11*$F12,0)</f>
        <v>3759716</v>
      </c>
      <c r="J12" s="38"/>
    </row>
    <row r="13" spans="1:17">
      <c r="A13" s="38">
        <v>4</v>
      </c>
      <c r="B13" s="38"/>
      <c r="C13" s="54"/>
      <c r="E13" s="47"/>
      <c r="F13" s="398"/>
      <c r="G13" s="47"/>
      <c r="H13" s="38"/>
      <c r="I13" s="44"/>
      <c r="J13" s="38"/>
    </row>
    <row r="14" spans="1:17">
      <c r="A14" s="38">
        <v>5</v>
      </c>
      <c r="B14" s="36" t="s">
        <v>106</v>
      </c>
      <c r="C14" s="64"/>
      <c r="E14" s="52">
        <f>SUM(E11:E13)</f>
        <v>12175247</v>
      </c>
      <c r="G14" s="52">
        <f>SUM(G11:G13)</f>
        <v>3759716</v>
      </c>
      <c r="I14" s="52">
        <f>SUM(I11:I13)</f>
        <v>3759716</v>
      </c>
    </row>
    <row r="15" spans="1:17">
      <c r="A15" s="38">
        <v>6</v>
      </c>
      <c r="C15" s="64"/>
      <c r="Q15" s="347"/>
    </row>
    <row r="16" spans="1:17" ht="15">
      <c r="A16" s="38">
        <v>7</v>
      </c>
      <c r="B16" s="51" t="s">
        <v>116</v>
      </c>
      <c r="C16" s="54"/>
      <c r="D16" s="47"/>
      <c r="E16" s="47"/>
      <c r="F16" s="37"/>
      <c r="G16" s="47"/>
      <c r="H16" s="38"/>
      <c r="I16" s="44"/>
      <c r="J16" s="38"/>
      <c r="Q16" s="347"/>
    </row>
    <row r="17" spans="1:17">
      <c r="A17" s="38">
        <v>8</v>
      </c>
      <c r="B17" s="38" t="s">
        <v>113</v>
      </c>
      <c r="C17" s="54">
        <v>29762</v>
      </c>
      <c r="D17" s="47"/>
      <c r="E17" s="47">
        <v>27757688</v>
      </c>
      <c r="F17" s="37"/>
      <c r="G17" s="47"/>
      <c r="H17" s="38"/>
      <c r="I17" s="44"/>
      <c r="J17" s="38"/>
      <c r="Q17" s="347"/>
    </row>
    <row r="18" spans="1:17">
      <c r="A18" s="38">
        <v>9</v>
      </c>
      <c r="B18" s="38" t="s">
        <v>110</v>
      </c>
      <c r="C18" s="54"/>
      <c r="D18" s="399" t="s">
        <v>112</v>
      </c>
      <c r="E18" s="47"/>
      <c r="F18" s="37">
        <v>0.3543</v>
      </c>
      <c r="G18" s="47">
        <f>ROUND($E$17*$F18,0)</f>
        <v>9834549</v>
      </c>
      <c r="H18" s="38"/>
      <c r="I18" s="44">
        <f>ROUND($E$17*$F18,0)</f>
        <v>9834549</v>
      </c>
      <c r="J18" s="38"/>
      <c r="Q18" s="347"/>
    </row>
    <row r="19" spans="1:17">
      <c r="A19" s="38">
        <v>10</v>
      </c>
      <c r="B19" s="38"/>
      <c r="C19" s="54"/>
      <c r="D19" s="47"/>
      <c r="E19" s="47"/>
      <c r="F19" s="37"/>
      <c r="G19" s="47"/>
      <c r="H19" s="38"/>
      <c r="I19" s="44"/>
      <c r="J19" s="38"/>
      <c r="Q19" s="347"/>
    </row>
    <row r="20" spans="1:17">
      <c r="A20" s="38">
        <v>11</v>
      </c>
      <c r="B20" s="38" t="s">
        <v>111</v>
      </c>
      <c r="C20" s="69">
        <v>29759</v>
      </c>
      <c r="D20" s="47"/>
      <c r="E20" s="47">
        <v>6022500</v>
      </c>
      <c r="F20" s="37"/>
      <c r="G20" s="47"/>
      <c r="H20" s="38"/>
      <c r="I20" s="44"/>
      <c r="J20" s="38"/>
      <c r="Q20" s="347"/>
    </row>
    <row r="21" spans="1:17">
      <c r="A21" s="38">
        <v>12</v>
      </c>
      <c r="B21" s="38" t="s">
        <v>110</v>
      </c>
      <c r="C21" s="292" t="s">
        <v>109</v>
      </c>
      <c r="D21" s="399" t="s">
        <v>108</v>
      </c>
      <c r="E21" s="47"/>
      <c r="F21" s="37">
        <v>0.24940000000000001</v>
      </c>
      <c r="G21" s="47">
        <f>ROUND($E$20*$F21,0)</f>
        <v>1502012</v>
      </c>
      <c r="H21" s="38"/>
      <c r="I21" s="44">
        <f>ROUND($E$20*$F21,0)</f>
        <v>1502012</v>
      </c>
      <c r="J21" s="38"/>
      <c r="L21" s="360"/>
      <c r="Q21" s="347"/>
    </row>
    <row r="22" spans="1:17">
      <c r="A22" s="38">
        <v>13</v>
      </c>
      <c r="C22" s="64"/>
      <c r="Q22" s="347"/>
    </row>
    <row r="23" spans="1:17">
      <c r="A23" s="38">
        <v>14</v>
      </c>
      <c r="B23" s="38" t="s">
        <v>111</v>
      </c>
      <c r="C23" s="69">
        <v>34380</v>
      </c>
      <c r="D23" s="47"/>
      <c r="E23" s="47">
        <v>3650000</v>
      </c>
      <c r="Q23" s="347"/>
    </row>
    <row r="24" spans="1:17">
      <c r="A24" s="38">
        <v>15</v>
      </c>
      <c r="B24" s="38" t="s">
        <v>110</v>
      </c>
      <c r="C24" s="292" t="s">
        <v>109</v>
      </c>
      <c r="D24" s="399" t="s">
        <v>108</v>
      </c>
      <c r="F24" s="37">
        <v>0.24940000000000001</v>
      </c>
      <c r="G24" s="47">
        <f>ROUND($E$23*$F24,0)</f>
        <v>910310</v>
      </c>
      <c r="I24" s="44">
        <f>ROUND($E$23*$F24,0)</f>
        <v>910310</v>
      </c>
    </row>
    <row r="25" spans="1:17">
      <c r="A25" s="38">
        <v>16</v>
      </c>
      <c r="C25" s="64"/>
    </row>
    <row r="26" spans="1:17">
      <c r="A26" s="38">
        <v>17</v>
      </c>
      <c r="B26" s="36" t="s">
        <v>105</v>
      </c>
      <c r="C26" s="64"/>
      <c r="E26" s="52">
        <f>SUM(E17:E25)</f>
        <v>37430188</v>
      </c>
      <c r="G26" s="52">
        <f>SUM(G17:G25)</f>
        <v>12246871</v>
      </c>
      <c r="I26" s="52">
        <f>SUM(I17:I25)</f>
        <v>12246871</v>
      </c>
    </row>
    <row r="27" spans="1:17">
      <c r="A27" s="38">
        <v>18</v>
      </c>
      <c r="C27" s="64"/>
    </row>
    <row r="28" spans="1:17" ht="15">
      <c r="A28" s="38">
        <v>19</v>
      </c>
      <c r="B28" s="51" t="s">
        <v>115</v>
      </c>
      <c r="C28" s="54"/>
      <c r="F28" s="37"/>
      <c r="H28" s="38"/>
      <c r="I28" s="38"/>
    </row>
    <row r="29" spans="1:17">
      <c r="A29" s="38">
        <v>20</v>
      </c>
      <c r="B29" s="38" t="s">
        <v>530</v>
      </c>
      <c r="C29" s="54">
        <v>35772</v>
      </c>
      <c r="D29" s="399" t="s">
        <v>533</v>
      </c>
      <c r="E29" s="47">
        <v>323400</v>
      </c>
      <c r="F29" s="37"/>
      <c r="G29" s="47"/>
      <c r="H29" s="38"/>
      <c r="I29" s="44"/>
    </row>
    <row r="30" spans="1:17">
      <c r="A30" s="38">
        <v>21</v>
      </c>
      <c r="B30" s="38" t="s">
        <v>110</v>
      </c>
      <c r="C30" s="54"/>
      <c r="D30" s="399"/>
      <c r="E30" s="47"/>
      <c r="F30" s="37">
        <v>0.32819999999999999</v>
      </c>
      <c r="G30" s="47">
        <f>ROUND($E$29*$F30,0)</f>
        <v>106140</v>
      </c>
      <c r="H30" s="38"/>
      <c r="I30" s="44">
        <f>ROUND($E$29*$F30,0)</f>
        <v>106140</v>
      </c>
      <c r="L30" s="47"/>
    </row>
    <row r="31" spans="1:17">
      <c r="A31" s="38">
        <v>22</v>
      </c>
      <c r="B31" s="38"/>
      <c r="C31" s="54"/>
      <c r="D31" s="399"/>
      <c r="E31" s="47"/>
      <c r="F31" s="37"/>
      <c r="G31" s="47"/>
      <c r="H31" s="38"/>
      <c r="I31" s="44"/>
      <c r="L31" s="47"/>
    </row>
    <row r="32" spans="1:17">
      <c r="A32" s="38">
        <v>23</v>
      </c>
      <c r="B32" s="38"/>
      <c r="C32" s="54"/>
      <c r="D32" s="399"/>
      <c r="E32" s="47"/>
      <c r="F32" s="37"/>
      <c r="G32" s="47"/>
      <c r="H32" s="38"/>
      <c r="I32" s="44"/>
      <c r="L32" s="47"/>
    </row>
    <row r="33" spans="1:12">
      <c r="A33" s="38">
        <v>24</v>
      </c>
      <c r="B33" s="38"/>
      <c r="C33" s="54"/>
      <c r="D33" s="399"/>
      <c r="E33" s="47"/>
      <c r="F33" s="37"/>
      <c r="G33" s="47"/>
      <c r="H33" s="38"/>
      <c r="I33" s="44"/>
      <c r="L33" s="47"/>
    </row>
    <row r="34" spans="1:12">
      <c r="A34" s="38">
        <v>25</v>
      </c>
      <c r="B34" s="38"/>
      <c r="C34" s="54"/>
      <c r="D34" s="47"/>
      <c r="E34" s="47"/>
      <c r="F34" s="37"/>
      <c r="G34" s="47"/>
      <c r="H34" s="38"/>
      <c r="I34" s="44"/>
      <c r="J34" s="38"/>
    </row>
    <row r="35" spans="1:12">
      <c r="A35" s="38">
        <v>26</v>
      </c>
      <c r="B35" s="36" t="s">
        <v>104</v>
      </c>
      <c r="C35" s="64"/>
      <c r="E35" s="52">
        <f>SUM(E29:E34)</f>
        <v>323400</v>
      </c>
      <c r="G35" s="52">
        <f>SUM(G29:G34)</f>
        <v>106140</v>
      </c>
      <c r="I35" s="52">
        <f>SUM(I29:I34)</f>
        <v>106140</v>
      </c>
    </row>
    <row r="36" spans="1:12">
      <c r="A36" s="38">
        <v>27</v>
      </c>
      <c r="C36" s="64"/>
    </row>
    <row r="37" spans="1:12" ht="15">
      <c r="A37" s="38">
        <v>28</v>
      </c>
      <c r="B37" s="51" t="s">
        <v>114</v>
      </c>
      <c r="C37" s="54"/>
      <c r="D37" s="47"/>
      <c r="E37" s="47"/>
      <c r="F37" s="37"/>
      <c r="G37" s="47"/>
      <c r="H37" s="38"/>
      <c r="I37" s="44"/>
    </row>
    <row r="38" spans="1:12">
      <c r="A38" s="38">
        <v>29</v>
      </c>
      <c r="B38" s="38" t="s">
        <v>113</v>
      </c>
      <c r="C38" s="54">
        <v>29763</v>
      </c>
      <c r="D38" s="47"/>
      <c r="E38" s="47">
        <v>3320769</v>
      </c>
      <c r="F38" s="37"/>
      <c r="G38" s="47"/>
      <c r="H38" s="38"/>
      <c r="I38" s="44"/>
    </row>
    <row r="39" spans="1:12">
      <c r="A39" s="38">
        <v>30</v>
      </c>
      <c r="B39" s="38" t="s">
        <v>110</v>
      </c>
      <c r="C39" s="54"/>
      <c r="D39" s="399" t="s">
        <v>112</v>
      </c>
      <c r="E39" s="47"/>
      <c r="F39" s="37">
        <v>0.41899999999999998</v>
      </c>
      <c r="G39" s="47">
        <f>ROUND($E$38*$F39,0)</f>
        <v>1391402</v>
      </c>
      <c r="H39" s="38"/>
      <c r="I39" s="44">
        <f>ROUND($E$38*$F39,0)</f>
        <v>1391402</v>
      </c>
    </row>
    <row r="40" spans="1:12">
      <c r="A40" s="38">
        <v>31</v>
      </c>
      <c r="B40" s="38"/>
      <c r="C40" s="54"/>
      <c r="D40" s="47"/>
      <c r="E40" s="47"/>
      <c r="F40" s="37"/>
      <c r="G40" s="47"/>
      <c r="H40" s="38"/>
      <c r="I40" s="44"/>
    </row>
    <row r="41" spans="1:12">
      <c r="A41" s="38">
        <v>32</v>
      </c>
      <c r="B41" s="38" t="s">
        <v>111</v>
      </c>
      <c r="C41" s="69">
        <v>31097</v>
      </c>
      <c r="D41" s="47"/>
      <c r="E41" s="47">
        <v>1825000</v>
      </c>
      <c r="F41" s="37"/>
      <c r="G41" s="47"/>
      <c r="H41" s="38"/>
      <c r="I41" s="44"/>
    </row>
    <row r="42" spans="1:12">
      <c r="A42" s="38">
        <v>33</v>
      </c>
      <c r="B42" s="38" t="s">
        <v>110</v>
      </c>
      <c r="C42" s="54"/>
      <c r="D42" s="399" t="s">
        <v>108</v>
      </c>
      <c r="E42" s="47"/>
      <c r="F42" s="37">
        <v>0.31419999999999998</v>
      </c>
      <c r="G42" s="47">
        <f>ROUND($E$41*$F42,0)</f>
        <v>573415</v>
      </c>
      <c r="H42" s="38"/>
      <c r="I42" s="44">
        <f>ROUND($E$41*$F42,0)</f>
        <v>573415</v>
      </c>
      <c r="L42" s="47"/>
    </row>
    <row r="43" spans="1:12">
      <c r="A43" s="38">
        <v>34</v>
      </c>
      <c r="B43" s="38"/>
      <c r="C43" s="54"/>
      <c r="D43" s="47"/>
      <c r="E43" s="47"/>
      <c r="F43" s="37"/>
      <c r="G43" s="47"/>
      <c r="H43" s="38"/>
      <c r="I43" s="44"/>
    </row>
    <row r="44" spans="1:12" hidden="1">
      <c r="A44" s="38">
        <v>35</v>
      </c>
      <c r="B44" s="38" t="s">
        <v>111</v>
      </c>
      <c r="C44" s="69"/>
      <c r="D44" s="44"/>
      <c r="E44" s="272"/>
      <c r="F44" s="43"/>
      <c r="G44" s="44"/>
      <c r="H44" s="38"/>
      <c r="I44" s="44"/>
      <c r="J44" s="38"/>
    </row>
    <row r="45" spans="1:12" hidden="1">
      <c r="A45" s="38">
        <v>36</v>
      </c>
      <c r="B45" s="38" t="s">
        <v>110</v>
      </c>
      <c r="C45" s="292" t="s">
        <v>109</v>
      </c>
      <c r="D45" s="48" t="s">
        <v>108</v>
      </c>
      <c r="E45" s="44"/>
      <c r="F45" s="293"/>
      <c r="G45" s="44">
        <f>ROUND($E$44*$F45,0)</f>
        <v>0</v>
      </c>
      <c r="H45" s="38"/>
      <c r="I45" s="44">
        <f>ROUND($E$44*$F45,0)</f>
        <v>0</v>
      </c>
      <c r="J45" s="38"/>
      <c r="L45" s="47"/>
    </row>
    <row r="46" spans="1:12" hidden="1">
      <c r="A46" s="38">
        <v>37</v>
      </c>
      <c r="B46" s="38"/>
      <c r="C46" s="54"/>
      <c r="D46" s="38"/>
      <c r="E46" s="38"/>
      <c r="F46" s="43"/>
      <c r="G46" s="38"/>
      <c r="H46" s="38"/>
      <c r="I46" s="38"/>
    </row>
    <row r="47" spans="1:12">
      <c r="A47" s="38">
        <v>38</v>
      </c>
      <c r="B47" s="36" t="s">
        <v>107</v>
      </c>
      <c r="C47" s="64"/>
      <c r="D47" s="47"/>
      <c r="E47" s="400">
        <f>SUM(E38:E46)</f>
        <v>5145769</v>
      </c>
      <c r="F47" s="37"/>
      <c r="G47" s="400">
        <f>SUM(G38:G46)</f>
        <v>1964817</v>
      </c>
      <c r="H47" s="38"/>
      <c r="I47" s="45">
        <f>SUM(I38:I46)</f>
        <v>1964817</v>
      </c>
    </row>
    <row r="48" spans="1:12">
      <c r="A48" s="38">
        <v>39</v>
      </c>
      <c r="C48" s="64"/>
      <c r="D48" s="47"/>
      <c r="E48" s="47"/>
      <c r="F48" s="37"/>
      <c r="G48" s="47"/>
      <c r="H48" s="38"/>
      <c r="I48" s="44"/>
    </row>
    <row r="49" spans="1:12" ht="15">
      <c r="A49" s="38">
        <v>40</v>
      </c>
      <c r="B49" s="401" t="s">
        <v>512</v>
      </c>
      <c r="C49" s="64"/>
      <c r="D49" s="47"/>
      <c r="E49" s="47"/>
      <c r="F49" s="37"/>
      <c r="G49" s="47"/>
      <c r="H49" s="38"/>
      <c r="I49" s="44"/>
    </row>
    <row r="50" spans="1:12">
      <c r="A50" s="38">
        <v>41</v>
      </c>
      <c r="B50" s="36" t="s">
        <v>111</v>
      </c>
      <c r="C50" s="402">
        <v>54299</v>
      </c>
      <c r="D50" s="47"/>
      <c r="E50" s="47">
        <v>2555000</v>
      </c>
      <c r="F50" s="37"/>
      <c r="G50" s="47"/>
      <c r="H50" s="38"/>
      <c r="I50" s="44"/>
    </row>
    <row r="51" spans="1:12">
      <c r="A51" s="38">
        <v>42</v>
      </c>
      <c r="B51" s="36" t="s">
        <v>110</v>
      </c>
      <c r="C51" s="403" t="s">
        <v>109</v>
      </c>
      <c r="D51" s="399" t="s">
        <v>108</v>
      </c>
      <c r="E51" s="47"/>
      <c r="F51" s="37">
        <v>0.105</v>
      </c>
      <c r="G51" s="47">
        <f>ROUND($E$50*$F51,0)</f>
        <v>268275</v>
      </c>
      <c r="H51" s="38"/>
      <c r="I51" s="44">
        <f>ROUND($E$50*$F51,0)</f>
        <v>268275</v>
      </c>
    </row>
    <row r="52" spans="1:12">
      <c r="A52" s="38">
        <v>43</v>
      </c>
      <c r="C52" s="64"/>
      <c r="F52" s="37"/>
      <c r="H52" s="38"/>
      <c r="I52" s="38"/>
    </row>
    <row r="53" spans="1:12">
      <c r="A53" s="38">
        <v>44</v>
      </c>
      <c r="B53" s="36" t="s">
        <v>513</v>
      </c>
      <c r="D53" s="47"/>
      <c r="E53" s="400">
        <f>SUM(E50:E52)</f>
        <v>2555000</v>
      </c>
      <c r="F53" s="37"/>
      <c r="G53" s="400">
        <f>SUM(G50:G52)</f>
        <v>268275</v>
      </c>
      <c r="H53" s="38"/>
      <c r="I53" s="45">
        <f>SUM(I50:I52)</f>
        <v>268275</v>
      </c>
    </row>
    <row r="54" spans="1:12">
      <c r="A54" s="38">
        <v>45</v>
      </c>
      <c r="C54" s="64"/>
      <c r="D54" s="47"/>
      <c r="E54" s="47"/>
      <c r="F54" s="37"/>
      <c r="G54" s="47"/>
      <c r="H54" s="38"/>
      <c r="I54" s="44"/>
    </row>
    <row r="55" spans="1:12" ht="15">
      <c r="A55" s="38">
        <v>46</v>
      </c>
      <c r="B55" s="401" t="s">
        <v>531</v>
      </c>
      <c r="C55" s="64"/>
      <c r="D55" s="47"/>
      <c r="E55" s="47"/>
      <c r="F55" s="37"/>
      <c r="G55" s="47"/>
      <c r="H55" s="38"/>
      <c r="I55" s="44"/>
    </row>
    <row r="56" spans="1:12">
      <c r="A56" s="38">
        <v>47</v>
      </c>
      <c r="B56" s="36" t="s">
        <v>111</v>
      </c>
      <c r="C56" s="402">
        <v>36773</v>
      </c>
      <c r="D56" s="47"/>
      <c r="E56" s="47">
        <v>1825000</v>
      </c>
      <c r="F56" s="37"/>
      <c r="G56" s="47"/>
      <c r="H56" s="38"/>
      <c r="I56" s="44"/>
    </row>
    <row r="57" spans="1:12">
      <c r="A57" s="38">
        <v>48</v>
      </c>
      <c r="B57" s="36" t="s">
        <v>110</v>
      </c>
      <c r="C57" s="403" t="s">
        <v>109</v>
      </c>
      <c r="D57" s="399" t="s">
        <v>108</v>
      </c>
      <c r="E57" s="47"/>
      <c r="F57" s="37">
        <v>0.1181</v>
      </c>
      <c r="G57" s="47">
        <f>ROUND($E$56*$F57,0)</f>
        <v>215533</v>
      </c>
      <c r="H57" s="38"/>
      <c r="I57" s="44">
        <f>ROUND($E$56*$F57,0)</f>
        <v>215533</v>
      </c>
      <c r="L57" s="47"/>
    </row>
    <row r="58" spans="1:12">
      <c r="A58" s="38">
        <v>49</v>
      </c>
      <c r="C58" s="64"/>
      <c r="F58" s="37"/>
      <c r="H58" s="38"/>
      <c r="I58" s="38"/>
      <c r="L58" s="315"/>
    </row>
    <row r="59" spans="1:12">
      <c r="A59" s="38">
        <v>50</v>
      </c>
      <c r="B59" s="38" t="s">
        <v>532</v>
      </c>
      <c r="C59" s="38"/>
      <c r="D59" s="44"/>
      <c r="E59" s="45">
        <f>SUM(E56:E58)</f>
        <v>1825000</v>
      </c>
      <c r="F59" s="43"/>
      <c r="G59" s="45">
        <f>SUM(G56:G58)</f>
        <v>215533</v>
      </c>
      <c r="H59" s="38"/>
      <c r="I59" s="45">
        <f>SUM(I56:I58)</f>
        <v>215533</v>
      </c>
    </row>
    <row r="60" spans="1:12">
      <c r="A60" s="38">
        <v>51</v>
      </c>
    </row>
    <row r="61" spans="1:12">
      <c r="A61" s="38">
        <v>52</v>
      </c>
      <c r="B61" s="36" t="s">
        <v>106</v>
      </c>
      <c r="E61" s="40">
        <f>E14</f>
        <v>12175247</v>
      </c>
      <c r="F61" s="40"/>
      <c r="G61" s="40">
        <f>G14</f>
        <v>3759716</v>
      </c>
      <c r="H61" s="40"/>
      <c r="I61" s="40">
        <f>I14</f>
        <v>3759716</v>
      </c>
    </row>
    <row r="62" spans="1:12">
      <c r="A62" s="38">
        <v>53</v>
      </c>
      <c r="B62" s="36" t="s">
        <v>105</v>
      </c>
      <c r="E62" s="40">
        <f>E26</f>
        <v>37430188</v>
      </c>
      <c r="F62" s="40"/>
      <c r="G62" s="40">
        <f>G26</f>
        <v>12246871</v>
      </c>
      <c r="H62" s="40"/>
      <c r="I62" s="40">
        <f>I26</f>
        <v>12246871</v>
      </c>
    </row>
    <row r="63" spans="1:12">
      <c r="A63" s="38">
        <v>54</v>
      </c>
      <c r="B63" s="36" t="s">
        <v>104</v>
      </c>
      <c r="E63" s="40">
        <f>E35</f>
        <v>323400</v>
      </c>
      <c r="F63" s="40"/>
      <c r="G63" s="40">
        <f>G35</f>
        <v>106140</v>
      </c>
      <c r="H63" s="40"/>
      <c r="I63" s="40">
        <f>I35</f>
        <v>106140</v>
      </c>
    </row>
    <row r="64" spans="1:12">
      <c r="A64" s="38">
        <v>55</v>
      </c>
      <c r="B64" s="36" t="s">
        <v>107</v>
      </c>
      <c r="E64" s="40">
        <f>E47</f>
        <v>5145769</v>
      </c>
      <c r="F64" s="40"/>
      <c r="G64" s="40">
        <f>G47</f>
        <v>1964817</v>
      </c>
      <c r="H64" s="40"/>
      <c r="I64" s="40">
        <f>I47</f>
        <v>1964817</v>
      </c>
    </row>
    <row r="65" spans="1:9">
      <c r="A65" s="38">
        <v>56</v>
      </c>
      <c r="B65" s="36" t="s">
        <v>513</v>
      </c>
      <c r="E65" s="40">
        <f>E53</f>
        <v>2555000</v>
      </c>
      <c r="F65" s="40"/>
      <c r="G65" s="40">
        <f>G53</f>
        <v>268275</v>
      </c>
      <c r="H65" s="40"/>
      <c r="I65" s="40">
        <f>I53</f>
        <v>268275</v>
      </c>
    </row>
    <row r="66" spans="1:9">
      <c r="A66" s="38">
        <v>57</v>
      </c>
      <c r="B66" s="36" t="s">
        <v>532</v>
      </c>
      <c r="E66" s="40">
        <f>E59</f>
        <v>1825000</v>
      </c>
      <c r="F66" s="348"/>
      <c r="G66" s="40">
        <f>G59</f>
        <v>215533</v>
      </c>
      <c r="H66" s="40"/>
      <c r="I66" s="40">
        <f>I59</f>
        <v>215533</v>
      </c>
    </row>
    <row r="67" spans="1:9">
      <c r="A67" s="38">
        <v>58</v>
      </c>
      <c r="B67" s="38"/>
      <c r="C67" s="38"/>
      <c r="E67" s="47"/>
      <c r="F67" s="37"/>
    </row>
    <row r="68" spans="1:9">
      <c r="A68" s="38">
        <v>59</v>
      </c>
      <c r="B68" s="38" t="s">
        <v>103</v>
      </c>
      <c r="C68" s="38"/>
      <c r="D68" s="44"/>
      <c r="E68" s="45">
        <f>SUM(E61:E66)</f>
        <v>59454604</v>
      </c>
      <c r="F68" s="43"/>
      <c r="G68" s="45">
        <f>SUM(G61:G66)</f>
        <v>18561352</v>
      </c>
      <c r="H68" s="46"/>
      <c r="I68" s="45">
        <f>SUM(I61:J66)</f>
        <v>18561352</v>
      </c>
    </row>
    <row r="69" spans="1:9">
      <c r="A69" s="38">
        <v>60</v>
      </c>
      <c r="B69" s="38"/>
      <c r="C69" s="38"/>
      <c r="D69" s="44"/>
      <c r="E69" s="44"/>
      <c r="F69" s="43"/>
      <c r="G69" s="44"/>
      <c r="H69" s="38"/>
      <c r="I69" s="44"/>
    </row>
    <row r="70" spans="1:9">
      <c r="A70" s="38">
        <v>61</v>
      </c>
      <c r="B70" s="38"/>
      <c r="C70" s="38"/>
      <c r="D70" s="38"/>
      <c r="E70" s="38"/>
      <c r="F70" s="43"/>
      <c r="G70" s="38"/>
      <c r="H70" s="38"/>
      <c r="I70" s="38"/>
    </row>
    <row r="71" spans="1:9" ht="15" thickBot="1">
      <c r="A71" s="38">
        <v>62</v>
      </c>
      <c r="B71" s="38" t="s">
        <v>102</v>
      </c>
      <c r="C71" s="38"/>
      <c r="D71" s="38"/>
      <c r="E71" s="44"/>
      <c r="F71" s="43"/>
      <c r="G71" s="41">
        <f>SUM(G68:G70)</f>
        <v>18561352</v>
      </c>
      <c r="H71" s="42"/>
      <c r="I71" s="41">
        <f>SUM(I68:I70)</f>
        <v>18561352</v>
      </c>
    </row>
    <row r="72" spans="1:9" ht="15" thickTop="1">
      <c r="A72" s="38"/>
      <c r="F72" s="37"/>
    </row>
    <row r="73" spans="1:9">
      <c r="A73" s="38"/>
      <c r="F73" s="37"/>
      <c r="G73" s="40"/>
    </row>
    <row r="74" spans="1:9">
      <c r="A74" s="38"/>
      <c r="F74" s="37"/>
    </row>
    <row r="75" spans="1:9">
      <c r="A75" s="38"/>
      <c r="F75" s="37"/>
    </row>
    <row r="76" spans="1:9">
      <c r="A76" s="38"/>
      <c r="F76" s="37"/>
      <c r="G76" s="39"/>
    </row>
    <row r="77" spans="1:9">
      <c r="A77" s="38"/>
      <c r="F77" s="37"/>
    </row>
    <row r="78" spans="1:9">
      <c r="A78" s="38"/>
      <c r="F78" s="37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zoomScale="80" zoomScaleNormal="80" zoomScaleSheetLayoutView="100" workbookViewId="0">
      <pane xSplit="3" ySplit="9" topLeftCell="D10" activePane="bottomRight" state="frozen"/>
      <selection activeCell="L49" sqref="L49"/>
      <selection pane="topRight" activeCell="L49" sqref="L49"/>
      <selection pane="bottomLeft" activeCell="L49" sqref="L49"/>
      <selection pane="bottomRight" activeCell="M22" sqref="M22"/>
    </sheetView>
  </sheetViews>
  <sheetFormatPr defaultColWidth="9.85546875" defaultRowHeight="14.25"/>
  <cols>
    <col min="1" max="1" width="4.85546875" style="36" customWidth="1"/>
    <col min="2" max="2" width="17.140625" style="36" customWidth="1"/>
    <col min="3" max="3" width="23.42578125" style="36" customWidth="1"/>
    <col min="4" max="4" width="9.85546875" style="36" customWidth="1"/>
    <col min="5" max="5" width="13" style="36" bestFit="1" customWidth="1"/>
    <col min="6" max="6" width="10.85546875" style="36" customWidth="1"/>
    <col min="7" max="7" width="11.7109375" style="36" bestFit="1" customWidth="1"/>
    <col min="8" max="8" width="1.85546875" style="36" customWidth="1"/>
    <col min="9" max="9" width="13.5703125" style="36" customWidth="1"/>
    <col min="10" max="10" width="1.85546875" style="36" customWidth="1"/>
    <col min="11" max="11" width="11.28515625" style="36" customWidth="1"/>
    <col min="12" max="13" width="9.85546875" style="36"/>
    <col min="14" max="14" width="12.7109375" style="36" bestFit="1" customWidth="1"/>
    <col min="15" max="16384" width="9.85546875" style="36"/>
  </cols>
  <sheetData>
    <row r="1" spans="1:17" ht="15">
      <c r="A1" s="62" t="s">
        <v>40</v>
      </c>
      <c r="B1" s="50"/>
      <c r="C1" s="50"/>
      <c r="D1" s="50"/>
      <c r="E1" s="50"/>
      <c r="F1" s="50"/>
      <c r="G1" s="50"/>
      <c r="H1" s="50"/>
      <c r="I1" s="38" t="s">
        <v>133</v>
      </c>
      <c r="J1" s="38"/>
    </row>
    <row r="2" spans="1:17">
      <c r="A2" s="50" t="str">
        <f>B.1!A2</f>
        <v>Expected Gas Cost (EGC) Calculation</v>
      </c>
      <c r="B2" s="50"/>
      <c r="C2" s="50"/>
      <c r="D2" s="50"/>
      <c r="E2" s="50"/>
      <c r="F2" s="50"/>
      <c r="G2" s="50"/>
      <c r="H2" s="50"/>
      <c r="I2" s="38" t="s">
        <v>149</v>
      </c>
      <c r="J2" s="38"/>
    </row>
    <row r="3" spans="1:17">
      <c r="A3" s="61" t="s">
        <v>148</v>
      </c>
      <c r="B3" s="50"/>
      <c r="C3" s="50"/>
      <c r="D3" s="50"/>
      <c r="E3" s="50"/>
      <c r="F3" s="50"/>
      <c r="G3" s="50"/>
      <c r="H3" s="50"/>
      <c r="I3" s="50"/>
      <c r="J3" s="38"/>
    </row>
    <row r="4" spans="1:17">
      <c r="A4" s="38"/>
      <c r="B4" s="38"/>
      <c r="C4" s="38"/>
      <c r="D4" s="38"/>
      <c r="E4" s="38"/>
      <c r="F4" s="60"/>
      <c r="G4" s="38"/>
      <c r="H4" s="38"/>
      <c r="I4" s="38"/>
      <c r="J4" s="38"/>
    </row>
    <row r="5" spans="1:17" ht="15">
      <c r="A5" s="55"/>
      <c r="B5" s="38"/>
      <c r="C5" s="38"/>
      <c r="D5" s="54" t="s">
        <v>35</v>
      </c>
      <c r="E5" s="54" t="s">
        <v>34</v>
      </c>
      <c r="F5" s="54" t="s">
        <v>33</v>
      </c>
      <c r="G5" s="54" t="s">
        <v>129</v>
      </c>
      <c r="H5" s="38"/>
      <c r="I5" s="54" t="s">
        <v>128</v>
      </c>
      <c r="J5" s="38"/>
    </row>
    <row r="6" spans="1:17" ht="15">
      <c r="A6" s="55"/>
      <c r="B6" s="55"/>
      <c r="C6" s="394"/>
      <c r="D6" s="394"/>
      <c r="E6" s="394"/>
      <c r="F6" s="394"/>
      <c r="G6" s="395" t="s">
        <v>127</v>
      </c>
      <c r="H6" s="59"/>
      <c r="I6" s="59"/>
      <c r="J6" s="59"/>
    </row>
    <row r="7" spans="1:17" ht="15">
      <c r="A7" s="58" t="s">
        <v>32</v>
      </c>
      <c r="B7" s="55"/>
      <c r="C7" s="394"/>
      <c r="D7" s="396" t="s">
        <v>0</v>
      </c>
      <c r="E7" s="396" t="s">
        <v>126</v>
      </c>
      <c r="F7" s="394"/>
      <c r="G7" s="394"/>
      <c r="H7" s="55"/>
      <c r="I7" s="55"/>
      <c r="J7" s="55"/>
    </row>
    <row r="8" spans="1:17" ht="15">
      <c r="A8" s="57" t="s">
        <v>31</v>
      </c>
      <c r="B8" s="56" t="s">
        <v>30</v>
      </c>
      <c r="C8" s="404"/>
      <c r="D8" s="397" t="s">
        <v>125</v>
      </c>
      <c r="E8" s="397" t="s">
        <v>124</v>
      </c>
      <c r="F8" s="397" t="s">
        <v>123</v>
      </c>
      <c r="G8" s="397" t="s">
        <v>122</v>
      </c>
      <c r="H8" s="56"/>
      <c r="I8" s="57" t="s">
        <v>21</v>
      </c>
      <c r="J8" s="56"/>
    </row>
    <row r="9" spans="1:17" ht="15">
      <c r="A9" s="38"/>
      <c r="B9" s="55"/>
      <c r="E9" s="64" t="s">
        <v>121</v>
      </c>
      <c r="F9" s="64" t="s">
        <v>120</v>
      </c>
      <c r="G9" s="64" t="s">
        <v>119</v>
      </c>
      <c r="H9" s="38"/>
      <c r="I9" s="54" t="s">
        <v>119</v>
      </c>
      <c r="J9" s="38"/>
    </row>
    <row r="10" spans="1:17" ht="15">
      <c r="A10" s="38"/>
      <c r="B10" s="55"/>
      <c r="H10" s="38"/>
      <c r="I10" s="38"/>
      <c r="J10" s="38"/>
    </row>
    <row r="11" spans="1:17" ht="15">
      <c r="A11" s="38">
        <v>1</v>
      </c>
      <c r="B11" s="51" t="s">
        <v>147</v>
      </c>
      <c r="D11" s="47"/>
      <c r="E11" s="47"/>
      <c r="F11" s="398"/>
      <c r="G11" s="47"/>
      <c r="H11" s="38"/>
      <c r="I11" s="44"/>
      <c r="J11" s="38"/>
    </row>
    <row r="12" spans="1:17">
      <c r="A12" s="38">
        <v>2</v>
      </c>
      <c r="B12" s="38" t="s">
        <v>144</v>
      </c>
      <c r="C12" s="405">
        <v>2546</v>
      </c>
      <c r="E12" s="47">
        <v>145000</v>
      </c>
      <c r="F12" s="398"/>
      <c r="G12" s="47"/>
      <c r="H12" s="38"/>
      <c r="I12" s="44"/>
      <c r="J12" s="38"/>
    </row>
    <row r="13" spans="1:17">
      <c r="A13" s="38">
        <v>3</v>
      </c>
      <c r="B13" s="38" t="s">
        <v>110</v>
      </c>
      <c r="C13" s="405"/>
      <c r="D13" s="406" t="s">
        <v>143</v>
      </c>
      <c r="E13" s="47"/>
      <c r="F13" s="398">
        <v>8.8346</v>
      </c>
      <c r="G13" s="47">
        <f>ROUND($E$12*$F$13,0)</f>
        <v>1281017</v>
      </c>
      <c r="H13" s="38"/>
      <c r="I13" s="44">
        <f>ROUND($E$12*$F$13,0)</f>
        <v>1281017</v>
      </c>
      <c r="J13" s="38"/>
    </row>
    <row r="14" spans="1:17">
      <c r="A14" s="38">
        <v>4</v>
      </c>
      <c r="B14" s="38"/>
      <c r="C14" s="405"/>
      <c r="E14" s="47"/>
      <c r="F14" s="398"/>
      <c r="G14" s="47"/>
      <c r="H14" s="38"/>
      <c r="I14" s="44"/>
      <c r="J14" s="38"/>
    </row>
    <row r="15" spans="1:17">
      <c r="A15" s="38">
        <v>5</v>
      </c>
      <c r="B15" s="38" t="s">
        <v>511</v>
      </c>
      <c r="C15" s="405">
        <v>95033</v>
      </c>
      <c r="D15" s="47"/>
      <c r="E15" s="47">
        <v>144000</v>
      </c>
      <c r="F15" s="398"/>
      <c r="G15" s="47"/>
      <c r="H15" s="38"/>
      <c r="I15" s="44"/>
      <c r="J15" s="38"/>
      <c r="Q15" s="347"/>
    </row>
    <row r="16" spans="1:17">
      <c r="A16" s="38">
        <v>6</v>
      </c>
      <c r="B16" s="38" t="s">
        <v>110</v>
      </c>
      <c r="C16" s="405"/>
      <c r="D16" s="406">
        <v>14</v>
      </c>
      <c r="E16" s="47"/>
      <c r="F16" s="398">
        <v>8.2125000000000004</v>
      </c>
      <c r="G16" s="47">
        <f>ROUND($E$15*$F$16,0)</f>
        <v>1182600</v>
      </c>
      <c r="H16" s="38"/>
      <c r="I16" s="44">
        <f>ROUND($E$15*$F$16,0)</f>
        <v>1182600</v>
      </c>
      <c r="J16" s="38"/>
      <c r="Q16" s="347"/>
    </row>
    <row r="17" spans="1:17">
      <c r="A17" s="38">
        <v>7</v>
      </c>
      <c r="B17" s="38"/>
      <c r="C17" s="405"/>
      <c r="D17" s="406"/>
      <c r="E17" s="47"/>
      <c r="F17" s="398"/>
      <c r="G17" s="47"/>
      <c r="H17" s="38"/>
      <c r="I17" s="44"/>
      <c r="J17" s="38"/>
      <c r="Q17" s="347"/>
    </row>
    <row r="18" spans="1:17">
      <c r="A18" s="38">
        <v>8</v>
      </c>
      <c r="B18" s="38" t="s">
        <v>146</v>
      </c>
      <c r="D18" s="47"/>
      <c r="E18" s="400">
        <f>SUM(E12:E17)</f>
        <v>289000</v>
      </c>
      <c r="F18" s="37"/>
      <c r="G18" s="400">
        <f>SUM(G12:G17)</f>
        <v>2463617</v>
      </c>
      <c r="H18" s="38"/>
      <c r="I18" s="45">
        <f>SUM(I12:I17)</f>
        <v>2463617</v>
      </c>
      <c r="J18" s="38"/>
      <c r="Q18" s="347"/>
    </row>
    <row r="19" spans="1:17">
      <c r="A19" s="38">
        <v>9</v>
      </c>
      <c r="B19" s="38"/>
      <c r="D19" s="47"/>
      <c r="E19" s="47"/>
      <c r="F19" s="37"/>
      <c r="G19" s="47"/>
      <c r="H19" s="38"/>
      <c r="I19" s="44"/>
      <c r="J19" s="38"/>
      <c r="Q19" s="347"/>
    </row>
    <row r="20" spans="1:17" ht="15">
      <c r="A20" s="38">
        <v>10</v>
      </c>
      <c r="B20" s="51" t="s">
        <v>145</v>
      </c>
      <c r="D20" s="47"/>
      <c r="E20" s="47"/>
      <c r="F20" s="37"/>
      <c r="G20" s="47"/>
      <c r="H20" s="38"/>
      <c r="I20" s="44"/>
      <c r="J20" s="38"/>
      <c r="Q20" s="347"/>
    </row>
    <row r="21" spans="1:17">
      <c r="A21" s="38">
        <v>11</v>
      </c>
      <c r="B21" s="38" t="s">
        <v>511</v>
      </c>
      <c r="C21" s="405">
        <v>300264</v>
      </c>
      <c r="D21" s="47"/>
      <c r="E21" s="47">
        <v>30000</v>
      </c>
      <c r="F21" s="398"/>
      <c r="G21" s="47"/>
      <c r="H21" s="38"/>
      <c r="I21" s="44"/>
      <c r="J21" s="38"/>
      <c r="Q21" s="347"/>
    </row>
    <row r="22" spans="1:17">
      <c r="A22" s="38">
        <v>12</v>
      </c>
      <c r="B22" s="38" t="s">
        <v>110</v>
      </c>
      <c r="C22" s="405"/>
      <c r="D22" s="406">
        <v>14</v>
      </c>
      <c r="E22" s="47"/>
      <c r="F22" s="398">
        <v>4.1062500000000002</v>
      </c>
      <c r="G22" s="47">
        <f>ROUND($E$21*$F$22,0)</f>
        <v>123188</v>
      </c>
      <c r="H22" s="38"/>
      <c r="I22" s="44">
        <f>ROUND($E$21*$F$22,0)</f>
        <v>123188</v>
      </c>
      <c r="J22" s="38"/>
      <c r="Q22" s="347"/>
    </row>
    <row r="23" spans="1:17">
      <c r="A23" s="38">
        <v>13</v>
      </c>
      <c r="B23" s="38"/>
      <c r="D23" s="47"/>
      <c r="E23" s="47"/>
      <c r="F23" s="37"/>
      <c r="G23" s="47"/>
      <c r="H23" s="38"/>
      <c r="I23" s="44"/>
      <c r="J23" s="38"/>
      <c r="Q23" s="347"/>
    </row>
    <row r="24" spans="1:17">
      <c r="A24" s="38">
        <v>14</v>
      </c>
      <c r="B24" s="38" t="s">
        <v>525</v>
      </c>
      <c r="D24" s="47"/>
      <c r="E24" s="400">
        <f>+SUM(E21:E23)</f>
        <v>30000</v>
      </c>
      <c r="F24" s="37"/>
      <c r="G24" s="400">
        <f>+SUM(G21:G23)</f>
        <v>123188</v>
      </c>
      <c r="H24" s="44"/>
      <c r="I24" s="45">
        <f t="shared" ref="I24" si="0">+SUM(I21:I23)</f>
        <v>123188</v>
      </c>
      <c r="J24" s="38"/>
    </row>
    <row r="25" spans="1:17" ht="15">
      <c r="A25" s="38">
        <v>15</v>
      </c>
      <c r="B25" s="55"/>
      <c r="H25" s="38"/>
      <c r="I25" s="38"/>
      <c r="J25" s="38"/>
    </row>
    <row r="26" spans="1:17" ht="15">
      <c r="A26" s="38">
        <v>16</v>
      </c>
      <c r="B26" s="51" t="s">
        <v>142</v>
      </c>
      <c r="H26" s="38"/>
      <c r="I26" s="38"/>
      <c r="J26" s="38"/>
    </row>
    <row r="27" spans="1:17">
      <c r="A27" s="38">
        <v>17</v>
      </c>
      <c r="B27" s="38" t="s">
        <v>141</v>
      </c>
      <c r="H27" s="38"/>
      <c r="I27" s="38"/>
      <c r="J27" s="38"/>
    </row>
    <row r="28" spans="1:17">
      <c r="A28" s="38">
        <v>18</v>
      </c>
      <c r="B28" s="38" t="s">
        <v>137</v>
      </c>
      <c r="C28" s="407" t="s">
        <v>140</v>
      </c>
      <c r="D28" s="64">
        <v>61</v>
      </c>
      <c r="E28" s="47">
        <v>34968</v>
      </c>
      <c r="F28" s="398">
        <v>1.6880999999999999</v>
      </c>
      <c r="G28" s="47">
        <f>ROUND($E$28*$F$28,0)</f>
        <v>59029</v>
      </c>
      <c r="H28" s="38"/>
      <c r="I28" s="44">
        <f>ROUND($E$28*$F$28,0)</f>
        <v>59029</v>
      </c>
      <c r="J28" s="38"/>
    </row>
    <row r="29" spans="1:17">
      <c r="A29" s="38">
        <v>19</v>
      </c>
      <c r="B29" s="38" t="s">
        <v>136</v>
      </c>
      <c r="C29" s="407" t="s">
        <v>139</v>
      </c>
      <c r="D29" s="64">
        <v>61</v>
      </c>
      <c r="E29" s="47">
        <v>4916148</v>
      </c>
      <c r="F29" s="398">
        <v>1.72E-2</v>
      </c>
      <c r="G29" s="47">
        <f>ROUND($E$29*$F$29,0)</f>
        <v>84558</v>
      </c>
      <c r="H29" s="38"/>
      <c r="I29" s="44">
        <f>ROUND($E$29*$F$29,0)</f>
        <v>84558</v>
      </c>
      <c r="J29" s="38"/>
    </row>
    <row r="30" spans="1:17">
      <c r="A30" s="38">
        <v>20</v>
      </c>
      <c r="B30" s="38" t="s">
        <v>138</v>
      </c>
      <c r="E30" s="47"/>
      <c r="G30" s="47"/>
      <c r="H30" s="38"/>
      <c r="I30" s="44"/>
      <c r="J30" s="38"/>
    </row>
    <row r="31" spans="1:17">
      <c r="A31" s="38">
        <v>21</v>
      </c>
      <c r="B31" s="38" t="s">
        <v>137</v>
      </c>
      <c r="D31" s="64">
        <v>61</v>
      </c>
      <c r="E31" s="47">
        <v>237408</v>
      </c>
      <c r="F31" s="398">
        <v>1.2402</v>
      </c>
      <c r="G31" s="47">
        <f>ROUND($E$31*$F$31,0)</f>
        <v>294433</v>
      </c>
      <c r="H31" s="38"/>
      <c r="I31" s="44">
        <f>ROUND($E$31*$F$31,0)</f>
        <v>294433</v>
      </c>
      <c r="J31" s="38"/>
    </row>
    <row r="32" spans="1:17">
      <c r="A32" s="38">
        <v>22</v>
      </c>
      <c r="B32" s="49" t="s">
        <v>136</v>
      </c>
      <c r="D32" s="64">
        <v>61</v>
      </c>
      <c r="E32" s="79">
        <v>10846308</v>
      </c>
      <c r="F32" s="398">
        <v>1.7000000000000001E-2</v>
      </c>
      <c r="G32" s="79">
        <f>ROUND($E$32*$F$32,0)</f>
        <v>184387</v>
      </c>
      <c r="H32" s="38"/>
      <c r="I32" s="63">
        <f>ROUND($E$32*$F$32,0)</f>
        <v>184387</v>
      </c>
      <c r="J32" s="38"/>
    </row>
    <row r="33" spans="1:10">
      <c r="A33" s="38">
        <v>23</v>
      </c>
      <c r="B33" s="38" t="s">
        <v>135</v>
      </c>
      <c r="E33" s="47">
        <f>SUM(E28:E32)</f>
        <v>16034832</v>
      </c>
      <c r="G33" s="47">
        <f>SUM(G28:G32)</f>
        <v>622407</v>
      </c>
      <c r="H33" s="38"/>
      <c r="I33" s="44">
        <f>SUM(I28:I32)</f>
        <v>622407</v>
      </c>
      <c r="J33" s="38"/>
    </row>
    <row r="34" spans="1:10">
      <c r="A34" s="38">
        <v>24</v>
      </c>
      <c r="J34" s="38"/>
    </row>
    <row r="35" spans="1:10" ht="15" thickBot="1">
      <c r="A35" s="38">
        <v>25</v>
      </c>
      <c r="B35" s="38" t="s">
        <v>134</v>
      </c>
      <c r="C35" s="38"/>
      <c r="D35" s="38"/>
      <c r="E35" s="44">
        <f>SUM(E18,E24,E33)</f>
        <v>16353832</v>
      </c>
      <c r="F35" s="38"/>
      <c r="G35" s="41">
        <f>G18+G24+G33</f>
        <v>3209212</v>
      </c>
      <c r="H35" s="38"/>
      <c r="I35" s="41">
        <f>I18+I24+I33</f>
        <v>3209212</v>
      </c>
      <c r="J35" s="38"/>
    </row>
    <row r="36" spans="1:10" ht="15.75" thickTop="1">
      <c r="A36" s="38"/>
      <c r="B36" s="55"/>
      <c r="C36" s="38"/>
      <c r="D36" s="38"/>
      <c r="E36" s="38"/>
      <c r="F36" s="38"/>
      <c r="G36" s="38"/>
      <c r="H36" s="38"/>
      <c r="I36" s="38"/>
      <c r="J36" s="38"/>
    </row>
    <row r="37" spans="1:10" ht="15">
      <c r="A37" s="38"/>
      <c r="B37" s="55"/>
      <c r="C37" s="38"/>
      <c r="D37" s="38"/>
      <c r="E37" s="38"/>
      <c r="F37" s="38"/>
      <c r="G37" s="38"/>
      <c r="H37" s="38"/>
      <c r="I37" s="38"/>
      <c r="J37" s="38"/>
    </row>
    <row r="38" spans="1:10" ht="15">
      <c r="A38" s="38"/>
      <c r="B38" s="55"/>
      <c r="C38" s="38"/>
      <c r="D38" s="38"/>
      <c r="E38" s="38"/>
      <c r="F38" s="38"/>
      <c r="G38" s="38"/>
      <c r="H38" s="38"/>
      <c r="I38" s="44"/>
      <c r="J38" s="38"/>
    </row>
    <row r="39" spans="1:10" ht="15">
      <c r="A39" s="38"/>
      <c r="B39" s="55"/>
      <c r="C39" s="38"/>
      <c r="D39" s="38"/>
      <c r="E39" s="38"/>
      <c r="F39" s="38"/>
      <c r="G39" s="38"/>
      <c r="H39" s="38"/>
      <c r="I39" s="38"/>
      <c r="J39" s="38"/>
    </row>
    <row r="40" spans="1:10" ht="15">
      <c r="A40" s="38"/>
      <c r="B40" s="55"/>
      <c r="C40" s="38"/>
      <c r="D40" s="38"/>
      <c r="E40" s="38"/>
      <c r="F40" s="38"/>
      <c r="G40" s="38"/>
      <c r="H40" s="38"/>
      <c r="I40" s="38"/>
      <c r="J40" s="38"/>
    </row>
    <row r="41" spans="1:10" ht="15">
      <c r="A41" s="38"/>
      <c r="B41" s="55"/>
      <c r="C41" s="38"/>
      <c r="D41" s="38"/>
      <c r="E41" s="38"/>
      <c r="F41" s="38"/>
      <c r="G41" s="38"/>
      <c r="H41" s="38"/>
      <c r="I41" s="38"/>
      <c r="J41" s="38"/>
    </row>
    <row r="42" spans="1:10" ht="15">
      <c r="A42" s="38"/>
      <c r="B42" s="55"/>
      <c r="C42" s="38"/>
      <c r="D42" s="38"/>
      <c r="E42" s="38"/>
      <c r="F42" s="38"/>
      <c r="G42" s="38"/>
      <c r="H42" s="38"/>
      <c r="I42" s="38"/>
      <c r="J42" s="38"/>
    </row>
    <row r="43" spans="1:10" ht="15">
      <c r="A43" s="38"/>
      <c r="B43" s="55"/>
      <c r="C43" s="38"/>
      <c r="D43" s="38"/>
      <c r="E43" s="38"/>
      <c r="F43" s="38"/>
      <c r="G43" s="38"/>
      <c r="H43" s="38"/>
      <c r="I43" s="38"/>
      <c r="J43" s="38"/>
    </row>
    <row r="44" spans="1:10" ht="15">
      <c r="A44" s="38"/>
      <c r="B44" s="55"/>
      <c r="C44" s="38"/>
      <c r="D44" s="38"/>
      <c r="E44" s="38"/>
      <c r="F44" s="38"/>
      <c r="G44" s="38"/>
      <c r="H44" s="38"/>
      <c r="I44" s="38"/>
      <c r="J44" s="38"/>
    </row>
    <row r="45" spans="1:10" ht="15">
      <c r="A45" s="38"/>
      <c r="B45" s="55"/>
      <c r="C45" s="38"/>
      <c r="D45" s="38"/>
      <c r="E45" s="38"/>
      <c r="F45" s="38"/>
      <c r="G45" s="38"/>
      <c r="H45" s="38"/>
      <c r="I45" s="38"/>
      <c r="J45" s="38"/>
    </row>
    <row r="46" spans="1:10" ht="15">
      <c r="A46" s="38"/>
      <c r="B46" s="55"/>
      <c r="C46" s="38"/>
      <c r="D46" s="38"/>
      <c r="E46" s="38"/>
      <c r="F46" s="38"/>
      <c r="G46" s="38"/>
      <c r="H46" s="38"/>
      <c r="I46" s="38"/>
      <c r="J46" s="38"/>
    </row>
    <row r="47" spans="1:10" ht="15">
      <c r="A47" s="38"/>
      <c r="B47" s="55"/>
      <c r="C47" s="38"/>
      <c r="D47" s="38"/>
      <c r="E47" s="38"/>
      <c r="F47" s="38"/>
      <c r="G47" s="38"/>
      <c r="H47" s="38"/>
      <c r="I47" s="38"/>
      <c r="J47" s="38"/>
    </row>
    <row r="48" spans="1:10" ht="15">
      <c r="A48" s="38"/>
      <c r="B48" s="55"/>
      <c r="C48" s="38"/>
      <c r="D48" s="38"/>
      <c r="E48" s="38"/>
      <c r="F48" s="38"/>
      <c r="G48" s="38"/>
      <c r="H48" s="38"/>
      <c r="I48" s="38"/>
      <c r="J48" s="38"/>
    </row>
    <row r="49" spans="1:10" ht="15">
      <c r="A49" s="38"/>
      <c r="B49" s="55"/>
      <c r="C49" s="38"/>
      <c r="D49" s="38"/>
      <c r="E49" s="38"/>
      <c r="F49" s="38"/>
      <c r="G49" s="38"/>
      <c r="H49" s="38"/>
      <c r="I49" s="38"/>
      <c r="J49" s="38"/>
    </row>
    <row r="50" spans="1:10" ht="15">
      <c r="A50" s="38"/>
      <c r="B50" s="55"/>
      <c r="C50" s="38"/>
      <c r="D50" s="38"/>
      <c r="E50" s="38"/>
      <c r="F50" s="38"/>
      <c r="G50" s="38"/>
      <c r="H50" s="38"/>
      <c r="I50" s="38"/>
      <c r="J50" s="38"/>
    </row>
    <row r="51" spans="1:10" ht="15">
      <c r="A51" s="38"/>
      <c r="B51" s="55"/>
      <c r="C51" s="38"/>
      <c r="D51" s="38"/>
      <c r="E51" s="38"/>
      <c r="F51" s="38"/>
      <c r="G51" s="38"/>
      <c r="H51" s="38"/>
      <c r="I51" s="38"/>
      <c r="J51" s="38"/>
    </row>
    <row r="52" spans="1:10" ht="15">
      <c r="A52" s="38"/>
      <c r="B52" s="55"/>
      <c r="C52" s="38"/>
      <c r="D52" s="38"/>
      <c r="E52" s="38"/>
      <c r="F52" s="38"/>
      <c r="G52" s="38"/>
      <c r="H52" s="38"/>
      <c r="I52" s="38"/>
      <c r="J52" s="38"/>
    </row>
    <row r="53" spans="1:10" ht="15">
      <c r="A53" s="38"/>
      <c r="B53" s="55"/>
      <c r="C53" s="38"/>
      <c r="D53" s="38"/>
      <c r="E53" s="38"/>
      <c r="F53" s="38"/>
      <c r="G53" s="38"/>
      <c r="H53" s="38"/>
      <c r="I53" s="38"/>
      <c r="J53" s="38"/>
    </row>
    <row r="54" spans="1:10" ht="15">
      <c r="A54" s="38"/>
      <c r="B54" s="55"/>
      <c r="C54" s="38"/>
      <c r="D54" s="38"/>
      <c r="E54" s="38"/>
      <c r="F54" s="38"/>
      <c r="G54" s="38"/>
      <c r="H54" s="38"/>
      <c r="I54" s="38"/>
      <c r="J54" s="38"/>
    </row>
    <row r="55" spans="1:10" ht="15">
      <c r="A55" s="38"/>
      <c r="B55" s="55"/>
      <c r="C55" s="38"/>
      <c r="D55" s="38"/>
      <c r="E55" s="38"/>
      <c r="F55" s="38"/>
      <c r="G55" s="38"/>
      <c r="H55" s="38"/>
      <c r="I55" s="38"/>
      <c r="J55" s="38"/>
    </row>
    <row r="56" spans="1:10" ht="15">
      <c r="A56" s="38"/>
      <c r="B56" s="55"/>
      <c r="C56" s="38"/>
      <c r="D56" s="38"/>
      <c r="E56" s="38"/>
      <c r="F56" s="38"/>
      <c r="G56" s="38"/>
      <c r="H56" s="38"/>
      <c r="I56" s="38"/>
      <c r="J56" s="38"/>
    </row>
    <row r="57" spans="1:10" ht="15">
      <c r="A57" s="38"/>
      <c r="B57" s="55"/>
      <c r="C57" s="38"/>
      <c r="D57" s="38"/>
      <c r="E57" s="38"/>
      <c r="F57" s="38"/>
      <c r="G57" s="38"/>
      <c r="H57" s="38"/>
      <c r="I57" s="38"/>
      <c r="J57" s="38"/>
    </row>
    <row r="58" spans="1:10" ht="15">
      <c r="A58" s="38"/>
      <c r="B58" s="55"/>
      <c r="C58" s="38"/>
      <c r="D58" s="38"/>
      <c r="E58" s="38"/>
      <c r="F58" s="38"/>
      <c r="G58" s="38"/>
      <c r="H58" s="38"/>
      <c r="I58" s="38"/>
      <c r="J58" s="38"/>
    </row>
    <row r="59" spans="1:10" ht="15">
      <c r="A59" s="38"/>
      <c r="B59" s="55"/>
      <c r="C59" s="38"/>
      <c r="D59" s="38"/>
      <c r="E59" s="38"/>
      <c r="F59" s="38"/>
      <c r="G59" s="38"/>
      <c r="H59" s="38"/>
      <c r="I59" s="38"/>
      <c r="J59" s="38"/>
    </row>
    <row r="60" spans="1:10" ht="15">
      <c r="A60" s="38"/>
      <c r="B60" s="55"/>
      <c r="C60" s="38"/>
      <c r="D60" s="38"/>
      <c r="E60" s="38"/>
      <c r="F60" s="38"/>
      <c r="G60" s="38"/>
      <c r="H60" s="38"/>
      <c r="I60" s="38"/>
      <c r="J60" s="38"/>
    </row>
    <row r="61" spans="1:10" ht="15">
      <c r="A61" s="38"/>
      <c r="B61" s="55"/>
      <c r="C61" s="38"/>
      <c r="D61" s="38"/>
      <c r="E61" s="38"/>
      <c r="F61" s="38"/>
      <c r="G61" s="38"/>
      <c r="H61" s="38"/>
      <c r="I61" s="38"/>
      <c r="J61" s="38"/>
    </row>
    <row r="62" spans="1:10" ht="15">
      <c r="A62" s="38"/>
      <c r="B62" s="55"/>
      <c r="C62" s="38"/>
      <c r="D62" s="38"/>
      <c r="E62" s="38"/>
      <c r="F62" s="38"/>
      <c r="G62" s="38"/>
      <c r="H62" s="38"/>
      <c r="I62" s="38"/>
      <c r="J62" s="38"/>
    </row>
    <row r="63" spans="1:10" ht="15">
      <c r="A63" s="38"/>
      <c r="B63" s="55"/>
      <c r="C63" s="38"/>
      <c r="D63" s="38"/>
      <c r="E63" s="38"/>
      <c r="F63" s="38"/>
      <c r="G63" s="38"/>
      <c r="H63" s="38"/>
      <c r="I63" s="38"/>
      <c r="J63" s="38"/>
    </row>
    <row r="64" spans="1:10" ht="15">
      <c r="A64" s="38"/>
      <c r="B64" s="55"/>
      <c r="C64" s="38"/>
      <c r="D64" s="38"/>
      <c r="E64" s="38"/>
      <c r="F64" s="38"/>
      <c r="G64" s="38"/>
      <c r="H64" s="38"/>
      <c r="I64" s="38"/>
      <c r="J64" s="38"/>
    </row>
    <row r="65" spans="1:12" ht="15">
      <c r="A65" s="38"/>
      <c r="B65" s="55"/>
      <c r="C65" s="38"/>
      <c r="D65" s="38"/>
      <c r="E65" s="38"/>
      <c r="F65" s="38"/>
      <c r="G65" s="38"/>
      <c r="H65" s="38"/>
      <c r="I65" s="38"/>
      <c r="J65" s="38"/>
    </row>
    <row r="66" spans="1:12" ht="15">
      <c r="A66" s="38"/>
      <c r="B66" s="55"/>
      <c r="C66" s="38"/>
      <c r="D66" s="38"/>
      <c r="E66" s="38"/>
      <c r="F66" s="38"/>
      <c r="G66" s="38"/>
      <c r="H66" s="38"/>
      <c r="I66" s="38"/>
      <c r="J66" s="38"/>
    </row>
    <row r="67" spans="1:12">
      <c r="A67" s="38"/>
    </row>
    <row r="68" spans="1:12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2">
      <c r="A69" s="38"/>
    </row>
    <row r="70" spans="1:12">
      <c r="A70" s="38"/>
    </row>
    <row r="71" spans="1:12">
      <c r="A71" s="38"/>
    </row>
    <row r="72" spans="1:12">
      <c r="A72" s="38"/>
    </row>
    <row r="73" spans="1:12">
      <c r="A73" s="38"/>
    </row>
    <row r="74" spans="1:12">
      <c r="A74" s="38"/>
      <c r="B74" s="38"/>
      <c r="C74" s="38"/>
      <c r="D74" s="38"/>
      <c r="E74" s="38"/>
      <c r="F74" s="38"/>
      <c r="G74" s="38"/>
      <c r="H74" s="38"/>
      <c r="I74" s="38"/>
      <c r="J74" s="38"/>
      <c r="L74" s="38"/>
    </row>
    <row r="76" spans="1:12">
      <c r="A76" s="38"/>
      <c r="L76" s="38"/>
    </row>
    <row r="80" spans="1:12">
      <c r="B80" s="38"/>
      <c r="C80" s="38"/>
      <c r="D80" s="38"/>
      <c r="E80" s="38"/>
      <c r="F80" s="38"/>
      <c r="G80" s="38"/>
      <c r="H80" s="38"/>
      <c r="I80" s="38"/>
      <c r="J80" s="38"/>
    </row>
    <row r="82" spans="1:12">
      <c r="A82" s="38"/>
      <c r="L82" s="38"/>
    </row>
    <row r="86" spans="1:12">
      <c r="B86" s="38"/>
      <c r="C86" s="38"/>
      <c r="D86" s="38"/>
      <c r="E86" s="38"/>
      <c r="F86" s="38"/>
      <c r="G86" s="38"/>
      <c r="H86" s="38"/>
      <c r="I86" s="38"/>
      <c r="J86" s="38"/>
    </row>
    <row r="88" spans="1:12">
      <c r="A88" s="38"/>
      <c r="L88" s="38"/>
    </row>
    <row r="94" spans="1:12">
      <c r="A94" s="38"/>
      <c r="L94" s="38"/>
    </row>
    <row r="110" spans="2:7">
      <c r="B110" s="38"/>
      <c r="C110" s="38"/>
      <c r="D110" s="38"/>
      <c r="E110" s="38"/>
      <c r="F110" s="38"/>
      <c r="G110" s="44"/>
    </row>
    <row r="118" spans="1:1">
      <c r="A118" s="38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  <ignoredErrors>
    <ignoredError sqref="D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zoomScale="80" zoomScaleNormal="80" zoomScaleSheetLayoutView="85" workbookViewId="0">
      <selection activeCell="Q27" sqref="Q27"/>
    </sheetView>
  </sheetViews>
  <sheetFormatPr defaultColWidth="9.85546875" defaultRowHeight="14.25"/>
  <cols>
    <col min="1" max="1" width="5.85546875" style="36" customWidth="1"/>
    <col min="2" max="2" width="16.85546875" style="36" customWidth="1"/>
    <col min="3" max="3" width="11.28515625" style="36" customWidth="1"/>
    <col min="4" max="4" width="17.85546875" style="36" bestFit="1" customWidth="1"/>
    <col min="5" max="5" width="8.42578125" style="36" bestFit="1" customWidth="1"/>
    <col min="6" max="6" width="13" style="36" bestFit="1" customWidth="1"/>
    <col min="7" max="7" width="16.140625" style="36" bestFit="1" customWidth="1"/>
    <col min="8" max="8" width="11.28515625" style="36" customWidth="1"/>
    <col min="9" max="9" width="14.140625" style="36" customWidth="1"/>
    <col min="10" max="10" width="10.140625" style="36" bestFit="1" customWidth="1"/>
    <col min="11" max="11" width="10.85546875" style="36" bestFit="1" customWidth="1"/>
    <col min="12" max="12" width="17.140625" style="36" bestFit="1" customWidth="1"/>
    <col min="13" max="13" width="9.85546875" style="36" customWidth="1"/>
    <col min="14" max="16384" width="9.85546875" style="36"/>
  </cols>
  <sheetData>
    <row r="1" spans="1:17" ht="15">
      <c r="A1" s="62" t="s">
        <v>40</v>
      </c>
      <c r="B1" s="50"/>
      <c r="C1" s="50"/>
      <c r="D1" s="50"/>
      <c r="E1" s="50"/>
      <c r="F1" s="50"/>
      <c r="G1" s="50"/>
      <c r="H1" s="50"/>
      <c r="I1" s="38" t="s">
        <v>133</v>
      </c>
    </row>
    <row r="2" spans="1:17">
      <c r="A2" s="50" t="str">
        <f>B.1!A2</f>
        <v>Expected Gas Cost (EGC) Calculation</v>
      </c>
      <c r="B2" s="50"/>
      <c r="C2" s="50"/>
      <c r="D2" s="50"/>
      <c r="E2" s="50"/>
      <c r="F2" s="50"/>
      <c r="G2" s="50"/>
      <c r="H2" s="50"/>
      <c r="I2" s="38" t="s">
        <v>214</v>
      </c>
    </row>
    <row r="3" spans="1:17">
      <c r="A3" s="61" t="s">
        <v>213</v>
      </c>
      <c r="B3" s="50"/>
      <c r="C3" s="50"/>
      <c r="D3" s="50"/>
      <c r="E3" s="50"/>
      <c r="F3" s="50"/>
      <c r="G3" s="50"/>
      <c r="H3" s="50"/>
      <c r="I3" s="38"/>
    </row>
    <row r="4" spans="1:17">
      <c r="A4" s="38"/>
      <c r="B4" s="38"/>
      <c r="C4" s="38"/>
      <c r="D4" s="38"/>
      <c r="E4" s="38"/>
      <c r="F4" s="38"/>
      <c r="G4" s="38"/>
      <c r="H4" s="60"/>
      <c r="I4" s="38"/>
    </row>
    <row r="5" spans="1:17">
      <c r="A5" s="68"/>
      <c r="B5" s="38"/>
      <c r="C5" s="38"/>
    </row>
    <row r="6" spans="1:17" ht="15">
      <c r="A6" s="55"/>
      <c r="B6" s="55"/>
      <c r="C6" s="55"/>
      <c r="D6" s="54" t="s">
        <v>35</v>
      </c>
      <c r="E6" s="54" t="s">
        <v>34</v>
      </c>
      <c r="F6" s="54" t="s">
        <v>33</v>
      </c>
      <c r="G6" s="54" t="s">
        <v>129</v>
      </c>
      <c r="H6" s="54" t="s">
        <v>128</v>
      </c>
      <c r="I6" s="64" t="s">
        <v>212</v>
      </c>
    </row>
    <row r="7" spans="1:17" ht="15">
      <c r="A7" s="58" t="s">
        <v>32</v>
      </c>
      <c r="B7" s="55"/>
      <c r="C7" s="55"/>
      <c r="D7" s="58" t="s">
        <v>0</v>
      </c>
      <c r="E7" s="55"/>
      <c r="F7" s="71"/>
      <c r="G7" s="71"/>
      <c r="H7" s="55"/>
      <c r="I7" s="55"/>
    </row>
    <row r="8" spans="1:17" ht="15">
      <c r="A8" s="57" t="s">
        <v>31</v>
      </c>
      <c r="B8" s="56" t="s">
        <v>30</v>
      </c>
      <c r="C8" s="56"/>
      <c r="D8" s="57" t="s">
        <v>125</v>
      </c>
      <c r="E8" s="56"/>
      <c r="F8" s="59" t="s">
        <v>211</v>
      </c>
      <c r="G8" s="59"/>
      <c r="H8" s="57" t="s">
        <v>123</v>
      </c>
      <c r="I8" s="57" t="s">
        <v>122</v>
      </c>
      <c r="L8" s="252"/>
    </row>
    <row r="9" spans="1:17" ht="15">
      <c r="A9" s="38"/>
      <c r="B9" s="55"/>
      <c r="C9" s="38"/>
      <c r="D9" s="38"/>
      <c r="E9" s="38"/>
      <c r="F9" s="54" t="s">
        <v>12</v>
      </c>
      <c r="G9" s="54" t="s">
        <v>121</v>
      </c>
      <c r="H9" s="54" t="s">
        <v>120</v>
      </c>
      <c r="I9" s="54" t="s">
        <v>119</v>
      </c>
      <c r="L9" s="252"/>
    </row>
    <row r="10" spans="1:17" ht="15">
      <c r="B10" s="401"/>
      <c r="G10" s="408"/>
      <c r="L10" s="252"/>
    </row>
    <row r="11" spans="1:17">
      <c r="A11" s="36" t="s">
        <v>210</v>
      </c>
      <c r="B11" s="409" t="s">
        <v>209</v>
      </c>
      <c r="E11" s="47"/>
      <c r="F11" s="47"/>
      <c r="G11" s="47">
        <v>2586934.35</v>
      </c>
      <c r="L11" s="252"/>
    </row>
    <row r="12" spans="1:17">
      <c r="A12" s="36" t="s">
        <v>45</v>
      </c>
      <c r="B12" s="36" t="s">
        <v>201</v>
      </c>
      <c r="H12" s="37">
        <v>2.87</v>
      </c>
      <c r="I12" s="47">
        <f>ROUND($G$11*$H$12,0)</f>
        <v>7424502</v>
      </c>
      <c r="L12" s="252"/>
      <c r="M12" s="47"/>
    </row>
    <row r="13" spans="1:17">
      <c r="A13" s="36" t="s">
        <v>208</v>
      </c>
      <c r="B13" s="36" t="s">
        <v>185</v>
      </c>
      <c r="D13" s="399" t="s">
        <v>112</v>
      </c>
      <c r="G13" s="314"/>
      <c r="H13" s="37">
        <v>4.9000000000000002E-2</v>
      </c>
      <c r="I13" s="47">
        <f>ROUND($G$11*$H$13,0)</f>
        <v>126760</v>
      </c>
      <c r="K13" s="47"/>
      <c r="L13" s="252"/>
    </row>
    <row r="14" spans="1:17">
      <c r="A14" s="36" t="s">
        <v>207</v>
      </c>
      <c r="B14" s="36" t="s">
        <v>183</v>
      </c>
      <c r="D14" s="64" t="s">
        <v>182</v>
      </c>
      <c r="E14" s="410">
        <v>1.0500000000000001E-2</v>
      </c>
      <c r="H14" s="411">
        <f>ROUND(H12/(1-E14)-H12,4)</f>
        <v>3.0499999999999999E-2</v>
      </c>
      <c r="I14" s="412">
        <f>ROUND($G$11*$H$14,0)</f>
        <v>78901</v>
      </c>
      <c r="K14" s="47"/>
      <c r="L14" s="252"/>
      <c r="M14" s="47"/>
    </row>
    <row r="15" spans="1:17">
      <c r="A15" s="36" t="s">
        <v>206</v>
      </c>
      <c r="D15" s="64"/>
      <c r="H15" s="37">
        <f>SUM(H12:H14)</f>
        <v>2.9495</v>
      </c>
      <c r="I15" s="47">
        <f>SUM(I12:I14)</f>
        <v>7630163</v>
      </c>
      <c r="L15" s="252"/>
      <c r="Q15" s="344"/>
    </row>
    <row r="16" spans="1:17">
      <c r="A16" s="36" t="s">
        <v>205</v>
      </c>
      <c r="D16" s="64"/>
      <c r="H16" s="37"/>
      <c r="I16" s="47"/>
      <c r="L16" s="252"/>
      <c r="M16" s="47"/>
      <c r="Q16" s="344"/>
    </row>
    <row r="17" spans="1:17">
      <c r="A17" s="36" t="s">
        <v>204</v>
      </c>
      <c r="B17" s="409" t="s">
        <v>203</v>
      </c>
      <c r="D17" s="64"/>
      <c r="G17" s="47">
        <v>2116582.65</v>
      </c>
      <c r="H17" s="37"/>
      <c r="I17" s="47"/>
      <c r="K17" s="47"/>
      <c r="L17" s="252"/>
      <c r="Q17" s="344"/>
    </row>
    <row r="18" spans="1:17">
      <c r="A18" s="36" t="s">
        <v>202</v>
      </c>
      <c r="B18" s="36" t="s">
        <v>201</v>
      </c>
      <c r="D18" s="64"/>
      <c r="H18" s="37">
        <v>2.87</v>
      </c>
      <c r="I18" s="47">
        <f>ROUND($G$17*$H$18,0)</f>
        <v>6074592</v>
      </c>
      <c r="L18" s="252"/>
      <c r="Q18" s="344"/>
    </row>
    <row r="19" spans="1:17">
      <c r="A19" s="36" t="s">
        <v>200</v>
      </c>
      <c r="B19" s="36" t="s">
        <v>199</v>
      </c>
      <c r="D19" s="402"/>
      <c r="H19" s="37">
        <f>I46</f>
        <v>4.3900000000000002E-2</v>
      </c>
      <c r="I19" s="47">
        <f>ROUND($G$17*$H$19,0)</f>
        <v>92918</v>
      </c>
      <c r="L19" s="252"/>
      <c r="Q19" s="344"/>
    </row>
    <row r="20" spans="1:17" ht="15">
      <c r="A20" s="36" t="s">
        <v>198</v>
      </c>
      <c r="B20" s="36" t="s">
        <v>197</v>
      </c>
      <c r="D20" s="399" t="s">
        <v>108</v>
      </c>
      <c r="H20" s="37">
        <v>1.4E-3</v>
      </c>
      <c r="I20" s="47">
        <f>ROUND($G$17*$H$20,0)</f>
        <v>2963</v>
      </c>
      <c r="J20" s="67"/>
      <c r="L20" s="252"/>
      <c r="Q20" s="344"/>
    </row>
    <row r="21" spans="1:17">
      <c r="A21" s="36" t="s">
        <v>196</v>
      </c>
      <c r="B21" s="36" t="s">
        <v>183</v>
      </c>
      <c r="D21" s="64" t="s">
        <v>182</v>
      </c>
      <c r="E21" s="410">
        <v>9.1000000000000004E-3</v>
      </c>
      <c r="H21" s="411">
        <f>ROUND(H18/(1-E21)-H18,4)</f>
        <v>2.64E-2</v>
      </c>
      <c r="I21" s="412">
        <f>ROUND($G$17*$H$21,0)</f>
        <v>55878</v>
      </c>
      <c r="L21" s="252"/>
      <c r="M21" s="47"/>
      <c r="Q21" s="344"/>
    </row>
    <row r="22" spans="1:17">
      <c r="A22" s="36" t="s">
        <v>195</v>
      </c>
      <c r="D22" s="64"/>
      <c r="H22" s="37">
        <f>SUM(H18:H21)</f>
        <v>2.9417</v>
      </c>
      <c r="I22" s="47">
        <f>SUM(I18:I21)</f>
        <v>6226351</v>
      </c>
      <c r="L22" s="252"/>
      <c r="Q22" s="344"/>
    </row>
    <row r="23" spans="1:17">
      <c r="A23" s="36" t="s">
        <v>194</v>
      </c>
      <c r="B23" s="409" t="s">
        <v>193</v>
      </c>
      <c r="D23" s="64"/>
      <c r="H23" s="37"/>
      <c r="L23" s="252"/>
      <c r="M23" s="47"/>
      <c r="Q23" s="344"/>
    </row>
    <row r="24" spans="1:17">
      <c r="A24" s="36" t="s">
        <v>192</v>
      </c>
      <c r="B24" s="36" t="s">
        <v>191</v>
      </c>
      <c r="D24" s="64"/>
      <c r="H24" s="37"/>
      <c r="L24" s="252"/>
    </row>
    <row r="25" spans="1:17">
      <c r="A25" s="36" t="s">
        <v>190</v>
      </c>
      <c r="B25" s="36" t="s">
        <v>189</v>
      </c>
      <c r="D25" s="64"/>
      <c r="G25" s="47">
        <v>0</v>
      </c>
      <c r="H25" s="37">
        <v>4.0960000000000001</v>
      </c>
      <c r="I25" s="47">
        <f>ROUND($G$25*$H$25,0)</f>
        <v>0</v>
      </c>
      <c r="K25" s="47"/>
      <c r="L25" s="252"/>
      <c r="M25" s="47"/>
      <c r="P25" s="43"/>
    </row>
    <row r="26" spans="1:17">
      <c r="A26" s="36" t="s">
        <v>188</v>
      </c>
      <c r="B26" s="36" t="s">
        <v>187</v>
      </c>
      <c r="G26" s="47">
        <v>-1403644</v>
      </c>
      <c r="H26" s="37">
        <v>2.87</v>
      </c>
      <c r="I26" s="47">
        <f>ROUND(G26*$H$26,4)</f>
        <v>-4028458.28</v>
      </c>
      <c r="L26" s="252"/>
    </row>
    <row r="27" spans="1:17">
      <c r="A27" s="36" t="s">
        <v>186</v>
      </c>
      <c r="B27" s="36" t="s">
        <v>185</v>
      </c>
      <c r="D27" s="399" t="s">
        <v>112</v>
      </c>
      <c r="G27" s="47"/>
      <c r="H27" s="37">
        <v>4.9000000000000002E-2</v>
      </c>
      <c r="I27" s="47">
        <f>ROUND(($G$25+$G$26)*$H$27,0)</f>
        <v>-68779</v>
      </c>
      <c r="L27" s="252"/>
    </row>
    <row r="28" spans="1:17">
      <c r="A28" s="36" t="s">
        <v>184</v>
      </c>
      <c r="B28" s="36" t="s">
        <v>183</v>
      </c>
      <c r="D28" s="64" t="s">
        <v>182</v>
      </c>
      <c r="E28" s="410">
        <f>E14</f>
        <v>1.0500000000000001E-2</v>
      </c>
      <c r="H28" s="411">
        <f>ROUND(H26/(1-E28)-H26,4)</f>
        <v>3.0499999999999999E-2</v>
      </c>
      <c r="I28" s="412">
        <f>ROUND(($G$25+$G$26)*$H$28,0)</f>
        <v>-42811</v>
      </c>
      <c r="L28" s="252"/>
    </row>
    <row r="29" spans="1:17">
      <c r="A29" s="36" t="s">
        <v>181</v>
      </c>
      <c r="G29" s="413">
        <f>G25+G26</f>
        <v>-1403644</v>
      </c>
      <c r="H29" s="37">
        <f>I29/G29</f>
        <v>2.9495002151542695</v>
      </c>
      <c r="I29" s="47">
        <f>SUM(I25:I28)</f>
        <v>-4140048.28</v>
      </c>
    </row>
    <row r="30" spans="1:17">
      <c r="A30" s="36" t="s">
        <v>180</v>
      </c>
      <c r="H30" s="37"/>
    </row>
    <row r="31" spans="1:17">
      <c r="A31" s="36" t="s">
        <v>179</v>
      </c>
      <c r="H31" s="37"/>
    </row>
    <row r="32" spans="1:17" ht="15" thickBot="1">
      <c r="A32" s="36" t="s">
        <v>178</v>
      </c>
      <c r="B32" s="36" t="s">
        <v>177</v>
      </c>
      <c r="F32" s="47"/>
      <c r="G32" s="241">
        <f>G11+G17+G29</f>
        <v>3299873</v>
      </c>
      <c r="H32" s="414">
        <f>ROUND(I32/G32,4)</f>
        <v>2.9445000000000001</v>
      </c>
      <c r="I32" s="241">
        <f>I15+I22+I29</f>
        <v>9716465.7200000007</v>
      </c>
      <c r="L32" s="252"/>
    </row>
    <row r="33" spans="1:12" ht="15" thickTop="1">
      <c r="A33" s="36" t="s">
        <v>143</v>
      </c>
      <c r="J33" s="38"/>
      <c r="K33" s="38"/>
      <c r="L33" s="252"/>
    </row>
    <row r="34" spans="1:12">
      <c r="A34" s="36" t="s">
        <v>176</v>
      </c>
      <c r="J34" s="38"/>
      <c r="L34" s="252"/>
    </row>
    <row r="35" spans="1:12" ht="15" thickBot="1">
      <c r="A35" s="36" t="s">
        <v>175</v>
      </c>
      <c r="B35" s="415" t="s">
        <v>174</v>
      </c>
      <c r="C35" s="415"/>
      <c r="D35" s="415"/>
      <c r="E35" s="415"/>
      <c r="F35" s="415"/>
      <c r="G35" s="416"/>
      <c r="H35" s="415"/>
      <c r="I35" s="415"/>
      <c r="J35" s="38"/>
    </row>
    <row r="36" spans="1:12">
      <c r="A36" s="36" t="s">
        <v>173</v>
      </c>
      <c r="J36" s="38"/>
    </row>
    <row r="37" spans="1:12">
      <c r="A37" s="36" t="s">
        <v>172</v>
      </c>
      <c r="F37" s="64" t="s">
        <v>171</v>
      </c>
      <c r="H37" s="64" t="s">
        <v>22</v>
      </c>
      <c r="J37" s="38"/>
    </row>
    <row r="38" spans="1:12">
      <c r="A38" s="36" t="s">
        <v>170</v>
      </c>
      <c r="F38" s="64" t="s">
        <v>169</v>
      </c>
      <c r="H38" s="417" t="s">
        <v>168</v>
      </c>
      <c r="I38" s="64" t="s">
        <v>167</v>
      </c>
      <c r="J38" s="38"/>
    </row>
    <row r="39" spans="1:12">
      <c r="A39" s="36" t="s">
        <v>166</v>
      </c>
      <c r="B39" s="418" t="s">
        <v>165</v>
      </c>
      <c r="C39" s="403" t="s">
        <v>164</v>
      </c>
      <c r="D39" s="64"/>
      <c r="F39" s="419" t="s">
        <v>121</v>
      </c>
      <c r="G39" s="419" t="s">
        <v>163</v>
      </c>
      <c r="H39" s="419" t="s">
        <v>120</v>
      </c>
      <c r="I39" s="419" t="s">
        <v>162</v>
      </c>
      <c r="J39" s="38"/>
    </row>
    <row r="40" spans="1:12">
      <c r="A40" s="36" t="s">
        <v>161</v>
      </c>
      <c r="B40" s="36" t="s">
        <v>118</v>
      </c>
      <c r="C40" s="407">
        <v>1</v>
      </c>
      <c r="D40" s="399" t="s">
        <v>108</v>
      </c>
      <c r="F40" s="47">
        <f>B.1!E14</f>
        <v>12175247</v>
      </c>
      <c r="G40" s="410">
        <f>ROUND($F$40/$F$46,4)</f>
        <v>0.20480000000000001</v>
      </c>
      <c r="H40" s="420">
        <v>3.9899999999999998E-2</v>
      </c>
      <c r="I40" s="421">
        <f t="shared" ref="I40:I45" si="0">ROUND(G40*H40,4)</f>
        <v>8.2000000000000007E-3</v>
      </c>
      <c r="J40" s="38"/>
    </row>
    <row r="41" spans="1:12">
      <c r="A41" s="36" t="s">
        <v>160</v>
      </c>
      <c r="B41" s="36" t="s">
        <v>116</v>
      </c>
      <c r="C41" s="407"/>
      <c r="D41" s="399" t="s">
        <v>108</v>
      </c>
      <c r="F41" s="47">
        <f>B.1!E26</f>
        <v>37430188</v>
      </c>
      <c r="G41" s="410">
        <f>ROUND($F$41/$F$46,4)</f>
        <v>0.62960000000000005</v>
      </c>
      <c r="H41" s="398">
        <v>4.4499999999999998E-2</v>
      </c>
      <c r="I41" s="421">
        <f t="shared" si="0"/>
        <v>2.8000000000000001E-2</v>
      </c>
      <c r="J41" s="38"/>
    </row>
    <row r="42" spans="1:12">
      <c r="A42" s="36" t="s">
        <v>159</v>
      </c>
      <c r="B42" s="36" t="s">
        <v>158</v>
      </c>
      <c r="C42" s="407"/>
      <c r="D42" s="399" t="s">
        <v>108</v>
      </c>
      <c r="F42" s="47">
        <f>B.1!E35</f>
        <v>323400</v>
      </c>
      <c r="G42" s="410">
        <f>ROUND($F$42/$F$46,4)</f>
        <v>5.4000000000000003E-3</v>
      </c>
      <c r="H42" s="398">
        <v>4.2200000000000001E-2</v>
      </c>
      <c r="I42" s="421">
        <f t="shared" si="0"/>
        <v>2.0000000000000001E-4</v>
      </c>
      <c r="J42" s="38"/>
    </row>
    <row r="43" spans="1:12">
      <c r="A43" s="36" t="s">
        <v>157</v>
      </c>
      <c r="B43" s="36" t="s">
        <v>114</v>
      </c>
      <c r="C43" s="407"/>
      <c r="D43" s="399" t="s">
        <v>108</v>
      </c>
      <c r="F43" s="47">
        <f>B.1!E47</f>
        <v>5145769</v>
      </c>
      <c r="G43" s="410">
        <f>ROUND($F$43/$F$46,4)</f>
        <v>8.6499999999999994E-2</v>
      </c>
      <c r="H43" s="398">
        <v>5.28E-2</v>
      </c>
      <c r="I43" s="421">
        <f t="shared" si="0"/>
        <v>4.5999999999999999E-3</v>
      </c>
      <c r="J43" s="38"/>
    </row>
    <row r="44" spans="1:12">
      <c r="A44" s="36" t="s">
        <v>156</v>
      </c>
      <c r="B44" s="36" t="s">
        <v>514</v>
      </c>
      <c r="C44" s="407"/>
      <c r="D44" s="399" t="s">
        <v>108</v>
      </c>
      <c r="F44" s="47">
        <f>B.1!E53</f>
        <v>2555000</v>
      </c>
      <c r="G44" s="410">
        <f>ROUND($F$44/$F$46,4)</f>
        <v>4.2999999999999997E-2</v>
      </c>
      <c r="H44" s="398">
        <v>4.4600000000000001E-2</v>
      </c>
      <c r="I44" s="421">
        <f t="shared" si="0"/>
        <v>1.9E-3</v>
      </c>
      <c r="J44" s="38"/>
    </row>
    <row r="45" spans="1:12" ht="16.5">
      <c r="A45" s="36" t="s">
        <v>155</v>
      </c>
      <c r="B45" s="36" t="s">
        <v>539</v>
      </c>
      <c r="C45" s="407"/>
      <c r="D45" s="399" t="s">
        <v>108</v>
      </c>
      <c r="F45" s="422">
        <f>B.1!E66</f>
        <v>1825000</v>
      </c>
      <c r="G45" s="410">
        <f>ROUND($F$45/$F$46,4)</f>
        <v>3.0700000000000002E-2</v>
      </c>
      <c r="H45" s="398">
        <v>3.1199999999999999E-2</v>
      </c>
      <c r="I45" s="423">
        <f t="shared" si="0"/>
        <v>1E-3</v>
      </c>
      <c r="J45" s="38"/>
    </row>
    <row r="46" spans="1:12" ht="15" thickBot="1">
      <c r="A46" s="36" t="s">
        <v>154</v>
      </c>
      <c r="B46" s="36" t="s">
        <v>122</v>
      </c>
      <c r="C46" s="407"/>
      <c r="F46" s="47">
        <f>SUM(F40:F45)</f>
        <v>59454604</v>
      </c>
      <c r="G46" s="424">
        <f>SUM(G40:G45)</f>
        <v>1</v>
      </c>
      <c r="H46" s="425"/>
      <c r="I46" s="426">
        <f>SUM(I40:I45)</f>
        <v>4.3900000000000002E-2</v>
      </c>
      <c r="J46" s="38"/>
    </row>
    <row r="47" spans="1:12" ht="15" thickTop="1">
      <c r="A47" s="36" t="s">
        <v>152</v>
      </c>
      <c r="C47" s="407"/>
      <c r="F47" s="47"/>
      <c r="G47" s="410"/>
      <c r="I47" s="427"/>
    </row>
    <row r="48" spans="1:12">
      <c r="A48" s="36" t="s">
        <v>151</v>
      </c>
      <c r="B48" s="418" t="s">
        <v>153</v>
      </c>
      <c r="C48" s="407"/>
      <c r="F48" s="64"/>
      <c r="G48" s="64"/>
      <c r="H48" s="64"/>
      <c r="I48" s="64"/>
    </row>
    <row r="49" spans="1:9">
      <c r="A49" s="36" t="s">
        <v>150</v>
      </c>
      <c r="B49" s="36" t="s">
        <v>147</v>
      </c>
      <c r="C49" s="407"/>
      <c r="D49" s="428">
        <v>24</v>
      </c>
      <c r="F49" s="47">
        <f>B.2!E18</f>
        <v>289000</v>
      </c>
      <c r="G49" s="410">
        <f>ROUND($F$49/$F$51,4)</f>
        <v>0.90600000000000003</v>
      </c>
      <c r="H49" s="420">
        <v>1.77E-2</v>
      </c>
      <c r="I49" s="429">
        <f>G49*H49</f>
        <v>1.60362E-2</v>
      </c>
    </row>
    <row r="50" spans="1:9">
      <c r="A50" s="36" t="s">
        <v>54</v>
      </c>
      <c r="B50" s="36" t="s">
        <v>145</v>
      </c>
      <c r="C50" s="407"/>
      <c r="D50" s="428">
        <v>24</v>
      </c>
      <c r="F50" s="412">
        <f>+B.2!E24</f>
        <v>30000</v>
      </c>
      <c r="G50" s="430">
        <f>ROUND($F$50/$F$51,4)</f>
        <v>9.4E-2</v>
      </c>
      <c r="H50" s="431">
        <v>1.47E-2</v>
      </c>
      <c r="I50" s="432">
        <f>G50*H50</f>
        <v>1.3817999999999999E-3</v>
      </c>
    </row>
    <row r="51" spans="1:9" ht="15" thickBot="1">
      <c r="A51" s="36" t="s">
        <v>515</v>
      </c>
      <c r="B51" s="36" t="s">
        <v>122</v>
      </c>
      <c r="C51" s="407"/>
      <c r="D51" s="428"/>
      <c r="F51" s="47">
        <f>SUM(F49:F50)</f>
        <v>319000</v>
      </c>
      <c r="G51" s="433">
        <f>SUM(G49:G50)</f>
        <v>1</v>
      </c>
      <c r="I51" s="434">
        <f>I49+I50</f>
        <v>1.7417999999999999E-2</v>
      </c>
    </row>
    <row r="52" spans="1:9" ht="15" thickTop="1"/>
    <row r="55" spans="1:9">
      <c r="A55" s="64"/>
    </row>
    <row r="56" spans="1:9">
      <c r="A56" s="64"/>
    </row>
    <row r="57" spans="1:9">
      <c r="A57" s="64"/>
    </row>
    <row r="58" spans="1:9">
      <c r="A58" s="64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  <ignoredErrors>
    <ignoredError sqref="A11:A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Q53"/>
  <sheetViews>
    <sheetView zoomScale="80" zoomScaleNormal="80" zoomScaleSheetLayoutView="100" workbookViewId="0">
      <selection activeCell="L19" sqref="L19"/>
    </sheetView>
  </sheetViews>
  <sheetFormatPr defaultColWidth="9.85546875" defaultRowHeight="14.25"/>
  <cols>
    <col min="1" max="1" width="5.85546875" style="36" customWidth="1"/>
    <col min="2" max="2" width="22.85546875" style="36" customWidth="1"/>
    <col min="3" max="3" width="9.85546875" style="36"/>
    <col min="4" max="4" width="4.85546875" style="36" customWidth="1"/>
    <col min="5" max="5" width="10.5703125" style="36" customWidth="1"/>
    <col min="6" max="6" width="8.7109375" style="36" bestFit="1" customWidth="1"/>
    <col min="7" max="7" width="6.140625" style="36" customWidth="1"/>
    <col min="8" max="8" width="12.42578125" style="36" customWidth="1"/>
    <col min="9" max="9" width="9.85546875" style="36"/>
    <col min="10" max="10" width="14" style="36" customWidth="1"/>
    <col min="11" max="11" width="9.85546875" style="36"/>
    <col min="12" max="12" width="11" style="36" bestFit="1" customWidth="1"/>
    <col min="13" max="13" width="9.85546875" style="36" customWidth="1"/>
    <col min="14" max="16384" width="9.85546875" style="36"/>
  </cols>
  <sheetData>
    <row r="1" spans="1:17" ht="15">
      <c r="A1" s="62" t="s">
        <v>40</v>
      </c>
      <c r="B1" s="50"/>
      <c r="C1" s="50"/>
      <c r="D1" s="50"/>
      <c r="E1" s="50"/>
      <c r="F1" s="50"/>
      <c r="G1" s="50"/>
      <c r="H1" s="50"/>
      <c r="I1" s="72"/>
      <c r="J1" s="38" t="s">
        <v>133</v>
      </c>
    </row>
    <row r="2" spans="1:17">
      <c r="A2" s="50" t="str">
        <f>B.1!A2</f>
        <v>Expected Gas Cost (EGC) Calculation</v>
      </c>
      <c r="B2" s="50"/>
      <c r="C2" s="50"/>
      <c r="D2" s="50"/>
      <c r="E2" s="50"/>
      <c r="F2" s="50"/>
      <c r="G2" s="50"/>
      <c r="H2" s="50"/>
      <c r="I2" s="72"/>
      <c r="J2" s="38" t="s">
        <v>228</v>
      </c>
    </row>
    <row r="3" spans="1:17">
      <c r="A3" s="61" t="s">
        <v>227</v>
      </c>
      <c r="B3" s="50"/>
      <c r="C3" s="50"/>
      <c r="D3" s="50"/>
      <c r="E3" s="50"/>
      <c r="F3" s="50"/>
      <c r="G3" s="50"/>
      <c r="H3" s="50"/>
      <c r="I3" s="72"/>
      <c r="J3" s="38"/>
    </row>
    <row r="4" spans="1:17">
      <c r="A4" s="38"/>
      <c r="B4" s="38"/>
      <c r="C4" s="38"/>
      <c r="D4" s="38"/>
      <c r="E4" s="38"/>
      <c r="F4" s="38"/>
      <c r="G4" s="38"/>
      <c r="H4" s="38"/>
      <c r="I4" s="60"/>
      <c r="J4" s="38"/>
    </row>
    <row r="5" spans="1:17">
      <c r="A5" s="68"/>
      <c r="B5" s="38"/>
      <c r="C5" s="38"/>
      <c r="D5" s="38"/>
      <c r="E5" s="54" t="s">
        <v>35</v>
      </c>
      <c r="F5" s="54" t="s">
        <v>34</v>
      </c>
      <c r="G5" s="54" t="s">
        <v>33</v>
      </c>
      <c r="H5" s="54" t="s">
        <v>129</v>
      </c>
      <c r="I5" s="54" t="s">
        <v>128</v>
      </c>
      <c r="J5" s="64" t="s">
        <v>212</v>
      </c>
    </row>
    <row r="6" spans="1:17" ht="1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7" ht="15">
      <c r="A7" s="58" t="s">
        <v>32</v>
      </c>
      <c r="B7" s="55"/>
      <c r="C7" s="55"/>
      <c r="D7" s="55"/>
      <c r="E7" s="58" t="s">
        <v>0</v>
      </c>
      <c r="F7" s="55"/>
      <c r="G7" s="71"/>
      <c r="H7" s="71"/>
      <c r="I7" s="55"/>
      <c r="J7" s="55"/>
    </row>
    <row r="8" spans="1:17" ht="15">
      <c r="A8" s="57" t="s">
        <v>31</v>
      </c>
      <c r="B8" s="56" t="s">
        <v>30</v>
      </c>
      <c r="C8" s="56"/>
      <c r="D8" s="56"/>
      <c r="E8" s="57" t="s">
        <v>125</v>
      </c>
      <c r="F8" s="56"/>
      <c r="G8" s="59" t="s">
        <v>211</v>
      </c>
      <c r="H8" s="59"/>
      <c r="I8" s="57" t="s">
        <v>123</v>
      </c>
      <c r="J8" s="57" t="s">
        <v>122</v>
      </c>
    </row>
    <row r="9" spans="1:17" ht="15">
      <c r="A9" s="38"/>
      <c r="B9" s="55"/>
      <c r="C9" s="38"/>
      <c r="D9" s="38"/>
      <c r="E9" s="38"/>
      <c r="F9" s="38"/>
      <c r="G9" s="54" t="s">
        <v>12</v>
      </c>
      <c r="H9" s="54" t="s">
        <v>121</v>
      </c>
      <c r="I9" s="54" t="s">
        <v>120</v>
      </c>
      <c r="J9" s="54" t="s">
        <v>119</v>
      </c>
    </row>
    <row r="10" spans="1:17" ht="15">
      <c r="A10" s="38"/>
      <c r="B10" s="401"/>
      <c r="H10" s="408"/>
      <c r="I10" s="408"/>
    </row>
    <row r="11" spans="1:17">
      <c r="A11" s="38">
        <v>1</v>
      </c>
      <c r="B11" s="409" t="s">
        <v>226</v>
      </c>
      <c r="E11" s="47"/>
      <c r="G11" s="47"/>
      <c r="H11" s="47">
        <v>765674</v>
      </c>
      <c r="I11" s="398"/>
    </row>
    <row r="12" spans="1:17">
      <c r="A12" s="38">
        <v>2</v>
      </c>
      <c r="B12" s="36" t="s">
        <v>201</v>
      </c>
      <c r="I12" s="37">
        <v>2.87</v>
      </c>
      <c r="J12" s="47">
        <f>ROUND($H$11*I12,0)</f>
        <v>2197484</v>
      </c>
    </row>
    <row r="13" spans="1:17">
      <c r="A13" s="38">
        <v>3</v>
      </c>
      <c r="B13" s="36" t="s">
        <v>225</v>
      </c>
      <c r="I13" s="37">
        <f>B.3!I51</f>
        <v>1.7417999999999999E-2</v>
      </c>
      <c r="J13" s="47">
        <f>ROUND($H$11*I13,0)</f>
        <v>13337</v>
      </c>
    </row>
    <row r="14" spans="1:17">
      <c r="A14" s="38">
        <v>4</v>
      </c>
      <c r="B14" s="36" t="s">
        <v>197</v>
      </c>
      <c r="E14" s="64">
        <v>24</v>
      </c>
      <c r="I14" s="37">
        <v>1.4E-3</v>
      </c>
      <c r="J14" s="47">
        <f>ROUND($H$11*I14,0)</f>
        <v>1072</v>
      </c>
    </row>
    <row r="15" spans="1:17">
      <c r="A15" s="38">
        <v>5</v>
      </c>
      <c r="B15" s="36" t="s">
        <v>217</v>
      </c>
      <c r="E15" s="64">
        <v>32</v>
      </c>
      <c r="F15" s="410">
        <v>1.54E-2</v>
      </c>
      <c r="I15" s="411">
        <f>ROUND(I12/(1-F15)-I12,4)</f>
        <v>4.4900000000000002E-2</v>
      </c>
      <c r="J15" s="412">
        <f>ROUND($H$11*I15,0)</f>
        <v>34379</v>
      </c>
      <c r="Q15" s="347"/>
    </row>
    <row r="16" spans="1:17">
      <c r="A16" s="38">
        <v>6</v>
      </c>
      <c r="I16" s="37">
        <f>SUM(I12:I15)</f>
        <v>2.9337180000000003</v>
      </c>
      <c r="J16" s="47">
        <f>SUM(J12:J15)</f>
        <v>2246272</v>
      </c>
      <c r="Q16" s="347"/>
    </row>
    <row r="17" spans="1:17">
      <c r="A17" s="38">
        <v>7</v>
      </c>
      <c r="I17" s="37"/>
      <c r="Q17" s="347"/>
    </row>
    <row r="18" spans="1:17">
      <c r="A18" s="38">
        <v>8</v>
      </c>
      <c r="B18" s="409" t="s">
        <v>224</v>
      </c>
      <c r="G18" s="47"/>
      <c r="H18" s="47">
        <v>0</v>
      </c>
      <c r="I18" s="37"/>
      <c r="Q18" s="347"/>
    </row>
    <row r="19" spans="1:17">
      <c r="A19" s="38">
        <v>9</v>
      </c>
      <c r="B19" s="36" t="s">
        <v>201</v>
      </c>
      <c r="I19" s="37">
        <f>I12</f>
        <v>2.87</v>
      </c>
      <c r="J19" s="47">
        <f>ROUND($H$18*I19,0)</f>
        <v>0</v>
      </c>
      <c r="Q19" s="347"/>
    </row>
    <row r="20" spans="1:17">
      <c r="A20" s="38">
        <v>10</v>
      </c>
      <c r="B20" s="36" t="s">
        <v>223</v>
      </c>
      <c r="E20" s="64">
        <v>26</v>
      </c>
      <c r="I20" s="37">
        <v>0.72209999999999996</v>
      </c>
      <c r="J20" s="47">
        <f>ROUND($H$18*I20,0)</f>
        <v>0</v>
      </c>
      <c r="Q20" s="347"/>
    </row>
    <row r="21" spans="1:17">
      <c r="A21" s="38">
        <v>11</v>
      </c>
      <c r="B21" s="36" t="s">
        <v>197</v>
      </c>
      <c r="E21" s="402">
        <v>24</v>
      </c>
      <c r="I21" s="37">
        <f>I14</f>
        <v>1.4E-3</v>
      </c>
      <c r="J21" s="47">
        <f>ROUND($H$18*I21,0)</f>
        <v>0</v>
      </c>
      <c r="Q21" s="347"/>
    </row>
    <row r="22" spans="1:17">
      <c r="A22" s="38">
        <v>12</v>
      </c>
      <c r="B22" s="36" t="s">
        <v>217</v>
      </c>
      <c r="E22" s="64">
        <v>32</v>
      </c>
      <c r="F22" s="435">
        <f>F15</f>
        <v>1.54E-2</v>
      </c>
      <c r="I22" s="411">
        <f>ROUND(I19/(1-F22)-I19,4)</f>
        <v>4.4900000000000002E-2</v>
      </c>
      <c r="J22" s="412">
        <f>ROUND($H$18*I22,0)</f>
        <v>0</v>
      </c>
      <c r="Q22" s="347"/>
    </row>
    <row r="23" spans="1:17">
      <c r="A23" s="38">
        <v>13</v>
      </c>
      <c r="I23" s="37">
        <f>SUM(I19:I22)</f>
        <v>3.6384000000000003</v>
      </c>
      <c r="J23" s="47">
        <f>SUM(J19:J22)</f>
        <v>0</v>
      </c>
      <c r="Q23" s="347"/>
    </row>
    <row r="24" spans="1:17">
      <c r="A24" s="38">
        <v>14</v>
      </c>
      <c r="I24" s="37"/>
    </row>
    <row r="25" spans="1:17">
      <c r="A25" s="38">
        <v>15</v>
      </c>
      <c r="B25" s="409" t="s">
        <v>142</v>
      </c>
      <c r="I25" s="37"/>
    </row>
    <row r="26" spans="1:17">
      <c r="A26" s="38">
        <v>16</v>
      </c>
      <c r="B26" s="36" t="s">
        <v>222</v>
      </c>
      <c r="H26" s="47">
        <v>0</v>
      </c>
      <c r="I26" s="37">
        <v>4.0960000000000001</v>
      </c>
      <c r="J26" s="314">
        <f>H26*I26</f>
        <v>0</v>
      </c>
    </row>
    <row r="27" spans="1:17">
      <c r="A27" s="38">
        <v>17</v>
      </c>
      <c r="B27" s="36" t="s">
        <v>221</v>
      </c>
      <c r="H27" s="47">
        <v>-500480</v>
      </c>
      <c r="I27" s="37">
        <v>2.87</v>
      </c>
      <c r="J27" s="47">
        <f>H27*I27</f>
        <v>-1436377.6</v>
      </c>
      <c r="K27" s="36" t="s">
        <v>218</v>
      </c>
    </row>
    <row r="28" spans="1:17">
      <c r="A28" s="38">
        <v>18</v>
      </c>
      <c r="B28" s="405" t="s">
        <v>220</v>
      </c>
      <c r="E28" s="64">
        <v>61</v>
      </c>
      <c r="I28" s="37">
        <v>8.6999999999999994E-3</v>
      </c>
      <c r="J28" s="47">
        <f>ROUND(H26*I28,0)</f>
        <v>0</v>
      </c>
      <c r="L28" s="70"/>
    </row>
    <row r="29" spans="1:17">
      <c r="A29" s="38">
        <v>19</v>
      </c>
      <c r="B29" s="36" t="s">
        <v>219</v>
      </c>
      <c r="E29" s="64">
        <v>61</v>
      </c>
      <c r="I29" s="37">
        <v>8.6999999999999994E-3</v>
      </c>
      <c r="J29" s="47">
        <f>ROUND($H$27*I29,0)</f>
        <v>-4354</v>
      </c>
      <c r="K29" s="36" t="s">
        <v>218</v>
      </c>
    </row>
    <row r="30" spans="1:17">
      <c r="A30" s="38">
        <v>20</v>
      </c>
      <c r="B30" s="36" t="s">
        <v>217</v>
      </c>
      <c r="E30" s="64">
        <v>61</v>
      </c>
      <c r="F30" s="410">
        <v>1.38E-2</v>
      </c>
      <c r="H30" s="436"/>
      <c r="I30" s="411">
        <f>ROUND(I29/(1-F30)-I29,4)</f>
        <v>1E-4</v>
      </c>
      <c r="J30" s="79">
        <f>ROUND(SUM($H$26:$H$27)*I30,0)</f>
        <v>-50</v>
      </c>
    </row>
    <row r="31" spans="1:17">
      <c r="A31" s="38">
        <v>21</v>
      </c>
      <c r="B31" s="36" t="s">
        <v>216</v>
      </c>
      <c r="E31" s="64"/>
      <c r="H31" s="47">
        <f>H26+H27</f>
        <v>-500480</v>
      </c>
      <c r="I31" s="37">
        <f>J31/H31</f>
        <v>2.8787995524296677</v>
      </c>
      <c r="J31" s="47">
        <f>SUM(J26:J30)</f>
        <v>-1440781.6</v>
      </c>
      <c r="L31" s="47"/>
      <c r="M31" s="47"/>
    </row>
    <row r="32" spans="1:17">
      <c r="A32" s="38">
        <v>22</v>
      </c>
      <c r="E32" s="64"/>
      <c r="I32" s="37"/>
      <c r="L32" s="47"/>
      <c r="M32" s="47"/>
    </row>
    <row r="33" spans="1:10">
      <c r="A33" s="38">
        <v>23</v>
      </c>
      <c r="I33" s="37"/>
    </row>
    <row r="34" spans="1:10">
      <c r="A34" s="38">
        <v>24</v>
      </c>
      <c r="I34" s="37"/>
    </row>
    <row r="35" spans="1:10" ht="15" thickBot="1">
      <c r="A35" s="38">
        <v>25</v>
      </c>
      <c r="B35" s="36" t="s">
        <v>215</v>
      </c>
      <c r="H35" s="437">
        <f>SUM(H11:H30)</f>
        <v>265194</v>
      </c>
      <c r="I35" s="414">
        <f>ROUND(J35/H35,4)</f>
        <v>3.0373999999999999</v>
      </c>
      <c r="J35" s="437">
        <f>J16+J23+J31</f>
        <v>805490.39999999991</v>
      </c>
    </row>
    <row r="36" spans="1:10" ht="15" thickTop="1">
      <c r="A36" s="38"/>
    </row>
    <row r="37" spans="1:10">
      <c r="A37" s="38"/>
      <c r="H37" s="47"/>
      <c r="J37" s="47"/>
    </row>
    <row r="38" spans="1:10">
      <c r="A38" s="38"/>
    </row>
    <row r="39" spans="1:10">
      <c r="A39" s="38"/>
    </row>
    <row r="40" spans="1:10">
      <c r="A40" s="38"/>
    </row>
    <row r="41" spans="1:10">
      <c r="A41" s="38"/>
    </row>
    <row r="42" spans="1:10">
      <c r="A42" s="38"/>
    </row>
    <row r="43" spans="1:10">
      <c r="A43" s="38"/>
    </row>
    <row r="44" spans="1:10">
      <c r="A44" s="38"/>
    </row>
    <row r="45" spans="1:10">
      <c r="A45" s="38"/>
    </row>
    <row r="46" spans="1:10">
      <c r="A46" s="38"/>
    </row>
    <row r="47" spans="1:10">
      <c r="A47" s="38"/>
    </row>
    <row r="48" spans="1:10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Q58"/>
  <sheetViews>
    <sheetView zoomScale="80" zoomScaleNormal="80" zoomScaleSheetLayoutView="115" workbookViewId="0">
      <pane xSplit="4" ySplit="8" topLeftCell="E9" activePane="bottomRight" state="frozen"/>
      <selection activeCell="L49" sqref="L49"/>
      <selection pane="topRight" activeCell="L49" sqref="L49"/>
      <selection pane="bottomLeft" activeCell="L49" sqref="L49"/>
      <selection pane="bottomRight" activeCell="L23" sqref="L23"/>
    </sheetView>
  </sheetViews>
  <sheetFormatPr defaultColWidth="9.28515625" defaultRowHeight="14.25"/>
  <cols>
    <col min="1" max="3" width="9.28515625" style="36" customWidth="1"/>
    <col min="4" max="4" width="9.85546875" style="36" customWidth="1"/>
    <col min="5" max="5" width="10.7109375" style="36" customWidth="1"/>
    <col min="6" max="6" width="9.140625" style="36" customWidth="1"/>
    <col min="7" max="7" width="9.28515625" style="36" customWidth="1"/>
    <col min="8" max="8" width="10" style="36" bestFit="1" customWidth="1"/>
    <col min="9" max="9" width="10.7109375" style="36" bestFit="1" customWidth="1"/>
    <col min="10" max="10" width="14.42578125" style="36" customWidth="1"/>
    <col min="11" max="11" width="9.28515625" style="36"/>
    <col min="12" max="12" width="11.7109375" style="36" bestFit="1" customWidth="1"/>
    <col min="13" max="13" width="9.85546875" style="36" customWidth="1"/>
    <col min="14" max="14" width="12" style="36" bestFit="1" customWidth="1"/>
    <col min="15" max="16384" width="9.28515625" style="36"/>
  </cols>
  <sheetData>
    <row r="1" spans="1:17" ht="15">
      <c r="A1" s="62" t="s">
        <v>40</v>
      </c>
      <c r="B1" s="50"/>
      <c r="C1" s="50"/>
      <c r="D1" s="50"/>
      <c r="E1" s="50"/>
      <c r="F1" s="50"/>
      <c r="G1" s="50"/>
      <c r="H1" s="50"/>
      <c r="I1" s="72"/>
      <c r="J1" s="38" t="s">
        <v>133</v>
      </c>
    </row>
    <row r="2" spans="1:17">
      <c r="A2" s="50" t="s">
        <v>132</v>
      </c>
      <c r="B2" s="50"/>
      <c r="C2" s="50"/>
      <c r="D2" s="50"/>
      <c r="E2" s="50"/>
      <c r="F2" s="50"/>
      <c r="G2" s="50"/>
      <c r="H2" s="50"/>
      <c r="I2" s="72"/>
      <c r="J2" s="38" t="s">
        <v>237</v>
      </c>
    </row>
    <row r="3" spans="1:17">
      <c r="A3" s="61" t="s">
        <v>236</v>
      </c>
      <c r="B3" s="50"/>
      <c r="C3" s="50"/>
      <c r="D3" s="50"/>
      <c r="E3" s="50"/>
      <c r="F3" s="50"/>
      <c r="G3" s="50"/>
      <c r="H3" s="50"/>
      <c r="I3" s="72"/>
      <c r="J3" s="38"/>
    </row>
    <row r="4" spans="1:17">
      <c r="A4" s="38"/>
      <c r="B4" s="38"/>
      <c r="C4" s="38"/>
      <c r="D4" s="38"/>
      <c r="E4" s="38"/>
      <c r="F4" s="38"/>
      <c r="G4" s="38"/>
      <c r="H4" s="38"/>
      <c r="I4" s="60"/>
      <c r="J4" s="38"/>
    </row>
    <row r="5" spans="1:17">
      <c r="A5" s="38" t="s">
        <v>22</v>
      </c>
      <c r="B5" s="38"/>
      <c r="C5" s="38"/>
      <c r="D5" s="38"/>
      <c r="E5" s="54" t="s">
        <v>35</v>
      </c>
      <c r="F5" s="54" t="s">
        <v>34</v>
      </c>
      <c r="G5" s="54" t="s">
        <v>33</v>
      </c>
      <c r="H5" s="54" t="s">
        <v>129</v>
      </c>
      <c r="I5" s="54" t="s">
        <v>128</v>
      </c>
      <c r="J5" s="64" t="s">
        <v>212</v>
      </c>
    </row>
    <row r="6" spans="1:17" ht="1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7" ht="15">
      <c r="A7" s="58" t="s">
        <v>32</v>
      </c>
      <c r="B7" s="55"/>
      <c r="C7" s="55"/>
      <c r="D7" s="55"/>
      <c r="E7" s="58" t="s">
        <v>0</v>
      </c>
      <c r="F7" s="58"/>
      <c r="G7" s="71"/>
      <c r="H7" s="71"/>
      <c r="I7" s="55"/>
      <c r="J7" s="55"/>
    </row>
    <row r="8" spans="1:17" ht="15">
      <c r="A8" s="57" t="s">
        <v>31</v>
      </c>
      <c r="B8" s="56" t="s">
        <v>30</v>
      </c>
      <c r="C8" s="56"/>
      <c r="D8" s="56"/>
      <c r="E8" s="57" t="s">
        <v>125</v>
      </c>
      <c r="F8" s="57"/>
      <c r="G8" s="59" t="s">
        <v>211</v>
      </c>
      <c r="H8" s="59"/>
      <c r="I8" s="57" t="s">
        <v>123</v>
      </c>
      <c r="J8" s="57" t="s">
        <v>122</v>
      </c>
    </row>
    <row r="9" spans="1:17" ht="15">
      <c r="B9" s="394"/>
      <c r="F9" s="64"/>
      <c r="G9" s="64" t="s">
        <v>12</v>
      </c>
      <c r="H9" s="64" t="s">
        <v>121</v>
      </c>
      <c r="I9" s="64" t="s">
        <v>120</v>
      </c>
      <c r="J9" s="64" t="s">
        <v>119</v>
      </c>
    </row>
    <row r="10" spans="1:17" ht="15">
      <c r="B10" s="394"/>
      <c r="G10" s="64"/>
      <c r="H10" s="64"/>
      <c r="I10" s="64"/>
      <c r="J10" s="64"/>
    </row>
    <row r="11" spans="1:17">
      <c r="A11" s="36">
        <v>1</v>
      </c>
      <c r="B11" s="409" t="s">
        <v>235</v>
      </c>
      <c r="E11" s="47"/>
      <c r="H11" s="408"/>
      <c r="I11" s="408"/>
    </row>
    <row r="12" spans="1:17">
      <c r="A12" s="36">
        <v>2</v>
      </c>
      <c r="B12" s="36" t="s">
        <v>234</v>
      </c>
      <c r="G12" s="47"/>
      <c r="H12" s="47">
        <v>92000</v>
      </c>
      <c r="I12" s="398"/>
    </row>
    <row r="13" spans="1:17">
      <c r="A13" s="36">
        <v>3</v>
      </c>
      <c r="B13" s="36" t="s">
        <v>201</v>
      </c>
      <c r="I13" s="438">
        <v>2.87</v>
      </c>
      <c r="J13" s="47">
        <f>ROUND($H$12*I13,0)</f>
        <v>264040</v>
      </c>
      <c r="K13" s="38"/>
    </row>
    <row r="14" spans="1:17">
      <c r="A14" s="36">
        <v>4</v>
      </c>
      <c r="B14" s="36" t="s">
        <v>233</v>
      </c>
      <c r="E14" s="64">
        <v>13</v>
      </c>
      <c r="I14" s="438">
        <v>1.2999999999999999E-2</v>
      </c>
      <c r="J14" s="47">
        <f>ROUND($H$12*I14,0)</f>
        <v>1196</v>
      </c>
      <c r="K14" s="38"/>
    </row>
    <row r="15" spans="1:17">
      <c r="A15" s="36">
        <v>5</v>
      </c>
      <c r="B15" s="36" t="s">
        <v>197</v>
      </c>
      <c r="E15" s="64">
        <v>13</v>
      </c>
      <c r="I15" s="438">
        <v>1.4E-3</v>
      </c>
      <c r="J15" s="47">
        <f>ROUND($H$12*I15,0)</f>
        <v>129</v>
      </c>
      <c r="K15" s="38"/>
      <c r="Q15" s="347"/>
    </row>
    <row r="16" spans="1:17">
      <c r="A16" s="36">
        <v>6</v>
      </c>
      <c r="B16" s="36" t="s">
        <v>217</v>
      </c>
      <c r="E16" s="64">
        <v>13</v>
      </c>
      <c r="F16" s="439">
        <v>1.2500000000000001E-2</v>
      </c>
      <c r="I16" s="37">
        <f>ROUND(I13/(1-(F16-0.001))-I13,4)</f>
        <v>3.3399999999999999E-2</v>
      </c>
      <c r="J16" s="47">
        <f>ROUND($H$12*I16,0)</f>
        <v>3073</v>
      </c>
      <c r="Q16" s="347"/>
    </row>
    <row r="17" spans="1:17" ht="15" thickBot="1">
      <c r="A17" s="36">
        <v>7</v>
      </c>
      <c r="I17" s="414">
        <f>SUM(I13:I16)</f>
        <v>2.9177999999999997</v>
      </c>
      <c r="J17" s="437">
        <f>SUM(J13:J16)</f>
        <v>268438</v>
      </c>
      <c r="Q17" s="347"/>
    </row>
    <row r="18" spans="1:17" ht="15.75" thickTop="1">
      <c r="A18" s="36">
        <v>8</v>
      </c>
      <c r="B18" s="394"/>
      <c r="F18" s="410"/>
      <c r="G18" s="64"/>
      <c r="H18" s="64"/>
      <c r="I18" s="64"/>
      <c r="J18" s="64"/>
      <c r="Q18" s="347"/>
    </row>
    <row r="19" spans="1:17" ht="15">
      <c r="A19" s="36">
        <v>9</v>
      </c>
      <c r="B19" s="394"/>
      <c r="F19" s="410"/>
      <c r="G19" s="64"/>
      <c r="H19" s="64"/>
      <c r="I19" s="64"/>
      <c r="J19" s="64"/>
      <c r="Q19" s="347"/>
    </row>
    <row r="20" spans="1:17" ht="15">
      <c r="B20" s="394"/>
      <c r="G20" s="64"/>
      <c r="H20" s="64"/>
      <c r="I20" s="64"/>
      <c r="J20" s="64"/>
      <c r="Q20" s="347"/>
    </row>
    <row r="21" spans="1:17">
      <c r="A21" s="36" t="s">
        <v>127</v>
      </c>
      <c r="G21" s="64"/>
      <c r="H21" s="64"/>
      <c r="I21" s="64"/>
      <c r="J21" s="64"/>
      <c r="Q21" s="347"/>
    </row>
    <row r="22" spans="1:17" ht="15">
      <c r="A22" s="396"/>
      <c r="B22" s="394"/>
      <c r="C22" s="394"/>
      <c r="D22" s="394"/>
      <c r="E22" s="394"/>
      <c r="F22" s="394"/>
      <c r="G22" s="394"/>
      <c r="H22" s="394"/>
      <c r="I22" s="394"/>
      <c r="J22" s="394"/>
      <c r="Q22" s="347"/>
    </row>
    <row r="23" spans="1:17" ht="15">
      <c r="A23" s="394"/>
      <c r="E23" s="64" t="s">
        <v>35</v>
      </c>
      <c r="F23" s="64" t="s">
        <v>34</v>
      </c>
      <c r="G23" s="64" t="s">
        <v>33</v>
      </c>
      <c r="H23" s="64" t="s">
        <v>129</v>
      </c>
      <c r="I23" s="64" t="s">
        <v>128</v>
      </c>
      <c r="K23" s="54"/>
      <c r="Q23" s="347"/>
    </row>
    <row r="24" spans="1:17" ht="15">
      <c r="A24" s="394"/>
      <c r="B24" s="394"/>
      <c r="C24" s="394"/>
      <c r="D24" s="394"/>
      <c r="E24" s="394"/>
      <c r="F24" s="394"/>
      <c r="G24" s="395" t="s">
        <v>127</v>
      </c>
      <c r="H24" s="395"/>
      <c r="I24" s="395"/>
      <c r="K24" s="55"/>
    </row>
    <row r="25" spans="1:17" ht="15">
      <c r="A25" s="396" t="s">
        <v>32</v>
      </c>
      <c r="B25" s="394"/>
      <c r="C25" s="394"/>
      <c r="D25" s="396"/>
      <c r="E25" s="396" t="s">
        <v>0</v>
      </c>
      <c r="F25" s="396" t="s">
        <v>126</v>
      </c>
      <c r="G25" s="394"/>
      <c r="H25" s="394"/>
      <c r="I25" s="394"/>
      <c r="K25" s="58"/>
    </row>
    <row r="26" spans="1:17" ht="15">
      <c r="A26" s="397" t="s">
        <v>31</v>
      </c>
      <c r="B26" s="404" t="s">
        <v>30</v>
      </c>
      <c r="C26" s="404"/>
      <c r="D26" s="397"/>
      <c r="E26" s="397" t="s">
        <v>125</v>
      </c>
      <c r="F26" s="397" t="s">
        <v>124</v>
      </c>
      <c r="G26" s="397" t="s">
        <v>123</v>
      </c>
      <c r="H26" s="397" t="s">
        <v>122</v>
      </c>
      <c r="I26" s="397" t="s">
        <v>21</v>
      </c>
      <c r="K26" s="58"/>
    </row>
    <row r="27" spans="1:17" ht="15">
      <c r="B27" s="394"/>
      <c r="E27" s="64"/>
      <c r="F27" s="64" t="s">
        <v>121</v>
      </c>
      <c r="G27" s="64" t="s">
        <v>120</v>
      </c>
      <c r="H27" s="64" t="s">
        <v>119</v>
      </c>
      <c r="I27" s="64" t="s">
        <v>119</v>
      </c>
      <c r="K27" s="54"/>
    </row>
    <row r="28" spans="1:17" ht="15">
      <c r="B28" s="394" t="s">
        <v>232</v>
      </c>
      <c r="E28" s="64"/>
      <c r="F28" s="64"/>
      <c r="G28" s="64"/>
      <c r="H28" s="64"/>
      <c r="I28" s="64"/>
      <c r="K28" s="54"/>
    </row>
    <row r="29" spans="1:17">
      <c r="A29" s="36">
        <v>10</v>
      </c>
      <c r="B29" s="36" t="s">
        <v>144</v>
      </c>
      <c r="D29" s="440" t="s">
        <v>231</v>
      </c>
      <c r="F29" s="40">
        <v>38750</v>
      </c>
      <c r="G29" s="47"/>
      <c r="H29" s="47"/>
      <c r="I29" s="398"/>
    </row>
    <row r="30" spans="1:17" ht="15">
      <c r="A30" s="36">
        <v>11</v>
      </c>
      <c r="B30" s="36" t="s">
        <v>230</v>
      </c>
      <c r="F30" s="438"/>
      <c r="G30" s="438">
        <v>5.3754</v>
      </c>
      <c r="H30" s="40">
        <f>ROUND(F$29*G30,0)</f>
        <v>208297</v>
      </c>
      <c r="I30" s="314">
        <f>H30</f>
        <v>208297</v>
      </c>
      <c r="K30" s="67"/>
    </row>
    <row r="31" spans="1:17">
      <c r="A31" s="36">
        <v>12</v>
      </c>
      <c r="E31" s="64"/>
      <c r="F31" s="441"/>
      <c r="I31" s="37"/>
      <c r="J31" s="64"/>
      <c r="K31" s="70"/>
    </row>
    <row r="32" spans="1:17" ht="15" thickBot="1">
      <c r="A32" s="36">
        <v>13</v>
      </c>
      <c r="B32" s="36" t="s">
        <v>229</v>
      </c>
      <c r="H32" s="442">
        <f>SUM(H30:H30)</f>
        <v>208297</v>
      </c>
      <c r="I32" s="442">
        <f>SUM(I30:I30)</f>
        <v>208297</v>
      </c>
    </row>
    <row r="33" spans="1:10" ht="15" thickTop="1">
      <c r="I33" s="37"/>
      <c r="J33" s="47"/>
    </row>
    <row r="34" spans="1:10">
      <c r="E34" s="64"/>
      <c r="I34" s="37"/>
      <c r="J34" s="47"/>
    </row>
    <row r="35" spans="1:10">
      <c r="A35" s="38"/>
      <c r="B35" s="38"/>
      <c r="C35" s="38"/>
      <c r="D35" s="38"/>
      <c r="E35" s="54"/>
      <c r="F35" s="38"/>
      <c r="G35" s="38"/>
      <c r="H35" s="38"/>
      <c r="I35" s="43"/>
      <c r="J35" s="44"/>
    </row>
    <row r="36" spans="1:10">
      <c r="A36" s="38"/>
      <c r="B36" s="38"/>
      <c r="C36" s="38"/>
      <c r="D36" s="38"/>
      <c r="E36" s="54"/>
      <c r="F36" s="38"/>
      <c r="G36" s="38"/>
      <c r="H36" s="38"/>
      <c r="I36" s="43"/>
      <c r="J36" s="44"/>
    </row>
    <row r="37" spans="1:10">
      <c r="A37" s="38"/>
      <c r="B37" s="38"/>
      <c r="C37" s="38"/>
      <c r="D37" s="38"/>
      <c r="E37" s="54"/>
      <c r="F37" s="38"/>
      <c r="G37" s="38"/>
      <c r="H37" s="38"/>
      <c r="I37" s="43"/>
      <c r="J37" s="44"/>
    </row>
    <row r="38" spans="1:10">
      <c r="A38" s="38"/>
      <c r="B38" s="38"/>
      <c r="C38" s="38"/>
      <c r="D38" s="38"/>
      <c r="E38" s="54"/>
      <c r="F38" s="38"/>
      <c r="G38" s="38"/>
      <c r="H38" s="38"/>
      <c r="I38" s="43"/>
      <c r="J38" s="44"/>
    </row>
    <row r="39" spans="1:10">
      <c r="A39" s="38"/>
      <c r="B39" s="38"/>
      <c r="C39" s="38"/>
      <c r="D39" s="38"/>
      <c r="E39" s="54"/>
      <c r="F39" s="65"/>
      <c r="G39" s="38"/>
      <c r="H39" s="38"/>
      <c r="I39" s="43"/>
      <c r="J39" s="44"/>
    </row>
    <row r="40" spans="1:10">
      <c r="A40" s="38"/>
      <c r="B40" s="38"/>
      <c r="C40" s="38"/>
      <c r="D40" s="38"/>
      <c r="E40" s="38"/>
      <c r="F40" s="38"/>
      <c r="G40" s="38"/>
      <c r="H40" s="38"/>
      <c r="I40" s="43"/>
      <c r="J40" s="44"/>
    </row>
    <row r="41" spans="1:10">
      <c r="A41" s="38"/>
      <c r="B41" s="38"/>
      <c r="C41" s="38"/>
      <c r="D41" s="38"/>
      <c r="E41" s="38"/>
      <c r="F41" s="38"/>
      <c r="G41" s="38"/>
      <c r="H41" s="38"/>
      <c r="I41" s="43"/>
      <c r="J41" s="38"/>
    </row>
    <row r="42" spans="1:10">
      <c r="A42" s="38"/>
      <c r="B42" s="38"/>
      <c r="C42" s="38"/>
      <c r="D42" s="38"/>
      <c r="E42" s="38"/>
      <c r="F42" s="38"/>
      <c r="G42" s="38"/>
      <c r="H42" s="38"/>
      <c r="I42" s="43"/>
      <c r="J42" s="38"/>
    </row>
    <row r="43" spans="1:10">
      <c r="A43" s="38"/>
      <c r="B43" s="66"/>
      <c r="C43" s="38"/>
      <c r="D43" s="38"/>
      <c r="E43" s="38"/>
      <c r="F43" s="38"/>
      <c r="G43" s="38"/>
      <c r="H43" s="38"/>
      <c r="I43" s="43"/>
      <c r="J43" s="38"/>
    </row>
    <row r="44" spans="1:10">
      <c r="A44" s="38"/>
      <c r="B44" s="38"/>
      <c r="C44" s="38"/>
      <c r="D44" s="38"/>
      <c r="E44" s="38"/>
      <c r="F44" s="38"/>
      <c r="G44" s="38"/>
      <c r="H44" s="44"/>
      <c r="I44" s="43"/>
      <c r="J44" s="38"/>
    </row>
    <row r="45" spans="1:10">
      <c r="B45" s="38"/>
      <c r="C45" s="38"/>
      <c r="D45" s="38"/>
      <c r="E45" s="38"/>
      <c r="F45" s="38"/>
      <c r="G45" s="38"/>
      <c r="H45" s="38"/>
      <c r="I45" s="43"/>
      <c r="J45" s="44"/>
    </row>
    <row r="46" spans="1:10">
      <c r="B46" s="38"/>
      <c r="C46" s="38"/>
      <c r="D46" s="38"/>
      <c r="E46" s="54"/>
      <c r="F46" s="38"/>
      <c r="G46" s="38"/>
      <c r="H46" s="38"/>
      <c r="I46" s="43"/>
      <c r="J46" s="44"/>
    </row>
    <row r="47" spans="1:10">
      <c r="B47" s="38"/>
      <c r="C47" s="38"/>
      <c r="D47" s="38"/>
      <c r="E47" s="54"/>
      <c r="F47" s="65"/>
      <c r="G47" s="38"/>
      <c r="H47" s="38"/>
      <c r="I47" s="43"/>
      <c r="J47" s="44"/>
    </row>
    <row r="48" spans="1:10">
      <c r="B48" s="38"/>
      <c r="C48" s="38"/>
      <c r="D48" s="38"/>
      <c r="E48" s="54"/>
      <c r="F48" s="38"/>
      <c r="G48" s="38"/>
      <c r="H48" s="38"/>
      <c r="I48" s="43"/>
      <c r="J48" s="44"/>
    </row>
    <row r="49" spans="2:10">
      <c r="B49" s="38"/>
      <c r="C49" s="38"/>
      <c r="D49" s="38"/>
      <c r="E49" s="54"/>
      <c r="F49" s="38"/>
      <c r="G49" s="38"/>
      <c r="H49" s="38"/>
      <c r="I49" s="43"/>
      <c r="J49" s="38"/>
    </row>
    <row r="50" spans="2:10">
      <c r="B50" s="38"/>
      <c r="C50" s="38"/>
      <c r="D50" s="38"/>
      <c r="E50" s="54"/>
      <c r="F50" s="38"/>
      <c r="G50" s="38"/>
      <c r="H50" s="38"/>
      <c r="I50" s="43"/>
      <c r="J50" s="38"/>
    </row>
    <row r="51" spans="2:10">
      <c r="B51" s="38"/>
      <c r="C51" s="38"/>
      <c r="D51" s="38"/>
      <c r="E51" s="54"/>
      <c r="F51" s="38"/>
      <c r="G51" s="38"/>
      <c r="H51" s="44"/>
      <c r="I51" s="43"/>
      <c r="J51" s="38"/>
    </row>
    <row r="52" spans="2:10">
      <c r="B52" s="38"/>
      <c r="C52" s="38"/>
      <c r="D52" s="38"/>
      <c r="E52" s="54"/>
      <c r="F52" s="38"/>
      <c r="G52" s="38"/>
      <c r="H52" s="38"/>
      <c r="I52" s="43"/>
      <c r="J52" s="44"/>
    </row>
    <row r="53" spans="2:10">
      <c r="B53" s="38"/>
      <c r="C53" s="38"/>
      <c r="D53" s="38"/>
      <c r="E53" s="54"/>
      <c r="F53" s="38"/>
      <c r="G53" s="38"/>
      <c r="H53" s="38"/>
      <c r="I53" s="43"/>
      <c r="J53" s="44"/>
    </row>
    <row r="54" spans="2:10">
      <c r="B54" s="38"/>
      <c r="C54" s="38"/>
      <c r="D54" s="38"/>
      <c r="E54" s="54"/>
      <c r="F54" s="65"/>
      <c r="G54" s="38"/>
      <c r="H54" s="38"/>
      <c r="I54" s="43"/>
      <c r="J54" s="44"/>
    </row>
    <row r="55" spans="2:10">
      <c r="B55" s="38"/>
      <c r="C55" s="38"/>
      <c r="D55" s="38"/>
      <c r="E55" s="38"/>
      <c r="F55" s="38"/>
      <c r="G55" s="38"/>
      <c r="H55" s="38"/>
      <c r="I55" s="43"/>
      <c r="J55" s="44"/>
    </row>
    <row r="56" spans="2:10">
      <c r="B56" s="38"/>
      <c r="C56" s="38"/>
      <c r="D56" s="38"/>
      <c r="E56" s="38"/>
      <c r="F56" s="38"/>
      <c r="G56" s="38"/>
      <c r="H56" s="38"/>
      <c r="I56" s="43"/>
      <c r="J56" s="38"/>
    </row>
    <row r="57" spans="2:10">
      <c r="B57" s="38"/>
      <c r="C57" s="38"/>
      <c r="D57" s="38"/>
      <c r="E57" s="38"/>
      <c r="F57" s="38"/>
      <c r="G57" s="38"/>
      <c r="H57" s="38"/>
      <c r="I57" s="43"/>
      <c r="J57" s="38"/>
    </row>
    <row r="58" spans="2:10">
      <c r="B58" s="38"/>
      <c r="C58" s="38"/>
      <c r="D58" s="38"/>
      <c r="E58" s="38"/>
      <c r="F58" s="38"/>
      <c r="G58" s="38"/>
      <c r="H58" s="44"/>
      <c r="I58" s="43"/>
      <c r="J58" s="44"/>
    </row>
  </sheetData>
  <printOptions horizontalCentered="1"/>
  <pageMargins left="0.5" right="0.5" top="0.75" bottom="0.75" header="0.5" footer="0.5"/>
  <pageSetup scale="93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zoomScale="80" zoomScaleNormal="80" zoomScaleSheetLayoutView="100" workbookViewId="0">
      <pane xSplit="4" ySplit="6" topLeftCell="E7" activePane="bottomRight" state="frozen"/>
      <selection activeCell="L49" sqref="L49"/>
      <selection pane="topRight" activeCell="L49" sqref="L49"/>
      <selection pane="bottomLeft" activeCell="L49" sqref="L49"/>
      <selection pane="bottomRight" activeCell="N28" sqref="N28"/>
    </sheetView>
  </sheetViews>
  <sheetFormatPr defaultColWidth="9.85546875" defaultRowHeight="14.25"/>
  <cols>
    <col min="1" max="1" width="3.85546875" style="36" customWidth="1"/>
    <col min="2" max="2" width="1.85546875" style="36" customWidth="1"/>
    <col min="3" max="3" width="25.42578125" style="36" customWidth="1"/>
    <col min="4" max="4" width="2.85546875" style="36" customWidth="1"/>
    <col min="5" max="6" width="14.42578125" style="36" bestFit="1" customWidth="1"/>
    <col min="7" max="7" width="13" style="36" bestFit="1" customWidth="1"/>
    <col min="8" max="8" width="9.85546875" style="36" customWidth="1"/>
    <col min="9" max="9" width="14.5703125" style="36" customWidth="1"/>
    <col min="10" max="10" width="9.85546875" style="36"/>
    <col min="11" max="11" width="10.5703125" style="36" bestFit="1" customWidth="1"/>
    <col min="12" max="16384" width="9.85546875" style="36"/>
  </cols>
  <sheetData>
    <row r="1" spans="1:17" ht="15">
      <c r="A1" s="55" t="s">
        <v>40</v>
      </c>
      <c r="B1" s="72"/>
      <c r="C1" s="72"/>
      <c r="D1" s="72"/>
      <c r="E1" s="72"/>
      <c r="F1" s="72"/>
      <c r="G1" s="72"/>
      <c r="H1" s="72"/>
      <c r="I1" s="38" t="s">
        <v>133</v>
      </c>
    </row>
    <row r="2" spans="1:17">
      <c r="A2" s="36" t="str">
        <f>B.1!A2</f>
        <v>Expected Gas Cost (EGC) Calculation</v>
      </c>
      <c r="B2" s="72"/>
      <c r="C2" s="72"/>
      <c r="D2" s="72"/>
      <c r="E2" s="72"/>
      <c r="F2" s="72"/>
      <c r="G2" s="72"/>
      <c r="H2" s="72"/>
      <c r="I2" s="50" t="s">
        <v>260</v>
      </c>
    </row>
    <row r="3" spans="1:17">
      <c r="A3" s="36" t="s">
        <v>259</v>
      </c>
      <c r="B3" s="72"/>
      <c r="C3" s="72"/>
      <c r="D3" s="72"/>
      <c r="E3" s="72"/>
      <c r="F3" s="72"/>
      <c r="G3" s="72"/>
      <c r="H3" s="72"/>
      <c r="I3" s="72"/>
    </row>
    <row r="4" spans="1:17">
      <c r="A4" s="38"/>
      <c r="B4" s="38"/>
      <c r="C4" s="38"/>
      <c r="D4" s="38"/>
      <c r="E4" s="38"/>
      <c r="F4" s="38"/>
      <c r="G4" s="38"/>
      <c r="H4" s="38"/>
      <c r="I4" s="38"/>
    </row>
    <row r="5" spans="1:17">
      <c r="A5" s="54" t="s">
        <v>32</v>
      </c>
      <c r="B5" s="38"/>
      <c r="C5" s="38"/>
      <c r="D5" s="38"/>
      <c r="E5" s="38"/>
      <c r="F5" s="38"/>
      <c r="G5" s="38"/>
      <c r="H5" s="38"/>
      <c r="I5" s="38"/>
    </row>
    <row r="6" spans="1:17" ht="15">
      <c r="A6" s="74" t="s">
        <v>31</v>
      </c>
      <c r="B6" s="56"/>
      <c r="C6" s="56"/>
      <c r="D6" s="56"/>
      <c r="E6" s="54" t="s">
        <v>35</v>
      </c>
      <c r="F6" s="54" t="s">
        <v>34</v>
      </c>
      <c r="G6" s="54" t="s">
        <v>33</v>
      </c>
      <c r="H6" s="54" t="s">
        <v>129</v>
      </c>
      <c r="I6" s="54" t="s">
        <v>128</v>
      </c>
      <c r="J6" s="64"/>
    </row>
    <row r="8" spans="1:17">
      <c r="A8" s="36">
        <v>1</v>
      </c>
      <c r="C8" s="409" t="s">
        <v>258</v>
      </c>
      <c r="E8" s="47"/>
    </row>
    <row r="9" spans="1:17">
      <c r="A9" s="36">
        <v>2</v>
      </c>
      <c r="C9" s="36" t="s">
        <v>257</v>
      </c>
      <c r="E9" s="443">
        <f>B.1!I71</f>
        <v>18561352</v>
      </c>
      <c r="I9" s="47"/>
    </row>
    <row r="10" spans="1:17">
      <c r="A10" s="36">
        <v>3</v>
      </c>
      <c r="C10" s="36" t="s">
        <v>256</v>
      </c>
      <c r="E10" s="47">
        <v>0</v>
      </c>
      <c r="I10" s="47"/>
    </row>
    <row r="11" spans="1:17">
      <c r="A11" s="36">
        <v>4</v>
      </c>
      <c r="C11" s="36" t="s">
        <v>255</v>
      </c>
      <c r="E11" s="47">
        <f>B.2!I35</f>
        <v>3209212</v>
      </c>
    </row>
    <row r="12" spans="1:17">
      <c r="A12" s="36">
        <v>5</v>
      </c>
      <c r="C12" s="36" t="s">
        <v>236</v>
      </c>
      <c r="E12" s="75">
        <f>B.5!I32</f>
        <v>208297</v>
      </c>
    </row>
    <row r="13" spans="1:17" ht="15" thickBot="1">
      <c r="A13" s="36">
        <v>6</v>
      </c>
      <c r="C13" s="36" t="s">
        <v>122</v>
      </c>
      <c r="E13" s="444">
        <f>SUM(E9:E12)</f>
        <v>21978861</v>
      </c>
    </row>
    <row r="14" spans="1:17" ht="15" thickTop="1">
      <c r="A14" s="36">
        <v>7</v>
      </c>
    </row>
    <row r="15" spans="1:17">
      <c r="A15" s="36">
        <v>8</v>
      </c>
      <c r="F15" s="64" t="s">
        <v>254</v>
      </c>
      <c r="G15" s="64" t="s">
        <v>253</v>
      </c>
      <c r="H15" s="445" t="s">
        <v>252</v>
      </c>
      <c r="I15" s="445"/>
      <c r="Q15" s="347"/>
    </row>
    <row r="16" spans="1:17">
      <c r="A16" s="36">
        <v>9</v>
      </c>
      <c r="C16" s="409" t="s">
        <v>251</v>
      </c>
      <c r="E16" s="419" t="s">
        <v>250</v>
      </c>
      <c r="F16" s="419" t="s">
        <v>21</v>
      </c>
      <c r="G16" s="419" t="s">
        <v>249</v>
      </c>
      <c r="H16" s="419" t="s">
        <v>242</v>
      </c>
      <c r="I16" s="419" t="s">
        <v>248</v>
      </c>
      <c r="Q16" s="347"/>
    </row>
    <row r="17" spans="1:17">
      <c r="A17" s="36">
        <v>10</v>
      </c>
      <c r="C17" s="36" t="s">
        <v>247</v>
      </c>
      <c r="E17" s="37">
        <f>B.8!F22</f>
        <v>0.1452</v>
      </c>
      <c r="F17" s="443">
        <f>ROUND($E$13*E17,0)</f>
        <v>3191331</v>
      </c>
      <c r="G17" s="47">
        <f>F35</f>
        <v>16499843.667199999</v>
      </c>
      <c r="H17" s="348">
        <f>ROUND(F17/G17,4)</f>
        <v>0.19339999999999999</v>
      </c>
      <c r="I17" s="348">
        <f>H17</f>
        <v>0.19339999999999999</v>
      </c>
      <c r="Q17" s="347"/>
    </row>
    <row r="18" spans="1:17">
      <c r="A18" s="36">
        <v>11</v>
      </c>
      <c r="C18" s="36" t="s">
        <v>242</v>
      </c>
      <c r="E18" s="37">
        <f>E19-E17</f>
        <v>0.8548</v>
      </c>
      <c r="F18" s="47">
        <f>ROUND($E$13*E18,0)</f>
        <v>18787530</v>
      </c>
      <c r="G18" s="47">
        <f>G35</f>
        <v>16200546.423659999</v>
      </c>
      <c r="H18" s="348">
        <f>ROUND(F18/G18,4)</f>
        <v>1.1597</v>
      </c>
      <c r="I18" s="446"/>
      <c r="Q18" s="347"/>
    </row>
    <row r="19" spans="1:17" ht="15" thickBot="1">
      <c r="A19" s="36">
        <v>12</v>
      </c>
      <c r="C19" s="36" t="s">
        <v>122</v>
      </c>
      <c r="E19" s="414">
        <v>1</v>
      </c>
      <c r="F19" s="444">
        <f>F17+F18</f>
        <v>21978861</v>
      </c>
      <c r="H19" s="447">
        <f>H17+H18</f>
        <v>1.3531</v>
      </c>
      <c r="I19" s="447">
        <f>I17+I18</f>
        <v>0.19339999999999999</v>
      </c>
      <c r="L19" s="316"/>
      <c r="Q19" s="347"/>
    </row>
    <row r="20" spans="1:17" ht="15" thickTop="1">
      <c r="A20" s="36">
        <v>13</v>
      </c>
      <c r="Q20" s="347"/>
    </row>
    <row r="21" spans="1:17">
      <c r="A21" s="36">
        <v>14</v>
      </c>
      <c r="F21" s="417" t="s">
        <v>246</v>
      </c>
      <c r="G21" s="417"/>
      <c r="Q21" s="347"/>
    </row>
    <row r="22" spans="1:17">
      <c r="A22" s="36">
        <v>15</v>
      </c>
      <c r="E22" s="64" t="s">
        <v>171</v>
      </c>
      <c r="F22" s="445" t="s">
        <v>245</v>
      </c>
      <c r="G22" s="445"/>
      <c r="Q22" s="347"/>
    </row>
    <row r="23" spans="1:17">
      <c r="A23" s="36">
        <v>16</v>
      </c>
      <c r="E23" s="419" t="s">
        <v>244</v>
      </c>
      <c r="F23" s="419" t="s">
        <v>243</v>
      </c>
      <c r="G23" s="419" t="s">
        <v>242</v>
      </c>
      <c r="Q23" s="347"/>
    </row>
    <row r="24" spans="1:17">
      <c r="A24" s="36">
        <v>17</v>
      </c>
      <c r="C24" s="409" t="s">
        <v>47</v>
      </c>
    </row>
    <row r="25" spans="1:17">
      <c r="A25" s="36">
        <v>18</v>
      </c>
      <c r="C25" s="36" t="s">
        <v>240</v>
      </c>
    </row>
    <row r="26" spans="1:17">
      <c r="A26" s="36">
        <v>19</v>
      </c>
      <c r="C26" s="36" t="s">
        <v>241</v>
      </c>
      <c r="E26" s="47">
        <v>16200546.423659999</v>
      </c>
      <c r="F26" s="47">
        <f>E26</f>
        <v>16200546.423659999</v>
      </c>
      <c r="G26" s="47">
        <f>E26</f>
        <v>16200546.423659999</v>
      </c>
      <c r="H26" s="448">
        <f>H19</f>
        <v>1.3531</v>
      </c>
    </row>
    <row r="27" spans="1:17">
      <c r="A27" s="36">
        <v>20</v>
      </c>
      <c r="E27" s="47"/>
      <c r="F27" s="47"/>
    </row>
    <row r="28" spans="1:17">
      <c r="A28" s="36">
        <v>21</v>
      </c>
      <c r="C28" s="409" t="s">
        <v>46</v>
      </c>
      <c r="F28" s="47"/>
      <c r="H28" s="448"/>
    </row>
    <row r="29" spans="1:17">
      <c r="A29" s="36">
        <v>22</v>
      </c>
      <c r="C29" s="36" t="s">
        <v>240</v>
      </c>
      <c r="F29" s="47"/>
      <c r="H29" s="448"/>
    </row>
    <row r="30" spans="1:17">
      <c r="A30" s="36">
        <v>23</v>
      </c>
      <c r="C30" s="36" t="s">
        <v>239</v>
      </c>
      <c r="E30" s="47">
        <v>299297.24354000005</v>
      </c>
      <c r="F30" s="47">
        <f>E30</f>
        <v>299297.24354000005</v>
      </c>
      <c r="H30" s="448">
        <f>H19</f>
        <v>1.3531</v>
      </c>
      <c r="I30" s="448">
        <f>I19</f>
        <v>0.19339999999999999</v>
      </c>
      <c r="M30" s="47"/>
    </row>
    <row r="31" spans="1:17">
      <c r="A31" s="36">
        <v>24</v>
      </c>
      <c r="F31" s="47"/>
      <c r="H31" s="448"/>
    </row>
    <row r="32" spans="1:17">
      <c r="A32" s="36">
        <v>25</v>
      </c>
      <c r="C32" s="409" t="s">
        <v>43</v>
      </c>
      <c r="F32" s="47"/>
      <c r="H32" s="448"/>
    </row>
    <row r="33" spans="1:9">
      <c r="A33" s="36">
        <v>26</v>
      </c>
      <c r="C33" s="36" t="s">
        <v>238</v>
      </c>
      <c r="E33" s="47">
        <v>32198870.827</v>
      </c>
      <c r="F33" s="47"/>
      <c r="H33" s="448"/>
    </row>
    <row r="34" spans="1:9">
      <c r="A34" s="36">
        <v>27</v>
      </c>
      <c r="F34" s="47"/>
      <c r="H34" s="448"/>
    </row>
    <row r="35" spans="1:9" ht="15" thickBot="1">
      <c r="A35" s="36">
        <v>28</v>
      </c>
      <c r="E35" s="437">
        <f>E26+E30+E33</f>
        <v>48698714.494199999</v>
      </c>
      <c r="F35" s="437">
        <f>F26+F30</f>
        <v>16499843.667199999</v>
      </c>
      <c r="G35" s="437">
        <f>G26</f>
        <v>16200546.423659999</v>
      </c>
      <c r="H35" s="448"/>
    </row>
    <row r="36" spans="1:9" ht="15" thickTop="1">
      <c r="A36" s="36">
        <v>29</v>
      </c>
      <c r="F36" s="47"/>
      <c r="H36" s="448"/>
    </row>
    <row r="37" spans="1:9">
      <c r="A37" s="36">
        <v>30</v>
      </c>
      <c r="C37" s="409"/>
      <c r="E37" s="47"/>
      <c r="H37" s="448"/>
    </row>
    <row r="38" spans="1:9">
      <c r="F38" s="443"/>
      <c r="H38" s="448"/>
    </row>
    <row r="39" spans="1:9">
      <c r="F39" s="47"/>
      <c r="H39" s="448"/>
    </row>
    <row r="40" spans="1:9">
      <c r="F40" s="47"/>
      <c r="H40" s="448"/>
    </row>
    <row r="41" spans="1:9">
      <c r="A41" s="38"/>
      <c r="B41" s="38"/>
      <c r="C41" s="38"/>
      <c r="D41" s="38"/>
      <c r="E41" s="38"/>
      <c r="F41" s="44"/>
      <c r="G41" s="38"/>
      <c r="H41" s="38"/>
      <c r="I41" s="38"/>
    </row>
    <row r="42" spans="1:9">
      <c r="A42" s="38"/>
      <c r="C42" s="38"/>
      <c r="D42" s="38"/>
      <c r="E42" s="38"/>
      <c r="F42" s="73"/>
      <c r="G42" s="38"/>
      <c r="H42" s="38"/>
      <c r="I42" s="38"/>
    </row>
    <row r="43" spans="1:9">
      <c r="A43" s="38"/>
    </row>
    <row r="44" spans="1:9">
      <c r="A44" s="38"/>
    </row>
    <row r="45" spans="1:9">
      <c r="A45" s="38"/>
    </row>
    <row r="46" spans="1:9">
      <c r="A46" s="38"/>
      <c r="B46" s="38"/>
      <c r="C46" s="38"/>
      <c r="D46" s="38"/>
      <c r="E46" s="44"/>
      <c r="F46" s="38"/>
      <c r="G46" s="38"/>
      <c r="H46" s="38"/>
      <c r="I46" s="38"/>
    </row>
    <row r="47" spans="1:9">
      <c r="A47" s="38"/>
      <c r="B47" s="38"/>
      <c r="C47" s="38"/>
      <c r="D47" s="38"/>
      <c r="E47" s="44"/>
      <c r="F47" s="38"/>
      <c r="G47" s="38"/>
      <c r="H47" s="38"/>
      <c r="I47" s="38"/>
    </row>
    <row r="48" spans="1:9">
      <c r="A48" s="38"/>
      <c r="B48" s="38"/>
      <c r="C48" s="38"/>
      <c r="D48" s="38"/>
      <c r="E48" s="44"/>
      <c r="F48" s="38"/>
      <c r="G48" s="38"/>
      <c r="H48" s="38"/>
      <c r="I48" s="38"/>
    </row>
    <row r="49" spans="1:9">
      <c r="A49" s="38"/>
      <c r="B49" s="38"/>
      <c r="C49" s="38"/>
      <c r="D49" s="38"/>
      <c r="E49" s="44"/>
      <c r="F49" s="38"/>
      <c r="G49" s="38"/>
      <c r="H49" s="38"/>
      <c r="I49" s="38"/>
    </row>
    <row r="50" spans="1:9">
      <c r="A50" s="38"/>
    </row>
    <row r="51" spans="1:9">
      <c r="A51" s="38"/>
    </row>
    <row r="52" spans="1:9">
      <c r="A52" s="38"/>
    </row>
    <row r="53" spans="1:9">
      <c r="A53" s="38"/>
    </row>
    <row r="54" spans="1:9">
      <c r="A54" s="38"/>
    </row>
    <row r="55" spans="1:9">
      <c r="A55" s="38"/>
    </row>
    <row r="56" spans="1:9">
      <c r="A56" s="38"/>
    </row>
    <row r="57" spans="1:9">
      <c r="A57" s="38"/>
    </row>
    <row r="58" spans="1:9">
      <c r="A58" s="38"/>
    </row>
    <row r="59" spans="1:9">
      <c r="A59" s="38"/>
    </row>
    <row r="60" spans="1:9">
      <c r="A60" s="38"/>
    </row>
    <row r="61" spans="1:9">
      <c r="A61" s="38"/>
    </row>
    <row r="62" spans="1:9">
      <c r="A62" s="38"/>
    </row>
    <row r="63" spans="1:9">
      <c r="A63" s="38"/>
    </row>
    <row r="64" spans="1:9">
      <c r="A64" s="38"/>
    </row>
    <row r="65" spans="1:1">
      <c r="A65" s="38"/>
    </row>
  </sheetData>
  <printOptions horizontalCentered="1"/>
  <pageMargins left="0.5" right="0.5" top="0.5" bottom="0.25" header="0.5" footer="0.5"/>
  <pageSetup scale="95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zoomScale="80" zoomScaleNormal="80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L29" sqref="L29"/>
    </sheetView>
  </sheetViews>
  <sheetFormatPr defaultColWidth="9.85546875" defaultRowHeight="14.25"/>
  <cols>
    <col min="1" max="1" width="4.85546875" style="36" customWidth="1"/>
    <col min="2" max="2" width="9.85546875" style="36"/>
    <col min="3" max="3" width="15.85546875" style="36" customWidth="1"/>
    <col min="4" max="4" width="13.85546875" style="36" customWidth="1"/>
    <col min="5" max="5" width="16.7109375" style="36" customWidth="1"/>
    <col min="6" max="6" width="13.7109375" style="36" customWidth="1"/>
    <col min="7" max="7" width="11.140625" style="36" customWidth="1"/>
    <col min="8" max="8" width="15" style="36" customWidth="1"/>
    <col min="9" max="9" width="10.140625" style="36" bestFit="1" customWidth="1"/>
    <col min="10" max="10" width="9.85546875" style="36"/>
    <col min="11" max="11" width="15.140625" style="36" bestFit="1" customWidth="1"/>
    <col min="12" max="12" width="11.7109375" style="76" bestFit="1" customWidth="1"/>
    <col min="13" max="13" width="9.85546875" style="36"/>
    <col min="14" max="14" width="12.85546875" style="36" bestFit="1" customWidth="1"/>
    <col min="15" max="16384" width="9.85546875" style="36"/>
  </cols>
  <sheetData>
    <row r="1" spans="1:17" ht="15">
      <c r="A1" s="62" t="s">
        <v>40</v>
      </c>
      <c r="B1" s="50"/>
      <c r="C1" s="50"/>
      <c r="D1" s="50"/>
      <c r="E1" s="50"/>
      <c r="F1" s="50"/>
      <c r="G1" s="72"/>
      <c r="H1" s="38" t="s">
        <v>133</v>
      </c>
    </row>
    <row r="2" spans="1:17">
      <c r="A2" s="50" t="str">
        <f>B.1!A2</f>
        <v>Expected Gas Cost (EGC) Calculation</v>
      </c>
      <c r="B2" s="50"/>
      <c r="C2" s="50"/>
      <c r="D2" s="50"/>
      <c r="E2" s="50"/>
      <c r="F2" s="50"/>
      <c r="G2" s="72"/>
      <c r="H2" s="38" t="s">
        <v>279</v>
      </c>
      <c r="K2" s="36" t="s">
        <v>537</v>
      </c>
    </row>
    <row r="3" spans="1:17">
      <c r="A3" s="61" t="s">
        <v>278</v>
      </c>
      <c r="B3" s="50"/>
      <c r="C3" s="50"/>
      <c r="D3" s="50"/>
      <c r="E3" s="50"/>
      <c r="F3" s="50"/>
      <c r="G3" s="72"/>
      <c r="H3" s="38"/>
      <c r="J3" s="36" t="s">
        <v>534</v>
      </c>
      <c r="K3" s="304">
        <v>1.0397000000000001</v>
      </c>
    </row>
    <row r="4" spans="1:17">
      <c r="A4" s="38"/>
      <c r="B4" s="38"/>
      <c r="C4" s="38"/>
      <c r="D4" s="38"/>
      <c r="E4" s="38"/>
      <c r="F4" s="38"/>
      <c r="G4" s="60"/>
      <c r="H4" s="38"/>
      <c r="J4" s="36" t="s">
        <v>535</v>
      </c>
      <c r="K4" s="304">
        <v>1.0532999999999999</v>
      </c>
    </row>
    <row r="5" spans="1:17">
      <c r="E5" s="64" t="s">
        <v>35</v>
      </c>
      <c r="F5" s="64" t="s">
        <v>34</v>
      </c>
      <c r="G5" s="64" t="s">
        <v>33</v>
      </c>
      <c r="H5" s="64" t="s">
        <v>129</v>
      </c>
      <c r="I5" s="64"/>
      <c r="J5" s="36" t="s">
        <v>536</v>
      </c>
      <c r="K5" s="304">
        <f>K3</f>
        <v>1.0397000000000001</v>
      </c>
    </row>
    <row r="6" spans="1:17" ht="15">
      <c r="A6" s="394"/>
      <c r="B6" s="394"/>
      <c r="C6" s="394"/>
      <c r="D6" s="394"/>
      <c r="E6" s="394"/>
      <c r="F6" s="394"/>
      <c r="G6" s="394"/>
      <c r="H6" s="394"/>
    </row>
    <row r="7" spans="1:17" ht="15">
      <c r="A7" s="396" t="s">
        <v>32</v>
      </c>
      <c r="B7" s="394"/>
      <c r="C7" s="394"/>
      <c r="D7" s="394"/>
      <c r="E7" s="449"/>
      <c r="F7" s="449"/>
      <c r="G7" s="394"/>
      <c r="H7" s="394"/>
    </row>
    <row r="8" spans="1:17" ht="15">
      <c r="A8" s="397" t="s">
        <v>31</v>
      </c>
      <c r="B8" s="404" t="s">
        <v>30</v>
      </c>
      <c r="C8" s="404"/>
      <c r="D8" s="404"/>
      <c r="E8" s="395" t="s">
        <v>211</v>
      </c>
      <c r="F8" s="395"/>
      <c r="G8" s="397" t="s">
        <v>123</v>
      </c>
      <c r="H8" s="397" t="s">
        <v>122</v>
      </c>
    </row>
    <row r="9" spans="1:17" ht="15">
      <c r="B9" s="394"/>
      <c r="E9" s="64" t="s">
        <v>12</v>
      </c>
      <c r="F9" s="64" t="s">
        <v>121</v>
      </c>
      <c r="G9" s="64" t="s">
        <v>28</v>
      </c>
      <c r="H9" s="64" t="s">
        <v>119</v>
      </c>
    </row>
    <row r="10" spans="1:17" ht="15">
      <c r="B10" s="401"/>
      <c r="F10" s="408"/>
    </row>
    <row r="11" spans="1:17" ht="15">
      <c r="A11" s="36">
        <v>1</v>
      </c>
      <c r="B11" s="401" t="s">
        <v>277</v>
      </c>
      <c r="E11" s="47"/>
      <c r="F11" s="47"/>
    </row>
    <row r="12" spans="1:17">
      <c r="A12" s="36">
        <v>2</v>
      </c>
      <c r="B12" s="36" t="s">
        <v>276</v>
      </c>
      <c r="E12" s="47">
        <f>ROUND(F12/$K$3,0)</f>
        <v>2488155</v>
      </c>
      <c r="F12" s="47">
        <f>B.3!G11</f>
        <v>2586934.35</v>
      </c>
      <c r="G12" s="37">
        <f>IF(F12&lt;&gt;0,ROUND(H12/E12,4),0)</f>
        <v>3.0666000000000002</v>
      </c>
      <c r="H12" s="47">
        <f>B.3!I15</f>
        <v>7630163</v>
      </c>
    </row>
    <row r="13" spans="1:17">
      <c r="A13" s="36">
        <v>3</v>
      </c>
      <c r="B13" s="36" t="s">
        <v>235</v>
      </c>
      <c r="E13" s="47">
        <f t="shared" ref="E13:E14" si="0">ROUND(F13/$K$3,0)</f>
        <v>2035763</v>
      </c>
      <c r="F13" s="47">
        <f>B.3!G17</f>
        <v>2116582.65</v>
      </c>
      <c r="G13" s="37">
        <f>IF(F13&lt;&gt;0,ROUND(H13/E13,4),0)</f>
        <v>3.0585</v>
      </c>
      <c r="H13" s="47">
        <f>B.3!I22</f>
        <v>6226351</v>
      </c>
    </row>
    <row r="14" spans="1:17">
      <c r="A14" s="36">
        <v>4</v>
      </c>
      <c r="B14" s="36" t="s">
        <v>193</v>
      </c>
      <c r="D14" s="410"/>
      <c r="E14" s="47">
        <f t="shared" si="0"/>
        <v>-1350047</v>
      </c>
      <c r="F14" s="47">
        <f>B.3!G25+B.3!G26</f>
        <v>-1403644</v>
      </c>
      <c r="G14" s="37">
        <f>IF(F14&lt;&gt;0,ROUND(H14/E14,4),0)</f>
        <v>3.0666000000000002</v>
      </c>
      <c r="H14" s="47">
        <f>B.3!I29</f>
        <v>-4140048.28</v>
      </c>
    </row>
    <row r="15" spans="1:17">
      <c r="A15" s="36">
        <v>5</v>
      </c>
      <c r="B15" s="36" t="s">
        <v>275</v>
      </c>
      <c r="E15" s="400">
        <f>SUM(E12:E14)</f>
        <v>3173871</v>
      </c>
      <c r="F15" s="400">
        <f>SUM(F12:F14)</f>
        <v>3299873</v>
      </c>
      <c r="G15" s="450">
        <f>IF(F15&lt;&gt;0,ROUND(H15/E15,4),0)</f>
        <v>3.0613999999999999</v>
      </c>
      <c r="H15" s="400">
        <f>SUM(H12:H14)</f>
        <v>9716465.7200000007</v>
      </c>
      <c r="K15" s="302"/>
      <c r="L15" s="302"/>
      <c r="Q15" s="347"/>
    </row>
    <row r="16" spans="1:17">
      <c r="A16" s="36">
        <v>6</v>
      </c>
      <c r="F16" s="47"/>
      <c r="J16" s="37"/>
      <c r="K16" s="47"/>
      <c r="Q16" s="347"/>
    </row>
    <row r="17" spans="1:17" ht="15">
      <c r="A17" s="36">
        <v>7</v>
      </c>
      <c r="B17" s="401" t="s">
        <v>274</v>
      </c>
      <c r="F17" s="47"/>
      <c r="H17" s="47"/>
      <c r="Q17" s="347"/>
    </row>
    <row r="18" spans="1:17">
      <c r="A18" s="36">
        <v>8</v>
      </c>
      <c r="B18" s="36" t="s">
        <v>273</v>
      </c>
      <c r="E18" s="47">
        <f>ROUND(F18/$K$4,0)</f>
        <v>726929</v>
      </c>
      <c r="F18" s="47">
        <f>B.4!H11</f>
        <v>765674</v>
      </c>
      <c r="G18" s="37">
        <f>IF(F18&lt;&gt;0,ROUND(H18/E18,4),0)</f>
        <v>3.0901000000000001</v>
      </c>
      <c r="H18" s="47">
        <f>B.4!J16</f>
        <v>2246272</v>
      </c>
      <c r="Q18" s="347"/>
    </row>
    <row r="19" spans="1:17">
      <c r="A19" s="36">
        <v>9</v>
      </c>
      <c r="B19" s="36" t="s">
        <v>272</v>
      </c>
      <c r="E19" s="47">
        <f>ROUND(F19/$K$4,0)</f>
        <v>0</v>
      </c>
      <c r="F19" s="47">
        <f>B.4!H18</f>
        <v>0</v>
      </c>
      <c r="G19" s="37">
        <f>IF(F19&lt;&gt;0,ROUND(H19/E19,4),0)</f>
        <v>0</v>
      </c>
      <c r="H19" s="47">
        <f>B.4!J23</f>
        <v>0</v>
      </c>
      <c r="J19" s="47"/>
      <c r="K19" s="47"/>
      <c r="Q19" s="347"/>
    </row>
    <row r="20" spans="1:17">
      <c r="A20" s="36">
        <v>10</v>
      </c>
      <c r="B20" s="36" t="s">
        <v>142</v>
      </c>
      <c r="E20" s="47"/>
      <c r="F20" s="47"/>
      <c r="G20" s="37"/>
      <c r="H20" s="47"/>
      <c r="I20" s="47"/>
      <c r="Q20" s="347"/>
    </row>
    <row r="21" spans="1:17">
      <c r="A21" s="36">
        <v>11</v>
      </c>
      <c r="B21" s="451" t="s">
        <v>232</v>
      </c>
      <c r="E21" s="47">
        <f t="shared" ref="E21:E22" si="1">ROUND(F21/$K$4,0)</f>
        <v>-475154</v>
      </c>
      <c r="F21" s="47">
        <f>B.4!H27</f>
        <v>-500480</v>
      </c>
      <c r="G21" s="37">
        <f>IF(F21&lt;&gt;0,ROUND(H21/E21,4),0)</f>
        <v>3.0320999999999998</v>
      </c>
      <c r="H21" s="47">
        <f>B.4!J27+B.4!J29</f>
        <v>-1440731.6</v>
      </c>
      <c r="Q21" s="347"/>
    </row>
    <row r="22" spans="1:17">
      <c r="A22" s="36">
        <v>12</v>
      </c>
      <c r="B22" s="451" t="s">
        <v>189</v>
      </c>
      <c r="D22" s="410"/>
      <c r="E22" s="47">
        <f t="shared" si="1"/>
        <v>0</v>
      </c>
      <c r="F22" s="79">
        <f>B.4!H26</f>
        <v>0</v>
      </c>
      <c r="G22" s="37">
        <f>IF(F22&lt;&gt;0,ROUND(H22/E22,4),0)</f>
        <v>0</v>
      </c>
      <c r="H22" s="79">
        <f>B.4!J26+B.4!J28+B.4!J30</f>
        <v>-50</v>
      </c>
      <c r="Q22" s="347"/>
    </row>
    <row r="23" spans="1:17" ht="15">
      <c r="A23" s="36">
        <v>13</v>
      </c>
      <c r="E23" s="400">
        <f>SUM(E18:E22)</f>
        <v>251775</v>
      </c>
      <c r="F23" s="400">
        <f>SUM(F18:F22)</f>
        <v>265194</v>
      </c>
      <c r="G23" s="450">
        <f>IF(F23&lt;&gt;0,ROUND(H23/E23,4),0)</f>
        <v>3.1991999999999998</v>
      </c>
      <c r="H23" s="400">
        <f>SUM(H18:H22)</f>
        <v>805490.39999999991</v>
      </c>
      <c r="I23" s="394"/>
      <c r="L23" s="303"/>
      <c r="Q23" s="347"/>
    </row>
    <row r="24" spans="1:17" ht="15">
      <c r="A24" s="36">
        <v>14</v>
      </c>
      <c r="B24" s="401" t="s">
        <v>271</v>
      </c>
      <c r="F24" s="47"/>
      <c r="H24" s="47"/>
    </row>
    <row r="25" spans="1:17">
      <c r="A25" s="36">
        <v>15</v>
      </c>
      <c r="B25" s="36" t="s">
        <v>235</v>
      </c>
      <c r="E25" s="47">
        <f>ROUND(F25/K5,0)</f>
        <v>88487</v>
      </c>
      <c r="F25" s="47">
        <f>B.5!H12</f>
        <v>92000</v>
      </c>
      <c r="G25" s="37">
        <f>IF(F25&lt;&gt;0,ROUND(H25/E25,4),0)</f>
        <v>3.0335999999999999</v>
      </c>
      <c r="H25" s="47">
        <f>B.5!J17</f>
        <v>268438</v>
      </c>
    </row>
    <row r="26" spans="1:17">
      <c r="A26" s="36">
        <v>16</v>
      </c>
      <c r="G26" s="37"/>
    </row>
    <row r="27" spans="1:17" ht="15">
      <c r="A27" s="36">
        <v>17</v>
      </c>
      <c r="B27" s="401" t="s">
        <v>270</v>
      </c>
      <c r="F27" s="47"/>
      <c r="G27" s="37"/>
    </row>
    <row r="28" spans="1:17">
      <c r="A28" s="36">
        <v>18</v>
      </c>
      <c r="B28" s="36" t="s">
        <v>268</v>
      </c>
      <c r="E28" s="47">
        <f>ROUND(F28/K3,0)</f>
        <v>0</v>
      </c>
      <c r="F28" s="47">
        <v>0</v>
      </c>
      <c r="G28" s="37">
        <f>IF(F28&lt;&gt;0,ROUND(H28/E28,4),0)</f>
        <v>0</v>
      </c>
      <c r="H28" s="47">
        <f>ROUND(E28*B.3!H29,0)</f>
        <v>0</v>
      </c>
    </row>
    <row r="29" spans="1:17">
      <c r="A29" s="36">
        <v>19</v>
      </c>
      <c r="B29" s="36" t="s">
        <v>269</v>
      </c>
      <c r="E29" s="47">
        <f>ROUND(F29/K3,0)</f>
        <v>-1174312</v>
      </c>
      <c r="F29" s="79">
        <v>-1220932</v>
      </c>
      <c r="G29" s="313">
        <f>IF(F29&lt;&gt;0,ROUND(H29/E29,4),0)</f>
        <v>2.9495</v>
      </c>
      <c r="H29" s="79">
        <f>ROUND(E29*B.3!H29,0)</f>
        <v>-3463633</v>
      </c>
      <c r="J29" s="70"/>
      <c r="K29" s="78"/>
    </row>
    <row r="30" spans="1:17">
      <c r="A30" s="36">
        <v>20</v>
      </c>
      <c r="B30" s="36" t="s">
        <v>267</v>
      </c>
      <c r="D30" s="410"/>
      <c r="E30" s="47">
        <f>E28+E29</f>
        <v>-1174312</v>
      </c>
      <c r="F30" s="47">
        <f>F28+F29</f>
        <v>-1220932</v>
      </c>
      <c r="G30" s="37">
        <f>IF(F30&lt;&gt;0,ROUND(H30/E30,4),0)</f>
        <v>2.9495</v>
      </c>
      <c r="H30" s="47">
        <f>H28+H29</f>
        <v>-3463633</v>
      </c>
      <c r="K30" s="302"/>
      <c r="L30" s="302"/>
    </row>
    <row r="31" spans="1:17">
      <c r="A31" s="36">
        <v>21</v>
      </c>
      <c r="D31" s="410"/>
      <c r="F31" s="47"/>
      <c r="G31" s="37"/>
      <c r="H31" s="47"/>
    </row>
    <row r="32" spans="1:17">
      <c r="A32" s="36">
        <v>22</v>
      </c>
      <c r="D32" s="410"/>
      <c r="F32" s="47"/>
      <c r="G32" s="37"/>
      <c r="H32" s="47"/>
    </row>
    <row r="33" spans="1:14">
      <c r="A33" s="36">
        <v>23</v>
      </c>
      <c r="B33" s="36" t="s">
        <v>266</v>
      </c>
      <c r="D33" s="410"/>
      <c r="E33" s="47">
        <f>ROUND(F33/K4,0)</f>
        <v>3246</v>
      </c>
      <c r="F33" s="47">
        <f>D.2!D24+D.2!F24+D.2!H24</f>
        <v>3418.99</v>
      </c>
      <c r="G33" s="37">
        <f>IF(F33&lt;&gt;0,ROUND(H33/E33,4),0)</f>
        <v>2.87</v>
      </c>
      <c r="H33" s="47">
        <v>9316</v>
      </c>
    </row>
    <row r="34" spans="1:14">
      <c r="A34" s="36">
        <v>24</v>
      </c>
      <c r="D34" s="410"/>
      <c r="F34" s="47"/>
      <c r="G34" s="37"/>
      <c r="H34" s="47"/>
    </row>
    <row r="35" spans="1:14">
      <c r="A35" s="36">
        <v>25</v>
      </c>
      <c r="F35" s="47"/>
      <c r="M35" s="47"/>
    </row>
    <row r="36" spans="1:14">
      <c r="A36" s="36">
        <v>26</v>
      </c>
      <c r="F36" s="47"/>
      <c r="G36" s="436"/>
    </row>
    <row r="37" spans="1:14">
      <c r="A37" s="36">
        <v>27</v>
      </c>
      <c r="B37" s="36" t="s">
        <v>265</v>
      </c>
      <c r="E37" s="452">
        <f>E15+E23+E25+E30+E33</f>
        <v>2343067</v>
      </c>
      <c r="F37" s="452">
        <f>F15+F23+F25+F30+F33</f>
        <v>2439553.9900000002</v>
      </c>
      <c r="G37" s="37">
        <f>IF(F37&lt;&gt;0,ROUND(H37/E37,4),0)</f>
        <v>3.1309999999999998</v>
      </c>
      <c r="H37" s="452">
        <f>H15+H23+H25+H30+H33</f>
        <v>7336077.120000001</v>
      </c>
      <c r="K37" s="304"/>
      <c r="L37" s="305"/>
    </row>
    <row r="38" spans="1:14">
      <c r="A38" s="36">
        <v>28</v>
      </c>
      <c r="E38" s="47"/>
      <c r="F38" s="47"/>
      <c r="G38" s="398"/>
      <c r="H38" s="47"/>
    </row>
    <row r="39" spans="1:14">
      <c r="A39" s="36">
        <v>29</v>
      </c>
      <c r="B39" s="36" t="s">
        <v>264</v>
      </c>
      <c r="D39" s="410">
        <v>2.1399999999999999E-2</v>
      </c>
      <c r="E39" s="47">
        <f>ROUND(F39*$E$37/$F$37,0)</f>
        <v>50141</v>
      </c>
      <c r="F39" s="47">
        <f>ROUND(F37*D39,0)</f>
        <v>52206</v>
      </c>
    </row>
    <row r="40" spans="1:14">
      <c r="A40" s="36">
        <v>30</v>
      </c>
      <c r="F40" s="47"/>
      <c r="G40" s="418"/>
    </row>
    <row r="41" spans="1:14">
      <c r="A41" s="36">
        <v>31</v>
      </c>
      <c r="B41" s="36" t="s">
        <v>263</v>
      </c>
      <c r="D41" s="47"/>
      <c r="E41" s="453">
        <f>E37-E39</f>
        <v>2292926</v>
      </c>
      <c r="F41" s="453">
        <f>F37-F39</f>
        <v>2387347.9900000002</v>
      </c>
      <c r="G41" s="37">
        <f>IF(F41&lt;&gt;0,ROUND(H41/E41,4),0)</f>
        <v>3.1993999999999998</v>
      </c>
      <c r="H41" s="453">
        <f>SUM(H37:H40)</f>
        <v>7336077.120000001</v>
      </c>
      <c r="N41" s="77"/>
    </row>
    <row r="42" spans="1:14">
      <c r="A42" s="36">
        <v>32</v>
      </c>
      <c r="F42" s="47"/>
      <c r="M42" s="37"/>
    </row>
    <row r="43" spans="1:14">
      <c r="A43" s="36">
        <v>33</v>
      </c>
      <c r="B43" s="454"/>
      <c r="C43" s="417"/>
      <c r="D43" s="417"/>
      <c r="E43" s="417"/>
      <c r="F43" s="47"/>
    </row>
    <row r="44" spans="1:14">
      <c r="A44" s="36">
        <v>34</v>
      </c>
      <c r="C44" s="407"/>
      <c r="E44" s="436"/>
      <c r="F44" s="79"/>
      <c r="G44" s="436"/>
      <c r="H44" s="436"/>
    </row>
    <row r="45" spans="1:14" ht="15" thickBot="1">
      <c r="A45" s="36">
        <v>35</v>
      </c>
      <c r="B45" s="36" t="s">
        <v>262</v>
      </c>
      <c r="E45" s="437">
        <f>E41</f>
        <v>2292926</v>
      </c>
      <c r="F45" s="437">
        <f>F41</f>
        <v>2387347.9900000002</v>
      </c>
      <c r="G45" s="414">
        <f>ROUND(H45/E45, 4)</f>
        <v>3.1993999999999998</v>
      </c>
      <c r="H45" s="437">
        <f>H41</f>
        <v>7336077.120000001</v>
      </c>
    </row>
    <row r="46" spans="1:14" ht="15" thickTop="1">
      <c r="A46" s="36">
        <v>36</v>
      </c>
    </row>
    <row r="47" spans="1:14">
      <c r="A47" s="36">
        <v>37</v>
      </c>
      <c r="E47" s="47"/>
      <c r="F47" s="47"/>
      <c r="G47" s="37"/>
      <c r="H47" s="47"/>
    </row>
    <row r="48" spans="1:14">
      <c r="A48" s="36">
        <v>38</v>
      </c>
      <c r="B48" s="36" t="s">
        <v>261</v>
      </c>
      <c r="F48" s="47"/>
      <c r="H48" s="47"/>
    </row>
    <row r="49" spans="1:8">
      <c r="A49" s="36">
        <v>39</v>
      </c>
      <c r="F49" s="47"/>
      <c r="G49" s="348"/>
      <c r="H49" s="47"/>
    </row>
    <row r="50" spans="1:8">
      <c r="F50" s="47"/>
      <c r="G50" s="304"/>
      <c r="H50" s="47"/>
    </row>
    <row r="51" spans="1:8">
      <c r="E51" s="47"/>
      <c r="F51" s="47"/>
      <c r="H51" s="47"/>
    </row>
    <row r="52" spans="1:8">
      <c r="A52" s="38"/>
      <c r="B52" s="38"/>
      <c r="C52" s="38"/>
      <c r="D52" s="38"/>
      <c r="E52" s="38"/>
      <c r="F52" s="44"/>
      <c r="G52" s="38"/>
      <c r="H52" s="38"/>
    </row>
    <row r="53" spans="1:8">
      <c r="A53" s="38"/>
      <c r="B53" s="38"/>
      <c r="C53" s="38"/>
      <c r="D53" s="38"/>
      <c r="E53" s="38"/>
      <c r="F53" s="44"/>
      <c r="G53" s="38"/>
      <c r="H53" s="38"/>
    </row>
    <row r="54" spans="1:8">
      <c r="A54" s="38"/>
      <c r="B54" s="38"/>
      <c r="C54" s="38"/>
      <c r="D54" s="38"/>
      <c r="E54" s="38"/>
      <c r="F54" s="44"/>
      <c r="G54" s="38"/>
      <c r="H54" s="38"/>
    </row>
    <row r="55" spans="1:8">
      <c r="A55" s="38"/>
      <c r="B55" s="38"/>
      <c r="C55" s="38"/>
      <c r="D55" s="38"/>
      <c r="E55" s="38"/>
      <c r="F55" s="44"/>
      <c r="G55" s="38"/>
      <c r="H55" s="38"/>
    </row>
    <row r="56" spans="1:8">
      <c r="A56" s="38"/>
    </row>
    <row r="57" spans="1:8">
      <c r="A57" s="38"/>
    </row>
    <row r="58" spans="1:8">
      <c r="A58" s="38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  <ignoredErrors>
    <ignoredError sqref="E15:G36 E38:G45" formula="1"/>
    <ignoredError sqref="E37:G37" formula="1" unlockedFormula="1"/>
    <ignoredError sqref="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WorkPaper</vt:lpstr>
      <vt:lpstr>WP-E.1</vt:lpstr>
      <vt:lpstr>Data Mart Inputs</vt:lpstr>
      <vt:lpstr>Holidays</vt:lpstr>
      <vt:lpstr>Rate Validation</vt:lpstr>
      <vt:lpstr>DemandChargePerMdq</vt:lpstr>
      <vt:lpstr>ExpectedCommodity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rpt_Confidential</vt:lpstr>
      <vt:lpstr>rpt_PublicDisclosure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Vo, Christina</cp:lastModifiedBy>
  <cp:lastPrinted>2024-06-27T13:21:49Z</cp:lastPrinted>
  <dcterms:created xsi:type="dcterms:W3CDTF">2012-10-03T12:42:31Z</dcterms:created>
  <dcterms:modified xsi:type="dcterms:W3CDTF">2024-06-27T13:24:50Z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