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kofirm-my.sharepoint.com/personal/emily_childress_skofirm_com/Documents/Emily Utility Documents/Gas/Valley Gas/PSC-Nov 1/"/>
    </mc:Choice>
  </mc:AlternateContent>
  <xr:revisionPtr revIDLastSave="6" documentId="8_{DA24C5C5-B966-4375-B4CE-1D714116FD58}" xr6:coauthVersionLast="47" xr6:coauthVersionMax="47" xr10:uidLastSave="{2EF1ED72-5C71-4C93-82EB-173C21FEA01A}"/>
  <bookViews>
    <workbookView xWindow="-110" yWindow="-110" windowWidth="19420" windowHeight="11760" activeTab="3" xr2:uid="{00000000-000D-0000-FFFF-FFFF00000000}"/>
  </bookViews>
  <sheets>
    <sheet name="Schedule I" sheetId="1" r:id="rId1"/>
    <sheet name="Schedule II" sheetId="2" r:id="rId2"/>
    <sheet name="Schedule IV" sheetId="5" r:id="rId3"/>
    <sheet name="Data" sheetId="4" r:id="rId4"/>
  </sheets>
  <definedNames>
    <definedName name="_xlnm.Print_Area" localSheetId="0">'Schedule I'!$A$1:$I$48</definedName>
    <definedName name="_xlnm.Print_Area" localSheetId="1">'Schedule II'!$A$1:$F$35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7" i="4" l="1"/>
  <c r="M55" i="4" l="1"/>
  <c r="N55" i="4"/>
  <c r="O55" i="4"/>
  <c r="P55" i="4"/>
  <c r="Q55" i="4"/>
  <c r="R55" i="4"/>
  <c r="L55" i="4"/>
  <c r="C55" i="4"/>
  <c r="D55" i="4"/>
  <c r="E55" i="4"/>
  <c r="F55" i="4"/>
  <c r="G55" i="4"/>
  <c r="H55" i="4"/>
  <c r="I55" i="4"/>
  <c r="J55" i="4"/>
  <c r="B55" i="4"/>
  <c r="Q50" i="4" l="1"/>
  <c r="Q51" i="4"/>
  <c r="Q52" i="4"/>
  <c r="O50" i="4"/>
  <c r="O51" i="4"/>
  <c r="O52" i="4"/>
  <c r="G52" i="4" l="1"/>
  <c r="F52" i="4"/>
  <c r="J50" i="4"/>
  <c r="J51" i="4"/>
  <c r="J52" i="4"/>
  <c r="J53" i="4"/>
  <c r="G51" i="4"/>
  <c r="F51" i="4"/>
  <c r="G50" i="4"/>
  <c r="F50" i="4"/>
  <c r="J49" i="4"/>
  <c r="F49" i="4"/>
  <c r="G49" i="4"/>
  <c r="J48" i="4"/>
  <c r="G48" i="4"/>
  <c r="F48" i="4"/>
  <c r="J47" i="4"/>
  <c r="G47" i="4"/>
  <c r="F47" i="4"/>
  <c r="O49" i="4" l="1"/>
  <c r="Q49" i="4"/>
  <c r="O48" i="4"/>
  <c r="Q48" i="4"/>
  <c r="Q47" i="4"/>
  <c r="O46" i="4" l="1"/>
  <c r="Q46" i="4"/>
  <c r="O45" i="4"/>
  <c r="Q45" i="4"/>
  <c r="O44" i="4"/>
  <c r="Q44" i="4"/>
  <c r="J44" i="4"/>
  <c r="J45" i="4"/>
  <c r="J46" i="4"/>
  <c r="G44" i="4"/>
  <c r="G45" i="4"/>
  <c r="G46" i="4"/>
  <c r="F44" i="4"/>
  <c r="F45" i="4"/>
  <c r="F46" i="4"/>
  <c r="Q41" i="4" l="1"/>
  <c r="Q42" i="4"/>
  <c r="Q43" i="4"/>
  <c r="O41" i="4"/>
  <c r="O42" i="4"/>
  <c r="O43" i="4"/>
  <c r="J41" i="4"/>
  <c r="J42" i="4"/>
  <c r="J43" i="4"/>
  <c r="G41" i="4"/>
  <c r="G42" i="4"/>
  <c r="G43" i="4"/>
  <c r="F41" i="4"/>
  <c r="F42" i="4"/>
  <c r="F43" i="4"/>
  <c r="D11" i="5"/>
  <c r="E11" i="5"/>
  <c r="F11" i="5"/>
  <c r="O38" i="4"/>
  <c r="O39" i="4"/>
  <c r="O40" i="4"/>
  <c r="Q38" i="4"/>
  <c r="Q39" i="4"/>
  <c r="Q40" i="4"/>
  <c r="J40" i="4"/>
  <c r="G40" i="4"/>
  <c r="F40" i="4"/>
  <c r="J39" i="4"/>
  <c r="G39" i="4"/>
  <c r="F39" i="4"/>
  <c r="J38" i="4"/>
  <c r="G38" i="4"/>
  <c r="F38" i="4"/>
  <c r="O37" i="4"/>
  <c r="Q37" i="4"/>
  <c r="O36" i="4"/>
  <c r="Q36" i="4"/>
  <c r="O35" i="4"/>
  <c r="Q35" i="4"/>
  <c r="G37" i="4"/>
  <c r="F37" i="4"/>
  <c r="J37" i="4"/>
  <c r="G36" i="4"/>
  <c r="F36" i="4"/>
  <c r="J36" i="4"/>
  <c r="J35" i="4"/>
  <c r="G35" i="4"/>
  <c r="F35" i="4"/>
  <c r="B16" i="2" l="1"/>
  <c r="J34" i="4"/>
  <c r="G34" i="4"/>
  <c r="F34" i="4"/>
  <c r="J33" i="4"/>
  <c r="G33" i="4"/>
  <c r="F33" i="4"/>
  <c r="J32" i="4"/>
  <c r="G32" i="4"/>
  <c r="F32" i="4"/>
  <c r="O34" i="4"/>
  <c r="Q34" i="4"/>
  <c r="O33" i="4"/>
  <c r="Q33" i="4"/>
  <c r="O32" i="4"/>
  <c r="Q32" i="4"/>
  <c r="D15" i="2" l="1"/>
  <c r="E12" i="5"/>
  <c r="F12" i="5"/>
  <c r="F15" i="5" s="1"/>
  <c r="F17" i="5" s="1"/>
  <c r="F20" i="5" s="1"/>
  <c r="F23" i="5" s="1"/>
  <c r="F25" i="5" s="1"/>
  <c r="D12" i="5"/>
  <c r="E15" i="5" l="1"/>
  <c r="E17" i="5" s="1"/>
  <c r="E20" i="5" s="1"/>
  <c r="E23" i="5" s="1"/>
  <c r="E25" i="5" s="1"/>
  <c r="D15" i="5"/>
  <c r="D17" i="5" s="1"/>
  <c r="D20" i="5" s="1"/>
  <c r="D23" i="5" s="1"/>
  <c r="D25" i="5" s="1"/>
  <c r="Q29" i="4"/>
  <c r="Q30" i="4"/>
  <c r="Q31" i="4"/>
  <c r="O29" i="4"/>
  <c r="O30" i="4"/>
  <c r="O31" i="4"/>
  <c r="J29" i="4"/>
  <c r="J30" i="4"/>
  <c r="J31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E27" i="5" l="1"/>
  <c r="E29" i="5" s="1"/>
  <c r="I36" i="1" s="1"/>
  <c r="H13" i="2"/>
  <c r="Q26" i="4" l="1"/>
  <c r="Q27" i="4"/>
  <c r="Q28" i="4"/>
  <c r="O26" i="4"/>
  <c r="O27" i="4"/>
  <c r="O28" i="4"/>
  <c r="J26" i="4"/>
  <c r="J27" i="4"/>
  <c r="J28" i="4"/>
  <c r="O25" i="4" l="1"/>
  <c r="Q25" i="4"/>
  <c r="O24" i="4"/>
  <c r="Q24" i="4"/>
  <c r="O23" i="4"/>
  <c r="Q23" i="4"/>
  <c r="Q22" i="4"/>
  <c r="J25" i="4"/>
  <c r="J24" i="4"/>
  <c r="J23" i="4"/>
  <c r="O22" i="4" l="1"/>
  <c r="O21" i="4"/>
  <c r="Q21" i="4"/>
  <c r="O20" i="4"/>
  <c r="Q20" i="4"/>
  <c r="J22" i="4"/>
  <c r="J21" i="4"/>
  <c r="G20" i="4"/>
  <c r="F20" i="4"/>
  <c r="J20" i="4"/>
  <c r="J19" i="4" l="1"/>
  <c r="G19" i="4"/>
  <c r="F19" i="4"/>
  <c r="J18" i="4"/>
  <c r="G18" i="4"/>
  <c r="F18" i="4"/>
  <c r="J17" i="4"/>
  <c r="G17" i="4"/>
  <c r="F17" i="4"/>
  <c r="O19" i="4"/>
  <c r="O18" i="4"/>
  <c r="Q19" i="4"/>
  <c r="Q18" i="4"/>
  <c r="J16" i="4" l="1"/>
  <c r="G16" i="4"/>
  <c r="F16" i="4"/>
  <c r="J15" i="4"/>
  <c r="G15" i="4"/>
  <c r="F15" i="4"/>
  <c r="J14" i="4"/>
  <c r="G14" i="4"/>
  <c r="F14" i="4"/>
  <c r="O17" i="4" l="1"/>
  <c r="Q17" i="4"/>
  <c r="O16" i="4"/>
  <c r="Q16" i="4"/>
  <c r="Q15" i="4"/>
  <c r="Q14" i="4"/>
  <c r="O15" i="4"/>
  <c r="O14" i="4"/>
  <c r="J13" i="4"/>
  <c r="J12" i="4"/>
  <c r="J11" i="4"/>
  <c r="G13" i="4"/>
  <c r="G12" i="4"/>
  <c r="G11" i="4"/>
  <c r="F13" i="4"/>
  <c r="F12" i="4"/>
  <c r="F11" i="4"/>
  <c r="Q13" i="4"/>
  <c r="Q12" i="4"/>
  <c r="Q11" i="4"/>
  <c r="O13" i="4"/>
  <c r="O12" i="4"/>
  <c r="O11" i="4"/>
  <c r="J8" i="4"/>
  <c r="J10" i="4"/>
  <c r="J9" i="4"/>
  <c r="G10" i="4"/>
  <c r="G9" i="4"/>
  <c r="G8" i="4"/>
  <c r="F10" i="4"/>
  <c r="F9" i="4"/>
  <c r="F8" i="4"/>
  <c r="B14" i="2" l="1"/>
  <c r="O10" i="4"/>
  <c r="Q10" i="4"/>
  <c r="O9" i="4"/>
  <c r="Q9" i="4"/>
  <c r="O8" i="4"/>
  <c r="Q8" i="4"/>
  <c r="O7" i="4" l="1"/>
  <c r="O6" i="4"/>
  <c r="O5" i="4"/>
  <c r="Q7" i="4"/>
  <c r="Q6" i="4"/>
  <c r="Q5" i="4"/>
  <c r="J7" i="4"/>
  <c r="J6" i="4"/>
  <c r="J5" i="4"/>
  <c r="J4" i="4"/>
  <c r="J3" i="4"/>
  <c r="J2" i="4"/>
  <c r="G7" i="4"/>
  <c r="G6" i="4"/>
  <c r="G5" i="4"/>
  <c r="F7" i="4"/>
  <c r="F6" i="4"/>
  <c r="F5" i="4"/>
  <c r="O4" i="4" l="1"/>
  <c r="O3" i="4"/>
  <c r="Q4" i="4"/>
  <c r="Q3" i="4"/>
  <c r="Q2" i="4"/>
  <c r="G4" i="4"/>
  <c r="G3" i="4"/>
  <c r="G2" i="4"/>
  <c r="F4" i="4"/>
  <c r="F3" i="4"/>
  <c r="F2" i="4"/>
  <c r="B28" i="2" l="1"/>
  <c r="E14" i="2" l="1"/>
  <c r="E15" i="2" l="1"/>
  <c r="E16" i="2" s="1"/>
  <c r="I48" i="1" l="1"/>
  <c r="I32" i="1"/>
  <c r="I23" i="1" l="1"/>
  <c r="F20" i="2"/>
  <c r="F19" i="2"/>
  <c r="F18" i="2"/>
  <c r="F17" i="2"/>
  <c r="D16" i="2"/>
  <c r="F15" i="2"/>
  <c r="F16" i="2" l="1"/>
  <c r="I11" i="1" l="1"/>
  <c r="I13" i="1" l="1"/>
  <c r="I40" i="1" l="1"/>
  <c r="I12" i="1" s="1"/>
  <c r="D14" i="2"/>
  <c r="D25" i="2" s="1"/>
  <c r="F14" i="2" l="1"/>
  <c r="F25" i="2" s="1"/>
  <c r="E27" i="2"/>
  <c r="F31" i="2" l="1"/>
  <c r="F32" i="2"/>
  <c r="D29" i="2"/>
  <c r="F34" i="2"/>
  <c r="F33" i="2" l="1"/>
  <c r="F35" i="2" s="1"/>
  <c r="I22" i="1" s="1"/>
  <c r="I24" i="1" s="1"/>
  <c r="I10" i="1" s="1"/>
  <c r="I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Sarah.Jankowski</author>
  </authors>
  <commentList>
    <comment ref="H8" authorId="0" shapeId="0" xr:uid="{00000000-0006-0000-0100-000001000000}">
      <text>
        <r>
          <rPr>
            <sz val="9"/>
            <color indexed="81"/>
            <rFont val="Tahoma"/>
            <family val="2"/>
          </rPr>
          <t>Fuel page is not up dated from prior application</t>
        </r>
      </text>
    </comment>
    <comment ref="B14" authorId="0" shapeId="0" xr:uid="{00000000-0006-0000-0100-000002000000}">
      <text>
        <r>
          <rPr>
            <sz val="9"/>
            <color indexed="81"/>
            <rFont val="Tahoma"/>
            <family val="2"/>
          </rPr>
          <t>Usage Pur</t>
        </r>
      </text>
    </comment>
    <comment ref="E14" authorId="0" shapeId="0" xr:uid="{00000000-0006-0000-0100-000003000000}">
      <text>
        <r>
          <rPr>
            <sz val="9"/>
            <color indexed="81"/>
            <rFont val="Tahoma"/>
            <family val="2"/>
          </rPr>
          <t>From Fuel page</t>
        </r>
      </text>
    </comment>
    <comment ref="B15" authorId="0" shapeId="0" xr:uid="{00000000-0006-0000-0100-000004000000}">
      <text>
        <r>
          <rPr>
            <sz val="9"/>
            <color indexed="81"/>
            <rFont val="Tahoma"/>
            <family val="2"/>
          </rPr>
          <t>Industrial Usage</t>
        </r>
      </text>
    </comment>
    <comment ref="B16" authorId="0" shapeId="0" xr:uid="{00000000-0006-0000-0100-000005000000}">
      <text>
        <r>
          <rPr>
            <sz val="9"/>
            <color indexed="81"/>
            <rFont val="Tahoma"/>
            <family val="2"/>
          </rPr>
          <t>From Storage Summary: End Bal</t>
        </r>
      </text>
    </comment>
  </commentList>
</comments>
</file>

<file path=xl/sharedStrings.xml><?xml version="1.0" encoding="utf-8"?>
<sst xmlns="http://schemas.openxmlformats.org/spreadsheetml/2006/main" count="202" uniqueCount="141">
  <si>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</si>
  <si>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</si>
  <si>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</si>
  <si>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</si>
  <si>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</si>
  <si>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</si>
  <si>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</si>
  <si>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</si>
  <si>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</si>
  <si>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</si>
  <si>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</si>
  <si>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</si>
  <si>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</si>
  <si>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</si>
  <si>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</si>
  <si>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</si>
  <si>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</si>
  <si>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</si>
  <si>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</si>
  <si>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</si>
  <si>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</si>
  <si>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</si>
  <si>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</si>
  <si>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</si>
  <si>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</si>
  <si>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</si>
  <si>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</si>
  <si>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</si>
  <si>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</si>
  <si>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</si>
  <si>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</si>
  <si>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</si>
  <si>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</si>
  <si>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</si>
  <si>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</si>
  <si>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</si>
  <si>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</si>
  <si>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</si>
  <si>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</si>
  <si>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</si>
  <si>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</si>
  <si>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</si>
  <si>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(4) x (5)</t>
  </si>
  <si>
    <t>Supplier</t>
  </si>
  <si>
    <t>Conversion Factor</t>
  </si>
  <si>
    <t>Mcf</t>
  </si>
  <si>
    <t>Cost</t>
  </si>
  <si>
    <t>Totals</t>
  </si>
  <si>
    <t xml:space="preserve">Line loss for 12 months ended </t>
  </si>
  <si>
    <t>is based on purchases of</t>
  </si>
  <si>
    <t>and sales of</t>
  </si>
  <si>
    <t>Total Expected Cost of Purchases (6)</t>
  </si>
  <si>
    <t>/ Mcf Purchases (4)</t>
  </si>
  <si>
    <t>= Average Expected Cost Per Mcf Purchased</t>
  </si>
  <si>
    <t>= Total Expected Gas Cost (to Schedule IA)</t>
  </si>
  <si>
    <t>SCHEDULE IV</t>
  </si>
  <si>
    <t>ACTUAL ADJUSTMENT</t>
  </si>
  <si>
    <t>Particulars</t>
  </si>
  <si>
    <t>Total Supply Volumes Purchased</t>
  </si>
  <si>
    <t>$</t>
  </si>
  <si>
    <t>Total Cost Difference</t>
  </si>
  <si>
    <t>/Sales for the 12 months ended</t>
  </si>
  <si>
    <t>Expected Gas Cost (EGC)</t>
  </si>
  <si>
    <t>Rates to be effective for service rendered from</t>
  </si>
  <si>
    <t xml:space="preserve"> </t>
  </si>
  <si>
    <t>Constellation Energy</t>
  </si>
  <si>
    <t>Mcf Rate</t>
  </si>
  <si>
    <t xml:space="preserve">Dth </t>
  </si>
  <si>
    <t>Mago Volumes</t>
  </si>
  <si>
    <t>Storage Volume</t>
  </si>
  <si>
    <t>DTH</t>
  </si>
  <si>
    <t>MCF</t>
  </si>
  <si>
    <t>x Allowable Mcf Purchases (must not exceed Mcf sales / .95)</t>
  </si>
  <si>
    <t>Reporting Period used in the calculations</t>
  </si>
  <si>
    <t>Industrial Usage</t>
  </si>
  <si>
    <t>Total Usage</t>
  </si>
  <si>
    <t>Date</t>
  </si>
  <si>
    <t>Residential Usage</t>
  </si>
  <si>
    <t>Residential Revenue</t>
  </si>
  <si>
    <t>Commerical Usage</t>
  </si>
  <si>
    <t>Commerical Revenue</t>
  </si>
  <si>
    <t>Total Resid &amp; Comm Usage</t>
  </si>
  <si>
    <t>Total Resid &amp; Comm Revenue</t>
  </si>
  <si>
    <t>Industrial Revenue</t>
  </si>
  <si>
    <t>total</t>
  </si>
  <si>
    <t>Purchases</t>
  </si>
  <si>
    <t>Usage Pur</t>
  </si>
  <si>
    <t>Monthly Gas Cost</t>
  </si>
  <si>
    <t>Transportation Cost</t>
  </si>
  <si>
    <t>Usage Thru City Gate</t>
  </si>
  <si>
    <t>Inventory Volume</t>
  </si>
  <si>
    <t>Total Gas Cost</t>
  </si>
  <si>
    <t>Overall $$$ per Mcf</t>
  </si>
  <si>
    <t>Purchased are DTH and sales are MCF</t>
  </si>
  <si>
    <t>DR Response</t>
  </si>
  <si>
    <t>Total Cost of Volumes Purchased</t>
  </si>
  <si>
    <t xml:space="preserve">      Purchased Volumes in Mcf</t>
  </si>
  <si>
    <t>(a)</t>
  </si>
  <si>
    <t>(b)</t>
  </si>
  <si>
    <t>(d)</t>
  </si>
  <si>
    <t>Industrial Usage (Mago)</t>
  </si>
  <si>
    <t>Unit Gas Purchased for Mago</t>
  </si>
  <si>
    <t>(e)</t>
  </si>
  <si>
    <t>(f)</t>
  </si>
  <si>
    <t>Total Gas Cost w/o Mago</t>
  </si>
  <si>
    <t>Total Sales (Res and Com usage)</t>
  </si>
  <si>
    <t>(g)</t>
  </si>
  <si>
    <t>(h)</t>
  </si>
  <si>
    <t>Unit cost of gas (no Mago)</t>
  </si>
  <si>
    <t>EGC in effect</t>
  </si>
  <si>
    <t>Difference</t>
  </si>
  <si>
    <t>Actual Sales (Res and Com usage)</t>
  </si>
  <si>
    <t>(i)</t>
  </si>
  <si>
    <t>(j)</t>
  </si>
  <si>
    <t>(k)</t>
  </si>
  <si>
    <t>(l)</t>
  </si>
  <si>
    <t>(m)</t>
  </si>
  <si>
    <t>Sales for 12 months ended</t>
  </si>
  <si>
    <t xml:space="preserve">                    Current Quarter ACA</t>
  </si>
  <si>
    <t>(n)</t>
  </si>
  <si>
    <t>(o)</t>
  </si>
  <si>
    <t>(Month 1)</t>
  </si>
  <si>
    <t>(Month 2)</t>
  </si>
  <si>
    <t>(Month 3)</t>
  </si>
  <si>
    <t xml:space="preserve">(c) </t>
  </si>
  <si>
    <t>input</t>
  </si>
  <si>
    <t>(b) / 1.0307</t>
  </si>
  <si>
    <t>(a) / ( c)</t>
  </si>
  <si>
    <t>(e) x (d)</t>
  </si>
  <si>
    <t>(a) - (f)</t>
  </si>
  <si>
    <t>(g) / (h)</t>
  </si>
  <si>
    <t>(i) - (j)</t>
  </si>
  <si>
    <t>(k) x (l)</t>
  </si>
  <si>
    <t>Sum (m)</t>
  </si>
  <si>
    <t>(n) / (o)</t>
  </si>
  <si>
    <t>MCF X CF=DTH</t>
  </si>
  <si>
    <t>For the 12 Month Period Ended</t>
  </si>
  <si>
    <t>March 31st, 2024</t>
  </si>
  <si>
    <t>JULY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</si>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</sst>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[$-409]mmmm\ d\,\ yyyy;@"/>
    <numFmt numFmtId="169" formatCode="[$-409]mmm\-yy;@"/>
    <numFmt numFmtId="170" formatCode="0.0000"/>
    <numFmt numFmtId="171" formatCode="&quot;$&quot;#,##0.0000_);\(&quot;$&quot;#,##0.0000\)"/>
    <numFmt numFmtId="172" formatCode="mmmm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2"/>
      <color theme="3"/>
      <name val="Arial"/>
      <family val="2"/>
    </font>
    <font>
      <u/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164" fontId="3" fillId="0" borderId="1" xfId="0" applyNumberFormat="1" applyFont="1" applyBorder="1"/>
    <xf numFmtId="0" fontId="3" fillId="0" borderId="2" xfId="0" applyFont="1" applyBorder="1"/>
    <xf numFmtId="8" fontId="3" fillId="0" borderId="0" xfId="0" applyNumberFormat="1" applyFont="1"/>
    <xf numFmtId="0" fontId="3" fillId="0" borderId="1" xfId="0" quotePrefix="1" applyFont="1" applyBorder="1"/>
    <xf numFmtId="0" fontId="3" fillId="0" borderId="0" xfId="0" quotePrefix="1" applyFont="1"/>
    <xf numFmtId="166" fontId="3" fillId="0" borderId="0" xfId="1" applyNumberFormat="1" applyFont="1"/>
    <xf numFmtId="166" fontId="3" fillId="0" borderId="1" xfId="1" applyNumberFormat="1" applyFont="1" applyBorder="1"/>
    <xf numFmtId="10" fontId="3" fillId="0" borderId="0" xfId="2" applyNumberFormat="1" applyFont="1"/>
    <xf numFmtId="0" fontId="1" fillId="0" borderId="0" xfId="0" applyFont="1"/>
    <xf numFmtId="43" fontId="0" fillId="0" borderId="0" xfId="0" applyNumberFormat="1"/>
    <xf numFmtId="43" fontId="3" fillId="0" borderId="1" xfId="1" applyFont="1" applyBorder="1"/>
    <xf numFmtId="43" fontId="3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3" fontId="3" fillId="0" borderId="1" xfId="1" quotePrefix="1" applyFont="1" applyBorder="1"/>
    <xf numFmtId="43" fontId="3" fillId="0" borderId="0" xfId="1" applyFont="1"/>
    <xf numFmtId="14" fontId="3" fillId="0" borderId="1" xfId="0" applyNumberFormat="1" applyFont="1" applyBorder="1"/>
    <xf numFmtId="43" fontId="3" fillId="0" borderId="0" xfId="0" applyNumberFormat="1" applyFont="1"/>
    <xf numFmtId="168" fontId="3" fillId="2" borderId="0" xfId="0" applyNumberFormat="1" applyFont="1" applyFill="1"/>
    <xf numFmtId="165" fontId="3" fillId="0" borderId="1" xfId="0" quotePrefix="1" applyNumberFormat="1" applyFont="1" applyBorder="1"/>
    <xf numFmtId="8" fontId="6" fillId="0" borderId="0" xfId="0" applyNumberFormat="1" applyFont="1"/>
    <xf numFmtId="16" fontId="3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16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9" fontId="7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169" fontId="0" fillId="3" borderId="4" xfId="0" applyNumberFormat="1" applyFill="1" applyBorder="1" applyAlignment="1">
      <alignment horizontal="center"/>
    </xf>
    <xf numFmtId="44" fontId="7" fillId="0" borderId="3" xfId="3" applyFont="1" applyBorder="1" applyAlignment="1">
      <alignment horizontal="center" vertical="center" wrapText="1"/>
    </xf>
    <xf numFmtId="44" fontId="0" fillId="0" borderId="0" xfId="3" applyFont="1" applyBorder="1" applyAlignment="1">
      <alignment horizontal="center" vertical="center"/>
    </xf>
    <xf numFmtId="44" fontId="0" fillId="0" borderId="0" xfId="3" applyFont="1" applyBorder="1"/>
    <xf numFmtId="167" fontId="7" fillId="0" borderId="3" xfId="1" applyNumberFormat="1" applyFont="1" applyBorder="1" applyAlignment="1">
      <alignment horizontal="center" vertical="center" wrapText="1"/>
    </xf>
    <xf numFmtId="167" fontId="0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7" fontId="0" fillId="0" borderId="0" xfId="1" applyNumberFormat="1" applyFont="1" applyBorder="1"/>
    <xf numFmtId="167" fontId="0" fillId="3" borderId="0" xfId="1" applyNumberFormat="1" applyFont="1" applyFill="1" applyBorder="1" applyAlignment="1">
      <alignment horizontal="center" vertical="center"/>
    </xf>
    <xf numFmtId="167" fontId="0" fillId="0" borderId="5" xfId="1" applyNumberFormat="1" applyFont="1" applyBorder="1" applyAlignment="1">
      <alignment horizontal="center" vertical="center"/>
    </xf>
    <xf numFmtId="167" fontId="0" fillId="0" borderId="5" xfId="1" applyNumberFormat="1" applyFont="1" applyBorder="1"/>
    <xf numFmtId="44" fontId="7" fillId="0" borderId="7" xfId="3" applyFont="1" applyBorder="1" applyAlignment="1">
      <alignment horizontal="center" vertical="center" wrapText="1"/>
    </xf>
    <xf numFmtId="44" fontId="0" fillId="0" borderId="5" xfId="3" applyFont="1" applyBorder="1" applyAlignment="1">
      <alignment horizontal="center" vertical="center"/>
    </xf>
    <xf numFmtId="44" fontId="0" fillId="3" borderId="5" xfId="3" applyFont="1" applyFill="1" applyBorder="1" applyAlignment="1">
      <alignment horizontal="center" vertical="center"/>
    </xf>
    <xf numFmtId="166" fontId="0" fillId="0" borderId="0" xfId="1" applyNumberFormat="1" applyFont="1" applyBorder="1" applyAlignment="1">
      <alignment horizontal="center" vertical="center"/>
    </xf>
    <xf numFmtId="166" fontId="0" fillId="3" borderId="0" xfId="1" applyNumberFormat="1" applyFont="1" applyFill="1" applyBorder="1" applyAlignment="1">
      <alignment horizontal="center" vertical="center"/>
    </xf>
    <xf numFmtId="0" fontId="8" fillId="0" borderId="0" xfId="0" applyFont="1"/>
    <xf numFmtId="167" fontId="0" fillId="0" borderId="0" xfId="1" applyNumberFormat="1" applyFont="1" applyBorder="1" applyAlignment="1">
      <alignment horizontal="left" vertical="center"/>
    </xf>
    <xf numFmtId="43" fontId="6" fillId="0" borderId="0" xfId="1" applyFont="1" applyFill="1" applyBorder="1"/>
    <xf numFmtId="167" fontId="0" fillId="0" borderId="0" xfId="1" applyNumberFormat="1" applyFont="1" applyFill="1" applyBorder="1" applyAlignment="1">
      <alignment horizontal="center" vertical="center"/>
    </xf>
    <xf numFmtId="169" fontId="7" fillId="0" borderId="4" xfId="0" applyNumberFormat="1" applyFont="1" applyBorder="1" applyAlignment="1">
      <alignment horizontal="left"/>
    </xf>
    <xf numFmtId="0" fontId="3" fillId="2" borderId="0" xfId="0" applyFont="1" applyFill="1"/>
    <xf numFmtId="166" fontId="3" fillId="2" borderId="0" xfId="1" applyNumberFormat="1" applyFont="1" applyFill="1"/>
    <xf numFmtId="8" fontId="3" fillId="2" borderId="0" xfId="0" applyNumberFormat="1" applyFont="1" applyFill="1"/>
    <xf numFmtId="170" fontId="3" fillId="2" borderId="1" xfId="0" applyNumberFormat="1" applyFont="1" applyFill="1" applyBorder="1"/>
    <xf numFmtId="43" fontId="3" fillId="2" borderId="3" xfId="1" applyFont="1" applyFill="1" applyBorder="1"/>
    <xf numFmtId="44" fontId="0" fillId="3" borderId="0" xfId="3" applyFont="1" applyFill="1" applyBorder="1" applyAlignment="1">
      <alignment horizontal="center" vertical="center"/>
    </xf>
    <xf numFmtId="167" fontId="7" fillId="3" borderId="3" xfId="1" applyNumberFormat="1" applyFont="1" applyFill="1" applyBorder="1" applyAlignment="1">
      <alignment horizontal="center" vertical="center" wrapText="1"/>
    </xf>
    <xf numFmtId="167" fontId="7" fillId="3" borderId="7" xfId="1" applyNumberFormat="1" applyFont="1" applyFill="1" applyBorder="1" applyAlignment="1">
      <alignment horizontal="center" vertical="center" wrapText="1"/>
    </xf>
    <xf numFmtId="166" fontId="7" fillId="3" borderId="3" xfId="1" applyNumberFormat="1" applyFont="1" applyFill="1" applyBorder="1" applyAlignment="1">
      <alignment horizontal="center" vertical="center" wrapText="1"/>
    </xf>
    <xf numFmtId="44" fontId="0" fillId="0" borderId="0" xfId="3" applyFont="1" applyFill="1" applyBorder="1" applyAlignment="1">
      <alignment horizontal="center" vertical="center"/>
    </xf>
    <xf numFmtId="167" fontId="0" fillId="0" borderId="5" xfId="1" applyNumberFormat="1" applyFon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166" fontId="0" fillId="0" borderId="0" xfId="1" applyNumberFormat="1" applyFont="1" applyFill="1" applyBorder="1" applyAlignment="1">
      <alignment horizontal="center" vertical="center"/>
    </xf>
    <xf numFmtId="44" fontId="0" fillId="0" borderId="5" xfId="3" applyFont="1" applyFill="1" applyBorder="1" applyAlignment="1">
      <alignment horizontal="center" vertical="center"/>
    </xf>
    <xf numFmtId="170" fontId="3" fillId="2" borderId="0" xfId="0" applyNumberFormat="1" applyFont="1" applyFill="1"/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166" fontId="3" fillId="0" borderId="0" xfId="1" applyNumberFormat="1" applyFont="1" applyFill="1"/>
    <xf numFmtId="39" fontId="3" fillId="0" borderId="0" xfId="0" applyNumberFormat="1" applyFont="1"/>
    <xf numFmtId="39" fontId="3" fillId="0" borderId="1" xfId="0" applyNumberFormat="1" applyFont="1" applyBorder="1"/>
    <xf numFmtId="171" fontId="3" fillId="0" borderId="0" xfId="0" applyNumberFormat="1" applyFont="1"/>
    <xf numFmtId="171" fontId="3" fillId="2" borderId="0" xfId="0" applyNumberFormat="1" applyFont="1" applyFill="1"/>
    <xf numFmtId="171" fontId="3" fillId="2" borderId="1" xfId="0" applyNumberFormat="1" applyFont="1" applyFill="1" applyBorder="1"/>
    <xf numFmtId="171" fontId="3" fillId="0" borderId="1" xfId="0" applyNumberFormat="1" applyFont="1" applyBorder="1" applyAlignment="1">
      <alignment horizontal="center"/>
    </xf>
    <xf numFmtId="0" fontId="10" fillId="0" borderId="0" xfId="0" applyFont="1"/>
    <xf numFmtId="172" fontId="3" fillId="0" borderId="0" xfId="0" applyNumberFormat="1" applyFont="1"/>
    <xf numFmtId="0" fontId="0" fillId="4" borderId="0" xfId="0" applyFill="1"/>
    <xf numFmtId="0" fontId="0" fillId="3" borderId="0" xfId="0" applyFill="1"/>
    <xf numFmtId="170" fontId="3" fillId="0" borderId="0" xfId="0" applyNumberFormat="1" applyFont="1"/>
    <xf numFmtId="167" fontId="0" fillId="0" borderId="0" xfId="0" applyNumberFormat="1"/>
    <xf numFmtId="169" fontId="0" fillId="0" borderId="0" xfId="0" applyNumberForma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1" fillId="0" borderId="8" xfId="0" applyFont="1" applyBorder="1"/>
    <xf numFmtId="0" fontId="1" fillId="0" borderId="1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16" fontId="0" fillId="0" borderId="11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0" fillId="0" borderId="12" xfId="0" applyNumberFormat="1" applyBorder="1" applyAlignment="1">
      <alignment horizontal="center"/>
    </xf>
    <xf numFmtId="0" fontId="12" fillId="0" borderId="0" xfId="0" applyFont="1" applyAlignment="1">
      <alignment horizontal="center"/>
    </xf>
    <xf numFmtId="44" fontId="0" fillId="0" borderId="11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0" fontId="1" fillId="0" borderId="4" xfId="0" applyFont="1" applyBorder="1"/>
    <xf numFmtId="44" fontId="0" fillId="0" borderId="8" xfId="3" applyFont="1" applyBorder="1" applyAlignment="1">
      <alignment horizontal="center"/>
    </xf>
    <xf numFmtId="44" fontId="0" fillId="0" borderId="9" xfId="3" applyFont="1" applyBorder="1" applyAlignment="1">
      <alignment horizontal="center"/>
    </xf>
    <xf numFmtId="44" fontId="0" fillId="0" borderId="10" xfId="3" applyFont="1" applyBorder="1" applyAlignment="1">
      <alignment horizontal="center"/>
    </xf>
    <xf numFmtId="44" fontId="0" fillId="0" borderId="4" xfId="0" applyNumberFormat="1" applyBorder="1"/>
    <xf numFmtId="44" fontId="0" fillId="0" borderId="5" xfId="0" applyNumberFormat="1" applyBorder="1"/>
    <xf numFmtId="44" fontId="0" fillId="0" borderId="1" xfId="0" applyNumberFormat="1" applyBorder="1"/>
    <xf numFmtId="44" fontId="0" fillId="0" borderId="12" xfId="0" applyNumberFormat="1" applyBorder="1"/>
    <xf numFmtId="167" fontId="0" fillId="3" borderId="0" xfId="1" applyNumberFormat="1" applyFont="1" applyFill="1" applyBorder="1"/>
    <xf numFmtId="44" fontId="0" fillId="3" borderId="0" xfId="3" applyFont="1" applyFill="1" applyBorder="1"/>
    <xf numFmtId="167" fontId="0" fillId="3" borderId="5" xfId="1" applyNumberFormat="1" applyFont="1" applyFill="1" applyBorder="1"/>
    <xf numFmtId="168" fontId="1" fillId="0" borderId="0" xfId="0" applyNumberFormat="1" applyFont="1"/>
    <xf numFmtId="43" fontId="0" fillId="0" borderId="11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1" xfId="1" applyFont="1" applyBorder="1"/>
    <xf numFmtId="16" fontId="0" fillId="3" borderId="4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7" fontId="0" fillId="0" borderId="0" xfId="1" applyNumberFormat="1" applyFont="1" applyFill="1" applyBorder="1"/>
    <xf numFmtId="44" fontId="0" fillId="0" borderId="0" xfId="3" applyFont="1" applyFill="1" applyBorder="1"/>
    <xf numFmtId="167" fontId="0" fillId="0" borderId="5" xfId="1" applyNumberFormat="1" applyFont="1" applyFill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6" fontId="0" fillId="0" borderId="0" xfId="0" applyNumberFormat="1" applyAlignment="1">
      <alignment horizontal="left"/>
    </xf>
    <xf numFmtId="16" fontId="0" fillId="0" borderId="4" xfId="0" applyNumberFormat="1" applyBorder="1" applyAlignment="1">
      <alignment horizontal="center"/>
    </xf>
    <xf numFmtId="16" fontId="0" fillId="3" borderId="4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4:K48"/>
  <sheetViews>
    <sheetView workbookViewId="0">
      <selection activeCell="I40" sqref="I40"/>
    </sheetView>
  </sheetViews>
  <sheetFormatPr defaultColWidth="9.140625" defaultRowHeight="15" x14ac:dyDescent="0.2"/>
  <cols>
    <col min="1" max="4" width="9.140625" style="1"/>
    <col min="5" max="5" width="13.7109375" style="1" customWidth="1"/>
    <col min="6" max="6" width="24" style="1" bestFit="1" customWidth="1"/>
    <col min="7" max="7" width="11.42578125" style="1" customWidth="1"/>
    <col min="8" max="8" width="4.28515625" style="1" customWidth="1"/>
    <col min="9" max="9" width="17.5703125" style="1" customWidth="1"/>
    <col min="10" max="10" width="12.42578125" style="1" bestFit="1" customWidth="1"/>
    <col min="11" max="11" width="11.28515625" style="1" customWidth="1"/>
    <col min="12" max="16384" width="9.140625" style="1"/>
  </cols>
  <sheetData>
    <row r="4" spans="1:11" x14ac:dyDescent="0.2">
      <c r="A4" s="155" t="s">
        <v>0</v>
      </c>
      <c r="B4" s="155"/>
      <c r="C4" s="155"/>
      <c r="D4" s="155"/>
      <c r="E4" s="155"/>
      <c r="F4" s="155"/>
      <c r="G4" s="155"/>
      <c r="H4" s="155"/>
      <c r="I4" s="155"/>
    </row>
    <row r="6" spans="1:11" x14ac:dyDescent="0.2">
      <c r="A6" s="156" t="s">
        <v>1</v>
      </c>
      <c r="B6" s="156"/>
      <c r="C6" s="156"/>
      <c r="D6" s="156"/>
      <c r="E6" s="156"/>
      <c r="F6" s="156"/>
      <c r="G6" s="156"/>
      <c r="H6" s="156"/>
      <c r="I6" s="156"/>
    </row>
    <row r="8" spans="1:11" x14ac:dyDescent="0.2">
      <c r="A8" s="2" t="s">
        <v>2</v>
      </c>
      <c r="G8" s="3" t="s">
        <v>3</v>
      </c>
      <c r="I8" s="3" t="s">
        <v>4</v>
      </c>
    </row>
    <row r="9" spans="1:11" x14ac:dyDescent="0.2">
      <c r="I9" s="83"/>
    </row>
    <row r="10" spans="1:11" x14ac:dyDescent="0.2">
      <c r="A10" s="1" t="s">
        <v>62</v>
      </c>
      <c r="G10" s="4" t="s">
        <v>5</v>
      </c>
      <c r="I10" s="5">
        <f>I24</f>
        <v>4.0922999999999998</v>
      </c>
      <c r="K10" s="5"/>
    </row>
    <row r="11" spans="1:11" x14ac:dyDescent="0.2">
      <c r="A11" s="1" t="s">
        <v>6</v>
      </c>
      <c r="G11" s="4" t="s">
        <v>5</v>
      </c>
      <c r="I11" s="5">
        <f>I32</f>
        <v>0</v>
      </c>
      <c r="K11" s="5"/>
    </row>
    <row r="12" spans="1:11" x14ac:dyDescent="0.2">
      <c r="A12" s="1" t="s">
        <v>7</v>
      </c>
      <c r="G12" s="4" t="s">
        <v>5</v>
      </c>
      <c r="I12" s="5">
        <f>I40</f>
        <v>1.02</v>
      </c>
    </row>
    <row r="13" spans="1:11" x14ac:dyDescent="0.2">
      <c r="A13" s="6" t="s">
        <v>8</v>
      </c>
      <c r="B13" s="6"/>
      <c r="C13" s="6"/>
      <c r="D13" s="6"/>
      <c r="E13" s="6"/>
      <c r="F13" s="6"/>
      <c r="G13" s="7" t="s">
        <v>5</v>
      </c>
      <c r="H13" s="6"/>
      <c r="I13" s="8">
        <f>I48</f>
        <v>0</v>
      </c>
      <c r="K13" s="5"/>
    </row>
    <row r="14" spans="1:11" x14ac:dyDescent="0.2">
      <c r="A14" s="1" t="s">
        <v>9</v>
      </c>
      <c r="G14" s="4" t="s">
        <v>5</v>
      </c>
      <c r="I14" s="5">
        <f>ROUND(SUM(I10:I13),4)</f>
        <v>5.1123000000000003</v>
      </c>
      <c r="K14" s="5"/>
    </row>
    <row r="16" spans="1:11" x14ac:dyDescent="0.2">
      <c r="A16" s="1" t="s">
        <v>63</v>
      </c>
      <c r="F16" s="27">
        <v>45474</v>
      </c>
      <c r="K16" s="30"/>
    </row>
    <row r="17" spans="1:9" x14ac:dyDescent="0.2">
      <c r="A17" s="1" t="s">
        <v>73</v>
      </c>
      <c r="F17" s="27">
        <v>45382</v>
      </c>
    </row>
    <row r="18" spans="1:9" ht="15.75" thickBo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5.75" thickTop="1" x14ac:dyDescent="0.2"/>
    <row r="20" spans="1:9" x14ac:dyDescent="0.2">
      <c r="A20" s="1" t="s">
        <v>10</v>
      </c>
      <c r="G20" s="3" t="s">
        <v>3</v>
      </c>
      <c r="I20" s="3" t="s">
        <v>4</v>
      </c>
    </row>
    <row r="22" spans="1:9" x14ac:dyDescent="0.2">
      <c r="A22" s="1" t="s">
        <v>11</v>
      </c>
      <c r="G22" s="4" t="s">
        <v>5</v>
      </c>
      <c r="I22" s="10">
        <f>'Schedule II'!$F$35</f>
        <v>112135.96865922329</v>
      </c>
    </row>
    <row r="23" spans="1:9" x14ac:dyDescent="0.2">
      <c r="A23" s="11" t="s">
        <v>61</v>
      </c>
      <c r="B23" s="6"/>
      <c r="C23" s="6"/>
      <c r="D23" s="6"/>
      <c r="E23" s="6"/>
      <c r="F23" s="6"/>
      <c r="G23" s="7" t="s">
        <v>5</v>
      </c>
      <c r="H23" s="6"/>
      <c r="I23" s="18">
        <f>'Schedule II'!$B$28</f>
        <v>27401.600000000002</v>
      </c>
    </row>
    <row r="24" spans="1:9" x14ac:dyDescent="0.2">
      <c r="A24" s="1" t="s">
        <v>12</v>
      </c>
      <c r="G24" s="4" t="s">
        <v>5</v>
      </c>
      <c r="I24" s="5">
        <f>ROUND(I22/I23,4)</f>
        <v>4.0922999999999998</v>
      </c>
    </row>
    <row r="25" spans="1:9" x14ac:dyDescent="0.2">
      <c r="G25" s="4"/>
    </row>
    <row r="26" spans="1:9" x14ac:dyDescent="0.2">
      <c r="A26" s="1" t="s">
        <v>13</v>
      </c>
      <c r="G26" s="3" t="s">
        <v>3</v>
      </c>
      <c r="I26" s="3" t="s">
        <v>4</v>
      </c>
    </row>
    <row r="28" spans="1:9" x14ac:dyDescent="0.2">
      <c r="A28" s="1" t="s">
        <v>14</v>
      </c>
      <c r="G28" s="4" t="s">
        <v>5</v>
      </c>
      <c r="I28" s="79">
        <v>0</v>
      </c>
    </row>
    <row r="29" spans="1:9" x14ac:dyDescent="0.2">
      <c r="A29" s="12" t="s">
        <v>15</v>
      </c>
      <c r="G29" s="4" t="s">
        <v>5</v>
      </c>
      <c r="I29" s="80">
        <v>0</v>
      </c>
    </row>
    <row r="30" spans="1:9" x14ac:dyDescent="0.2">
      <c r="A30" s="12" t="s">
        <v>16</v>
      </c>
      <c r="G30" s="4" t="s">
        <v>5</v>
      </c>
      <c r="I30" s="80">
        <v>0</v>
      </c>
    </row>
    <row r="31" spans="1:9" x14ac:dyDescent="0.2">
      <c r="A31" s="11" t="s">
        <v>17</v>
      </c>
      <c r="B31" s="6"/>
      <c r="C31" s="6"/>
      <c r="D31" s="6"/>
      <c r="E31" s="6"/>
      <c r="F31" s="6"/>
      <c r="G31" s="7" t="s">
        <v>5</v>
      </c>
      <c r="H31" s="6"/>
      <c r="I31" s="81">
        <v>0</v>
      </c>
    </row>
    <row r="32" spans="1:9" x14ac:dyDescent="0.2">
      <c r="A32" s="12" t="s">
        <v>18</v>
      </c>
      <c r="G32" s="4" t="s">
        <v>19</v>
      </c>
      <c r="I32" s="79">
        <f>ROUND(SUM(I28:I31),4)</f>
        <v>0</v>
      </c>
    </row>
    <row r="33" spans="1:9" x14ac:dyDescent="0.2">
      <c r="I33" s="79"/>
    </row>
    <row r="34" spans="1:9" x14ac:dyDescent="0.2">
      <c r="A34" s="1" t="s">
        <v>20</v>
      </c>
      <c r="G34" s="3" t="s">
        <v>3</v>
      </c>
      <c r="I34" s="82" t="s">
        <v>4</v>
      </c>
    </row>
    <row r="35" spans="1:9" x14ac:dyDescent="0.2">
      <c r="I35" s="79"/>
    </row>
    <row r="36" spans="1:9" x14ac:dyDescent="0.2">
      <c r="A36" s="1" t="s">
        <v>21</v>
      </c>
      <c r="G36" s="4" t="s">
        <v>5</v>
      </c>
      <c r="I36" s="79">
        <f>'Schedule IV'!E29</f>
        <v>-1.1002813663236259</v>
      </c>
    </row>
    <row r="37" spans="1:9" x14ac:dyDescent="0.2">
      <c r="A37" s="12" t="s">
        <v>22</v>
      </c>
      <c r="G37" s="4" t="s">
        <v>5</v>
      </c>
      <c r="I37" s="79">
        <v>0.1293</v>
      </c>
    </row>
    <row r="38" spans="1:9" x14ac:dyDescent="0.2">
      <c r="A38" s="12" t="s">
        <v>23</v>
      </c>
      <c r="G38" s="4" t="s">
        <v>5</v>
      </c>
      <c r="I38" s="80">
        <v>1.07</v>
      </c>
    </row>
    <row r="39" spans="1:9" x14ac:dyDescent="0.2">
      <c r="A39" s="11" t="s">
        <v>24</v>
      </c>
      <c r="B39" s="6"/>
      <c r="C39" s="6"/>
      <c r="D39" s="6"/>
      <c r="E39" s="6"/>
      <c r="F39" s="6"/>
      <c r="G39" s="7" t="s">
        <v>5</v>
      </c>
      <c r="H39" s="6"/>
      <c r="I39" s="81">
        <v>0.92100000000000004</v>
      </c>
    </row>
    <row r="40" spans="1:9" x14ac:dyDescent="0.2">
      <c r="A40" s="12" t="s">
        <v>25</v>
      </c>
      <c r="G40" s="4" t="s">
        <v>19</v>
      </c>
      <c r="I40" s="79">
        <f>ROUND(SUM(I36:I39),4)</f>
        <v>1.02</v>
      </c>
    </row>
    <row r="41" spans="1:9" x14ac:dyDescent="0.2">
      <c r="I41" s="79"/>
    </row>
    <row r="42" spans="1:9" x14ac:dyDescent="0.2">
      <c r="A42" s="1" t="s">
        <v>26</v>
      </c>
      <c r="G42" s="3" t="s">
        <v>3</v>
      </c>
      <c r="I42" s="82" t="s">
        <v>4</v>
      </c>
    </row>
    <row r="43" spans="1:9" x14ac:dyDescent="0.2">
      <c r="I43" s="79"/>
    </row>
    <row r="44" spans="1:9" x14ac:dyDescent="0.2">
      <c r="A44" s="1" t="s">
        <v>27</v>
      </c>
      <c r="G44" s="4" t="s">
        <v>5</v>
      </c>
      <c r="I44" s="79">
        <v>0</v>
      </c>
    </row>
    <row r="45" spans="1:9" x14ac:dyDescent="0.2">
      <c r="A45" s="12" t="s">
        <v>28</v>
      </c>
      <c r="G45" s="4" t="s">
        <v>5</v>
      </c>
      <c r="I45" s="80">
        <v>0</v>
      </c>
    </row>
    <row r="46" spans="1:9" x14ac:dyDescent="0.2">
      <c r="A46" s="12" t="s">
        <v>29</v>
      </c>
      <c r="G46" s="4" t="s">
        <v>5</v>
      </c>
      <c r="I46" s="80">
        <v>0</v>
      </c>
    </row>
    <row r="47" spans="1:9" x14ac:dyDescent="0.2">
      <c r="A47" s="11" t="s">
        <v>30</v>
      </c>
      <c r="B47" s="6"/>
      <c r="C47" s="6"/>
      <c r="D47" s="6"/>
      <c r="E47" s="6"/>
      <c r="F47" s="6"/>
      <c r="G47" s="7" t="s">
        <v>5</v>
      </c>
      <c r="H47" s="6"/>
      <c r="I47" s="81">
        <v>0</v>
      </c>
    </row>
    <row r="48" spans="1:9" x14ac:dyDescent="0.2">
      <c r="A48" s="12" t="s">
        <v>31</v>
      </c>
      <c r="G48" s="4" t="s">
        <v>19</v>
      </c>
      <c r="I48" s="79">
        <f>ROUND(SUM(I44:I47),4)</f>
        <v>0</v>
      </c>
    </row>
  </sheetData>
  <mergeCells count="2">
    <mergeCell ref="A4:I4"/>
    <mergeCell ref="A6:I6"/>
  </mergeCells>
  <phoneticPr fontId="2" type="noConversion"/>
  <pageMargins left="0.75" right="0.75" top="1" bottom="1" header="0.5" footer="0.5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4:R59"/>
  <sheetViews>
    <sheetView topLeftCell="A7" workbookViewId="0">
      <selection activeCell="F35" sqref="F35"/>
    </sheetView>
  </sheetViews>
  <sheetFormatPr defaultColWidth="9.140625" defaultRowHeight="15" x14ac:dyDescent="0.2"/>
  <cols>
    <col min="1" max="1" width="30.85546875" style="1" customWidth="1"/>
    <col min="2" max="2" width="13.5703125" style="1" customWidth="1"/>
    <col min="3" max="3" width="26.7109375" style="1" bestFit="1" customWidth="1"/>
    <col min="4" max="4" width="12.85546875" style="1" bestFit="1" customWidth="1"/>
    <col min="5" max="5" width="17.5703125" style="1" bestFit="1" customWidth="1"/>
    <col min="6" max="6" width="15.5703125" style="1" customWidth="1"/>
    <col min="7" max="7" width="9.140625" style="1"/>
    <col min="8" max="8" width="12.85546875" style="1" bestFit="1" customWidth="1"/>
    <col min="9" max="9" width="15.5703125" style="1" bestFit="1" customWidth="1"/>
    <col min="10" max="11" width="9.140625" style="1"/>
    <col min="12" max="12" width="14.28515625" style="1" customWidth="1"/>
    <col min="13" max="13" width="9.140625" style="1"/>
    <col min="14" max="14" width="13" style="1" customWidth="1"/>
    <col min="15" max="15" width="14.7109375" style="1" customWidth="1"/>
    <col min="16" max="16" width="11.42578125" style="1" customWidth="1"/>
    <col min="17" max="16384" width="9.140625" style="1"/>
  </cols>
  <sheetData>
    <row r="4" spans="1:17" x14ac:dyDescent="0.2">
      <c r="A4" s="155" t="s">
        <v>32</v>
      </c>
      <c r="B4" s="155"/>
      <c r="C4" s="155"/>
      <c r="D4" s="155"/>
      <c r="E4" s="155"/>
      <c r="F4" s="155"/>
    </row>
    <row r="6" spans="1:17" x14ac:dyDescent="0.2">
      <c r="A6" s="155" t="s">
        <v>33</v>
      </c>
      <c r="B6" s="155"/>
      <c r="C6" s="155"/>
      <c r="D6" s="155"/>
      <c r="E6" s="155"/>
      <c r="F6" s="155"/>
    </row>
    <row r="8" spans="1:17" ht="15.75" x14ac:dyDescent="0.25">
      <c r="H8" s="157"/>
      <c r="I8" s="157"/>
    </row>
    <row r="9" spans="1:17" x14ac:dyDescent="0.2">
      <c r="A9" s="1" t="s">
        <v>34</v>
      </c>
      <c r="C9" s="28" t="s">
        <v>137</v>
      </c>
      <c r="H9" s="1" t="s">
        <v>92</v>
      </c>
    </row>
    <row r="10" spans="1:17" x14ac:dyDescent="0.2">
      <c r="H10" s="57">
        <v>4.1841999999999997</v>
      </c>
      <c r="I10" s="84" t="s">
        <v>138</v>
      </c>
      <c r="Q10" s="84"/>
    </row>
    <row r="11" spans="1:17" x14ac:dyDescent="0.2">
      <c r="A11" s="4" t="s">
        <v>35</v>
      </c>
      <c r="B11" s="4" t="s">
        <v>36</v>
      </c>
      <c r="C11" s="4" t="s">
        <v>37</v>
      </c>
      <c r="D11" s="4" t="s">
        <v>38</v>
      </c>
      <c r="E11" s="4" t="s">
        <v>39</v>
      </c>
      <c r="F11" s="4" t="s">
        <v>40</v>
      </c>
      <c r="H11" s="71">
        <v>4.1794000000000002</v>
      </c>
      <c r="I11" s="84" t="s">
        <v>139</v>
      </c>
      <c r="K11" s="4"/>
      <c r="L11" s="4"/>
      <c r="M11" s="4"/>
      <c r="N11" s="4"/>
      <c r="P11" s="87"/>
      <c r="Q11" s="84"/>
    </row>
    <row r="12" spans="1:17" x14ac:dyDescent="0.2">
      <c r="A12" s="20"/>
      <c r="B12" s="20"/>
      <c r="C12" s="20" t="s">
        <v>41</v>
      </c>
      <c r="D12" s="20"/>
      <c r="E12" s="20"/>
      <c r="F12" s="4" t="s">
        <v>42</v>
      </c>
      <c r="H12" s="60">
        <v>4.3224999999999998</v>
      </c>
      <c r="I12" s="84" t="s">
        <v>140</v>
      </c>
    </row>
    <row r="13" spans="1:17" x14ac:dyDescent="0.2">
      <c r="A13" s="3" t="s">
        <v>43</v>
      </c>
      <c r="B13" s="3" t="s">
        <v>67</v>
      </c>
      <c r="C13" s="3" t="s">
        <v>44</v>
      </c>
      <c r="D13" s="3" t="s">
        <v>45</v>
      </c>
      <c r="E13" s="3" t="s">
        <v>66</v>
      </c>
      <c r="F13" s="3" t="s">
        <v>46</v>
      </c>
      <c r="H13" s="1">
        <f>ROUND(AVERAGE(H10:H12),4)</f>
        <v>4.2286999999999999</v>
      </c>
    </row>
    <row r="14" spans="1:17" x14ac:dyDescent="0.2">
      <c r="A14" s="57" t="s">
        <v>65</v>
      </c>
      <c r="B14" s="76">
        <f>Data!$L$55</f>
        <v>43070</v>
      </c>
      <c r="C14" s="1">
        <v>1.03</v>
      </c>
      <c r="D14" s="17">
        <f>SUM(B14/C14)</f>
        <v>41815.533980582521</v>
      </c>
      <c r="E14" s="5">
        <f>H13</f>
        <v>4.2286999999999999</v>
      </c>
      <c r="F14" s="77">
        <f>D14*E14</f>
        <v>176825.3485436893</v>
      </c>
    </row>
    <row r="15" spans="1:17" x14ac:dyDescent="0.2">
      <c r="A15" s="57" t="s">
        <v>68</v>
      </c>
      <c r="B15" s="76"/>
      <c r="D15" s="17">
        <f>(Data!H55)*-1</f>
        <v>-7721</v>
      </c>
      <c r="E15" s="5">
        <f>E14</f>
        <v>4.2286999999999999</v>
      </c>
      <c r="F15" s="77">
        <f t="shared" ref="F15:F20" si="0">E15*D15</f>
        <v>-32649.792699999998</v>
      </c>
    </row>
    <row r="16" spans="1:17" x14ac:dyDescent="0.2">
      <c r="A16" s="57" t="s">
        <v>69</v>
      </c>
      <c r="B16" s="58">
        <f>(Data!$P$55)</f>
        <v>-7804</v>
      </c>
      <c r="C16" s="1">
        <v>1.03</v>
      </c>
      <c r="D16" s="17">
        <f>SUM(B16/C16)</f>
        <v>-7576.6990291262136</v>
      </c>
      <c r="E16" s="5">
        <f>E15</f>
        <v>4.2286999999999999</v>
      </c>
      <c r="F16" s="77">
        <f t="shared" si="0"/>
        <v>-32039.587184466018</v>
      </c>
    </row>
    <row r="17" spans="1:18" x14ac:dyDescent="0.2">
      <c r="A17" s="57"/>
      <c r="B17" s="57"/>
      <c r="C17" s="57"/>
      <c r="D17" s="58"/>
      <c r="E17" s="59"/>
      <c r="F17" s="77">
        <f t="shared" si="0"/>
        <v>0</v>
      </c>
    </row>
    <row r="18" spans="1:18" x14ac:dyDescent="0.2">
      <c r="A18" s="57"/>
      <c r="B18" s="57"/>
      <c r="C18" s="57"/>
      <c r="D18" s="58"/>
      <c r="E18" s="59"/>
      <c r="F18" s="77">
        <f t="shared" si="0"/>
        <v>0</v>
      </c>
      <c r="H18" s="26"/>
      <c r="N18" s="76"/>
      <c r="O18" s="10"/>
      <c r="P18" s="77"/>
      <c r="R18" s="26"/>
    </row>
    <row r="19" spans="1:18" x14ac:dyDescent="0.2">
      <c r="A19" s="57"/>
      <c r="B19" s="57"/>
      <c r="C19" s="57"/>
      <c r="D19" s="58"/>
      <c r="E19" s="59"/>
      <c r="F19" s="77">
        <f t="shared" si="0"/>
        <v>0</v>
      </c>
      <c r="N19" s="76"/>
      <c r="O19" s="10"/>
      <c r="P19" s="77"/>
    </row>
    <row r="20" spans="1:18" x14ac:dyDescent="0.2">
      <c r="A20" s="57"/>
      <c r="B20" s="57"/>
      <c r="C20" s="57"/>
      <c r="D20" s="58"/>
      <c r="E20" s="59"/>
      <c r="F20" s="77">
        <f t="shared" si="0"/>
        <v>0</v>
      </c>
      <c r="N20" s="76"/>
      <c r="O20" s="10"/>
      <c r="P20" s="77"/>
    </row>
    <row r="21" spans="1:18" x14ac:dyDescent="0.2">
      <c r="D21" s="13"/>
      <c r="F21" s="77"/>
      <c r="H21" s="26"/>
    </row>
    <row r="22" spans="1:18" x14ac:dyDescent="0.2">
      <c r="D22" s="13"/>
      <c r="F22" s="77"/>
      <c r="H22" s="26"/>
    </row>
    <row r="23" spans="1:18" x14ac:dyDescent="0.2">
      <c r="D23" s="13"/>
      <c r="F23" s="77"/>
      <c r="H23" s="26"/>
    </row>
    <row r="24" spans="1:18" x14ac:dyDescent="0.2">
      <c r="A24" s="6"/>
      <c r="B24" s="6"/>
      <c r="C24" s="6"/>
      <c r="D24" s="14"/>
      <c r="E24" s="6"/>
      <c r="F24" s="78"/>
    </row>
    <row r="25" spans="1:18" x14ac:dyDescent="0.2">
      <c r="A25" s="1" t="s">
        <v>47</v>
      </c>
      <c r="D25" s="24">
        <f>SUM(D14:D24)</f>
        <v>26517.834951456309</v>
      </c>
      <c r="F25" s="10">
        <f>SUM(F14:F24)</f>
        <v>112135.96865922329</v>
      </c>
    </row>
    <row r="27" spans="1:18" x14ac:dyDescent="0.2">
      <c r="A27" s="1" t="s">
        <v>48</v>
      </c>
      <c r="B27" s="25">
        <v>45382</v>
      </c>
      <c r="C27" s="1" t="s">
        <v>49</v>
      </c>
      <c r="E27" s="18">
        <f>D25</f>
        <v>26517.834951456309</v>
      </c>
    </row>
    <row r="28" spans="1:18" x14ac:dyDescent="0.2">
      <c r="A28" s="1" t="s">
        <v>50</v>
      </c>
      <c r="B28" s="61">
        <f>Data!F55</f>
        <v>27401.600000000002</v>
      </c>
      <c r="C28" s="1" t="s">
        <v>45</v>
      </c>
      <c r="D28" s="15"/>
    </row>
    <row r="29" spans="1:18" ht="15.75" x14ac:dyDescent="0.25">
      <c r="A29" s="22"/>
      <c r="B29" s="54"/>
      <c r="D29" s="15">
        <f>(E27-B28)/E27</f>
        <v>-3.3327194703546441E-2</v>
      </c>
      <c r="E29" s="52"/>
    </row>
    <row r="30" spans="1:18" x14ac:dyDescent="0.2">
      <c r="C30" s="26"/>
      <c r="E30" s="21" t="s">
        <v>3</v>
      </c>
      <c r="F30" s="21" t="s">
        <v>4</v>
      </c>
    </row>
    <row r="31" spans="1:18" x14ac:dyDescent="0.2">
      <c r="A31" s="1" t="s">
        <v>51</v>
      </c>
      <c r="F31" s="10">
        <f>F25</f>
        <v>112135.96865922329</v>
      </c>
    </row>
    <row r="32" spans="1:18" x14ac:dyDescent="0.2">
      <c r="A32" s="11" t="s">
        <v>52</v>
      </c>
      <c r="B32" s="6"/>
      <c r="C32" s="6"/>
      <c r="D32" s="6"/>
      <c r="E32" s="6"/>
      <c r="F32" s="19">
        <f>E27</f>
        <v>26517.834951456309</v>
      </c>
    </row>
    <row r="33" spans="1:8" x14ac:dyDescent="0.2">
      <c r="A33" s="12" t="s">
        <v>53</v>
      </c>
      <c r="F33" s="5">
        <f>F31/F32</f>
        <v>4.2286999999999999</v>
      </c>
    </row>
    <row r="34" spans="1:8" x14ac:dyDescent="0.2">
      <c r="A34" s="11" t="s">
        <v>72</v>
      </c>
      <c r="B34" s="6"/>
      <c r="C34" s="6"/>
      <c r="D34" s="6"/>
      <c r="E34" s="6"/>
      <c r="F34" s="23">
        <f>IF(((E27-B28)/E27)&gt;5%,($B$28/0.95),E27)</f>
        <v>26517.834951456309</v>
      </c>
      <c r="H34" s="26"/>
    </row>
    <row r="35" spans="1:8" ht="15.75" x14ac:dyDescent="0.25">
      <c r="A35" s="12" t="s">
        <v>54</v>
      </c>
      <c r="F35" s="29">
        <f>F33*F34</f>
        <v>112135.96865922329</v>
      </c>
    </row>
    <row r="51" spans="1:1" x14ac:dyDescent="0.2">
      <c r="A51" s="1" t="s">
        <v>64</v>
      </c>
    </row>
    <row r="52" spans="1:1" x14ac:dyDescent="0.2">
      <c r="A52" s="1" t="s">
        <v>64</v>
      </c>
    </row>
    <row r="53" spans="1:1" x14ac:dyDescent="0.2">
      <c r="A53" s="1" t="s">
        <v>64</v>
      </c>
    </row>
    <row r="54" spans="1:1" x14ac:dyDescent="0.2">
      <c r="A54" s="1" t="s">
        <v>64</v>
      </c>
    </row>
    <row r="55" spans="1:1" x14ac:dyDescent="0.2">
      <c r="A55" s="1" t="s">
        <v>64</v>
      </c>
    </row>
    <row r="56" spans="1:1" x14ac:dyDescent="0.2">
      <c r="A56" s="1" t="s">
        <v>64</v>
      </c>
    </row>
    <row r="57" spans="1:1" x14ac:dyDescent="0.2">
      <c r="A57" s="1" t="s">
        <v>64</v>
      </c>
    </row>
    <row r="58" spans="1:1" x14ac:dyDescent="0.2">
      <c r="A58" s="1" t="s">
        <v>64</v>
      </c>
    </row>
    <row r="59" spans="1:1" x14ac:dyDescent="0.2">
      <c r="A59" s="1" t="s">
        <v>64</v>
      </c>
    </row>
  </sheetData>
  <mergeCells count="3">
    <mergeCell ref="A4:F4"/>
    <mergeCell ref="A6:F6"/>
    <mergeCell ref="H8:I8"/>
  </mergeCells>
  <phoneticPr fontId="2" type="noConversion"/>
  <pageMargins left="0.75" right="0.75" top="0.5" bottom="1" header="0.5" footer="0.5"/>
  <pageSetup scale="9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workbookViewId="0">
      <selection activeCell="F25" sqref="F25"/>
    </sheetView>
  </sheetViews>
  <sheetFormatPr defaultRowHeight="12.75" x14ac:dyDescent="0.2"/>
  <cols>
    <col min="1" max="1" width="30.85546875" bestFit="1" customWidth="1"/>
    <col min="2" max="2" width="19.5703125" bestFit="1" customWidth="1"/>
    <col min="4" max="6" width="12.28515625" bestFit="1" customWidth="1"/>
    <col min="7" max="7" width="14.42578125" bestFit="1" customWidth="1"/>
  </cols>
  <sheetData>
    <row r="1" spans="1:7" ht="15" x14ac:dyDescent="0.25">
      <c r="B1" s="158" t="s">
        <v>55</v>
      </c>
      <c r="C1" s="158"/>
      <c r="D1" s="158"/>
      <c r="E1" s="158"/>
      <c r="G1" s="16" t="s">
        <v>135</v>
      </c>
    </row>
    <row r="2" spans="1:7" ht="15" x14ac:dyDescent="0.25">
      <c r="B2" s="158" t="s">
        <v>56</v>
      </c>
      <c r="C2" s="158"/>
      <c r="D2" s="158"/>
      <c r="E2" s="158"/>
    </row>
    <row r="3" spans="1:7" ht="15" x14ac:dyDescent="0.25">
      <c r="B3" s="113"/>
      <c r="C3" s="113"/>
      <c r="D3" s="113"/>
      <c r="E3" s="113"/>
    </row>
    <row r="4" spans="1:7" x14ac:dyDescent="0.2">
      <c r="A4" s="16" t="s">
        <v>136</v>
      </c>
      <c r="B4" s="135" t="s">
        <v>137</v>
      </c>
    </row>
    <row r="6" spans="1:7" x14ac:dyDescent="0.2">
      <c r="D6" s="109" t="s">
        <v>121</v>
      </c>
      <c r="E6" s="99" t="s">
        <v>122</v>
      </c>
      <c r="F6" s="111" t="s">
        <v>123</v>
      </c>
    </row>
    <row r="7" spans="1:7" x14ac:dyDescent="0.2">
      <c r="A7" s="92" t="s">
        <v>57</v>
      </c>
      <c r="C7" s="92" t="s">
        <v>3</v>
      </c>
      <c r="D7" s="110">
        <v>45315</v>
      </c>
      <c r="E7" s="108">
        <v>45346</v>
      </c>
      <c r="F7" s="112">
        <v>45375</v>
      </c>
    </row>
    <row r="8" spans="1:7" x14ac:dyDescent="0.2">
      <c r="D8" s="94"/>
      <c r="F8" s="95"/>
    </row>
    <row r="9" spans="1:7" x14ac:dyDescent="0.2">
      <c r="A9" s="93" t="s">
        <v>95</v>
      </c>
      <c r="B9" s="101" t="s">
        <v>97</v>
      </c>
      <c r="C9" s="101" t="s">
        <v>59</v>
      </c>
      <c r="D9" s="125">
        <v>13980.27</v>
      </c>
      <c r="E9" s="126">
        <v>10599.57</v>
      </c>
      <c r="F9" s="127">
        <v>9873.89</v>
      </c>
      <c r="G9" s="99" t="s">
        <v>125</v>
      </c>
    </row>
    <row r="10" spans="1:7" x14ac:dyDescent="0.2">
      <c r="A10" s="94" t="s">
        <v>58</v>
      </c>
      <c r="B10" s="91" t="s">
        <v>98</v>
      </c>
      <c r="C10" s="91" t="s">
        <v>70</v>
      </c>
      <c r="D10" s="139">
        <v>2137</v>
      </c>
      <c r="E10" s="140">
        <v>2047</v>
      </c>
      <c r="F10" s="141">
        <v>2160</v>
      </c>
      <c r="G10" s="99" t="s">
        <v>125</v>
      </c>
    </row>
    <row r="11" spans="1:7" x14ac:dyDescent="0.2">
      <c r="A11" s="94" t="s">
        <v>96</v>
      </c>
      <c r="B11" s="99" t="s">
        <v>124</v>
      </c>
      <c r="C11" s="91" t="s">
        <v>71</v>
      </c>
      <c r="D11" s="139">
        <f>D10/1.0307</f>
        <v>2073.3482099543999</v>
      </c>
      <c r="E11" s="140">
        <f>E10/1.0307</f>
        <v>1986.0289123896382</v>
      </c>
      <c r="F11" s="141">
        <f>F10/1.0307</f>
        <v>2095.6631415542838</v>
      </c>
      <c r="G11" s="99" t="s">
        <v>126</v>
      </c>
    </row>
    <row r="12" spans="1:7" x14ac:dyDescent="0.2">
      <c r="A12" s="96"/>
      <c r="B12" s="103" t="s">
        <v>99</v>
      </c>
      <c r="C12" s="100" t="s">
        <v>5</v>
      </c>
      <c r="D12" s="114">
        <f>D9/D11</f>
        <v>6.7428471169864297</v>
      </c>
      <c r="E12" s="117">
        <f>E9/E11</f>
        <v>5.3370673175378602</v>
      </c>
      <c r="F12" s="116">
        <f>F9/F11</f>
        <v>4.71158260324074</v>
      </c>
      <c r="G12" s="99" t="s">
        <v>127</v>
      </c>
    </row>
    <row r="13" spans="1:7" x14ac:dyDescent="0.2">
      <c r="B13" s="91"/>
      <c r="C13" s="91"/>
      <c r="D13" s="119"/>
      <c r="E13" s="123"/>
      <c r="F13" s="118"/>
      <c r="G13" s="91"/>
    </row>
    <row r="14" spans="1:7" x14ac:dyDescent="0.2">
      <c r="A14" s="97" t="s">
        <v>100</v>
      </c>
      <c r="B14" s="105" t="s">
        <v>102</v>
      </c>
      <c r="C14" s="105" t="s">
        <v>71</v>
      </c>
      <c r="D14" s="145">
        <v>0</v>
      </c>
      <c r="E14" s="146">
        <v>0</v>
      </c>
      <c r="F14" s="144">
        <v>0</v>
      </c>
      <c r="G14" s="99" t="s">
        <v>125</v>
      </c>
    </row>
    <row r="15" spans="1:7" x14ac:dyDescent="0.2">
      <c r="A15" s="98" t="s">
        <v>101</v>
      </c>
      <c r="B15" s="100" t="s">
        <v>103</v>
      </c>
      <c r="C15" s="100" t="s">
        <v>59</v>
      </c>
      <c r="D15" s="114">
        <f>D12*D14</f>
        <v>0</v>
      </c>
      <c r="E15" s="117">
        <f>E14*E12</f>
        <v>0</v>
      </c>
      <c r="F15" s="116">
        <f>F14*F12</f>
        <v>0</v>
      </c>
      <c r="G15" s="99" t="s">
        <v>128</v>
      </c>
    </row>
    <row r="16" spans="1:7" x14ac:dyDescent="0.2">
      <c r="B16" s="91"/>
      <c r="C16" s="91"/>
      <c r="D16" s="128"/>
      <c r="E16" s="122"/>
      <c r="F16" s="129"/>
      <c r="G16" s="91"/>
    </row>
    <row r="17" spans="1:7" x14ac:dyDescent="0.2">
      <c r="A17" s="97" t="s">
        <v>104</v>
      </c>
      <c r="B17" s="105" t="s">
        <v>106</v>
      </c>
      <c r="C17" s="105" t="s">
        <v>59</v>
      </c>
      <c r="D17" s="115">
        <f>D9-D15</f>
        <v>13980.27</v>
      </c>
      <c r="E17" s="120">
        <f>E9-E15</f>
        <v>10599.57</v>
      </c>
      <c r="F17" s="121">
        <f>F9-F15</f>
        <v>9873.89</v>
      </c>
      <c r="G17" s="99" t="s">
        <v>129</v>
      </c>
    </row>
    <row r="18" spans="1:7" x14ac:dyDescent="0.2">
      <c r="A18" s="98" t="s">
        <v>105</v>
      </c>
      <c r="B18" s="100" t="s">
        <v>107</v>
      </c>
      <c r="C18" s="107" t="s">
        <v>45</v>
      </c>
      <c r="D18" s="136">
        <v>8441</v>
      </c>
      <c r="E18" s="137">
        <v>3438</v>
      </c>
      <c r="F18" s="138">
        <v>4112</v>
      </c>
      <c r="G18" s="99" t="s">
        <v>125</v>
      </c>
    </row>
    <row r="19" spans="1:7" x14ac:dyDescent="0.2">
      <c r="B19" s="91"/>
      <c r="C19" s="91"/>
      <c r="D19" s="128"/>
      <c r="E19" s="122"/>
      <c r="F19" s="129"/>
      <c r="G19" s="91"/>
    </row>
    <row r="20" spans="1:7" x14ac:dyDescent="0.2">
      <c r="A20" s="97" t="s">
        <v>108</v>
      </c>
      <c r="B20" s="105" t="s">
        <v>112</v>
      </c>
      <c r="C20" s="106" t="s">
        <v>5</v>
      </c>
      <c r="D20" s="115">
        <f>D17/D18</f>
        <v>1.6562338585475656</v>
      </c>
      <c r="E20" s="120">
        <f>E17/E18</f>
        <v>3.0830628272251306</v>
      </c>
      <c r="F20" s="121">
        <f>F17/F18</f>
        <v>2.4012378404669259</v>
      </c>
      <c r="G20" s="99" t="s">
        <v>130</v>
      </c>
    </row>
    <row r="21" spans="1:7" x14ac:dyDescent="0.2">
      <c r="A21" s="98" t="s">
        <v>109</v>
      </c>
      <c r="B21" s="100" t="s">
        <v>113</v>
      </c>
      <c r="C21" s="107" t="s">
        <v>5</v>
      </c>
      <c r="D21" s="114">
        <v>4.04</v>
      </c>
      <c r="E21" s="117">
        <v>4.04</v>
      </c>
      <c r="F21" s="116">
        <v>4.04</v>
      </c>
      <c r="G21" s="99" t="s">
        <v>125</v>
      </c>
    </row>
    <row r="22" spans="1:7" x14ac:dyDescent="0.2">
      <c r="B22" s="99"/>
      <c r="C22" s="91"/>
      <c r="D22" s="128"/>
      <c r="E22" s="122"/>
      <c r="F22" s="129"/>
      <c r="G22" s="91"/>
    </row>
    <row r="23" spans="1:7" x14ac:dyDescent="0.2">
      <c r="A23" s="97" t="s">
        <v>110</v>
      </c>
      <c r="B23" s="105" t="s">
        <v>114</v>
      </c>
      <c r="C23" s="106" t="s">
        <v>5</v>
      </c>
      <c r="D23" s="115">
        <f>D20-D21</f>
        <v>-2.3837661414524343</v>
      </c>
      <c r="E23" s="120">
        <f>E20-E21</f>
        <v>-0.95693717277486945</v>
      </c>
      <c r="F23" s="121">
        <f>F20-F21</f>
        <v>-1.6387621595330741</v>
      </c>
      <c r="G23" s="99" t="s">
        <v>131</v>
      </c>
    </row>
    <row r="24" spans="1:7" x14ac:dyDescent="0.2">
      <c r="A24" s="98" t="s">
        <v>111</v>
      </c>
      <c r="B24" s="100" t="s">
        <v>115</v>
      </c>
      <c r="C24" s="107" t="s">
        <v>71</v>
      </c>
      <c r="D24" s="114">
        <v>8441</v>
      </c>
      <c r="E24" s="117">
        <v>3438</v>
      </c>
      <c r="F24" s="116">
        <v>4112</v>
      </c>
      <c r="G24" s="99" t="s">
        <v>125</v>
      </c>
    </row>
    <row r="25" spans="1:7" x14ac:dyDescent="0.2">
      <c r="B25" s="99" t="s">
        <v>116</v>
      </c>
      <c r="C25" s="91"/>
      <c r="D25" s="119">
        <f>D23*D24</f>
        <v>-20121.37</v>
      </c>
      <c r="E25" s="123">
        <f>E23*E24</f>
        <v>-3289.9500000000012</v>
      </c>
      <c r="F25" s="118">
        <f>F23*F24</f>
        <v>-6738.5900000000011</v>
      </c>
      <c r="G25" s="99" t="s">
        <v>132</v>
      </c>
    </row>
    <row r="26" spans="1:7" x14ac:dyDescent="0.2">
      <c r="B26" s="91"/>
      <c r="C26" s="102"/>
      <c r="D26" s="122"/>
      <c r="E26" s="122"/>
      <c r="F26" s="129"/>
      <c r="G26" s="91"/>
    </row>
    <row r="27" spans="1:7" x14ac:dyDescent="0.2">
      <c r="A27" s="124" t="s">
        <v>60</v>
      </c>
      <c r="B27" s="99" t="s">
        <v>119</v>
      </c>
      <c r="C27" s="102"/>
      <c r="D27" s="122"/>
      <c r="E27" s="122">
        <f>D25+E25+F25</f>
        <v>-30149.91</v>
      </c>
      <c r="F27" s="129"/>
      <c r="G27" s="99" t="s">
        <v>133</v>
      </c>
    </row>
    <row r="28" spans="1:7" x14ac:dyDescent="0.2">
      <c r="A28" s="98" t="s">
        <v>117</v>
      </c>
      <c r="B28" s="100" t="s">
        <v>120</v>
      </c>
      <c r="C28" s="104"/>
      <c r="D28" s="130"/>
      <c r="E28" s="142">
        <v>27402</v>
      </c>
      <c r="F28" s="131"/>
      <c r="G28" s="99" t="s">
        <v>125</v>
      </c>
    </row>
    <row r="29" spans="1:7" x14ac:dyDescent="0.2">
      <c r="A29" s="16" t="s">
        <v>118</v>
      </c>
      <c r="D29" s="128"/>
      <c r="E29" s="122">
        <f>E27/E28</f>
        <v>-1.1002813663236259</v>
      </c>
      <c r="F29" s="129"/>
      <c r="G29" s="99" t="s">
        <v>134</v>
      </c>
    </row>
    <row r="30" spans="1:7" x14ac:dyDescent="0.2">
      <c r="D30" s="94"/>
      <c r="F30" s="95"/>
    </row>
  </sheetData>
  <mergeCells count="2">
    <mergeCell ref="B2:E2"/>
    <mergeCell ref="B1:E1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K63"/>
  <sheetViews>
    <sheetView tabSelected="1" zoomScale="70" zoomScaleNormal="70" workbookViewId="0">
      <pane ySplit="1" topLeftCell="A32" activePane="bottomLeft" state="frozen"/>
      <selection pane="bottomLeft" activeCell="K59" sqref="K59"/>
    </sheetView>
  </sheetViews>
  <sheetFormatPr defaultColWidth="9.140625" defaultRowHeight="12.75" x14ac:dyDescent="0.2"/>
  <cols>
    <col min="1" max="1" width="10" style="33" customWidth="1"/>
    <col min="2" max="2" width="11.28515625" style="43" customWidth="1"/>
    <col min="3" max="3" width="12.28515625" style="39" customWidth="1"/>
    <col min="4" max="4" width="12" style="43" customWidth="1"/>
    <col min="5" max="5" width="12" style="39" customWidth="1"/>
    <col min="6" max="6" width="10.5703125" style="43" customWidth="1"/>
    <col min="7" max="7" width="12.28515625" style="39" customWidth="1"/>
    <col min="8" max="8" width="9.85546875" style="43" customWidth="1"/>
    <col min="9" max="9" width="11.28515625" style="39" customWidth="1"/>
    <col min="10" max="10" width="10.28515625" style="46" customWidth="1"/>
    <col min="11" max="11" width="11.140625" style="35" customWidth="1"/>
    <col min="12" max="12" width="11.28515625" style="50" bestFit="1" customWidth="1"/>
    <col min="13" max="13" width="13.42578125" style="38" bestFit="1" customWidth="1"/>
    <col min="14" max="14" width="14.42578125" style="38" customWidth="1"/>
    <col min="15" max="15" width="10.28515625" style="41" bestFit="1" customWidth="1"/>
    <col min="16" max="16" width="10.5703125" style="41" customWidth="1"/>
    <col min="17" max="17" width="13.42578125" style="48" bestFit="1" customWidth="1"/>
    <col min="20" max="20" width="11.42578125" bestFit="1" customWidth="1"/>
  </cols>
  <sheetData>
    <row r="1" spans="1:635" s="74" customFormat="1" ht="51" x14ac:dyDescent="0.2">
      <c r="A1" s="31" t="s">
        <v>76</v>
      </c>
      <c r="B1" s="40" t="s">
        <v>77</v>
      </c>
      <c r="C1" s="37" t="s">
        <v>78</v>
      </c>
      <c r="D1" s="40" t="s">
        <v>79</v>
      </c>
      <c r="E1" s="37" t="s">
        <v>80</v>
      </c>
      <c r="F1" s="63" t="s">
        <v>81</v>
      </c>
      <c r="G1" s="37" t="s">
        <v>82</v>
      </c>
      <c r="H1" s="63" t="s">
        <v>74</v>
      </c>
      <c r="I1" s="37" t="s">
        <v>83</v>
      </c>
      <c r="J1" s="64" t="s">
        <v>75</v>
      </c>
      <c r="K1" s="31" t="s">
        <v>85</v>
      </c>
      <c r="L1" s="65" t="s">
        <v>86</v>
      </c>
      <c r="M1" s="37" t="s">
        <v>87</v>
      </c>
      <c r="N1" s="37" t="s">
        <v>88</v>
      </c>
      <c r="O1" s="40" t="s">
        <v>89</v>
      </c>
      <c r="P1" s="40" t="s">
        <v>90</v>
      </c>
      <c r="Q1" s="47" t="s">
        <v>91</v>
      </c>
      <c r="R1" s="72"/>
      <c r="S1" s="73"/>
    </row>
    <row r="2" spans="1:635" s="85" customFormat="1" x14ac:dyDescent="0.2">
      <c r="A2" s="32">
        <v>43850</v>
      </c>
      <c r="B2" s="55">
        <v>4401</v>
      </c>
      <c r="C2" s="66">
        <v>34665.97</v>
      </c>
      <c r="D2" s="55">
        <v>950</v>
      </c>
      <c r="E2" s="66">
        <v>7428.08</v>
      </c>
      <c r="F2" s="55">
        <f t="shared" ref="F2:G20" si="0">SUM(B2+D2)</f>
        <v>5351</v>
      </c>
      <c r="G2" s="66">
        <f t="shared" si="0"/>
        <v>42094.05</v>
      </c>
      <c r="H2" s="55"/>
      <c r="I2" s="66"/>
      <c r="J2" s="67">
        <f>SUM(B2+D2+H2)</f>
        <v>5351</v>
      </c>
      <c r="K2" s="68">
        <v>43850</v>
      </c>
      <c r="L2" s="69">
        <v>2852</v>
      </c>
      <c r="M2" s="66">
        <v>7600.88</v>
      </c>
      <c r="N2" s="66">
        <v>5223.1400000000003</v>
      </c>
      <c r="O2" s="55">
        <v>5799</v>
      </c>
      <c r="P2" s="55"/>
      <c r="Q2" s="70">
        <f>SUM(M2+N2)</f>
        <v>12824.02</v>
      </c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</row>
    <row r="3" spans="1:635" s="85" customFormat="1" x14ac:dyDescent="0.2">
      <c r="A3" s="32">
        <v>43881</v>
      </c>
      <c r="B3" s="55">
        <v>4521</v>
      </c>
      <c r="C3" s="66">
        <v>35612.19</v>
      </c>
      <c r="D3" s="55">
        <v>1010</v>
      </c>
      <c r="E3" s="66">
        <v>7893.54</v>
      </c>
      <c r="F3" s="55">
        <f t="shared" si="0"/>
        <v>5531</v>
      </c>
      <c r="G3" s="66">
        <f t="shared" si="0"/>
        <v>43505.73</v>
      </c>
      <c r="H3" s="55"/>
      <c r="I3" s="66"/>
      <c r="J3" s="67">
        <f t="shared" ref="J3:J53" si="1">SUM(B3+D3+H3)</f>
        <v>5531</v>
      </c>
      <c r="K3" s="68">
        <v>43881</v>
      </c>
      <c r="L3" s="69">
        <v>2775</v>
      </c>
      <c r="M3" s="66">
        <v>7389.48</v>
      </c>
      <c r="N3" s="66">
        <v>5181.75</v>
      </c>
      <c r="O3" s="55">
        <f>SUM(N3/0.9007)</f>
        <v>5753.0254246697014</v>
      </c>
      <c r="P3" s="55"/>
      <c r="Q3" s="70">
        <f>SUM(M3+N3)</f>
        <v>12571.23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</row>
    <row r="4" spans="1:635" s="85" customFormat="1" x14ac:dyDescent="0.2">
      <c r="A4" s="32">
        <v>43910</v>
      </c>
      <c r="B4" s="55">
        <v>2976</v>
      </c>
      <c r="C4" s="66">
        <v>19128.53</v>
      </c>
      <c r="D4" s="55">
        <v>635</v>
      </c>
      <c r="E4" s="66">
        <v>4045.92</v>
      </c>
      <c r="F4" s="55">
        <f t="shared" si="0"/>
        <v>3611</v>
      </c>
      <c r="G4" s="66">
        <f t="shared" si="0"/>
        <v>23174.449999999997</v>
      </c>
      <c r="H4" s="55"/>
      <c r="I4" s="66"/>
      <c r="J4" s="67">
        <f t="shared" si="1"/>
        <v>3611</v>
      </c>
      <c r="K4" s="68">
        <v>43910</v>
      </c>
      <c r="L4" s="69">
        <v>2900</v>
      </c>
      <c r="M4" s="66">
        <v>7725.6</v>
      </c>
      <c r="N4" s="66">
        <v>2990.3</v>
      </c>
      <c r="O4" s="55">
        <f>SUM(N4/0.9007)</f>
        <v>3319.9733540579555</v>
      </c>
      <c r="P4" s="55"/>
      <c r="Q4" s="70">
        <f>SUM(M4+N4)</f>
        <v>10715.900000000001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</row>
    <row r="5" spans="1:635" s="85" customFormat="1" x14ac:dyDescent="0.2">
      <c r="A5" s="32">
        <v>43941</v>
      </c>
      <c r="B5" s="55">
        <v>1556</v>
      </c>
      <c r="C5" s="66">
        <v>10017.93</v>
      </c>
      <c r="D5" s="55">
        <v>306</v>
      </c>
      <c r="E5" s="66">
        <v>1951.61</v>
      </c>
      <c r="F5" s="55">
        <f t="shared" si="0"/>
        <v>1862</v>
      </c>
      <c r="G5" s="66">
        <f t="shared" si="0"/>
        <v>11969.54</v>
      </c>
      <c r="H5" s="55">
        <v>0</v>
      </c>
      <c r="I5" s="66">
        <v>0</v>
      </c>
      <c r="J5" s="67">
        <f t="shared" si="1"/>
        <v>1862</v>
      </c>
      <c r="K5" s="68">
        <v>43941</v>
      </c>
      <c r="L5" s="69">
        <v>2700</v>
      </c>
      <c r="M5" s="66">
        <v>7187.8</v>
      </c>
      <c r="N5" s="66">
        <v>1970.72</v>
      </c>
      <c r="O5" s="55">
        <f t="shared" ref="O5:O52" si="2">SUM(N5/0.9007)</f>
        <v>2187.9871211280115</v>
      </c>
      <c r="P5" s="55"/>
      <c r="Q5" s="70">
        <f t="shared" ref="Q5:Q21" si="3">SUM(M5+N5)</f>
        <v>9158.52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</row>
    <row r="6" spans="1:635" s="85" customFormat="1" x14ac:dyDescent="0.2">
      <c r="A6" s="32">
        <v>43971</v>
      </c>
      <c r="B6" s="55">
        <v>1084</v>
      </c>
      <c r="C6" s="66">
        <v>6967.19</v>
      </c>
      <c r="D6" s="55">
        <v>243</v>
      </c>
      <c r="E6" s="66">
        <v>1553.28</v>
      </c>
      <c r="F6" s="55">
        <f t="shared" si="0"/>
        <v>1327</v>
      </c>
      <c r="G6" s="66">
        <f t="shared" si="0"/>
        <v>8520.4699999999993</v>
      </c>
      <c r="H6" s="55">
        <v>879</v>
      </c>
      <c r="I6" s="66">
        <v>6682.61</v>
      </c>
      <c r="J6" s="67">
        <f t="shared" si="1"/>
        <v>2206</v>
      </c>
      <c r="K6" s="68">
        <v>43971</v>
      </c>
      <c r="L6" s="69">
        <v>2800</v>
      </c>
      <c r="M6" s="66">
        <v>7456.7</v>
      </c>
      <c r="N6" s="66">
        <v>1742.86</v>
      </c>
      <c r="O6" s="55">
        <f t="shared" si="2"/>
        <v>1935.0061063617186</v>
      </c>
      <c r="P6" s="55"/>
      <c r="Q6" s="70">
        <f t="shared" si="3"/>
        <v>9199.56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</row>
    <row r="7" spans="1:635" s="85" customFormat="1" x14ac:dyDescent="0.2">
      <c r="A7" s="32">
        <v>44002</v>
      </c>
      <c r="B7" s="55">
        <v>451</v>
      </c>
      <c r="C7" s="66">
        <v>2898.3</v>
      </c>
      <c r="D7" s="55">
        <v>164</v>
      </c>
      <c r="E7" s="66">
        <v>1054.1300000000001</v>
      </c>
      <c r="F7" s="55">
        <f t="shared" si="0"/>
        <v>615</v>
      </c>
      <c r="G7" s="66">
        <f t="shared" si="0"/>
        <v>3952.4300000000003</v>
      </c>
      <c r="H7" s="55">
        <v>2114</v>
      </c>
      <c r="I7" s="66">
        <v>16061.13</v>
      </c>
      <c r="J7" s="67">
        <f t="shared" si="1"/>
        <v>2729</v>
      </c>
      <c r="K7" s="68">
        <v>44002</v>
      </c>
      <c r="L7" s="69">
        <v>3740</v>
      </c>
      <c r="M7" s="66">
        <v>9101.7000000000007</v>
      </c>
      <c r="N7" s="66">
        <v>2738.15</v>
      </c>
      <c r="O7" s="55">
        <f t="shared" si="2"/>
        <v>3040.0244254468748</v>
      </c>
      <c r="P7" s="55"/>
      <c r="Q7" s="70">
        <f t="shared" si="3"/>
        <v>11839.85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</row>
    <row r="8" spans="1:635" x14ac:dyDescent="0.2">
      <c r="A8" s="32">
        <v>44032</v>
      </c>
      <c r="B8" s="55">
        <v>360</v>
      </c>
      <c r="C8" s="66">
        <v>2207.5100000000002</v>
      </c>
      <c r="D8" s="55">
        <v>147</v>
      </c>
      <c r="E8" s="66">
        <v>899.12</v>
      </c>
      <c r="F8" s="55">
        <f t="shared" si="0"/>
        <v>507</v>
      </c>
      <c r="G8" s="66">
        <f t="shared" si="0"/>
        <v>3106.63</v>
      </c>
      <c r="H8" s="55">
        <v>0</v>
      </c>
      <c r="I8" s="66">
        <v>0</v>
      </c>
      <c r="J8" s="67">
        <f t="shared" si="1"/>
        <v>507</v>
      </c>
      <c r="K8" s="68">
        <v>44032</v>
      </c>
      <c r="L8" s="69">
        <v>2825</v>
      </c>
      <c r="M8" s="66">
        <v>7523.93</v>
      </c>
      <c r="N8" s="66">
        <v>1152.82</v>
      </c>
      <c r="O8" s="55">
        <f t="shared" si="2"/>
        <v>1279.9156211835239</v>
      </c>
      <c r="P8" s="55"/>
      <c r="Q8" s="70">
        <f t="shared" si="3"/>
        <v>8676.75</v>
      </c>
    </row>
    <row r="9" spans="1:635" x14ac:dyDescent="0.2">
      <c r="A9" s="32">
        <v>44063</v>
      </c>
      <c r="B9" s="55">
        <v>343</v>
      </c>
      <c r="C9" s="66">
        <v>2103.44</v>
      </c>
      <c r="D9" s="55">
        <v>122</v>
      </c>
      <c r="E9" s="66">
        <v>750.08</v>
      </c>
      <c r="F9" s="55">
        <f t="shared" si="0"/>
        <v>465</v>
      </c>
      <c r="G9" s="66">
        <f t="shared" si="0"/>
        <v>2853.52</v>
      </c>
      <c r="H9" s="55">
        <v>0</v>
      </c>
      <c r="I9" s="66">
        <v>0</v>
      </c>
      <c r="J9" s="67">
        <f t="shared" si="1"/>
        <v>465</v>
      </c>
      <c r="K9" s="68">
        <v>44063</v>
      </c>
      <c r="L9" s="69">
        <v>4097</v>
      </c>
      <c r="M9" s="66">
        <v>10641.88</v>
      </c>
      <c r="N9" s="66">
        <v>1565.43</v>
      </c>
      <c r="O9" s="55">
        <f t="shared" si="2"/>
        <v>1738.014877317642</v>
      </c>
      <c r="P9" s="55"/>
      <c r="Q9" s="70">
        <f t="shared" si="3"/>
        <v>12207.31</v>
      </c>
    </row>
    <row r="10" spans="1:635" x14ac:dyDescent="0.2">
      <c r="A10" s="32">
        <v>44094</v>
      </c>
      <c r="B10" s="55">
        <v>431</v>
      </c>
      <c r="C10" s="66">
        <v>2644.31</v>
      </c>
      <c r="D10" s="55">
        <v>149</v>
      </c>
      <c r="E10" s="66">
        <v>908.2</v>
      </c>
      <c r="F10" s="55">
        <f t="shared" si="0"/>
        <v>580</v>
      </c>
      <c r="G10" s="66">
        <f t="shared" si="0"/>
        <v>3552.51</v>
      </c>
      <c r="H10" s="55">
        <v>0</v>
      </c>
      <c r="I10" s="66">
        <v>0</v>
      </c>
      <c r="J10" s="67">
        <f t="shared" si="1"/>
        <v>580</v>
      </c>
      <c r="K10" s="68">
        <v>44094</v>
      </c>
      <c r="L10" s="69">
        <v>2600</v>
      </c>
      <c r="M10" s="66">
        <v>6918.9</v>
      </c>
      <c r="N10" s="66">
        <v>1834.74</v>
      </c>
      <c r="O10" s="55">
        <f t="shared" si="2"/>
        <v>2037.0156544909516</v>
      </c>
      <c r="P10" s="55">
        <v>-13112</v>
      </c>
      <c r="Q10" s="70">
        <f t="shared" si="3"/>
        <v>8753.64</v>
      </c>
    </row>
    <row r="11" spans="1:635" x14ac:dyDescent="0.2">
      <c r="A11" s="32">
        <v>44105</v>
      </c>
      <c r="B11" s="55">
        <v>703</v>
      </c>
      <c r="C11" s="66">
        <v>4314.6400000000003</v>
      </c>
      <c r="D11" s="55">
        <v>181</v>
      </c>
      <c r="E11" s="66">
        <v>1107.17</v>
      </c>
      <c r="F11" s="55">
        <f t="shared" si="0"/>
        <v>884</v>
      </c>
      <c r="G11" s="66">
        <f t="shared" si="0"/>
        <v>5421.81</v>
      </c>
      <c r="H11" s="55">
        <v>0</v>
      </c>
      <c r="I11" s="66">
        <v>0</v>
      </c>
      <c r="J11" s="67">
        <f t="shared" si="1"/>
        <v>884</v>
      </c>
      <c r="K11" s="32">
        <v>44105</v>
      </c>
      <c r="L11" s="69">
        <v>2650</v>
      </c>
      <c r="M11" s="66">
        <v>7053.35</v>
      </c>
      <c r="N11" s="66">
        <v>1843.32</v>
      </c>
      <c r="O11" s="55">
        <f t="shared" si="2"/>
        <v>2046.5415787720663</v>
      </c>
      <c r="P11" s="55">
        <v>-896</v>
      </c>
      <c r="Q11" s="70">
        <f t="shared" si="3"/>
        <v>8896.67</v>
      </c>
    </row>
    <row r="12" spans="1:635" x14ac:dyDescent="0.2">
      <c r="A12" s="32">
        <v>44136</v>
      </c>
      <c r="B12" s="55">
        <v>1766</v>
      </c>
      <c r="C12" s="66">
        <v>9737.7199999999993</v>
      </c>
      <c r="D12" s="55">
        <v>349</v>
      </c>
      <c r="E12" s="66">
        <v>1919.28</v>
      </c>
      <c r="F12" s="55">
        <f t="shared" si="0"/>
        <v>2115</v>
      </c>
      <c r="G12" s="66">
        <f t="shared" si="0"/>
        <v>11657</v>
      </c>
      <c r="H12" s="55">
        <v>0</v>
      </c>
      <c r="I12" s="66">
        <v>0</v>
      </c>
      <c r="J12" s="67">
        <f t="shared" si="1"/>
        <v>2115</v>
      </c>
      <c r="K12" s="32">
        <v>44136</v>
      </c>
      <c r="L12" s="69">
        <v>2425</v>
      </c>
      <c r="M12" s="66">
        <v>6237.33</v>
      </c>
      <c r="N12" s="66">
        <v>2981.56</v>
      </c>
      <c r="O12" s="55">
        <f t="shared" si="2"/>
        <v>3310.2697901632064</v>
      </c>
      <c r="P12" s="55">
        <v>-1760</v>
      </c>
      <c r="Q12" s="70">
        <f t="shared" si="3"/>
        <v>9218.89</v>
      </c>
    </row>
    <row r="13" spans="1:635" x14ac:dyDescent="0.2">
      <c r="A13" s="32">
        <v>44166</v>
      </c>
      <c r="B13" s="55">
        <v>3328</v>
      </c>
      <c r="C13" s="66">
        <v>18397.05</v>
      </c>
      <c r="D13" s="55">
        <v>737</v>
      </c>
      <c r="E13" s="66">
        <v>4017.28</v>
      </c>
      <c r="F13" s="55">
        <f t="shared" si="0"/>
        <v>4065</v>
      </c>
      <c r="G13" s="66">
        <f t="shared" si="0"/>
        <v>22414.329999999998</v>
      </c>
      <c r="H13" s="55">
        <v>0</v>
      </c>
      <c r="I13" s="66">
        <v>0</v>
      </c>
      <c r="J13" s="67">
        <f t="shared" si="1"/>
        <v>4065</v>
      </c>
      <c r="K13" s="32">
        <v>44166</v>
      </c>
      <c r="L13" s="69">
        <v>4625</v>
      </c>
      <c r="M13" s="66">
        <v>12265.33</v>
      </c>
      <c r="N13" s="66">
        <v>5685.76</v>
      </c>
      <c r="O13" s="55">
        <f t="shared" si="2"/>
        <v>6312.6013100921509</v>
      </c>
      <c r="P13" s="55">
        <v>-2308</v>
      </c>
      <c r="Q13" s="70">
        <f t="shared" si="3"/>
        <v>17951.09</v>
      </c>
    </row>
    <row r="14" spans="1:635" s="86" customFormat="1" x14ac:dyDescent="0.2">
      <c r="A14" s="32">
        <v>44217</v>
      </c>
      <c r="B14" s="55">
        <v>6140</v>
      </c>
      <c r="C14" s="66">
        <v>37693.68</v>
      </c>
      <c r="D14" s="55">
        <v>1461</v>
      </c>
      <c r="E14" s="66">
        <v>8849.1</v>
      </c>
      <c r="F14" s="55">
        <f t="shared" si="0"/>
        <v>7601</v>
      </c>
      <c r="G14" s="66">
        <f t="shared" si="0"/>
        <v>46542.78</v>
      </c>
      <c r="H14" s="55">
        <v>0</v>
      </c>
      <c r="I14" s="66">
        <v>0</v>
      </c>
      <c r="J14" s="67">
        <f t="shared" si="1"/>
        <v>7601</v>
      </c>
      <c r="K14" s="32">
        <v>44217</v>
      </c>
      <c r="L14" s="69">
        <v>4975</v>
      </c>
      <c r="M14" s="66">
        <v>13512.88</v>
      </c>
      <c r="N14" s="66">
        <v>6507.9</v>
      </c>
      <c r="O14" s="55">
        <f t="shared" si="2"/>
        <v>7225.3802597979347</v>
      </c>
      <c r="P14" s="55"/>
      <c r="Q14" s="70">
        <f t="shared" si="3"/>
        <v>20020.78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</row>
    <row r="15" spans="1:635" s="86" customFormat="1" x14ac:dyDescent="0.2">
      <c r="A15" s="32">
        <v>44248</v>
      </c>
      <c r="B15" s="55">
        <v>5984</v>
      </c>
      <c r="C15" s="66">
        <v>36734.44</v>
      </c>
      <c r="D15" s="55">
        <v>1460</v>
      </c>
      <c r="E15" s="66">
        <v>8844.34</v>
      </c>
      <c r="F15" s="55">
        <f t="shared" si="0"/>
        <v>7444</v>
      </c>
      <c r="G15" s="66">
        <f t="shared" si="0"/>
        <v>45578.78</v>
      </c>
      <c r="H15" s="55">
        <v>0</v>
      </c>
      <c r="I15" s="66">
        <v>0</v>
      </c>
      <c r="J15" s="67">
        <f t="shared" si="1"/>
        <v>7444</v>
      </c>
      <c r="K15" s="32">
        <v>44248</v>
      </c>
      <c r="L15" s="69">
        <v>5335</v>
      </c>
      <c r="M15" s="66">
        <v>24476.11</v>
      </c>
      <c r="N15" s="66">
        <v>6721.33</v>
      </c>
      <c r="O15" s="55">
        <f t="shared" si="2"/>
        <v>7462.3404019096261</v>
      </c>
      <c r="P15" s="55"/>
      <c r="Q15" s="70">
        <f t="shared" si="3"/>
        <v>31197.440000000002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</row>
    <row r="16" spans="1:635" s="86" customFormat="1" x14ac:dyDescent="0.2">
      <c r="A16" s="32">
        <v>44256</v>
      </c>
      <c r="B16" s="55">
        <v>2473</v>
      </c>
      <c r="C16" s="66">
        <v>15183.56</v>
      </c>
      <c r="D16" s="55">
        <v>550</v>
      </c>
      <c r="E16" s="66">
        <v>3351.51</v>
      </c>
      <c r="F16" s="55">
        <f t="shared" si="0"/>
        <v>3023</v>
      </c>
      <c r="G16" s="66">
        <f t="shared" si="0"/>
        <v>18535.07</v>
      </c>
      <c r="H16" s="55">
        <v>0</v>
      </c>
      <c r="I16" s="66">
        <v>0</v>
      </c>
      <c r="J16" s="67">
        <f t="shared" si="1"/>
        <v>3023</v>
      </c>
      <c r="K16" s="32">
        <v>44256</v>
      </c>
      <c r="L16" s="69">
        <v>2387</v>
      </c>
      <c r="M16" s="66">
        <v>6135.14</v>
      </c>
      <c r="N16" s="66">
        <v>3151.71</v>
      </c>
      <c r="O16" s="55">
        <f t="shared" si="2"/>
        <v>3499.1784167869437</v>
      </c>
      <c r="P16" s="55">
        <v>15691</v>
      </c>
      <c r="Q16" s="70">
        <f t="shared" si="3"/>
        <v>9286.85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</row>
    <row r="17" spans="1:635" s="86" customFormat="1" x14ac:dyDescent="0.2">
      <c r="A17" s="32">
        <v>44287</v>
      </c>
      <c r="B17" s="55">
        <v>1504</v>
      </c>
      <c r="C17" s="66">
        <v>9230.2999999999993</v>
      </c>
      <c r="D17" s="55">
        <v>373</v>
      </c>
      <c r="E17" s="66">
        <v>2281.34</v>
      </c>
      <c r="F17" s="55">
        <f t="shared" si="0"/>
        <v>1877</v>
      </c>
      <c r="G17" s="66">
        <f t="shared" si="0"/>
        <v>11511.64</v>
      </c>
      <c r="H17" s="55">
        <v>3489</v>
      </c>
      <c r="I17" s="66">
        <v>21418.7</v>
      </c>
      <c r="J17" s="67">
        <f t="shared" si="1"/>
        <v>5366</v>
      </c>
      <c r="K17" s="32">
        <v>44287</v>
      </c>
      <c r="L17" s="69">
        <v>3396</v>
      </c>
      <c r="M17" s="66">
        <v>8915.58</v>
      </c>
      <c r="N17" s="66">
        <v>5225.63</v>
      </c>
      <c r="O17" s="55">
        <f t="shared" si="2"/>
        <v>5801.7430887087821</v>
      </c>
      <c r="P17" s="55"/>
      <c r="Q17" s="70">
        <f t="shared" si="3"/>
        <v>14141.21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</row>
    <row r="18" spans="1:635" s="86" customFormat="1" x14ac:dyDescent="0.2">
      <c r="A18" s="32">
        <v>44317</v>
      </c>
      <c r="B18" s="55">
        <v>1034</v>
      </c>
      <c r="C18" s="66">
        <v>6349.02</v>
      </c>
      <c r="D18" s="55">
        <v>277</v>
      </c>
      <c r="E18" s="66">
        <v>1691.68</v>
      </c>
      <c r="F18" s="55">
        <f t="shared" si="0"/>
        <v>1311</v>
      </c>
      <c r="G18" s="66">
        <f t="shared" si="0"/>
        <v>8040.7000000000007</v>
      </c>
      <c r="H18" s="55">
        <v>3655</v>
      </c>
      <c r="I18" s="66">
        <v>22435.9</v>
      </c>
      <c r="J18" s="67">
        <f t="shared" si="1"/>
        <v>4966</v>
      </c>
      <c r="K18" s="32">
        <v>44317</v>
      </c>
      <c r="L18" s="69">
        <v>4759</v>
      </c>
      <c r="M18" s="66">
        <v>13774.7</v>
      </c>
      <c r="N18" s="66">
        <v>3715.48</v>
      </c>
      <c r="O18" s="55">
        <f t="shared" si="2"/>
        <v>4125.1026979016324</v>
      </c>
      <c r="P18" s="55"/>
      <c r="Q18" s="70">
        <f t="shared" si="3"/>
        <v>17490.18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</row>
    <row r="19" spans="1:635" s="86" customFormat="1" x14ac:dyDescent="0.2">
      <c r="A19" s="32">
        <v>44368</v>
      </c>
      <c r="B19" s="55">
        <v>349</v>
      </c>
      <c r="C19" s="66">
        <v>2140.83</v>
      </c>
      <c r="D19" s="55">
        <v>130</v>
      </c>
      <c r="E19" s="66">
        <v>796.4</v>
      </c>
      <c r="F19" s="55">
        <f t="shared" si="0"/>
        <v>479</v>
      </c>
      <c r="G19" s="66">
        <f t="shared" si="0"/>
        <v>2937.23</v>
      </c>
      <c r="H19" s="55"/>
      <c r="I19" s="66"/>
      <c r="J19" s="67">
        <f t="shared" si="1"/>
        <v>479</v>
      </c>
      <c r="K19" s="68">
        <v>44368</v>
      </c>
      <c r="L19" s="69">
        <v>3420</v>
      </c>
      <c r="M19" s="66">
        <v>9603.92</v>
      </c>
      <c r="N19" s="66">
        <v>592.54999999999995</v>
      </c>
      <c r="O19" s="55">
        <f t="shared" si="2"/>
        <v>657.87720661707556</v>
      </c>
      <c r="P19" s="55">
        <v>-4038</v>
      </c>
      <c r="Q19" s="70">
        <f t="shared" si="3"/>
        <v>10196.469999999999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</row>
    <row r="20" spans="1:635" s="86" customFormat="1" x14ac:dyDescent="0.2">
      <c r="A20" s="32">
        <v>44398</v>
      </c>
      <c r="B20" s="55">
        <v>460</v>
      </c>
      <c r="C20" s="66">
        <v>4116.74</v>
      </c>
      <c r="D20" s="55">
        <v>200</v>
      </c>
      <c r="E20" s="66">
        <v>1787.97</v>
      </c>
      <c r="F20" s="55">
        <f t="shared" si="0"/>
        <v>660</v>
      </c>
      <c r="G20" s="66">
        <f t="shared" si="0"/>
        <v>5904.71</v>
      </c>
      <c r="H20" s="55">
        <v>2536</v>
      </c>
      <c r="I20" s="66">
        <v>22696.26</v>
      </c>
      <c r="J20" s="55">
        <f t="shared" si="1"/>
        <v>3196</v>
      </c>
      <c r="K20" s="32">
        <v>44398</v>
      </c>
      <c r="L20" s="69">
        <v>3750</v>
      </c>
      <c r="M20" s="66">
        <v>11598.61</v>
      </c>
      <c r="N20" s="66">
        <v>2877.1</v>
      </c>
      <c r="O20" s="55">
        <f t="shared" si="2"/>
        <v>3194.2933274120128</v>
      </c>
      <c r="P20" s="55"/>
      <c r="Q20" s="70">
        <f t="shared" si="3"/>
        <v>14475.710000000001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</row>
    <row r="21" spans="1:635" s="86" customFormat="1" x14ac:dyDescent="0.2">
      <c r="A21" s="32">
        <v>44429</v>
      </c>
      <c r="B21" s="55">
        <v>343</v>
      </c>
      <c r="C21" s="66">
        <v>3070.35</v>
      </c>
      <c r="D21" s="55">
        <v>135</v>
      </c>
      <c r="E21" s="66">
        <v>1203.5999999999999</v>
      </c>
      <c r="F21" s="55">
        <f t="shared" ref="F21:F52" si="4">SUM(B21+D21)</f>
        <v>478</v>
      </c>
      <c r="G21" s="66">
        <f t="shared" ref="G21:G52" si="5">SUM(C21+E21)</f>
        <v>4273.95</v>
      </c>
      <c r="H21" s="55">
        <v>0</v>
      </c>
      <c r="I21" s="66">
        <v>0</v>
      </c>
      <c r="J21" s="55">
        <f t="shared" si="1"/>
        <v>478</v>
      </c>
      <c r="K21" s="32">
        <v>44429</v>
      </c>
      <c r="L21" s="69">
        <v>3320</v>
      </c>
      <c r="M21" s="66">
        <v>10332.94</v>
      </c>
      <c r="N21" s="66">
        <v>72.069999999999993</v>
      </c>
      <c r="O21" s="55">
        <f t="shared" si="2"/>
        <v>80.015543466192952</v>
      </c>
      <c r="P21" s="55"/>
      <c r="Q21" s="70">
        <f t="shared" si="3"/>
        <v>10405.01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</row>
    <row r="22" spans="1:635" s="86" customFormat="1" x14ac:dyDescent="0.2">
      <c r="A22" s="32">
        <v>44460</v>
      </c>
      <c r="B22" s="55">
        <v>430</v>
      </c>
      <c r="C22" s="66">
        <v>3848.77</v>
      </c>
      <c r="D22" s="55">
        <v>119</v>
      </c>
      <c r="E22" s="66">
        <v>1063.19</v>
      </c>
      <c r="F22" s="55">
        <f t="shared" si="4"/>
        <v>549</v>
      </c>
      <c r="G22" s="66">
        <f t="shared" si="5"/>
        <v>4911.96</v>
      </c>
      <c r="H22" s="55">
        <v>911</v>
      </c>
      <c r="I22" s="66">
        <v>6148.37</v>
      </c>
      <c r="J22" s="55">
        <f t="shared" si="1"/>
        <v>1460</v>
      </c>
      <c r="K22" s="32">
        <v>44460</v>
      </c>
      <c r="L22" s="69">
        <v>2100</v>
      </c>
      <c r="M22" s="66">
        <v>5363.4</v>
      </c>
      <c r="N22" s="66">
        <v>1292.25</v>
      </c>
      <c r="O22" s="55">
        <f t="shared" si="2"/>
        <v>1434.7174419895637</v>
      </c>
      <c r="P22" s="55">
        <v>-20162</v>
      </c>
      <c r="Q22" s="70">
        <f>SUM(M22+N22)</f>
        <v>6655.65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</row>
    <row r="23" spans="1:635" s="86" customFormat="1" x14ac:dyDescent="0.2">
      <c r="A23" s="32">
        <v>44490</v>
      </c>
      <c r="B23" s="55">
        <v>492</v>
      </c>
      <c r="C23" s="66">
        <v>4348.84</v>
      </c>
      <c r="D23" s="55">
        <v>141</v>
      </c>
      <c r="E23" s="66">
        <v>1243.79</v>
      </c>
      <c r="F23" s="55">
        <f t="shared" si="4"/>
        <v>633</v>
      </c>
      <c r="G23" s="66">
        <f t="shared" si="5"/>
        <v>5592.63</v>
      </c>
      <c r="H23" s="55">
        <v>967</v>
      </c>
      <c r="I23" s="66">
        <v>6524.6</v>
      </c>
      <c r="J23" s="55">
        <f t="shared" si="1"/>
        <v>1600</v>
      </c>
      <c r="K23" s="32">
        <v>44490</v>
      </c>
      <c r="L23" s="69">
        <v>4531</v>
      </c>
      <c r="M23" s="66">
        <v>18612.400000000001</v>
      </c>
      <c r="N23" s="66">
        <v>1003.24</v>
      </c>
      <c r="O23" s="55">
        <f t="shared" si="2"/>
        <v>1113.8447873875875</v>
      </c>
      <c r="P23" s="55"/>
      <c r="Q23" s="70">
        <f>SUM(M23+N23)</f>
        <v>19615.640000000003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</row>
    <row r="24" spans="1:635" s="86" customFormat="1" x14ac:dyDescent="0.2">
      <c r="A24" s="32">
        <v>44521</v>
      </c>
      <c r="B24" s="55">
        <v>2689</v>
      </c>
      <c r="C24" s="66">
        <v>23758.25</v>
      </c>
      <c r="D24" s="55">
        <v>574</v>
      </c>
      <c r="E24" s="66">
        <v>5049.91</v>
      </c>
      <c r="F24" s="55">
        <f t="shared" si="4"/>
        <v>3263</v>
      </c>
      <c r="G24" s="66">
        <f t="shared" si="5"/>
        <v>28808.16</v>
      </c>
      <c r="H24" s="55">
        <v>0</v>
      </c>
      <c r="I24" s="66">
        <v>0</v>
      </c>
      <c r="J24" s="55">
        <f t="shared" si="1"/>
        <v>3263</v>
      </c>
      <c r="K24" s="32">
        <v>44521</v>
      </c>
      <c r="L24" s="69">
        <v>3500</v>
      </c>
      <c r="M24" s="66">
        <v>13712</v>
      </c>
      <c r="N24" s="66">
        <v>3937.45</v>
      </c>
      <c r="O24" s="55">
        <f t="shared" si="2"/>
        <v>4371.5443543910296</v>
      </c>
      <c r="P24" s="55"/>
      <c r="Q24" s="70">
        <f>SUM(M24+N24)</f>
        <v>17649.45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</row>
    <row r="25" spans="1:635" s="86" customFormat="1" x14ac:dyDescent="0.2">
      <c r="A25" s="32">
        <v>44551</v>
      </c>
      <c r="B25" s="55">
        <v>3100</v>
      </c>
      <c r="C25" s="66">
        <v>27394.17</v>
      </c>
      <c r="D25" s="55">
        <v>686</v>
      </c>
      <c r="E25" s="66">
        <v>6033.31</v>
      </c>
      <c r="F25" s="55">
        <f t="shared" si="4"/>
        <v>3786</v>
      </c>
      <c r="G25" s="66">
        <f t="shared" si="5"/>
        <v>33427.479999999996</v>
      </c>
      <c r="H25" s="55">
        <v>0</v>
      </c>
      <c r="I25" s="66">
        <v>0</v>
      </c>
      <c r="J25" s="55">
        <f t="shared" si="1"/>
        <v>3786</v>
      </c>
      <c r="K25" s="32">
        <v>44551</v>
      </c>
      <c r="L25" s="69">
        <v>4600</v>
      </c>
      <c r="M25" s="66">
        <v>15492.8</v>
      </c>
      <c r="N25" s="66">
        <v>3633.91</v>
      </c>
      <c r="O25" s="55">
        <f t="shared" si="2"/>
        <v>4034.5398023759299</v>
      </c>
      <c r="P25" s="55">
        <v>573</v>
      </c>
      <c r="Q25" s="70">
        <f>SUM(M25+N25)</f>
        <v>19126.71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</row>
    <row r="26" spans="1:635" s="86" customFormat="1" x14ac:dyDescent="0.2">
      <c r="A26" s="32">
        <v>44583</v>
      </c>
      <c r="B26" s="55">
        <v>5673</v>
      </c>
      <c r="C26" s="66">
        <v>51371.76</v>
      </c>
      <c r="D26" s="55">
        <v>1227</v>
      </c>
      <c r="E26" s="66">
        <v>11037.83</v>
      </c>
      <c r="F26" s="55">
        <f t="shared" si="4"/>
        <v>6900</v>
      </c>
      <c r="G26" s="66">
        <f t="shared" si="5"/>
        <v>62409.590000000004</v>
      </c>
      <c r="H26" s="55"/>
      <c r="I26" s="66"/>
      <c r="J26" s="55">
        <f t="shared" si="1"/>
        <v>6900</v>
      </c>
      <c r="K26" s="32">
        <v>44583</v>
      </c>
      <c r="L26" s="69">
        <v>3508</v>
      </c>
      <c r="M26" s="66">
        <v>11213.46</v>
      </c>
      <c r="N26" s="66">
        <v>7721.77</v>
      </c>
      <c r="O26" s="55">
        <f t="shared" si="2"/>
        <v>8573.0764960586221</v>
      </c>
      <c r="P26" s="55"/>
      <c r="Q26" s="70">
        <f t="shared" ref="Q26:Q52" si="6">SUM(M26+N26)</f>
        <v>18935.23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</row>
    <row r="27" spans="1:635" s="86" customFormat="1" x14ac:dyDescent="0.2">
      <c r="A27" s="32">
        <v>44614</v>
      </c>
      <c r="B27" s="55">
        <v>5784</v>
      </c>
      <c r="C27" s="66">
        <v>52379.43</v>
      </c>
      <c r="D27" s="55">
        <v>1352</v>
      </c>
      <c r="E27" s="66">
        <v>12154.46</v>
      </c>
      <c r="F27" s="55">
        <f t="shared" si="4"/>
        <v>7136</v>
      </c>
      <c r="G27" s="66">
        <f t="shared" si="5"/>
        <v>64533.89</v>
      </c>
      <c r="H27" s="55"/>
      <c r="I27" s="66"/>
      <c r="J27" s="55">
        <f t="shared" si="1"/>
        <v>7136</v>
      </c>
      <c r="K27" s="32">
        <v>44614</v>
      </c>
      <c r="L27" s="69">
        <v>2469</v>
      </c>
      <c r="M27" s="66">
        <v>7489.9</v>
      </c>
      <c r="N27" s="66">
        <v>5366.7</v>
      </c>
      <c r="O27" s="55">
        <f t="shared" si="2"/>
        <v>5958.3657155545689</v>
      </c>
      <c r="P27" s="55"/>
      <c r="Q27" s="70">
        <f t="shared" si="6"/>
        <v>12856.599999999999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</row>
    <row r="28" spans="1:635" s="86" customFormat="1" x14ac:dyDescent="0.2">
      <c r="A28" s="32">
        <v>44642</v>
      </c>
      <c r="B28" s="55">
        <v>3039</v>
      </c>
      <c r="C28" s="66">
        <v>27547.55</v>
      </c>
      <c r="D28" s="55">
        <v>696</v>
      </c>
      <c r="E28" s="66">
        <v>6265.87</v>
      </c>
      <c r="F28" s="55">
        <f t="shared" si="4"/>
        <v>3735</v>
      </c>
      <c r="G28" s="66">
        <f t="shared" si="5"/>
        <v>33813.42</v>
      </c>
      <c r="H28" s="55"/>
      <c r="I28" s="66"/>
      <c r="J28" s="55">
        <f t="shared" si="1"/>
        <v>3735</v>
      </c>
      <c r="K28" s="32">
        <v>44642</v>
      </c>
      <c r="L28" s="69">
        <v>2100</v>
      </c>
      <c r="M28" s="66">
        <v>5610</v>
      </c>
      <c r="N28" s="66">
        <v>3282.69</v>
      </c>
      <c r="O28" s="55">
        <f t="shared" si="2"/>
        <v>3644.5986454979461</v>
      </c>
      <c r="P28" s="55">
        <v>20878</v>
      </c>
      <c r="Q28" s="70">
        <f t="shared" si="6"/>
        <v>8892.69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</row>
    <row r="29" spans="1:635" s="86" customFormat="1" x14ac:dyDescent="0.2">
      <c r="A29" s="32">
        <v>44673</v>
      </c>
      <c r="B29" s="55">
        <v>1765</v>
      </c>
      <c r="C29" s="66">
        <v>23301.94</v>
      </c>
      <c r="D29" s="55">
        <v>381</v>
      </c>
      <c r="E29" s="66">
        <v>5013.0200000000004</v>
      </c>
      <c r="F29" s="55">
        <f t="shared" si="4"/>
        <v>2146</v>
      </c>
      <c r="G29" s="66">
        <f t="shared" si="5"/>
        <v>28314.959999999999</v>
      </c>
      <c r="H29" s="55">
        <v>4</v>
      </c>
      <c r="I29" s="66">
        <v>43</v>
      </c>
      <c r="J29" s="55">
        <f t="shared" si="1"/>
        <v>2150</v>
      </c>
      <c r="K29" s="32">
        <v>44673</v>
      </c>
      <c r="L29" s="69">
        <v>2045</v>
      </c>
      <c r="M29" s="66">
        <v>5428.32</v>
      </c>
      <c r="N29" s="66">
        <v>1891.26</v>
      </c>
      <c r="O29" s="55">
        <f t="shared" si="2"/>
        <v>2099.7668480071056</v>
      </c>
      <c r="P29" s="55"/>
      <c r="Q29" s="70">
        <f t="shared" si="6"/>
        <v>7319.58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</row>
    <row r="30" spans="1:635" s="86" customFormat="1" x14ac:dyDescent="0.2">
      <c r="A30" s="32">
        <v>44703</v>
      </c>
      <c r="B30" s="55">
        <v>550</v>
      </c>
      <c r="C30" s="66">
        <v>7256.4</v>
      </c>
      <c r="D30" s="55">
        <v>179</v>
      </c>
      <c r="E30" s="66">
        <v>2351.17</v>
      </c>
      <c r="F30" s="55">
        <f t="shared" si="4"/>
        <v>729</v>
      </c>
      <c r="G30" s="66">
        <f t="shared" si="5"/>
        <v>9607.57</v>
      </c>
      <c r="H30" s="55">
        <v>956</v>
      </c>
      <c r="I30" s="66">
        <v>10276.709999999999</v>
      </c>
      <c r="J30" s="55">
        <f t="shared" si="1"/>
        <v>1685</v>
      </c>
      <c r="K30" s="32">
        <v>44703</v>
      </c>
      <c r="L30" s="69">
        <v>2075</v>
      </c>
      <c r="M30" s="66">
        <v>5532.5</v>
      </c>
      <c r="N30" s="66">
        <v>1246.44</v>
      </c>
      <c r="O30" s="55">
        <f t="shared" si="2"/>
        <v>1383.8570001110249</v>
      </c>
      <c r="P30" s="55"/>
      <c r="Q30" s="70">
        <f t="shared" si="6"/>
        <v>6778.9400000000005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</row>
    <row r="31" spans="1:635" x14ac:dyDescent="0.2">
      <c r="A31" s="32">
        <v>44734</v>
      </c>
      <c r="B31" s="55">
        <v>431</v>
      </c>
      <c r="C31" s="66">
        <v>5687.36</v>
      </c>
      <c r="D31" s="55">
        <v>154</v>
      </c>
      <c r="E31" s="66">
        <v>2028.44</v>
      </c>
      <c r="F31" s="55">
        <f t="shared" si="4"/>
        <v>585</v>
      </c>
      <c r="G31" s="66">
        <f t="shared" si="5"/>
        <v>7715.7999999999993</v>
      </c>
      <c r="H31" s="55">
        <v>2950</v>
      </c>
      <c r="I31" s="66">
        <v>31708.39</v>
      </c>
      <c r="J31" s="55">
        <f t="shared" si="1"/>
        <v>3535</v>
      </c>
      <c r="K31" s="32">
        <v>44734</v>
      </c>
      <c r="L31" s="69">
        <v>3426</v>
      </c>
      <c r="M31" s="66">
        <v>17353.75</v>
      </c>
      <c r="N31" s="66">
        <v>2756.73</v>
      </c>
      <c r="O31" s="55">
        <f t="shared" si="2"/>
        <v>3060.6528255801045</v>
      </c>
      <c r="P31" s="55">
        <v>2762</v>
      </c>
      <c r="Q31" s="70">
        <f t="shared" si="6"/>
        <v>20110.48</v>
      </c>
    </row>
    <row r="32" spans="1:635" x14ac:dyDescent="0.2">
      <c r="A32" s="32">
        <v>44764</v>
      </c>
      <c r="B32" s="55">
        <v>304</v>
      </c>
      <c r="C32" s="66">
        <v>2604.16</v>
      </c>
      <c r="D32" s="55">
        <v>100</v>
      </c>
      <c r="E32" s="66">
        <v>855.66</v>
      </c>
      <c r="F32" s="55">
        <f t="shared" si="4"/>
        <v>404</v>
      </c>
      <c r="G32" s="66">
        <f t="shared" si="5"/>
        <v>3459.8199999999997</v>
      </c>
      <c r="H32" s="55">
        <v>1717</v>
      </c>
      <c r="I32" s="66">
        <v>16088.41</v>
      </c>
      <c r="J32" s="55">
        <f t="shared" si="1"/>
        <v>2121</v>
      </c>
      <c r="K32" s="32">
        <v>44764</v>
      </c>
      <c r="L32" s="69">
        <v>2431</v>
      </c>
      <c r="M32" s="66">
        <v>8234.3799999999992</v>
      </c>
      <c r="N32" s="66">
        <v>1867.85</v>
      </c>
      <c r="O32" s="55">
        <f t="shared" si="2"/>
        <v>2073.7759520373043</v>
      </c>
      <c r="P32" s="55"/>
      <c r="Q32" s="66">
        <f t="shared" si="6"/>
        <v>10102.23</v>
      </c>
    </row>
    <row r="33" spans="1:17" x14ac:dyDescent="0.2">
      <c r="A33" s="32">
        <v>44795</v>
      </c>
      <c r="B33" s="55">
        <v>409</v>
      </c>
      <c r="C33" s="66">
        <v>3503.57</v>
      </c>
      <c r="D33" s="55">
        <v>107</v>
      </c>
      <c r="E33" s="66">
        <v>914.44</v>
      </c>
      <c r="F33" s="55">
        <f t="shared" si="4"/>
        <v>516</v>
      </c>
      <c r="G33" s="66">
        <f t="shared" si="5"/>
        <v>4418.01</v>
      </c>
      <c r="H33" s="55">
        <v>1310</v>
      </c>
      <c r="I33" s="66">
        <v>12540.37</v>
      </c>
      <c r="J33" s="55">
        <f t="shared" si="1"/>
        <v>1826</v>
      </c>
      <c r="K33" s="32">
        <v>44795</v>
      </c>
      <c r="L33" s="69">
        <v>2050</v>
      </c>
      <c r="M33" s="66">
        <v>5455</v>
      </c>
      <c r="N33" s="66">
        <v>1195.99</v>
      </c>
      <c r="O33" s="55">
        <f t="shared" si="2"/>
        <v>1327.8450094371046</v>
      </c>
      <c r="P33" s="55"/>
      <c r="Q33" s="66">
        <f t="shared" si="6"/>
        <v>6650.99</v>
      </c>
    </row>
    <row r="34" spans="1:17" x14ac:dyDescent="0.2">
      <c r="A34" s="32">
        <v>44826</v>
      </c>
      <c r="B34" s="55">
        <v>323</v>
      </c>
      <c r="C34" s="66">
        <v>2772.46</v>
      </c>
      <c r="D34" s="55">
        <v>82</v>
      </c>
      <c r="E34" s="66">
        <v>705.68</v>
      </c>
      <c r="F34" s="55">
        <f t="shared" si="4"/>
        <v>405</v>
      </c>
      <c r="G34" s="66">
        <f t="shared" si="5"/>
        <v>3478.14</v>
      </c>
      <c r="H34" s="55">
        <v>550</v>
      </c>
      <c r="I34" s="66">
        <v>5150.3500000000004</v>
      </c>
      <c r="J34" s="55">
        <f t="shared" si="1"/>
        <v>955</v>
      </c>
      <c r="K34" s="32">
        <v>44826</v>
      </c>
      <c r="L34" s="69">
        <v>3270</v>
      </c>
      <c r="M34" s="66">
        <v>15300.15</v>
      </c>
      <c r="N34" s="66">
        <v>2082.19</v>
      </c>
      <c r="O34" s="55">
        <f t="shared" si="2"/>
        <v>2311.7464194515378</v>
      </c>
      <c r="P34" s="55">
        <v>-29444</v>
      </c>
      <c r="Q34" s="66">
        <f t="shared" si="6"/>
        <v>17382.34</v>
      </c>
    </row>
    <row r="35" spans="1:17" x14ac:dyDescent="0.2">
      <c r="A35" s="32">
        <v>44856</v>
      </c>
      <c r="B35" s="147">
        <v>1106</v>
      </c>
      <c r="C35" s="148">
        <v>10513.83</v>
      </c>
      <c r="D35" s="147">
        <v>218</v>
      </c>
      <c r="E35" s="148">
        <v>2072.48</v>
      </c>
      <c r="F35" s="147">
        <f t="shared" si="4"/>
        <v>1324</v>
      </c>
      <c r="G35" s="148">
        <f t="shared" si="5"/>
        <v>12586.31</v>
      </c>
      <c r="H35" s="147">
        <v>4221</v>
      </c>
      <c r="I35" s="148">
        <v>39566.339999999997</v>
      </c>
      <c r="J35" s="149">
        <f t="shared" si="1"/>
        <v>5545</v>
      </c>
      <c r="K35" s="32">
        <v>44856</v>
      </c>
      <c r="L35" s="69">
        <v>4828</v>
      </c>
      <c r="M35" s="66">
        <v>23845.75</v>
      </c>
      <c r="N35" s="66">
        <v>4676.6000000000004</v>
      </c>
      <c r="O35" s="55">
        <f t="shared" si="2"/>
        <v>5192.1838570001119</v>
      </c>
      <c r="P35" s="55"/>
      <c r="Q35" s="70">
        <f t="shared" si="6"/>
        <v>28522.35</v>
      </c>
    </row>
    <row r="36" spans="1:17" x14ac:dyDescent="0.2">
      <c r="A36" s="32">
        <v>44887</v>
      </c>
      <c r="B36" s="147">
        <v>2658</v>
      </c>
      <c r="C36" s="148">
        <v>25336.23</v>
      </c>
      <c r="D36" s="147">
        <v>547</v>
      </c>
      <c r="E36" s="148">
        <v>5184.13</v>
      </c>
      <c r="F36" s="147">
        <f t="shared" si="4"/>
        <v>3205</v>
      </c>
      <c r="G36" s="148">
        <f t="shared" si="5"/>
        <v>30520.36</v>
      </c>
      <c r="H36" s="147">
        <v>904</v>
      </c>
      <c r="I36" s="148">
        <v>8474.89</v>
      </c>
      <c r="J36" s="149">
        <f t="shared" si="1"/>
        <v>4109</v>
      </c>
      <c r="K36" s="32">
        <v>44887</v>
      </c>
      <c r="L36" s="69">
        <v>6570</v>
      </c>
      <c r="M36" s="66">
        <v>32164.47</v>
      </c>
      <c r="N36" s="66">
        <v>4326.1099999999997</v>
      </c>
      <c r="O36" s="55">
        <f t="shared" si="2"/>
        <v>4803.0531808593314</v>
      </c>
      <c r="P36" s="55"/>
      <c r="Q36" s="70">
        <f t="shared" si="6"/>
        <v>36490.58</v>
      </c>
    </row>
    <row r="37" spans="1:17" x14ac:dyDescent="0.2">
      <c r="A37" s="32">
        <v>44917</v>
      </c>
      <c r="B37" s="147">
        <v>3729</v>
      </c>
      <c r="C37" s="148">
        <v>35555.51</v>
      </c>
      <c r="D37" s="147">
        <v>772</v>
      </c>
      <c r="E37" s="148">
        <v>7310.08</v>
      </c>
      <c r="F37" s="147">
        <f t="shared" si="4"/>
        <v>4501</v>
      </c>
      <c r="G37" s="148">
        <f t="shared" si="5"/>
        <v>42865.590000000004</v>
      </c>
      <c r="H37" s="147">
        <v>0</v>
      </c>
      <c r="I37" s="148">
        <v>0</v>
      </c>
      <c r="J37" s="149">
        <f t="shared" si="1"/>
        <v>4501</v>
      </c>
      <c r="K37" s="32">
        <v>44917</v>
      </c>
      <c r="L37" s="69">
        <v>4800</v>
      </c>
      <c r="M37" s="66">
        <v>24288.75</v>
      </c>
      <c r="N37" s="66">
        <v>5698.17</v>
      </c>
      <c r="O37" s="55">
        <f t="shared" si="2"/>
        <v>6326.3794826246258</v>
      </c>
      <c r="P37" s="55">
        <v>497</v>
      </c>
      <c r="Q37" s="70">
        <f t="shared" si="6"/>
        <v>29986.92</v>
      </c>
    </row>
    <row r="38" spans="1:17" x14ac:dyDescent="0.2">
      <c r="A38" s="153">
        <v>44949</v>
      </c>
      <c r="B38" s="147">
        <v>4294</v>
      </c>
      <c r="C38" s="148">
        <v>37626.629999999997</v>
      </c>
      <c r="D38" s="147">
        <v>892</v>
      </c>
      <c r="E38" s="148">
        <v>7764.61</v>
      </c>
      <c r="F38" s="147">
        <f t="shared" si="4"/>
        <v>5186</v>
      </c>
      <c r="G38" s="148">
        <f t="shared" si="5"/>
        <v>45391.24</v>
      </c>
      <c r="H38" s="147">
        <v>0</v>
      </c>
      <c r="I38" s="148">
        <v>0</v>
      </c>
      <c r="J38" s="149">
        <f t="shared" si="1"/>
        <v>5186</v>
      </c>
      <c r="K38" s="153">
        <v>44949</v>
      </c>
      <c r="L38" s="69">
        <v>5419</v>
      </c>
      <c r="M38" s="66">
        <v>19092.400000000001</v>
      </c>
      <c r="N38" s="66">
        <v>5024.3100000000004</v>
      </c>
      <c r="O38" s="55">
        <f t="shared" si="2"/>
        <v>5578.2280448540032</v>
      </c>
      <c r="P38" s="55"/>
      <c r="Q38" s="70">
        <f t="shared" si="6"/>
        <v>24116.710000000003</v>
      </c>
    </row>
    <row r="39" spans="1:17" ht="12" customHeight="1" x14ac:dyDescent="0.2">
      <c r="A39" s="153">
        <v>44980</v>
      </c>
      <c r="B39" s="147">
        <v>3796</v>
      </c>
      <c r="C39" s="148">
        <v>33263.61</v>
      </c>
      <c r="D39" s="147">
        <v>835</v>
      </c>
      <c r="E39" s="148">
        <v>7270.88</v>
      </c>
      <c r="F39" s="147">
        <f t="shared" si="4"/>
        <v>4631</v>
      </c>
      <c r="G39" s="148">
        <f t="shared" si="5"/>
        <v>40534.49</v>
      </c>
      <c r="H39" s="147">
        <v>0</v>
      </c>
      <c r="I39" s="148">
        <v>0</v>
      </c>
      <c r="J39" s="149">
        <f t="shared" si="1"/>
        <v>4631</v>
      </c>
      <c r="K39" s="153">
        <v>44980</v>
      </c>
      <c r="L39" s="69">
        <v>6135</v>
      </c>
      <c r="M39" s="66">
        <v>19723.830000000002</v>
      </c>
      <c r="N39" s="66">
        <v>3836.01</v>
      </c>
      <c r="O39" s="55">
        <f t="shared" si="2"/>
        <v>4258.9208393471745</v>
      </c>
      <c r="P39" s="55"/>
      <c r="Q39" s="70">
        <f t="shared" si="6"/>
        <v>23559.840000000004</v>
      </c>
    </row>
    <row r="40" spans="1:17" x14ac:dyDescent="0.2">
      <c r="A40" s="153">
        <v>45008</v>
      </c>
      <c r="B40" s="147">
        <v>3864</v>
      </c>
      <c r="C40" s="148">
        <v>33851.71</v>
      </c>
      <c r="D40" s="147">
        <v>819</v>
      </c>
      <c r="E40" s="148">
        <v>7136.42</v>
      </c>
      <c r="F40" s="147">
        <f t="shared" si="4"/>
        <v>4683</v>
      </c>
      <c r="G40" s="148">
        <f t="shared" si="5"/>
        <v>40988.129999999997</v>
      </c>
      <c r="H40" s="147">
        <v>0</v>
      </c>
      <c r="I40" s="148">
        <v>0</v>
      </c>
      <c r="J40" s="149">
        <f t="shared" si="1"/>
        <v>4683</v>
      </c>
      <c r="K40" s="153">
        <v>45008</v>
      </c>
      <c r="L40" s="69">
        <v>2160</v>
      </c>
      <c r="M40" s="66">
        <v>6858</v>
      </c>
      <c r="N40" s="66">
        <v>3791.04</v>
      </c>
      <c r="O40" s="55">
        <f t="shared" si="2"/>
        <v>4208.993005440213</v>
      </c>
      <c r="P40" s="55">
        <v>21397</v>
      </c>
      <c r="Q40" s="70">
        <f t="shared" si="6"/>
        <v>10649.04</v>
      </c>
    </row>
    <row r="41" spans="1:17" x14ac:dyDescent="0.2">
      <c r="A41" s="143">
        <v>45039</v>
      </c>
      <c r="B41" s="132">
        <v>1824</v>
      </c>
      <c r="C41" s="133">
        <v>11793.12</v>
      </c>
      <c r="D41" s="132">
        <v>398</v>
      </c>
      <c r="E41" s="133">
        <v>2554.5100000000002</v>
      </c>
      <c r="F41" s="132">
        <f t="shared" si="4"/>
        <v>2222</v>
      </c>
      <c r="G41" s="133">
        <f t="shared" si="5"/>
        <v>14347.630000000001</v>
      </c>
      <c r="H41" s="132">
        <v>33</v>
      </c>
      <c r="I41" s="133">
        <v>215.36</v>
      </c>
      <c r="J41" s="134">
        <f t="shared" si="1"/>
        <v>2255</v>
      </c>
      <c r="K41" s="154">
        <v>45039</v>
      </c>
      <c r="L41" s="51">
        <v>4770</v>
      </c>
      <c r="M41" s="62">
        <v>14126.4</v>
      </c>
      <c r="N41" s="62">
        <v>2703.64</v>
      </c>
      <c r="O41" s="44">
        <f t="shared" si="2"/>
        <v>3001.7097812812258</v>
      </c>
      <c r="P41" s="44"/>
      <c r="Q41" s="49">
        <f t="shared" si="6"/>
        <v>16830.04</v>
      </c>
    </row>
    <row r="42" spans="1:17" x14ac:dyDescent="0.2">
      <c r="A42" s="143">
        <v>45069</v>
      </c>
      <c r="B42" s="132">
        <v>673</v>
      </c>
      <c r="C42" s="133">
        <v>4355.3999999999996</v>
      </c>
      <c r="D42" s="132">
        <v>175</v>
      </c>
      <c r="E42" s="133">
        <v>1125.33</v>
      </c>
      <c r="F42" s="132">
        <f t="shared" si="4"/>
        <v>848</v>
      </c>
      <c r="G42" s="133">
        <f t="shared" si="5"/>
        <v>5480.73</v>
      </c>
      <c r="H42" s="132">
        <v>2870</v>
      </c>
      <c r="I42" s="133">
        <v>18561.8</v>
      </c>
      <c r="J42" s="134">
        <f t="shared" si="1"/>
        <v>3718</v>
      </c>
      <c r="K42" s="154">
        <v>45069</v>
      </c>
      <c r="L42" s="51">
        <v>4929</v>
      </c>
      <c r="M42" s="62">
        <v>14606.04</v>
      </c>
      <c r="N42" s="62">
        <v>3384.67</v>
      </c>
      <c r="O42" s="44">
        <f t="shared" si="2"/>
        <v>3757.8216942378153</v>
      </c>
      <c r="P42" s="44"/>
      <c r="Q42" s="49">
        <f t="shared" si="6"/>
        <v>17990.71</v>
      </c>
    </row>
    <row r="43" spans="1:17" x14ac:dyDescent="0.2">
      <c r="A43" s="143">
        <v>45100</v>
      </c>
      <c r="B43" s="132">
        <v>464</v>
      </c>
      <c r="C43" s="133">
        <v>3081.61</v>
      </c>
      <c r="D43" s="132">
        <v>148</v>
      </c>
      <c r="E43" s="133">
        <v>972.87</v>
      </c>
      <c r="F43" s="132">
        <f t="shared" si="4"/>
        <v>612</v>
      </c>
      <c r="G43" s="133">
        <f t="shared" si="5"/>
        <v>4054.48</v>
      </c>
      <c r="H43" s="132">
        <v>555</v>
      </c>
      <c r="I43" s="133">
        <v>3586.76</v>
      </c>
      <c r="J43" s="134">
        <f t="shared" si="1"/>
        <v>1167</v>
      </c>
      <c r="K43" s="154">
        <v>45100</v>
      </c>
      <c r="L43" s="51">
        <v>4770</v>
      </c>
      <c r="M43" s="62">
        <v>14159.25</v>
      </c>
      <c r="N43" s="62">
        <v>510.78</v>
      </c>
      <c r="O43" s="44">
        <f t="shared" si="2"/>
        <v>567.09226157433113</v>
      </c>
      <c r="P43" s="44">
        <v>-4200</v>
      </c>
      <c r="Q43" s="49">
        <f t="shared" si="6"/>
        <v>14670.03</v>
      </c>
    </row>
    <row r="44" spans="1:17" x14ac:dyDescent="0.2">
      <c r="A44" s="143">
        <v>45130</v>
      </c>
      <c r="B44" s="132">
        <v>350</v>
      </c>
      <c r="C44" s="133">
        <v>2324.7199999999998</v>
      </c>
      <c r="D44" s="132">
        <v>105</v>
      </c>
      <c r="E44" s="133">
        <v>693.22</v>
      </c>
      <c r="F44" s="132">
        <f t="shared" si="4"/>
        <v>455</v>
      </c>
      <c r="G44" s="133">
        <f t="shared" si="5"/>
        <v>3017.9399999999996</v>
      </c>
      <c r="H44" s="132">
        <v>973</v>
      </c>
      <c r="I44" s="133">
        <v>6293.98</v>
      </c>
      <c r="J44" s="134">
        <f t="shared" si="1"/>
        <v>1428</v>
      </c>
      <c r="K44" s="143">
        <v>45130</v>
      </c>
      <c r="L44" s="51">
        <v>4929</v>
      </c>
      <c r="M44" s="62">
        <v>14614.51</v>
      </c>
      <c r="N44" s="62">
        <v>1600</v>
      </c>
      <c r="O44" s="44">
        <f t="shared" si="2"/>
        <v>1776.3961363384035</v>
      </c>
      <c r="P44" s="44"/>
      <c r="Q44" s="49">
        <f t="shared" si="6"/>
        <v>16214.51</v>
      </c>
    </row>
    <row r="45" spans="1:17" x14ac:dyDescent="0.2">
      <c r="A45" s="143">
        <v>45161</v>
      </c>
      <c r="B45" s="132">
        <v>372</v>
      </c>
      <c r="C45" s="133">
        <v>2630.29</v>
      </c>
      <c r="D45" s="132">
        <v>119</v>
      </c>
      <c r="E45" s="133">
        <v>834.93</v>
      </c>
      <c r="F45" s="132">
        <f t="shared" si="4"/>
        <v>491</v>
      </c>
      <c r="G45" s="133">
        <f t="shared" si="5"/>
        <v>3465.22</v>
      </c>
      <c r="H45" s="132">
        <v>1879</v>
      </c>
      <c r="I45" s="133">
        <v>13286.92</v>
      </c>
      <c r="J45" s="134">
        <f t="shared" si="1"/>
        <v>2370</v>
      </c>
      <c r="K45" s="143">
        <v>45161</v>
      </c>
      <c r="L45" s="51">
        <v>4929</v>
      </c>
      <c r="M45" s="62">
        <v>14573.19</v>
      </c>
      <c r="N45" s="62">
        <v>2506.29</v>
      </c>
      <c r="O45" s="44">
        <f t="shared" si="2"/>
        <v>2782.602420339736</v>
      </c>
      <c r="P45" s="44"/>
      <c r="Q45" s="49">
        <f t="shared" si="6"/>
        <v>17079.48</v>
      </c>
    </row>
    <row r="46" spans="1:17" x14ac:dyDescent="0.2">
      <c r="A46" s="143">
        <v>45192</v>
      </c>
      <c r="B46" s="132">
        <v>290</v>
      </c>
      <c r="C46" s="133">
        <v>2049.5300000000002</v>
      </c>
      <c r="D46" s="132">
        <v>101</v>
      </c>
      <c r="E46" s="133">
        <v>709.52</v>
      </c>
      <c r="F46" s="132">
        <f t="shared" si="4"/>
        <v>391</v>
      </c>
      <c r="G46" s="133">
        <f t="shared" si="5"/>
        <v>2759.05</v>
      </c>
      <c r="H46" s="132">
        <v>890</v>
      </c>
      <c r="I46" s="133">
        <v>6296.56</v>
      </c>
      <c r="J46" s="134">
        <f t="shared" si="1"/>
        <v>1281</v>
      </c>
      <c r="K46" s="143">
        <v>45192</v>
      </c>
      <c r="L46" s="51">
        <v>4770</v>
      </c>
      <c r="M46" s="62">
        <v>14093.55</v>
      </c>
      <c r="N46" s="62">
        <v>1006.29</v>
      </c>
      <c r="O46" s="44">
        <f t="shared" si="2"/>
        <v>1117.2310425224825</v>
      </c>
      <c r="P46" s="44">
        <v>-38213</v>
      </c>
      <c r="Q46" s="49">
        <f t="shared" si="6"/>
        <v>15099.84</v>
      </c>
    </row>
    <row r="47" spans="1:17" x14ac:dyDescent="0.2">
      <c r="A47" s="36">
        <v>45200</v>
      </c>
      <c r="B47" s="44">
        <v>598.9</v>
      </c>
      <c r="C47" s="62">
        <v>5150.8</v>
      </c>
      <c r="D47" s="44">
        <v>159.5</v>
      </c>
      <c r="E47" s="62">
        <v>1367.56</v>
      </c>
      <c r="F47" s="44">
        <f t="shared" si="4"/>
        <v>758.4</v>
      </c>
      <c r="G47" s="62">
        <f t="shared" si="5"/>
        <v>6518.3600000000006</v>
      </c>
      <c r="H47" s="44">
        <v>0.3</v>
      </c>
      <c r="I47" s="62">
        <v>2.58</v>
      </c>
      <c r="J47" s="44">
        <f t="shared" si="1"/>
        <v>758.69999999999993</v>
      </c>
      <c r="K47" s="36">
        <v>45200</v>
      </c>
      <c r="L47" s="51">
        <v>4929</v>
      </c>
      <c r="M47" s="62">
        <v>14557.28</v>
      </c>
      <c r="N47" s="62">
        <v>1322.39</v>
      </c>
      <c r="O47" s="44">
        <f t="shared" si="2"/>
        <v>1468.1803042078386</v>
      </c>
      <c r="P47" s="44"/>
      <c r="Q47" s="62">
        <f t="shared" si="6"/>
        <v>15879.67</v>
      </c>
    </row>
    <row r="48" spans="1:17" x14ac:dyDescent="0.2">
      <c r="A48" s="36">
        <v>45231</v>
      </c>
      <c r="B48" s="44">
        <v>1517.6</v>
      </c>
      <c r="C48" s="62">
        <v>13051.53</v>
      </c>
      <c r="D48" s="44">
        <v>317.5</v>
      </c>
      <c r="E48" s="62">
        <v>2715.65</v>
      </c>
      <c r="F48" s="44">
        <f t="shared" si="4"/>
        <v>1835.1</v>
      </c>
      <c r="G48" s="62">
        <f t="shared" si="5"/>
        <v>15767.18</v>
      </c>
      <c r="H48" s="44">
        <v>94.7</v>
      </c>
      <c r="I48" s="62">
        <v>814.42</v>
      </c>
      <c r="J48" s="44">
        <f t="shared" si="1"/>
        <v>1929.8</v>
      </c>
      <c r="K48" s="36">
        <v>45231</v>
      </c>
      <c r="L48" s="51">
        <v>1350</v>
      </c>
      <c r="M48" s="62">
        <v>4286.25</v>
      </c>
      <c r="N48" s="62">
        <v>3549.19</v>
      </c>
      <c r="O48" s="44">
        <f t="shared" si="2"/>
        <v>3940.4796269568114</v>
      </c>
      <c r="P48" s="44"/>
      <c r="Q48" s="62">
        <f t="shared" si="6"/>
        <v>7835.4400000000005</v>
      </c>
    </row>
    <row r="49" spans="1:20" x14ac:dyDescent="0.2">
      <c r="A49" s="36">
        <v>45261</v>
      </c>
      <c r="B49" s="44">
        <v>3151.6</v>
      </c>
      <c r="C49" s="62">
        <v>27140.14</v>
      </c>
      <c r="D49" s="44">
        <v>646</v>
      </c>
      <c r="E49" s="62">
        <v>5520.59</v>
      </c>
      <c r="F49" s="44">
        <f t="shared" si="4"/>
        <v>3797.6</v>
      </c>
      <c r="G49" s="62">
        <f t="shared" si="5"/>
        <v>32660.73</v>
      </c>
      <c r="H49" s="44">
        <v>426</v>
      </c>
      <c r="I49" s="62">
        <v>3663.6</v>
      </c>
      <c r="J49" s="44">
        <f t="shared" si="1"/>
        <v>4223.6000000000004</v>
      </c>
      <c r="K49" s="36">
        <v>45261</v>
      </c>
      <c r="L49" s="51">
        <v>1350</v>
      </c>
      <c r="M49" s="62">
        <v>4286.25</v>
      </c>
      <c r="N49" s="62">
        <v>4623.79</v>
      </c>
      <c r="O49" s="44">
        <f t="shared" si="2"/>
        <v>5133.5516820250923</v>
      </c>
      <c r="P49" s="44">
        <v>3531</v>
      </c>
      <c r="Q49" s="62">
        <f t="shared" si="6"/>
        <v>8910.0400000000009</v>
      </c>
    </row>
    <row r="50" spans="1:20" x14ac:dyDescent="0.2">
      <c r="A50" s="36">
        <v>45315</v>
      </c>
      <c r="B50" s="44">
        <v>6870.8</v>
      </c>
      <c r="C50" s="62">
        <v>59089.31</v>
      </c>
      <c r="D50" s="44">
        <v>1570.6</v>
      </c>
      <c r="E50" s="62">
        <v>13413.92</v>
      </c>
      <c r="F50" s="44">
        <f t="shared" si="4"/>
        <v>8441.4</v>
      </c>
      <c r="G50" s="62">
        <f t="shared" si="5"/>
        <v>72503.23</v>
      </c>
      <c r="H50" s="44">
        <v>0</v>
      </c>
      <c r="I50" s="62">
        <v>0</v>
      </c>
      <c r="J50" s="44">
        <f t="shared" si="1"/>
        <v>8441.4</v>
      </c>
      <c r="K50" s="36">
        <v>45315</v>
      </c>
      <c r="L50" s="51">
        <v>2137</v>
      </c>
      <c r="M50" s="62">
        <v>6784.9</v>
      </c>
      <c r="N50" s="62">
        <v>7195.37</v>
      </c>
      <c r="O50" s="44">
        <f t="shared" si="2"/>
        <v>7988.6421672032866</v>
      </c>
      <c r="P50" s="44"/>
      <c r="Q50" s="62">
        <f t="shared" si="6"/>
        <v>13980.27</v>
      </c>
    </row>
    <row r="51" spans="1:20" x14ac:dyDescent="0.2">
      <c r="A51" s="36">
        <v>45346</v>
      </c>
      <c r="B51" s="44">
        <v>2844</v>
      </c>
      <c r="C51" s="62">
        <v>24458.83</v>
      </c>
      <c r="D51" s="44">
        <v>594.4</v>
      </c>
      <c r="E51" s="62">
        <v>5089.6099999999997</v>
      </c>
      <c r="F51" s="44">
        <f t="shared" si="4"/>
        <v>3438.4</v>
      </c>
      <c r="G51" s="62">
        <f t="shared" si="5"/>
        <v>29548.440000000002</v>
      </c>
      <c r="H51" s="44">
        <v>0</v>
      </c>
      <c r="I51" s="62">
        <v>0</v>
      </c>
      <c r="J51" s="44">
        <f t="shared" si="1"/>
        <v>3438.4</v>
      </c>
      <c r="K51" s="36">
        <v>45346</v>
      </c>
      <c r="L51" s="51">
        <v>2047</v>
      </c>
      <c r="M51" s="62">
        <v>6499.15</v>
      </c>
      <c r="N51" s="62">
        <v>4100.42</v>
      </c>
      <c r="O51" s="44">
        <f t="shared" si="2"/>
        <v>4552.4814033529483</v>
      </c>
      <c r="P51" s="44"/>
      <c r="Q51" s="62">
        <f t="shared" si="6"/>
        <v>10599.57</v>
      </c>
    </row>
    <row r="52" spans="1:20" x14ac:dyDescent="0.2">
      <c r="A52" s="36">
        <v>45375</v>
      </c>
      <c r="B52" s="44">
        <v>3380.4</v>
      </c>
      <c r="C52" s="62">
        <v>29071.53</v>
      </c>
      <c r="D52" s="44">
        <v>731.3</v>
      </c>
      <c r="E52" s="62">
        <v>6260.29</v>
      </c>
      <c r="F52" s="44">
        <f t="shared" si="4"/>
        <v>4111.7</v>
      </c>
      <c r="G52" s="62">
        <f t="shared" si="5"/>
        <v>35331.82</v>
      </c>
      <c r="H52" s="44">
        <v>0</v>
      </c>
      <c r="I52" s="62">
        <v>0</v>
      </c>
      <c r="J52" s="44">
        <f t="shared" si="1"/>
        <v>4111.7</v>
      </c>
      <c r="K52" s="36">
        <v>45375</v>
      </c>
      <c r="L52" s="51">
        <v>2160</v>
      </c>
      <c r="M52" s="62">
        <v>6858</v>
      </c>
      <c r="N52" s="62">
        <v>3015.89</v>
      </c>
      <c r="O52" s="44">
        <f t="shared" si="2"/>
        <v>3348.3845897635174</v>
      </c>
      <c r="P52" s="44">
        <v>31078</v>
      </c>
      <c r="Q52" s="62">
        <f t="shared" si="6"/>
        <v>9873.89</v>
      </c>
      <c r="T52" s="150"/>
    </row>
    <row r="53" spans="1:20" x14ac:dyDescent="0.2">
      <c r="A53" s="32"/>
      <c r="B53" s="41"/>
      <c r="C53" s="38"/>
      <c r="D53" s="41"/>
      <c r="E53" s="38"/>
      <c r="F53" s="41"/>
      <c r="G53" s="38"/>
      <c r="H53" s="41"/>
      <c r="I53" s="38"/>
      <c r="J53" s="55">
        <f t="shared" si="1"/>
        <v>0</v>
      </c>
      <c r="K53" s="89"/>
      <c r="Q53" s="38"/>
      <c r="T53" s="150"/>
    </row>
    <row r="54" spans="1:20" x14ac:dyDescent="0.2">
      <c r="A54" s="32"/>
      <c r="B54" s="41"/>
      <c r="C54" s="38"/>
      <c r="D54" s="41"/>
      <c r="E54" s="38"/>
      <c r="F54" s="41"/>
      <c r="G54" s="38"/>
      <c r="H54" s="41"/>
      <c r="I54" s="38"/>
      <c r="J54" s="41"/>
      <c r="K54" s="89"/>
      <c r="Q54" s="38"/>
      <c r="T54" s="150"/>
    </row>
    <row r="55" spans="1:20" s="75" customFormat="1" x14ac:dyDescent="0.2">
      <c r="A55" s="34" t="s">
        <v>84</v>
      </c>
      <c r="B55" s="90">
        <f>SUM(B41:B52)</f>
        <v>22336.300000000003</v>
      </c>
      <c r="C55" s="90">
        <f t="shared" ref="C55:J55" si="7">SUM(C41:C52)</f>
        <v>184196.81</v>
      </c>
      <c r="D55" s="90">
        <f t="shared" si="7"/>
        <v>5065.3</v>
      </c>
      <c r="E55" s="90">
        <f t="shared" si="7"/>
        <v>41258</v>
      </c>
      <c r="F55" s="90">
        <f t="shared" si="7"/>
        <v>27401.600000000002</v>
      </c>
      <c r="G55" s="90">
        <f t="shared" si="7"/>
        <v>225454.81</v>
      </c>
      <c r="H55" s="90">
        <f t="shared" si="7"/>
        <v>7721</v>
      </c>
      <c r="I55" s="90">
        <f t="shared" si="7"/>
        <v>52721.979999999996</v>
      </c>
      <c r="J55" s="90">
        <f t="shared" si="7"/>
        <v>35122.6</v>
      </c>
      <c r="K55" s="34" t="s">
        <v>84</v>
      </c>
      <c r="L55" s="90">
        <f>SUM(L41:L52)</f>
        <v>43070</v>
      </c>
      <c r="M55" s="90">
        <f t="shared" ref="M55:R55" si="8">SUM(M41:M52)</f>
        <v>129444.76999999999</v>
      </c>
      <c r="N55" s="90">
        <f t="shared" si="8"/>
        <v>35518.720000000001</v>
      </c>
      <c r="O55" s="90">
        <f t="shared" si="8"/>
        <v>39434.573109803488</v>
      </c>
      <c r="P55" s="90">
        <f t="shared" si="8"/>
        <v>-7804</v>
      </c>
      <c r="Q55" s="90">
        <f t="shared" si="8"/>
        <v>164963.49</v>
      </c>
      <c r="R55" s="90">
        <f t="shared" si="8"/>
        <v>0</v>
      </c>
      <c r="T55" s="151"/>
    </row>
    <row r="56" spans="1:20" x14ac:dyDescent="0.2">
      <c r="A56" s="32"/>
      <c r="B56" s="41"/>
      <c r="C56" s="38"/>
      <c r="D56" s="41"/>
      <c r="E56" s="38"/>
      <c r="F56" s="41"/>
      <c r="G56" s="38"/>
      <c r="H56" s="41"/>
      <c r="I56" s="38"/>
      <c r="J56" s="45"/>
      <c r="T56" s="152"/>
    </row>
    <row r="57" spans="1:20" x14ac:dyDescent="0.2">
      <c r="A57" s="32"/>
      <c r="B57" s="41"/>
      <c r="C57" s="38"/>
      <c r="D57" s="41"/>
      <c r="E57" s="38"/>
      <c r="F57" s="41"/>
      <c r="G57" s="38"/>
      <c r="H57" s="41"/>
      <c r="I57" s="38"/>
      <c r="J57" s="45"/>
    </row>
    <row r="58" spans="1:20" x14ac:dyDescent="0.2">
      <c r="A58" s="32"/>
      <c r="B58" s="41"/>
      <c r="C58" s="38"/>
      <c r="D58" s="41"/>
      <c r="E58" s="38"/>
      <c r="F58" s="41"/>
      <c r="G58" s="38"/>
      <c r="H58" s="41"/>
      <c r="I58" s="38"/>
      <c r="J58" s="45"/>
      <c r="O58" s="42"/>
      <c r="P58" s="42"/>
    </row>
    <row r="59" spans="1:20" x14ac:dyDescent="0.2">
      <c r="B59" s="56" t="s">
        <v>94</v>
      </c>
      <c r="C59" s="38"/>
      <c r="D59" s="41"/>
      <c r="E59" s="38"/>
      <c r="F59" s="41"/>
      <c r="G59" s="38" t="s">
        <v>64</v>
      </c>
      <c r="H59" s="41"/>
      <c r="I59" s="38"/>
      <c r="J59" s="45"/>
    </row>
    <row r="60" spans="1:20" x14ac:dyDescent="0.2">
      <c r="A60" s="32"/>
      <c r="B60" s="53" t="s">
        <v>93</v>
      </c>
      <c r="C60" s="38"/>
      <c r="D60" s="41"/>
      <c r="E60" s="38"/>
      <c r="F60" s="41"/>
      <c r="G60" s="38" t="s">
        <v>64</v>
      </c>
      <c r="H60" s="41"/>
      <c r="I60" s="38"/>
      <c r="J60" s="45"/>
      <c r="T60" s="88" t="s">
        <v>64</v>
      </c>
    </row>
    <row r="61" spans="1:20" x14ac:dyDescent="0.2">
      <c r="A61" s="32"/>
      <c r="B61" s="41"/>
      <c r="C61" s="38"/>
      <c r="D61" s="41"/>
      <c r="E61" s="38"/>
      <c r="F61" s="41"/>
      <c r="G61" s="38"/>
      <c r="H61" s="41"/>
      <c r="I61" s="38"/>
      <c r="J61" s="45"/>
    </row>
    <row r="62" spans="1:20" x14ac:dyDescent="0.2">
      <c r="B62" s="41"/>
      <c r="C62" s="38"/>
      <c r="D62" s="41"/>
      <c r="E62" s="38"/>
      <c r="F62" s="41"/>
      <c r="G62" s="38"/>
      <c r="H62" s="41"/>
      <c r="I62" s="38"/>
      <c r="J62" s="45"/>
    </row>
    <row r="63" spans="1:20" x14ac:dyDescent="0.2">
      <c r="B63" s="41"/>
      <c r="C63" s="38"/>
      <c r="D63" s="41"/>
      <c r="E63" s="38"/>
      <c r="F63" s="41"/>
      <c r="G63" s="38"/>
      <c r="H63" s="41"/>
      <c r="I63" s="38"/>
      <c r="J63" s="45"/>
    </row>
  </sheetData>
  <printOptions gridLines="1"/>
  <pageMargins left="0.2" right="0.2" top="0.25" bottom="0.2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Schedule I</vt:lpstr>
      <vt:lpstr>Schedule II</vt:lpstr>
      <vt:lpstr>Schedule IV</vt:lpstr>
      <vt:lpstr>Data</vt:lpstr>
      <vt:lpstr>'Schedule I'!Print_Area</vt:lpstr>
      <vt:lpstr>'Schedule II'!Print_Area</vt:lpstr>
    </vt:vector>
  </TitlesOfParts>
  <Company>Kentucky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SKO</cp:lastModifiedBy>
  <cp:lastPrinted>2024-08-30T14:05:35Z</cp:lastPrinted>
  <dcterms:created xsi:type="dcterms:W3CDTF">2006-10-26T17:11:15Z</dcterms:created>
  <dcterms:modified xsi:type="dcterms:W3CDTF">2024-10-29T21:01:32Z</dcterms:modified>
</cp:coreProperties>
</file>