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East Bend Limestone Conversion CPCN/Discovery/Sierra 1st Set of Data Requests/"/>
    </mc:Choice>
  </mc:AlternateContent>
  <xr:revisionPtr revIDLastSave="0" documentId="13_ncr:1_{1DE28264-35A1-41DC-8AD6-7A4191C5008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L-2" sheetId="12" r:id="rId1"/>
    <sheet name="RS" sheetId="1" r:id="rId2"/>
    <sheet name="DS" sheetId="4" r:id="rId3"/>
    <sheet name="DT" sheetId="10" r:id="rId4"/>
    <sheet name="EH" sheetId="8" r:id="rId5"/>
    <sheet name="GSFL" sheetId="9" r:id="rId6"/>
    <sheet name="SP" sheetId="11" r:id="rId7"/>
    <sheet name="DP" sheetId="6" r:id="rId8"/>
    <sheet name="TT" sheetId="7" r:id="rId9"/>
  </sheets>
  <definedNames>
    <definedName name="_xlnm.Print_Area" localSheetId="7">DP!$A$1:$Y$51</definedName>
    <definedName name="_xlnm.Print_Area" localSheetId="2">DS!$A$1:$AA$47</definedName>
    <definedName name="_xlnm.Print_Area" localSheetId="3">DT!$A$1:$AQ$53</definedName>
    <definedName name="_xlnm.Print_Area" localSheetId="4">EH!$A$1:$X$51</definedName>
    <definedName name="_xlnm.Print_Area" localSheetId="5">GSFL!$A$1:$W$64</definedName>
    <definedName name="_xlnm.Print_Area" localSheetId="1">RS!$A$1:$R$38</definedName>
    <definedName name="_xlnm.Print_Area" localSheetId="6">SP!$A$1:$V$50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4" i="11" l="1"/>
  <c r="A45" i="9"/>
  <c r="A45" i="8"/>
  <c r="A45" i="6"/>
  <c r="P27" i="4"/>
  <c r="K27" i="1" l="1"/>
  <c r="D25" i="12"/>
  <c r="D17" i="12"/>
  <c r="D15" i="12"/>
  <c r="D13" i="12"/>
  <c r="E25" i="12"/>
  <c r="E23" i="12"/>
  <c r="E21" i="12"/>
  <c r="E15" i="12"/>
  <c r="E13" i="12"/>
  <c r="E11" i="12"/>
  <c r="AC13" i="7" l="1"/>
  <c r="Y13" i="7"/>
  <c r="W13" i="7"/>
  <c r="R13" i="7"/>
  <c r="X13" i="6"/>
  <c r="T13" i="6"/>
  <c r="R13" i="6"/>
  <c r="P13" i="6"/>
  <c r="O13" i="6"/>
  <c r="M13" i="6"/>
  <c r="W13" i="9"/>
  <c r="S13" i="9"/>
  <c r="Q13" i="9"/>
  <c r="O13" i="9"/>
  <c r="N13" i="9"/>
  <c r="L13" i="9"/>
  <c r="V13" i="11"/>
  <c r="R13" i="11"/>
  <c r="P13" i="11"/>
  <c r="N13" i="11"/>
  <c r="M13" i="11"/>
  <c r="K13" i="11"/>
  <c r="X13" i="8"/>
  <c r="T13" i="8"/>
  <c r="R13" i="8"/>
  <c r="P13" i="8"/>
  <c r="O13" i="8"/>
  <c r="M13" i="8"/>
  <c r="Z13" i="10"/>
  <c r="X13" i="10"/>
  <c r="V13" i="10"/>
  <c r="U13" i="10"/>
  <c r="S13" i="10"/>
  <c r="W13" i="4"/>
  <c r="U13" i="4"/>
  <c r="W12" i="4"/>
  <c r="U12" i="4"/>
  <c r="Z12" i="10"/>
  <c r="X12" i="10"/>
  <c r="V12" i="10"/>
  <c r="U12" i="10"/>
  <c r="S12" i="10"/>
  <c r="X12" i="8"/>
  <c r="T12" i="8"/>
  <c r="R12" i="8"/>
  <c r="P12" i="8"/>
  <c r="O12" i="8"/>
  <c r="M12" i="8"/>
  <c r="V12" i="11"/>
  <c r="R12" i="11"/>
  <c r="P12" i="11"/>
  <c r="N12" i="11"/>
  <c r="M12" i="11"/>
  <c r="K12" i="11"/>
  <c r="W12" i="9"/>
  <c r="S12" i="9"/>
  <c r="Q12" i="9"/>
  <c r="O12" i="9"/>
  <c r="N12" i="9"/>
  <c r="L12" i="9"/>
  <c r="X12" i="6"/>
  <c r="T12" i="6"/>
  <c r="R12" i="6"/>
  <c r="P12" i="6"/>
  <c r="O12" i="6"/>
  <c r="M12" i="6"/>
  <c r="AC12" i="7"/>
  <c r="Y12" i="7"/>
  <c r="W12" i="7"/>
  <c r="R12" i="7"/>
  <c r="AC11" i="7"/>
  <c r="Y11" i="7"/>
  <c r="W11" i="7"/>
  <c r="R11" i="7"/>
  <c r="X11" i="6"/>
  <c r="T11" i="6"/>
  <c r="R11" i="6"/>
  <c r="P11" i="6"/>
  <c r="O11" i="6"/>
  <c r="M11" i="6"/>
  <c r="W11" i="9"/>
  <c r="S11" i="9"/>
  <c r="Q11" i="9"/>
  <c r="O11" i="9"/>
  <c r="N11" i="9"/>
  <c r="L11" i="9"/>
  <c r="V11" i="11"/>
  <c r="R11" i="11"/>
  <c r="P11" i="11"/>
  <c r="N11" i="11"/>
  <c r="M11" i="11"/>
  <c r="K11" i="11"/>
  <c r="X11" i="8"/>
  <c r="T11" i="8"/>
  <c r="R11" i="8"/>
  <c r="P11" i="8"/>
  <c r="O11" i="8"/>
  <c r="M11" i="8"/>
  <c r="Z11" i="10"/>
  <c r="X11" i="10"/>
  <c r="V11" i="10"/>
  <c r="U11" i="10"/>
  <c r="S11" i="10"/>
  <c r="W11" i="4"/>
  <c r="U11" i="4"/>
  <c r="N21" i="10"/>
  <c r="Q29" i="10"/>
  <c r="Q30" i="10"/>
  <c r="Q28" i="10"/>
  <c r="Q27" i="10"/>
  <c r="L21" i="10"/>
  <c r="B11" i="10"/>
  <c r="O27" i="10"/>
  <c r="O28" i="10"/>
  <c r="O29" i="10"/>
  <c r="O30" i="10"/>
  <c r="AC10" i="7"/>
  <c r="Y10" i="7"/>
  <c r="W10" i="7"/>
  <c r="R10" i="7"/>
  <c r="X10" i="6"/>
  <c r="T10" i="6"/>
  <c r="R10" i="6"/>
  <c r="P10" i="6"/>
  <c r="O10" i="6"/>
  <c r="M10" i="6"/>
  <c r="W10" i="9"/>
  <c r="S10" i="9"/>
  <c r="Q10" i="9"/>
  <c r="O10" i="9"/>
  <c r="N10" i="9"/>
  <c r="L10" i="9"/>
  <c r="V10" i="11"/>
  <c r="R10" i="11"/>
  <c r="P10" i="11"/>
  <c r="N10" i="11"/>
  <c r="M10" i="11"/>
  <c r="K10" i="11"/>
  <c r="X10" i="8"/>
  <c r="T10" i="8"/>
  <c r="R10" i="8"/>
  <c r="P10" i="8"/>
  <c r="O10" i="8"/>
  <c r="M10" i="8"/>
  <c r="Z10" i="10"/>
  <c r="X10" i="10"/>
  <c r="V10" i="10"/>
  <c r="U10" i="10"/>
  <c r="S10" i="10"/>
  <c r="W10" i="4"/>
  <c r="U10" i="4"/>
  <c r="AC9" i="7"/>
  <c r="Y9" i="7"/>
  <c r="W9" i="7"/>
  <c r="R9" i="7"/>
  <c r="X9" i="6"/>
  <c r="T9" i="6"/>
  <c r="R9" i="6"/>
  <c r="P9" i="6"/>
  <c r="O9" i="6"/>
  <c r="M9" i="6"/>
  <c r="W9" i="9"/>
  <c r="S9" i="9"/>
  <c r="Q9" i="9"/>
  <c r="O9" i="9"/>
  <c r="N9" i="9"/>
  <c r="L9" i="9"/>
  <c r="V9" i="11"/>
  <c r="R9" i="11"/>
  <c r="P9" i="11"/>
  <c r="N9" i="11"/>
  <c r="M9" i="11"/>
  <c r="K9" i="11"/>
  <c r="X9" i="8"/>
  <c r="T9" i="8"/>
  <c r="R9" i="8"/>
  <c r="P9" i="8"/>
  <c r="O9" i="8"/>
  <c r="M9" i="8"/>
  <c r="Z9" i="10"/>
  <c r="X9" i="10"/>
  <c r="V9" i="10"/>
  <c r="U9" i="10"/>
  <c r="S9" i="10"/>
  <c r="W9" i="4"/>
  <c r="U9" i="4"/>
  <c r="AC8" i="7"/>
  <c r="Y8" i="7"/>
  <c r="W8" i="7"/>
  <c r="R8" i="7"/>
  <c r="X8" i="6"/>
  <c r="T8" i="6"/>
  <c r="R8" i="6"/>
  <c r="P8" i="6"/>
  <c r="O8" i="6"/>
  <c r="M8" i="6"/>
  <c r="W8" i="9"/>
  <c r="S8" i="9"/>
  <c r="Q8" i="9"/>
  <c r="O8" i="9"/>
  <c r="N8" i="9"/>
  <c r="L8" i="9"/>
  <c r="V8" i="11"/>
  <c r="R8" i="11"/>
  <c r="P8" i="11"/>
  <c r="N8" i="11"/>
  <c r="M8" i="11"/>
  <c r="K8" i="11"/>
  <c r="X8" i="8"/>
  <c r="T8" i="8"/>
  <c r="R8" i="8"/>
  <c r="P8" i="8"/>
  <c r="O8" i="8"/>
  <c r="M8" i="8"/>
  <c r="Z8" i="10"/>
  <c r="X8" i="10"/>
  <c r="V8" i="10"/>
  <c r="U8" i="10"/>
  <c r="S8" i="10"/>
  <c r="W8" i="4"/>
  <c r="U8" i="4"/>
  <c r="X21" i="6" l="1"/>
  <c r="B15" i="7" l="1"/>
  <c r="B16" i="7" s="1"/>
  <c r="B10" i="7"/>
  <c r="D19" i="12" s="1"/>
  <c r="B11" i="7" l="1"/>
  <c r="AC24" i="7"/>
  <c r="AQ21" i="10"/>
  <c r="P31" i="7" l="1"/>
  <c r="P32" i="7"/>
  <c r="P33" i="7"/>
  <c r="P30" i="7"/>
  <c r="L30" i="7"/>
  <c r="L31" i="7"/>
  <c r="L32" i="7"/>
  <c r="L33" i="7"/>
  <c r="K31" i="7"/>
  <c r="K32" i="7"/>
  <c r="K33" i="7"/>
  <c r="K30" i="7"/>
  <c r="N27" i="10"/>
  <c r="N28" i="10"/>
  <c r="N29" i="10"/>
  <c r="N30" i="10"/>
  <c r="M28" i="10"/>
  <c r="M29" i="10"/>
  <c r="M30" i="10"/>
  <c r="M27" i="10"/>
  <c r="O31" i="7"/>
  <c r="O32" i="7"/>
  <c r="O33" i="7"/>
  <c r="O30" i="7"/>
  <c r="AL24" i="10" l="1"/>
  <c r="AH22" i="10"/>
  <c r="AQ8" i="10" l="1"/>
  <c r="AQ18" i="10" l="1"/>
  <c r="AQ19" i="10"/>
  <c r="AQ15" i="10"/>
  <c r="AQ16" i="10"/>
  <c r="AQ17" i="10"/>
  <c r="AQ14" i="10"/>
  <c r="AQ9" i="10"/>
  <c r="AQ10" i="10"/>
  <c r="AQ11" i="10"/>
  <c r="AQ12" i="10"/>
  <c r="AQ13" i="10"/>
  <c r="AC26" i="7" l="1"/>
  <c r="X33" i="6"/>
  <c r="W21" i="9"/>
  <c r="W33" i="9" s="1"/>
  <c r="V21" i="11"/>
  <c r="V33" i="11" s="1"/>
  <c r="X21" i="8"/>
  <c r="X33" i="8" s="1"/>
  <c r="AQ33" i="10"/>
  <c r="AA21" i="4"/>
  <c r="AA29" i="4" s="1"/>
  <c r="AC33" i="7" l="1"/>
  <c r="AC32" i="7"/>
  <c r="AC31" i="7"/>
  <c r="AC30" i="7"/>
  <c r="AC29" i="7"/>
  <c r="AC28" i="7"/>
  <c r="AC25" i="7"/>
  <c r="AC35" i="7"/>
  <c r="AC27" i="7"/>
  <c r="AC36" i="7"/>
  <c r="AC34" i="7"/>
  <c r="X26" i="6"/>
  <c r="X30" i="6"/>
  <c r="X28" i="6"/>
  <c r="X31" i="6"/>
  <c r="X27" i="6"/>
  <c r="X29" i="6"/>
  <c r="X23" i="6"/>
  <c r="X24" i="6"/>
  <c r="X32" i="6"/>
  <c r="X22" i="6"/>
  <c r="X25" i="6"/>
  <c r="W23" i="9"/>
  <c r="W31" i="9"/>
  <c r="W27" i="9"/>
  <c r="W28" i="9"/>
  <c r="W22" i="9"/>
  <c r="W24" i="9"/>
  <c r="W32" i="9"/>
  <c r="W26" i="9"/>
  <c r="W29" i="9"/>
  <c r="W30" i="9"/>
  <c r="W25" i="9"/>
  <c r="V27" i="11"/>
  <c r="V29" i="11"/>
  <c r="V22" i="11"/>
  <c r="V30" i="11"/>
  <c r="V23" i="11"/>
  <c r="V31" i="11"/>
  <c r="V26" i="11"/>
  <c r="V24" i="11"/>
  <c r="V32" i="11"/>
  <c r="V28" i="11"/>
  <c r="V25" i="11"/>
  <c r="X29" i="8"/>
  <c r="X22" i="8"/>
  <c r="X30" i="8"/>
  <c r="X26" i="8"/>
  <c r="X23" i="8"/>
  <c r="X31" i="8"/>
  <c r="X28" i="8"/>
  <c r="X24" i="8"/>
  <c r="X32" i="8"/>
  <c r="X27" i="8"/>
  <c r="X25" i="8"/>
  <c r="AQ22" i="10"/>
  <c r="AQ30" i="10"/>
  <c r="AQ26" i="10"/>
  <c r="AQ29" i="10"/>
  <c r="AQ23" i="10"/>
  <c r="AQ31" i="10"/>
  <c r="AQ27" i="10"/>
  <c r="AQ24" i="10"/>
  <c r="AQ32" i="10"/>
  <c r="AQ28" i="10"/>
  <c r="AQ25" i="10"/>
  <c r="AA22" i="4"/>
  <c r="AA23" i="4"/>
  <c r="AA30" i="4"/>
  <c r="AA31" i="4"/>
  <c r="AA24" i="4"/>
  <c r="AA25" i="4"/>
  <c r="AA33" i="4"/>
  <c r="AA32" i="4"/>
  <c r="AA26" i="4"/>
  <c r="AA27" i="4"/>
  <c r="A43" i="4" s="1"/>
  <c r="AA28" i="4"/>
  <c r="AL28" i="10" l="1"/>
  <c r="AH33" i="10"/>
  <c r="AG33" i="10" s="1"/>
  <c r="AH32" i="10"/>
  <c r="AG32" i="10" s="1"/>
  <c r="AH31" i="10"/>
  <c r="AG31" i="10" s="1"/>
  <c r="AH30" i="10"/>
  <c r="AG30" i="10" s="1"/>
  <c r="AH29" i="10"/>
  <c r="AG29" i="10" s="1"/>
  <c r="AH28" i="10"/>
  <c r="AG28" i="10" s="1"/>
  <c r="AH27" i="10"/>
  <c r="AG27" i="10" s="1"/>
  <c r="AH26" i="10"/>
  <c r="AG26" i="10" s="1"/>
  <c r="AH25" i="10"/>
  <c r="AG25" i="10" s="1"/>
  <c r="AH24" i="10"/>
  <c r="AH23" i="10"/>
  <c r="AG23" i="10" s="1"/>
  <c r="AG22" i="10"/>
  <c r="AL33" i="10"/>
  <c r="AO32" i="10"/>
  <c r="AL32" i="10"/>
  <c r="AL31" i="10"/>
  <c r="AL30" i="10"/>
  <c r="AL26" i="10"/>
  <c r="AL23" i="10"/>
  <c r="AL22" i="10"/>
  <c r="AB28" i="10" l="1"/>
  <c r="AD28" i="10" s="1"/>
  <c r="AB33" i="10"/>
  <c r="AD33" i="10" s="1"/>
  <c r="AB23" i="10"/>
  <c r="AD23" i="10" s="1"/>
  <c r="AB30" i="10"/>
  <c r="AD30" i="10" s="1"/>
  <c r="AB22" i="10"/>
  <c r="AD22" i="10" s="1"/>
  <c r="AG24" i="10"/>
  <c r="AB24" i="10" s="1"/>
  <c r="AB31" i="10"/>
  <c r="AD31" i="10" s="1"/>
  <c r="AB32" i="10"/>
  <c r="AD32" i="10" s="1"/>
  <c r="AB29" i="10"/>
  <c r="AD29" i="10" s="1"/>
  <c r="AB27" i="10"/>
  <c r="AD27" i="10" s="1"/>
  <c r="AB26" i="10"/>
  <c r="AD26" i="10" s="1"/>
  <c r="AB25" i="10"/>
  <c r="AD25" i="10" s="1"/>
  <c r="B22" i="7"/>
  <c r="B19" i="10"/>
  <c r="E17" i="12" s="1"/>
  <c r="B20" i="7"/>
  <c r="O24" i="7" s="1"/>
  <c r="B21" i="7"/>
  <c r="P24" i="7" s="1"/>
  <c r="B17" i="10"/>
  <c r="Q21" i="10" s="1"/>
  <c r="B18" i="10"/>
  <c r="R21" i="10" s="1"/>
  <c r="R33" i="10" l="1"/>
  <c r="R31" i="10"/>
  <c r="R29" i="10"/>
  <c r="R24" i="10"/>
  <c r="R22" i="10"/>
  <c r="R32" i="10"/>
  <c r="R30" i="10"/>
  <c r="R28" i="10"/>
  <c r="R27" i="10"/>
  <c r="R26" i="10"/>
  <c r="R25" i="10"/>
  <c r="R23" i="10"/>
  <c r="Q31" i="10"/>
  <c r="Q26" i="10"/>
  <c r="Q33" i="10"/>
  <c r="Q32" i="10"/>
  <c r="Q25" i="10"/>
  <c r="Q24" i="10"/>
  <c r="Q22" i="10"/>
  <c r="Q23" i="10"/>
  <c r="Y24" i="7"/>
  <c r="E19" i="12"/>
  <c r="AD24" i="10"/>
  <c r="W24" i="7"/>
  <c r="T24" i="7"/>
  <c r="P21" i="10"/>
  <c r="N24" i="7"/>
  <c r="M24" i="7"/>
  <c r="N33" i="7" l="1"/>
  <c r="N31" i="7"/>
  <c r="N30" i="7"/>
  <c r="N32" i="7"/>
  <c r="N30" i="1"/>
  <c r="U25" i="7" l="1"/>
  <c r="H25" i="7"/>
  <c r="P22" i="6"/>
  <c r="H22" i="6"/>
  <c r="H21" i="9"/>
  <c r="S21" i="9"/>
  <c r="Q21" i="9"/>
  <c r="N21" i="9"/>
  <c r="I21" i="9"/>
  <c r="J21" i="9"/>
  <c r="O22" i="9"/>
  <c r="N22" i="11"/>
  <c r="H22" i="11"/>
  <c r="V22" i="10"/>
  <c r="P22" i="8"/>
  <c r="J21" i="8"/>
  <c r="S22" i="4"/>
  <c r="I21" i="4"/>
  <c r="H21" i="4"/>
  <c r="N22" i="1"/>
  <c r="H22" i="1"/>
  <c r="K21" i="10"/>
  <c r="M21" i="10" s="1"/>
  <c r="O21" i="10" s="1"/>
  <c r="J21" i="10"/>
  <c r="I24" i="7"/>
  <c r="O22" i="10" l="1"/>
  <c r="O26" i="10"/>
  <c r="O33" i="10"/>
  <c r="O25" i="10"/>
  <c r="O32" i="10"/>
  <c r="O24" i="10"/>
  <c r="O31" i="10"/>
  <c r="O23" i="10"/>
  <c r="M22" i="10"/>
  <c r="M31" i="10"/>
  <c r="M23" i="10"/>
  <c r="M32" i="10"/>
  <c r="M24" i="10"/>
  <c r="M33" i="10"/>
  <c r="M25" i="10"/>
  <c r="M26" i="10"/>
  <c r="S31" i="9"/>
  <c r="S30" i="9"/>
  <c r="S29" i="9"/>
  <c r="S28" i="9"/>
  <c r="S32" i="9"/>
  <c r="S33" i="9"/>
  <c r="S27" i="9"/>
  <c r="S26" i="9"/>
  <c r="S25" i="9"/>
  <c r="S24" i="9"/>
  <c r="S23" i="9"/>
  <c r="S22" i="9"/>
  <c r="AF23" i="10"/>
  <c r="AF30" i="10"/>
  <c r="AF24" i="10"/>
  <c r="AF26" i="10"/>
  <c r="AF32" i="10"/>
  <c r="AF25" i="10"/>
  <c r="AF29" i="10"/>
  <c r="AF28" i="10"/>
  <c r="AF31" i="10"/>
  <c r="AF27" i="10"/>
  <c r="AF33" i="10"/>
  <c r="H22" i="4"/>
  <c r="I22" i="4"/>
  <c r="J22" i="10"/>
  <c r="J22" i="8"/>
  <c r="A20" i="4"/>
  <c r="M21" i="4" s="1"/>
  <c r="A20" i="6"/>
  <c r="I21" i="8"/>
  <c r="H21" i="8"/>
  <c r="I21" i="10"/>
  <c r="H21" i="10"/>
  <c r="R21" i="11"/>
  <c r="P21" i="11"/>
  <c r="P33" i="11" s="1"/>
  <c r="M21" i="11"/>
  <c r="M33" i="11" s="1"/>
  <c r="I21" i="11"/>
  <c r="K30" i="10"/>
  <c r="O26" i="7" l="1"/>
  <c r="M26" i="7" s="1"/>
  <c r="P26" i="7"/>
  <c r="N26" i="7" s="1"/>
  <c r="O27" i="7"/>
  <c r="M27" i="7" s="1"/>
  <c r="P27" i="7"/>
  <c r="N27" i="7" s="1"/>
  <c r="P36" i="7"/>
  <c r="N36" i="7" s="1"/>
  <c r="O36" i="7"/>
  <c r="M36" i="7" s="1"/>
  <c r="O29" i="7"/>
  <c r="M29" i="7" s="1"/>
  <c r="P29" i="7"/>
  <c r="N29" i="7" s="1"/>
  <c r="P34" i="7"/>
  <c r="N34" i="7" s="1"/>
  <c r="O34" i="7"/>
  <c r="M34" i="7" s="1"/>
  <c r="P28" i="7"/>
  <c r="N28" i="7" s="1"/>
  <c r="O28" i="7"/>
  <c r="M28" i="7" s="1"/>
  <c r="P35" i="7"/>
  <c r="N35" i="7" s="1"/>
  <c r="O35" i="7"/>
  <c r="M35" i="7" s="1"/>
  <c r="N26" i="10"/>
  <c r="L26" i="10" s="1"/>
  <c r="N33" i="10"/>
  <c r="L33" i="10" s="1"/>
  <c r="N32" i="10"/>
  <c r="L32" i="10" s="1"/>
  <c r="N31" i="10"/>
  <c r="L31" i="10" s="1"/>
  <c r="N25" i="10"/>
  <c r="L25" i="10" s="1"/>
  <c r="N22" i="10"/>
  <c r="L22" i="10" s="1"/>
  <c r="N23" i="10"/>
  <c r="L23" i="10" s="1"/>
  <c r="N24" i="10"/>
  <c r="L24" i="10" s="1"/>
  <c r="B33" i="11"/>
  <c r="R29" i="11"/>
  <c r="R30" i="11"/>
  <c r="R28" i="11"/>
  <c r="R33" i="11"/>
  <c r="R32" i="11"/>
  <c r="R31" i="11"/>
  <c r="R27" i="11"/>
  <c r="R26" i="11"/>
  <c r="R25" i="11"/>
  <c r="R24" i="11"/>
  <c r="R23" i="11"/>
  <c r="R22" i="11"/>
  <c r="P24" i="10"/>
  <c r="P28" i="10"/>
  <c r="M31" i="7"/>
  <c r="P32" i="10"/>
  <c r="P27" i="10"/>
  <c r="M30" i="7"/>
  <c r="P29" i="10"/>
  <c r="M32" i="7"/>
  <c r="P33" i="10"/>
  <c r="P26" i="10"/>
  <c r="P25" i="10"/>
  <c r="P30" i="10"/>
  <c r="M33" i="7"/>
  <c r="P31" i="10"/>
  <c r="P23" i="10"/>
  <c r="AF22" i="10"/>
  <c r="J23" i="10"/>
  <c r="J33" i="10"/>
  <c r="P24" i="11"/>
  <c r="B24" i="11" s="1"/>
  <c r="I23" i="11"/>
  <c r="I33" i="11"/>
  <c r="H23" i="11"/>
  <c r="P22" i="11"/>
  <c r="B22" i="11" s="1"/>
  <c r="P23" i="11"/>
  <c r="B23" i="11" s="1"/>
  <c r="I22" i="11"/>
  <c r="C22" i="11" s="1"/>
  <c r="L30" i="10"/>
  <c r="J32" i="10"/>
  <c r="J24" i="10"/>
  <c r="J25" i="10"/>
  <c r="L21" i="4"/>
  <c r="I23" i="10"/>
  <c r="I22" i="10"/>
  <c r="H32" i="10"/>
  <c r="H30" i="10"/>
  <c r="H28" i="10"/>
  <c r="H26" i="10"/>
  <c r="H24" i="10"/>
  <c r="H22" i="10"/>
  <c r="H33" i="10"/>
  <c r="H31" i="10"/>
  <c r="H29" i="10"/>
  <c r="H27" i="10"/>
  <c r="H25" i="10"/>
  <c r="H23" i="10"/>
  <c r="H22" i="8"/>
  <c r="I22" i="8"/>
  <c r="D22" i="11"/>
  <c r="H25" i="11"/>
  <c r="M22" i="11"/>
  <c r="P25" i="11"/>
  <c r="B25" i="11" s="1"/>
  <c r="P26" i="11"/>
  <c r="P27" i="11"/>
  <c r="B27" i="11" s="1"/>
  <c r="M28" i="11"/>
  <c r="P28" i="11"/>
  <c r="M29" i="11"/>
  <c r="P29" i="11"/>
  <c r="M30" i="11"/>
  <c r="P30" i="11"/>
  <c r="M31" i="11"/>
  <c r="P31" i="11"/>
  <c r="M32" i="11"/>
  <c r="P32" i="11"/>
  <c r="I29" i="11"/>
  <c r="I31" i="11"/>
  <c r="K33" i="10"/>
  <c r="L27" i="10"/>
  <c r="L28" i="10"/>
  <c r="L29" i="10"/>
  <c r="K22" i="10"/>
  <c r="K23" i="10"/>
  <c r="K24" i="10"/>
  <c r="K25" i="10"/>
  <c r="K26" i="10"/>
  <c r="K27" i="10"/>
  <c r="K28" i="10"/>
  <c r="K29" i="10"/>
  <c r="K31" i="10"/>
  <c r="K32" i="10"/>
  <c r="I24" i="10"/>
  <c r="N33" i="9"/>
  <c r="Q33" i="9"/>
  <c r="Q22" i="9"/>
  <c r="B22" i="9" s="1"/>
  <c r="T21" i="8"/>
  <c r="R21" i="8"/>
  <c r="R22" i="8" s="1"/>
  <c r="O21" i="8"/>
  <c r="K21" i="8"/>
  <c r="K22" i="8" s="1"/>
  <c r="P25" i="7" l="1"/>
  <c r="N25" i="7" s="1"/>
  <c r="O25" i="7"/>
  <c r="M25" i="7" s="1"/>
  <c r="B33" i="9"/>
  <c r="K22" i="11"/>
  <c r="A22" i="11" s="1"/>
  <c r="B32" i="11"/>
  <c r="B31" i="11"/>
  <c r="B30" i="11"/>
  <c r="B29" i="11"/>
  <c r="B28" i="11"/>
  <c r="E33" i="11"/>
  <c r="T32" i="8"/>
  <c r="T29" i="8"/>
  <c r="T30" i="8"/>
  <c r="T28" i="8"/>
  <c r="T33" i="8"/>
  <c r="T31" i="8"/>
  <c r="T27" i="8"/>
  <c r="T26" i="8"/>
  <c r="T25" i="8"/>
  <c r="T24" i="8"/>
  <c r="T23" i="8"/>
  <c r="T22" i="8"/>
  <c r="AF34" i="10"/>
  <c r="P22" i="10"/>
  <c r="B26" i="11"/>
  <c r="Z21" i="10"/>
  <c r="X21" i="10"/>
  <c r="X22" i="10" s="1"/>
  <c r="B22" i="10" s="1"/>
  <c r="U21" i="10"/>
  <c r="U33" i="10" s="1"/>
  <c r="D22" i="10"/>
  <c r="E22" i="11"/>
  <c r="C23" i="11"/>
  <c r="E29" i="11"/>
  <c r="J29" i="10"/>
  <c r="J28" i="10"/>
  <c r="J31" i="10"/>
  <c r="J30" i="10"/>
  <c r="J27" i="10"/>
  <c r="J26" i="10"/>
  <c r="E31" i="11"/>
  <c r="I32" i="11"/>
  <c r="E32" i="11" s="1"/>
  <c r="I30" i="11"/>
  <c r="E30" i="11" s="1"/>
  <c r="I28" i="11"/>
  <c r="E28" i="11" s="1"/>
  <c r="H24" i="11"/>
  <c r="J22" i="9"/>
  <c r="I32" i="9"/>
  <c r="I30" i="9"/>
  <c r="I28" i="9"/>
  <c r="I26" i="9"/>
  <c r="I24" i="9"/>
  <c r="I22" i="9"/>
  <c r="I33" i="9"/>
  <c r="I31" i="9"/>
  <c r="I29" i="9"/>
  <c r="I27" i="9"/>
  <c r="I25" i="9"/>
  <c r="I23" i="9"/>
  <c r="J33" i="9"/>
  <c r="E33" i="9" s="1"/>
  <c r="J31" i="9"/>
  <c r="J29" i="9"/>
  <c r="J27" i="9"/>
  <c r="J25" i="9"/>
  <c r="J32" i="9"/>
  <c r="J30" i="9"/>
  <c r="J28" i="9"/>
  <c r="J26" i="9"/>
  <c r="J24" i="9"/>
  <c r="I24" i="11"/>
  <c r="J23" i="9"/>
  <c r="Q23" i="9"/>
  <c r="Q24" i="9"/>
  <c r="N22" i="9"/>
  <c r="Q25" i="9"/>
  <c r="Q26" i="9"/>
  <c r="Q27" i="9"/>
  <c r="N28" i="9"/>
  <c r="Q28" i="9"/>
  <c r="N29" i="9"/>
  <c r="Q29" i="9"/>
  <c r="N30" i="9"/>
  <c r="Q30" i="9"/>
  <c r="N31" i="9"/>
  <c r="Q31" i="9"/>
  <c r="N32" i="9"/>
  <c r="Q32" i="9"/>
  <c r="B24" i="9" l="1"/>
  <c r="B27" i="9"/>
  <c r="B23" i="9"/>
  <c r="B25" i="9"/>
  <c r="B32" i="9"/>
  <c r="B31" i="9"/>
  <c r="B30" i="9"/>
  <c r="B29" i="9"/>
  <c r="B28" i="9"/>
  <c r="X26" i="10"/>
  <c r="B26" i="10" s="1"/>
  <c r="X25" i="10"/>
  <c r="B25" i="10" s="1"/>
  <c r="X30" i="10"/>
  <c r="B30" i="10" s="1"/>
  <c r="X32" i="10"/>
  <c r="B32" i="10" s="1"/>
  <c r="B26" i="9"/>
  <c r="X31" i="10"/>
  <c r="B31" i="10" s="1"/>
  <c r="U22" i="10"/>
  <c r="X33" i="10"/>
  <c r="U28" i="10"/>
  <c r="U29" i="10"/>
  <c r="U30" i="10"/>
  <c r="U31" i="10"/>
  <c r="U32" i="10"/>
  <c r="X27" i="10"/>
  <c r="X24" i="10"/>
  <c r="B24" i="10" s="1"/>
  <c r="X23" i="10"/>
  <c r="B23" i="10" s="1"/>
  <c r="X29" i="10"/>
  <c r="B29" i="10" s="1"/>
  <c r="X28" i="10"/>
  <c r="Z31" i="10"/>
  <c r="Z33" i="10"/>
  <c r="E33" i="10" s="1"/>
  <c r="Z29" i="10"/>
  <c r="Z30" i="10"/>
  <c r="Z32" i="10"/>
  <c r="Z28" i="10"/>
  <c r="Z27" i="10"/>
  <c r="Z26" i="10"/>
  <c r="Z25" i="10"/>
  <c r="Z24" i="10"/>
  <c r="Z23" i="10"/>
  <c r="Z22" i="10"/>
  <c r="E29" i="9"/>
  <c r="E22" i="9"/>
  <c r="E30" i="9"/>
  <c r="E28" i="9"/>
  <c r="E32" i="9"/>
  <c r="E31" i="9"/>
  <c r="M26" i="11"/>
  <c r="M27" i="11"/>
  <c r="H26" i="11"/>
  <c r="I25" i="10"/>
  <c r="H32" i="9"/>
  <c r="H30" i="9"/>
  <c r="H28" i="9"/>
  <c r="H26" i="9"/>
  <c r="H24" i="9"/>
  <c r="D24" i="9" s="1"/>
  <c r="H22" i="9"/>
  <c r="H33" i="9"/>
  <c r="H31" i="9"/>
  <c r="H29" i="9"/>
  <c r="H27" i="9"/>
  <c r="H25" i="9"/>
  <c r="H23" i="9"/>
  <c r="D23" i="9" s="1"/>
  <c r="C24" i="11"/>
  <c r="I25" i="11"/>
  <c r="C23" i="10"/>
  <c r="C22" i="10"/>
  <c r="C24" i="10"/>
  <c r="B27" i="10" l="1"/>
  <c r="S22" i="10"/>
  <c r="A22" i="10" s="1"/>
  <c r="B33" i="10"/>
  <c r="D22" i="9"/>
  <c r="L22" i="9"/>
  <c r="D33" i="9"/>
  <c r="B28" i="10"/>
  <c r="D26" i="9"/>
  <c r="D25" i="9"/>
  <c r="D32" i="9"/>
  <c r="D31" i="9"/>
  <c r="D30" i="9"/>
  <c r="D29" i="9"/>
  <c r="E32" i="10"/>
  <c r="D28" i="9"/>
  <c r="D27" i="9"/>
  <c r="E29" i="10"/>
  <c r="E22" i="10"/>
  <c r="E30" i="10"/>
  <c r="E28" i="10"/>
  <c r="E31" i="10"/>
  <c r="H27" i="11"/>
  <c r="I26" i="11"/>
  <c r="C26" i="11" s="1"/>
  <c r="I27" i="11"/>
  <c r="E27" i="11" s="1"/>
  <c r="C25" i="10"/>
  <c r="I26" i="10"/>
  <c r="U27" i="10"/>
  <c r="U26" i="10"/>
  <c r="E26" i="10" s="1"/>
  <c r="C25" i="11"/>
  <c r="D25" i="7"/>
  <c r="D22" i="6"/>
  <c r="D22" i="1"/>
  <c r="T21" i="6"/>
  <c r="W21" i="4"/>
  <c r="U21" i="4"/>
  <c r="N21" i="4"/>
  <c r="T33" i="6" l="1"/>
  <c r="T29" i="6"/>
  <c r="T28" i="6"/>
  <c r="T32" i="6"/>
  <c r="T31" i="6"/>
  <c r="T30" i="6"/>
  <c r="T27" i="6"/>
  <c r="T26" i="6"/>
  <c r="T25" i="6"/>
  <c r="T24" i="6"/>
  <c r="T23" i="6"/>
  <c r="T22" i="6"/>
  <c r="E27" i="10"/>
  <c r="Y34" i="7"/>
  <c r="Y33" i="7"/>
  <c r="Y36" i="7"/>
  <c r="Y32" i="7"/>
  <c r="Y35" i="7"/>
  <c r="Y31" i="7"/>
  <c r="Y30" i="7"/>
  <c r="Y29" i="7"/>
  <c r="Y28" i="7"/>
  <c r="Y27" i="7"/>
  <c r="Y26" i="7"/>
  <c r="Y25" i="7"/>
  <c r="W33" i="4"/>
  <c r="W29" i="4"/>
  <c r="W32" i="4"/>
  <c r="W31" i="4"/>
  <c r="W30" i="4"/>
  <c r="W28" i="4"/>
  <c r="W27" i="4"/>
  <c r="W26" i="4"/>
  <c r="W25" i="4"/>
  <c r="W24" i="4"/>
  <c r="W23" i="4"/>
  <c r="W22" i="4"/>
  <c r="E26" i="11"/>
  <c r="K28" i="8"/>
  <c r="J23" i="8"/>
  <c r="N27" i="9"/>
  <c r="N26" i="9"/>
  <c r="H28" i="11"/>
  <c r="C27" i="11"/>
  <c r="H23" i="8"/>
  <c r="K24" i="8"/>
  <c r="K23" i="8"/>
  <c r="I24" i="8"/>
  <c r="I23" i="8"/>
  <c r="C26" i="10"/>
  <c r="I27" i="10"/>
  <c r="D22" i="8"/>
  <c r="R24" i="8"/>
  <c r="W25" i="7"/>
  <c r="R21" i="4"/>
  <c r="O21" i="6"/>
  <c r="K21" i="6"/>
  <c r="J21" i="6" s="1"/>
  <c r="R21" i="6"/>
  <c r="B24" i="8" l="1"/>
  <c r="E26" i="9"/>
  <c r="E27" i="9"/>
  <c r="K29" i="8"/>
  <c r="C28" i="11"/>
  <c r="H29" i="11"/>
  <c r="I25" i="8"/>
  <c r="K25" i="8"/>
  <c r="J24" i="8"/>
  <c r="H24" i="8"/>
  <c r="C27" i="10"/>
  <c r="I28" i="10"/>
  <c r="O32" i="8"/>
  <c r="O30" i="8"/>
  <c r="O28" i="8"/>
  <c r="O26" i="8"/>
  <c r="O22" i="8"/>
  <c r="M22" i="8" s="1"/>
  <c r="O33" i="8"/>
  <c r="O31" i="8"/>
  <c r="O29" i="8"/>
  <c r="O27" i="8"/>
  <c r="R32" i="8"/>
  <c r="R30" i="8"/>
  <c r="R28" i="8"/>
  <c r="R26" i="8"/>
  <c r="R33" i="8"/>
  <c r="R31" i="8"/>
  <c r="R29" i="8"/>
  <c r="R27" i="8"/>
  <c r="R25" i="8"/>
  <c r="B22" i="8"/>
  <c r="R23" i="8"/>
  <c r="L24" i="7"/>
  <c r="J24" i="7"/>
  <c r="K24" i="7"/>
  <c r="K25" i="7" l="1"/>
  <c r="I25" i="7" s="1"/>
  <c r="K26" i="7"/>
  <c r="K35" i="7"/>
  <c r="K34" i="7"/>
  <c r="K27" i="7"/>
  <c r="K36" i="7"/>
  <c r="K28" i="7"/>
  <c r="K29" i="7"/>
  <c r="L34" i="7"/>
  <c r="L35" i="7"/>
  <c r="L36" i="7"/>
  <c r="L25" i="7"/>
  <c r="J25" i="7" s="1"/>
  <c r="L29" i="7"/>
  <c r="L26" i="7"/>
  <c r="L27" i="7"/>
  <c r="L28" i="7"/>
  <c r="B23" i="8"/>
  <c r="B25" i="8"/>
  <c r="B27" i="8"/>
  <c r="B33" i="8"/>
  <c r="B32" i="8"/>
  <c r="B31" i="8"/>
  <c r="B30" i="8"/>
  <c r="B29" i="8"/>
  <c r="B28" i="8"/>
  <c r="B26" i="8"/>
  <c r="E29" i="8"/>
  <c r="E28" i="8"/>
  <c r="E22" i="8"/>
  <c r="K30" i="8"/>
  <c r="E30" i="8" s="1"/>
  <c r="H30" i="11"/>
  <c r="C29" i="11"/>
  <c r="H25" i="8"/>
  <c r="J25" i="8"/>
  <c r="I26" i="8"/>
  <c r="K26" i="8"/>
  <c r="E26" i="8" s="1"/>
  <c r="K27" i="8"/>
  <c r="E27" i="8" s="1"/>
  <c r="C28" i="10"/>
  <c r="I29" i="10"/>
  <c r="A22" i="8"/>
  <c r="W36" i="7"/>
  <c r="T36" i="7"/>
  <c r="W27" i="7"/>
  <c r="W26" i="7"/>
  <c r="B25" i="7"/>
  <c r="I21" i="6"/>
  <c r="B36" i="7" l="1"/>
  <c r="B26" i="7"/>
  <c r="B27" i="7"/>
  <c r="U26" i="7"/>
  <c r="J36" i="7"/>
  <c r="I26" i="7"/>
  <c r="K31" i="8"/>
  <c r="E31" i="8" s="1"/>
  <c r="H26" i="7"/>
  <c r="J26" i="7"/>
  <c r="J29" i="7"/>
  <c r="I27" i="7"/>
  <c r="J33" i="7"/>
  <c r="J31" i="7"/>
  <c r="J28" i="7"/>
  <c r="J32" i="7"/>
  <c r="J30" i="7"/>
  <c r="H31" i="11"/>
  <c r="C30" i="11"/>
  <c r="I27" i="8"/>
  <c r="J26" i="8"/>
  <c r="H26" i="8"/>
  <c r="C29" i="10"/>
  <c r="I30" i="10"/>
  <c r="C22" i="8"/>
  <c r="C25" i="7"/>
  <c r="T27" i="7"/>
  <c r="T25" i="7"/>
  <c r="E25" i="7" s="1"/>
  <c r="T26" i="7"/>
  <c r="T28" i="7"/>
  <c r="W28" i="7"/>
  <c r="T29" i="7"/>
  <c r="W29" i="7"/>
  <c r="T30" i="7"/>
  <c r="W30" i="7"/>
  <c r="T31" i="7"/>
  <c r="W31" i="7"/>
  <c r="T32" i="7"/>
  <c r="W32" i="7"/>
  <c r="T33" i="7"/>
  <c r="W33" i="7"/>
  <c r="T34" i="7"/>
  <c r="W34" i="7"/>
  <c r="T35" i="7"/>
  <c r="W35" i="7"/>
  <c r="R32" i="6"/>
  <c r="O32" i="6"/>
  <c r="R24" i="6"/>
  <c r="R23" i="6"/>
  <c r="R22" i="6"/>
  <c r="M33" i="4"/>
  <c r="R33" i="4"/>
  <c r="K21" i="4"/>
  <c r="J21" i="4" s="1"/>
  <c r="R26" i="7" l="1"/>
  <c r="B30" i="7"/>
  <c r="R25" i="7"/>
  <c r="B28" i="7"/>
  <c r="B22" i="6"/>
  <c r="B23" i="6"/>
  <c r="B24" i="6"/>
  <c r="B35" i="7"/>
  <c r="B32" i="6"/>
  <c r="B34" i="7"/>
  <c r="B33" i="7"/>
  <c r="B32" i="7"/>
  <c r="B31" i="7"/>
  <c r="B29" i="7"/>
  <c r="D26" i="7"/>
  <c r="P23" i="8"/>
  <c r="D23" i="8" s="1"/>
  <c r="N23" i="11"/>
  <c r="D23" i="11" s="1"/>
  <c r="P23" i="6"/>
  <c r="O23" i="9"/>
  <c r="V23" i="10"/>
  <c r="D23" i="10" s="1"/>
  <c r="O23" i="6"/>
  <c r="N23" i="9"/>
  <c r="L23" i="9" s="1"/>
  <c r="O23" i="8"/>
  <c r="M23" i="11"/>
  <c r="U23" i="10"/>
  <c r="E31" i="7"/>
  <c r="I29" i="7"/>
  <c r="E32" i="7"/>
  <c r="I28" i="7"/>
  <c r="J27" i="7"/>
  <c r="J35" i="7"/>
  <c r="J34" i="7"/>
  <c r="E26" i="7"/>
  <c r="H23" i="6"/>
  <c r="K33" i="8"/>
  <c r="E33" i="8" s="1"/>
  <c r="K32" i="8"/>
  <c r="E32" i="8" s="1"/>
  <c r="R23" i="4"/>
  <c r="H27" i="7"/>
  <c r="I30" i="7"/>
  <c r="U27" i="7"/>
  <c r="C31" i="11"/>
  <c r="H33" i="11"/>
  <c r="H32" i="11"/>
  <c r="H27" i="8"/>
  <c r="J27" i="8"/>
  <c r="I28" i="8"/>
  <c r="C30" i="10"/>
  <c r="I31" i="10"/>
  <c r="S23" i="4"/>
  <c r="C26" i="7"/>
  <c r="R25" i="6"/>
  <c r="R27" i="6"/>
  <c r="O29" i="6"/>
  <c r="R29" i="6"/>
  <c r="O31" i="6"/>
  <c r="R31" i="6"/>
  <c r="O33" i="6"/>
  <c r="R33" i="6"/>
  <c r="O22" i="6"/>
  <c r="R26" i="6"/>
  <c r="O28" i="6"/>
  <c r="R28" i="6"/>
  <c r="O30" i="6"/>
  <c r="R30" i="6"/>
  <c r="M24" i="4"/>
  <c r="K24" i="4"/>
  <c r="N33" i="4"/>
  <c r="K22" i="4"/>
  <c r="M22" i="4"/>
  <c r="K23" i="4"/>
  <c r="M23" i="4"/>
  <c r="K25" i="4"/>
  <c r="M25" i="4"/>
  <c r="K26" i="4"/>
  <c r="M26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J22" i="4"/>
  <c r="R22" i="4"/>
  <c r="R28" i="4"/>
  <c r="R29" i="4"/>
  <c r="R30" i="4"/>
  <c r="R31" i="4"/>
  <c r="R32" i="4"/>
  <c r="S23" i="10" l="1"/>
  <c r="A23" i="10" s="1"/>
  <c r="K23" i="11"/>
  <c r="A23" i="11" s="1"/>
  <c r="R27" i="7"/>
  <c r="B33" i="6"/>
  <c r="M23" i="8"/>
  <c r="A23" i="8" s="1"/>
  <c r="B27" i="6"/>
  <c r="B25" i="6"/>
  <c r="B31" i="6"/>
  <c r="B30" i="6"/>
  <c r="B29" i="6"/>
  <c r="B28" i="6"/>
  <c r="B26" i="6"/>
  <c r="D27" i="7"/>
  <c r="D23" i="6"/>
  <c r="E23" i="10"/>
  <c r="E23" i="11"/>
  <c r="O24" i="6"/>
  <c r="N24" i="9"/>
  <c r="U24" i="10"/>
  <c r="M24" i="11"/>
  <c r="O24" i="8"/>
  <c r="N24" i="11"/>
  <c r="D24" i="11" s="1"/>
  <c r="P24" i="8"/>
  <c r="D24" i="8" s="1"/>
  <c r="P24" i="6"/>
  <c r="O24" i="9"/>
  <c r="V24" i="10"/>
  <c r="D24" i="10" s="1"/>
  <c r="E23" i="8"/>
  <c r="C23" i="8" s="1"/>
  <c r="E23" i="9"/>
  <c r="A26" i="7"/>
  <c r="E33" i="7"/>
  <c r="I34" i="7"/>
  <c r="E27" i="7"/>
  <c r="C27" i="7"/>
  <c r="U28" i="7"/>
  <c r="I31" i="7"/>
  <c r="H28" i="7"/>
  <c r="I24" i="6"/>
  <c r="I33" i="6"/>
  <c r="H24" i="6"/>
  <c r="K24" i="6"/>
  <c r="C33" i="11"/>
  <c r="C32" i="11"/>
  <c r="I29" i="8"/>
  <c r="J28" i="8"/>
  <c r="H28" i="8"/>
  <c r="I33" i="10"/>
  <c r="I32" i="10"/>
  <c r="C31" i="10"/>
  <c r="S24" i="4"/>
  <c r="R24" i="4"/>
  <c r="A25" i="7"/>
  <c r="J24" i="6"/>
  <c r="K33" i="6"/>
  <c r="K31" i="6"/>
  <c r="K29" i="6"/>
  <c r="K27" i="6"/>
  <c r="K32" i="6"/>
  <c r="K30" i="6"/>
  <c r="K28" i="6"/>
  <c r="K22" i="6"/>
  <c r="I31" i="6"/>
  <c r="I27" i="6"/>
  <c r="I32" i="6"/>
  <c r="I28" i="6"/>
  <c r="I22" i="6"/>
  <c r="K23" i="6"/>
  <c r="I23" i="6"/>
  <c r="C23" i="6" s="1"/>
  <c r="J33" i="6"/>
  <c r="J31" i="6"/>
  <c r="J29" i="6"/>
  <c r="J27" i="6"/>
  <c r="J25" i="6"/>
  <c r="J32" i="6"/>
  <c r="J30" i="6"/>
  <c r="J28" i="6"/>
  <c r="J26" i="6"/>
  <c r="J22" i="6"/>
  <c r="E22" i="6" s="1"/>
  <c r="J23" i="6"/>
  <c r="N31" i="4"/>
  <c r="N29" i="4"/>
  <c r="N27" i="4"/>
  <c r="N25" i="4"/>
  <c r="N22" i="4"/>
  <c r="N32" i="4"/>
  <c r="N30" i="4"/>
  <c r="N28" i="4"/>
  <c r="N26" i="4"/>
  <c r="N23" i="4"/>
  <c r="N24" i="4"/>
  <c r="L33" i="4"/>
  <c r="L32" i="4"/>
  <c r="L31" i="4"/>
  <c r="L30" i="4"/>
  <c r="L29" i="4"/>
  <c r="L28" i="4"/>
  <c r="L27" i="4"/>
  <c r="L26" i="4"/>
  <c r="L25" i="4"/>
  <c r="L22" i="4"/>
  <c r="L23" i="4"/>
  <c r="L24" i="4"/>
  <c r="E28" i="6" l="1"/>
  <c r="E32" i="6"/>
  <c r="R28" i="7"/>
  <c r="E24" i="9"/>
  <c r="L24" i="9"/>
  <c r="M24" i="6"/>
  <c r="M24" i="8"/>
  <c r="A24" i="8" s="1"/>
  <c r="K24" i="11"/>
  <c r="A24" i="11" s="1"/>
  <c r="C22" i="6"/>
  <c r="M22" i="6"/>
  <c r="A22" i="6" s="1"/>
  <c r="S24" i="10"/>
  <c r="A24" i="10" s="1"/>
  <c r="M23" i="6"/>
  <c r="A23" i="6" s="1"/>
  <c r="E30" i="4"/>
  <c r="E33" i="4"/>
  <c r="E22" i="4"/>
  <c r="E23" i="4"/>
  <c r="E30" i="6"/>
  <c r="E29" i="4"/>
  <c r="E32" i="4"/>
  <c r="E23" i="6"/>
  <c r="E28" i="4"/>
  <c r="P25" i="8"/>
  <c r="D25" i="8" s="1"/>
  <c r="V25" i="10"/>
  <c r="D25" i="10" s="1"/>
  <c r="N25" i="11"/>
  <c r="D25" i="11" s="1"/>
  <c r="O25" i="9"/>
  <c r="N25" i="9"/>
  <c r="M25" i="11"/>
  <c r="U25" i="10"/>
  <c r="O25" i="8"/>
  <c r="E24" i="11"/>
  <c r="E24" i="10"/>
  <c r="E31" i="4"/>
  <c r="E24" i="8"/>
  <c r="C24" i="8" s="1"/>
  <c r="E31" i="6"/>
  <c r="A27" i="7"/>
  <c r="E24" i="4"/>
  <c r="E29" i="6"/>
  <c r="E33" i="6"/>
  <c r="I36" i="7"/>
  <c r="I35" i="7"/>
  <c r="E34" i="7"/>
  <c r="E28" i="7"/>
  <c r="E24" i="6"/>
  <c r="I32" i="7"/>
  <c r="C28" i="7"/>
  <c r="D28" i="7"/>
  <c r="E30" i="7"/>
  <c r="H29" i="7"/>
  <c r="U29" i="7"/>
  <c r="D24" i="6"/>
  <c r="I26" i="6"/>
  <c r="I30" i="6"/>
  <c r="I25" i="6"/>
  <c r="I29" i="6"/>
  <c r="K26" i="6"/>
  <c r="K25" i="6"/>
  <c r="C24" i="6"/>
  <c r="P25" i="6"/>
  <c r="H25" i="6"/>
  <c r="O25" i="6"/>
  <c r="H29" i="8"/>
  <c r="J29" i="8"/>
  <c r="I30" i="8"/>
  <c r="C32" i="10"/>
  <c r="C33" i="10"/>
  <c r="R25" i="4"/>
  <c r="E25" i="4" s="1"/>
  <c r="S25" i="4"/>
  <c r="L25" i="9" l="1"/>
  <c r="R29" i="7"/>
  <c r="A29" i="7" s="1"/>
  <c r="M25" i="8"/>
  <c r="A25" i="8" s="1"/>
  <c r="M25" i="6"/>
  <c r="A25" i="6" s="1"/>
  <c r="S25" i="10"/>
  <c r="A25" i="10" s="1"/>
  <c r="K25" i="11"/>
  <c r="A25" i="11" s="1"/>
  <c r="E25" i="9"/>
  <c r="E29" i="7"/>
  <c r="A24" i="6"/>
  <c r="E25" i="11"/>
  <c r="A28" i="7"/>
  <c r="E25" i="8"/>
  <c r="C25" i="8" s="1"/>
  <c r="P26" i="8"/>
  <c r="M26" i="8" s="1"/>
  <c r="V26" i="10"/>
  <c r="S26" i="10" s="1"/>
  <c r="N26" i="11"/>
  <c r="K26" i="11" s="1"/>
  <c r="A26" i="11" s="1"/>
  <c r="O26" i="9"/>
  <c r="L26" i="9" s="1"/>
  <c r="P26" i="6"/>
  <c r="E25" i="10"/>
  <c r="E36" i="7"/>
  <c r="E35" i="7"/>
  <c r="D29" i="7"/>
  <c r="C29" i="7"/>
  <c r="I33" i="7"/>
  <c r="U30" i="7"/>
  <c r="H30" i="7"/>
  <c r="H26" i="6"/>
  <c r="C25" i="6"/>
  <c r="O27" i="6"/>
  <c r="O26" i="6"/>
  <c r="D25" i="6"/>
  <c r="I31" i="8"/>
  <c r="J30" i="8"/>
  <c r="H30" i="8"/>
  <c r="R27" i="4"/>
  <c r="R26" i="4"/>
  <c r="S26" i="4"/>
  <c r="I21" i="1"/>
  <c r="M21" i="1"/>
  <c r="A45" i="7" l="1"/>
  <c r="E27" i="6"/>
  <c r="R30" i="7"/>
  <c r="A30" i="7" s="1"/>
  <c r="M26" i="6"/>
  <c r="A26" i="6" s="1"/>
  <c r="E27" i="4"/>
  <c r="E26" i="4"/>
  <c r="C26" i="6"/>
  <c r="M26" i="1"/>
  <c r="M29" i="1"/>
  <c r="M30" i="1"/>
  <c r="E26" i="6"/>
  <c r="A26" i="10"/>
  <c r="D26" i="10"/>
  <c r="N23" i="1"/>
  <c r="N27" i="11"/>
  <c r="V27" i="10"/>
  <c r="P27" i="8"/>
  <c r="P27" i="6"/>
  <c r="O27" i="9"/>
  <c r="A26" i="8"/>
  <c r="D26" i="8"/>
  <c r="C26" i="8" s="1"/>
  <c r="D26" i="11"/>
  <c r="E25" i="6"/>
  <c r="H31" i="7"/>
  <c r="U31" i="7"/>
  <c r="C30" i="7"/>
  <c r="D30" i="7"/>
  <c r="D26" i="6"/>
  <c r="H27" i="6"/>
  <c r="H31" i="8"/>
  <c r="J31" i="8"/>
  <c r="I33" i="8"/>
  <c r="I32" i="8"/>
  <c r="S27" i="4"/>
  <c r="M33" i="1"/>
  <c r="M32" i="1"/>
  <c r="M31" i="1"/>
  <c r="M28" i="1"/>
  <c r="M22" i="1"/>
  <c r="S27" i="10" l="1"/>
  <c r="A45" i="10"/>
  <c r="A27" i="10"/>
  <c r="K27" i="11"/>
  <c r="A27" i="11" s="1"/>
  <c r="F19" i="12"/>
  <c r="L27" i="9"/>
  <c r="M27" i="8"/>
  <c r="M27" i="6"/>
  <c r="A27" i="6" s="1"/>
  <c r="R31" i="7"/>
  <c r="A31" i="7" s="1"/>
  <c r="A27" i="8"/>
  <c r="D27" i="8"/>
  <c r="C27" i="8" s="1"/>
  <c r="D27" i="10"/>
  <c r="D27" i="11"/>
  <c r="O28" i="9"/>
  <c r="L28" i="9" s="1"/>
  <c r="P28" i="8"/>
  <c r="M28" i="8" s="1"/>
  <c r="N28" i="11"/>
  <c r="K28" i="11" s="1"/>
  <c r="A28" i="11" s="1"/>
  <c r="V28" i="10"/>
  <c r="S28" i="10" s="1"/>
  <c r="D31" i="7"/>
  <c r="U32" i="7"/>
  <c r="H32" i="7"/>
  <c r="R32" i="7" s="1"/>
  <c r="C31" i="7"/>
  <c r="C27" i="6"/>
  <c r="H28" i="6"/>
  <c r="P28" i="6"/>
  <c r="D27" i="6"/>
  <c r="J33" i="8"/>
  <c r="J32" i="8"/>
  <c r="H33" i="8"/>
  <c r="H32" i="8"/>
  <c r="S28" i="4"/>
  <c r="N24" i="1"/>
  <c r="F21" i="12" l="1"/>
  <c r="F23" i="12"/>
  <c r="F15" i="12"/>
  <c r="F17" i="12"/>
  <c r="M28" i="6"/>
  <c r="A28" i="6" s="1"/>
  <c r="D28" i="10"/>
  <c r="A28" i="10"/>
  <c r="J23" i="4"/>
  <c r="D28" i="11"/>
  <c r="H23" i="4"/>
  <c r="A28" i="8"/>
  <c r="D28" i="8"/>
  <c r="C28" i="8" s="1"/>
  <c r="O29" i="9"/>
  <c r="L29" i="9" s="1"/>
  <c r="P29" i="8"/>
  <c r="M29" i="8" s="1"/>
  <c r="N29" i="11"/>
  <c r="K29" i="11" s="1"/>
  <c r="A29" i="11" s="1"/>
  <c r="V29" i="10"/>
  <c r="S29" i="10" s="1"/>
  <c r="I23" i="4"/>
  <c r="D28" i="6"/>
  <c r="C32" i="7"/>
  <c r="A32" i="7"/>
  <c r="H33" i="7"/>
  <c r="U33" i="7"/>
  <c r="D32" i="7"/>
  <c r="H29" i="6"/>
  <c r="P29" i="6"/>
  <c r="C28" i="6"/>
  <c r="S29" i="4"/>
  <c r="H23" i="1"/>
  <c r="D23" i="1" s="1"/>
  <c r="N25" i="1"/>
  <c r="M23" i="1"/>
  <c r="R33" i="7" l="1"/>
  <c r="A33" i="7" s="1"/>
  <c r="M29" i="6"/>
  <c r="A29" i="6" s="1"/>
  <c r="D29" i="11"/>
  <c r="O30" i="9"/>
  <c r="L30" i="9" s="1"/>
  <c r="P30" i="6"/>
  <c r="P30" i="8"/>
  <c r="M30" i="8" s="1"/>
  <c r="V30" i="10"/>
  <c r="S30" i="10" s="1"/>
  <c r="N30" i="11"/>
  <c r="K30" i="11" s="1"/>
  <c r="A30" i="11" s="1"/>
  <c r="A29" i="8"/>
  <c r="D29" i="8"/>
  <c r="C29" i="8" s="1"/>
  <c r="D29" i="10"/>
  <c r="A29" i="10"/>
  <c r="D33" i="7"/>
  <c r="D29" i="6"/>
  <c r="U34" i="7"/>
  <c r="H34" i="7"/>
  <c r="R34" i="7" s="1"/>
  <c r="C33" i="7"/>
  <c r="H30" i="6"/>
  <c r="C29" i="6"/>
  <c r="H24" i="4"/>
  <c r="J24" i="4"/>
  <c r="I24" i="4"/>
  <c r="S30" i="4"/>
  <c r="N26" i="1"/>
  <c r="H24" i="1"/>
  <c r="D24" i="1" s="1"/>
  <c r="M24" i="1"/>
  <c r="U33" i="4"/>
  <c r="U31" i="4"/>
  <c r="U29" i="4"/>
  <c r="U27" i="4"/>
  <c r="U25" i="4"/>
  <c r="U32" i="4"/>
  <c r="U30" i="4"/>
  <c r="U28" i="4"/>
  <c r="U26" i="4"/>
  <c r="U23" i="4"/>
  <c r="P23" i="4" s="1"/>
  <c r="U24" i="4"/>
  <c r="U22" i="4"/>
  <c r="P22" i="4" s="1"/>
  <c r="R21" i="1"/>
  <c r="P21" i="1"/>
  <c r="P24" i="4" l="1"/>
  <c r="R23" i="1"/>
  <c r="R31" i="1"/>
  <c r="R32" i="1"/>
  <c r="R25" i="1"/>
  <c r="R33" i="1"/>
  <c r="R26" i="1"/>
  <c r="R22" i="1"/>
  <c r="R28" i="1"/>
  <c r="R29" i="1"/>
  <c r="R24" i="1"/>
  <c r="R30" i="1"/>
  <c r="R27" i="1"/>
  <c r="M30" i="6"/>
  <c r="A30" i="6" s="1"/>
  <c r="D30" i="11"/>
  <c r="A30" i="10"/>
  <c r="D30" i="10"/>
  <c r="O31" i="9"/>
  <c r="L31" i="9" s="1"/>
  <c r="P31" i="6"/>
  <c r="P31" i="8"/>
  <c r="M31" i="8" s="1"/>
  <c r="N31" i="11"/>
  <c r="K31" i="11" s="1"/>
  <c r="A31" i="11" s="1"/>
  <c r="V31" i="10"/>
  <c r="S31" i="10" s="1"/>
  <c r="A30" i="8"/>
  <c r="D30" i="8"/>
  <c r="C30" i="8" s="1"/>
  <c r="H36" i="7"/>
  <c r="H35" i="7"/>
  <c r="U36" i="7"/>
  <c r="U35" i="7"/>
  <c r="C34" i="7"/>
  <c r="A34" i="7"/>
  <c r="D34" i="7"/>
  <c r="H31" i="6"/>
  <c r="C30" i="6"/>
  <c r="D30" i="6"/>
  <c r="I25" i="4"/>
  <c r="J25" i="4"/>
  <c r="H25" i="4"/>
  <c r="S31" i="4"/>
  <c r="N27" i="1"/>
  <c r="M25" i="1"/>
  <c r="H25" i="1"/>
  <c r="D25" i="1" s="1"/>
  <c r="B22" i="4"/>
  <c r="B23" i="4"/>
  <c r="B28" i="4"/>
  <c r="B32" i="4"/>
  <c r="B27" i="4"/>
  <c r="B31" i="4"/>
  <c r="B24" i="4"/>
  <c r="B26" i="4"/>
  <c r="B30" i="4"/>
  <c r="B25" i="4"/>
  <c r="B29" i="4"/>
  <c r="B33" i="4"/>
  <c r="I32" i="1"/>
  <c r="I30" i="1"/>
  <c r="I28" i="1"/>
  <c r="I26" i="1"/>
  <c r="I24" i="1"/>
  <c r="I33" i="1"/>
  <c r="I31" i="1"/>
  <c r="I29" i="1"/>
  <c r="I27" i="1"/>
  <c r="I25" i="1"/>
  <c r="I23" i="1"/>
  <c r="I22" i="1"/>
  <c r="P32" i="1"/>
  <c r="B32" i="1" s="1"/>
  <c r="P30" i="1"/>
  <c r="B30" i="1" s="1"/>
  <c r="P28" i="1"/>
  <c r="B28" i="1" s="1"/>
  <c r="P26" i="1"/>
  <c r="P33" i="1"/>
  <c r="B33" i="1" s="1"/>
  <c r="P31" i="1"/>
  <c r="B31" i="1" s="1"/>
  <c r="P29" i="1"/>
  <c r="B29" i="1" s="1"/>
  <c r="P27" i="1"/>
  <c r="B27" i="1" s="1"/>
  <c r="P25" i="1"/>
  <c r="B25" i="1" s="1"/>
  <c r="P25" i="4" l="1"/>
  <c r="R36" i="7"/>
  <c r="A36" i="7" s="1"/>
  <c r="R35" i="7"/>
  <c r="A35" i="7" s="1"/>
  <c r="M31" i="6"/>
  <c r="A31" i="6" s="1"/>
  <c r="K25" i="1"/>
  <c r="A25" i="1" s="1"/>
  <c r="B26" i="1"/>
  <c r="D36" i="7"/>
  <c r="D35" i="7"/>
  <c r="A31" i="8"/>
  <c r="D31" i="8"/>
  <c r="C31" i="8" s="1"/>
  <c r="A31" i="10"/>
  <c r="D31" i="10"/>
  <c r="D31" i="11"/>
  <c r="O32" i="9"/>
  <c r="L32" i="9" s="1"/>
  <c r="P32" i="6"/>
  <c r="P32" i="8"/>
  <c r="M32" i="8" s="1"/>
  <c r="N32" i="11"/>
  <c r="K32" i="11" s="1"/>
  <c r="A32" i="11" s="1"/>
  <c r="V32" i="10"/>
  <c r="S32" i="10" s="1"/>
  <c r="C25" i="1"/>
  <c r="E25" i="1"/>
  <c r="E22" i="1"/>
  <c r="E29" i="1"/>
  <c r="E33" i="1"/>
  <c r="E26" i="1"/>
  <c r="E30" i="1"/>
  <c r="C23" i="1"/>
  <c r="E23" i="1"/>
  <c r="E31" i="1"/>
  <c r="E24" i="1"/>
  <c r="E28" i="1"/>
  <c r="E32" i="1"/>
  <c r="D31" i="6"/>
  <c r="C36" i="7"/>
  <c r="C35" i="7"/>
  <c r="H33" i="6"/>
  <c r="H32" i="6"/>
  <c r="C31" i="6"/>
  <c r="I26" i="4"/>
  <c r="S33" i="4"/>
  <c r="S32" i="4"/>
  <c r="H26" i="4"/>
  <c r="J26" i="4"/>
  <c r="H26" i="1"/>
  <c r="D26" i="1" s="1"/>
  <c r="N28" i="1"/>
  <c r="M27" i="1"/>
  <c r="E27" i="1" s="1"/>
  <c r="C24" i="1"/>
  <c r="C22" i="1"/>
  <c r="P26" i="4" l="1"/>
  <c r="K26" i="1"/>
  <c r="A26" i="1" s="1"/>
  <c r="M32" i="6"/>
  <c r="A32" i="6" s="1"/>
  <c r="D32" i="11"/>
  <c r="O33" i="9"/>
  <c r="L33" i="9" s="1"/>
  <c r="P33" i="6"/>
  <c r="D33" i="6" s="1"/>
  <c r="P33" i="8"/>
  <c r="M33" i="8" s="1"/>
  <c r="N33" i="11"/>
  <c r="K33" i="11" s="1"/>
  <c r="A33" i="11" s="1"/>
  <c r="V33" i="10"/>
  <c r="S33" i="10" s="1"/>
  <c r="A32" i="10"/>
  <c r="D32" i="10"/>
  <c r="A32" i="8"/>
  <c r="D32" i="8"/>
  <c r="C32" i="8" s="1"/>
  <c r="C26" i="1"/>
  <c r="C33" i="6"/>
  <c r="C32" i="6"/>
  <c r="D32" i="6"/>
  <c r="J27" i="4"/>
  <c r="H27" i="4"/>
  <c r="I27" i="4"/>
  <c r="N29" i="1"/>
  <c r="H27" i="1"/>
  <c r="P22" i="1"/>
  <c r="M33" i="6" l="1"/>
  <c r="A33" i="6" s="1"/>
  <c r="B22" i="1"/>
  <c r="K22" i="1"/>
  <c r="A22" i="1" s="1"/>
  <c r="A27" i="1"/>
  <c r="D33" i="10"/>
  <c r="A33" i="10"/>
  <c r="D33" i="8"/>
  <c r="C33" i="8" s="1"/>
  <c r="A33" i="8"/>
  <c r="D33" i="11"/>
  <c r="I28" i="4"/>
  <c r="H28" i="4"/>
  <c r="J28" i="4"/>
  <c r="D27" i="1"/>
  <c r="C27" i="1"/>
  <c r="H28" i="1"/>
  <c r="K28" i="1" s="1"/>
  <c r="A28" i="1" s="1"/>
  <c r="P24" i="1"/>
  <c r="K24" i="1" s="1"/>
  <c r="A24" i="1" s="1"/>
  <c r="P23" i="1"/>
  <c r="F11" i="12" l="1"/>
  <c r="P28" i="4"/>
  <c r="K23" i="1"/>
  <c r="A23" i="1" s="1"/>
  <c r="J29" i="4"/>
  <c r="H29" i="4"/>
  <c r="I29" i="4"/>
  <c r="N31" i="1"/>
  <c r="D28" i="1"/>
  <c r="C28" i="1"/>
  <c r="H29" i="1"/>
  <c r="K29" i="1" s="1"/>
  <c r="B24" i="1"/>
  <c r="B23" i="1"/>
  <c r="A22" i="9"/>
  <c r="P29" i="4" l="1"/>
  <c r="A29" i="1"/>
  <c r="I30" i="4"/>
  <c r="H30" i="4"/>
  <c r="J30" i="4"/>
  <c r="H30" i="1"/>
  <c r="D29" i="1"/>
  <c r="C29" i="1"/>
  <c r="N33" i="1"/>
  <c r="N32" i="1"/>
  <c r="C22" i="9"/>
  <c r="P30" i="4" l="1"/>
  <c r="K30" i="1"/>
  <c r="A30" i="1" s="1"/>
  <c r="J31" i="4"/>
  <c r="H31" i="4"/>
  <c r="I31" i="4"/>
  <c r="D30" i="1"/>
  <c r="C30" i="1"/>
  <c r="H31" i="1"/>
  <c r="C29" i="9"/>
  <c r="A29" i="9"/>
  <c r="A32" i="9"/>
  <c r="C32" i="9"/>
  <c r="A23" i="9"/>
  <c r="C23" i="9"/>
  <c r="C33" i="9"/>
  <c r="A33" i="9"/>
  <c r="C25" i="9"/>
  <c r="A25" i="9"/>
  <c r="A24" i="9"/>
  <c r="C24" i="9"/>
  <c r="A28" i="9"/>
  <c r="C28" i="9"/>
  <c r="A27" i="9"/>
  <c r="C27" i="9"/>
  <c r="A30" i="9"/>
  <c r="C30" i="9"/>
  <c r="A26" i="9"/>
  <c r="C26" i="9"/>
  <c r="A31" i="9"/>
  <c r="C31" i="9"/>
  <c r="C23" i="4"/>
  <c r="D23" i="4"/>
  <c r="C29" i="4"/>
  <c r="D29" i="4"/>
  <c r="C27" i="4"/>
  <c r="D27" i="4"/>
  <c r="D26" i="4"/>
  <c r="A26" i="4"/>
  <c r="C26" i="4"/>
  <c r="A25" i="4"/>
  <c r="A23" i="4"/>
  <c r="C22" i="4"/>
  <c r="C30" i="4"/>
  <c r="A29" i="4"/>
  <c r="C28" i="4"/>
  <c r="A27" i="4"/>
  <c r="C24" i="4"/>
  <c r="F13" i="12" l="1"/>
  <c r="F25" i="12"/>
  <c r="P31" i="4"/>
  <c r="A31" i="4" s="1"/>
  <c r="K31" i="1"/>
  <c r="A31" i="1" s="1"/>
  <c r="C31" i="4"/>
  <c r="D31" i="4"/>
  <c r="I33" i="4"/>
  <c r="I32" i="4"/>
  <c r="H33" i="4"/>
  <c r="H32" i="4"/>
  <c r="J33" i="4"/>
  <c r="J32" i="4"/>
  <c r="H33" i="1"/>
  <c r="K33" i="1" s="1"/>
  <c r="H32" i="1"/>
  <c r="D31" i="1"/>
  <c r="C31" i="1"/>
  <c r="A24" i="4"/>
  <c r="A28" i="4"/>
  <c r="A30" i="4"/>
  <c r="A22" i="4"/>
  <c r="D24" i="4"/>
  <c r="D28" i="4"/>
  <c r="D30" i="4"/>
  <c r="D22" i="4"/>
  <c r="D25" i="4"/>
  <c r="C25" i="4"/>
  <c r="P33" i="4" l="1"/>
  <c r="A33" i="4" s="1"/>
  <c r="P32" i="4"/>
  <c r="A32" i="4" s="1"/>
  <c r="A33" i="1"/>
  <c r="K32" i="1"/>
  <c r="A32" i="1" s="1"/>
  <c r="D32" i="4"/>
  <c r="D33" i="4"/>
  <c r="C33" i="4"/>
  <c r="C32" i="4"/>
  <c r="D33" i="1"/>
  <c r="C33" i="1"/>
  <c r="D32" i="1"/>
  <c r="C32" i="1"/>
  <c r="A46" i="4" l="1"/>
  <c r="A47" i="9"/>
  <c r="A48" i="9" s="1"/>
  <c r="A46" i="11"/>
  <c r="A47" i="11" s="1"/>
  <c r="A47" i="8"/>
  <c r="A48" i="8" s="1"/>
  <c r="A47" i="10"/>
  <c r="A48" i="10" s="1"/>
  <c r="A47" i="6"/>
  <c r="A48" i="6" s="1"/>
  <c r="A47" i="7"/>
  <c r="A48" i="7" s="1"/>
  <c r="A38" i="1"/>
  <c r="H11" i="12" s="1"/>
  <c r="I11" i="12" s="1"/>
  <c r="J11" i="12" s="1"/>
  <c r="A51" i="7" l="1"/>
  <c r="A49" i="7"/>
  <c r="H19" i="12"/>
  <c r="I19" i="12" s="1"/>
  <c r="A51" i="6"/>
  <c r="A49" i="6"/>
  <c r="H15" i="12"/>
  <c r="I15" i="12" s="1"/>
  <c r="J15" i="12" s="1"/>
  <c r="H17" i="12"/>
  <c r="I17" i="12" s="1"/>
  <c r="J17" i="12" s="1"/>
  <c r="A53" i="10"/>
  <c r="A49" i="10"/>
  <c r="A51" i="10"/>
  <c r="A51" i="8"/>
  <c r="H21" i="12"/>
  <c r="I21" i="12" s="1"/>
  <c r="J21" i="12" s="1"/>
  <c r="A49" i="8"/>
  <c r="A50" i="11"/>
  <c r="A48" i="11"/>
  <c r="H23" i="12"/>
  <c r="I23" i="12" s="1"/>
  <c r="J23" i="12" s="1"/>
  <c r="A51" i="9"/>
  <c r="H25" i="12"/>
  <c r="I25" i="12" s="1"/>
  <c r="J25" i="12" s="1"/>
  <c r="A49" i="9"/>
  <c r="H13" i="12"/>
  <c r="I13" i="12" s="1"/>
  <c r="J13" i="12" s="1"/>
  <c r="A47" i="4"/>
  <c r="J19" i="12" l="1"/>
  <c r="A39" i="1"/>
  <c r="L11" i="12" s="1"/>
  <c r="M11" i="12" s="1"/>
  <c r="N11" i="12" s="1"/>
  <c r="A40" i="1"/>
  <c r="P11" i="12" s="1"/>
  <c r="Q11" i="12" s="1"/>
  <c r="R11" i="12" s="1"/>
  <c r="C47" i="8" l="1"/>
  <c r="C48" i="8" s="1"/>
  <c r="C46" i="4"/>
  <c r="C47" i="6"/>
  <c r="C48" i="6" s="1"/>
  <c r="C47" i="10"/>
  <c r="C48" i="10" s="1"/>
  <c r="C47" i="9"/>
  <c r="C48" i="9" s="1"/>
  <c r="C46" i="11"/>
  <c r="C47" i="11" s="1"/>
  <c r="C47" i="7"/>
  <c r="C48" i="7" s="1"/>
  <c r="B46" i="4"/>
  <c r="B47" i="8"/>
  <c r="B48" i="8" s="1"/>
  <c r="B47" i="7"/>
  <c r="B48" i="7" s="1"/>
  <c r="B47" i="9"/>
  <c r="B48" i="9" s="1"/>
  <c r="B47" i="10"/>
  <c r="B48" i="10" s="1"/>
  <c r="B47" i="6"/>
  <c r="B48" i="6" s="1"/>
  <c r="B46" i="11"/>
  <c r="B47" i="11" s="1"/>
  <c r="A41" i="1"/>
  <c r="T11" i="12" s="1"/>
  <c r="U11" i="12" s="1"/>
  <c r="V11" i="12" s="1"/>
  <c r="C49" i="7" l="1"/>
  <c r="P19" i="12"/>
  <c r="Q19" i="12" s="1"/>
  <c r="C51" i="7"/>
  <c r="C48" i="11"/>
  <c r="C50" i="11"/>
  <c r="P23" i="12"/>
  <c r="Q23" i="12" s="1"/>
  <c r="R23" i="12" s="1"/>
  <c r="B53" i="10"/>
  <c r="B51" i="10"/>
  <c r="L17" i="12"/>
  <c r="M17" i="12" s="1"/>
  <c r="N17" i="12" s="1"/>
  <c r="B49" i="10"/>
  <c r="C51" i="6"/>
  <c r="C49" i="6"/>
  <c r="P15" i="12"/>
  <c r="Q15" i="12" s="1"/>
  <c r="R15" i="12" s="1"/>
  <c r="L13" i="12"/>
  <c r="M13" i="12" s="1"/>
  <c r="N13" i="12" s="1"/>
  <c r="B47" i="4"/>
  <c r="P25" i="12"/>
  <c r="Q25" i="12" s="1"/>
  <c r="R25" i="12" s="1"/>
  <c r="C51" i="9"/>
  <c r="C49" i="9"/>
  <c r="B51" i="7"/>
  <c r="B49" i="7"/>
  <c r="L19" i="12"/>
  <c r="M19" i="12" s="1"/>
  <c r="P13" i="12"/>
  <c r="Q13" i="12" s="1"/>
  <c r="R13" i="12" s="1"/>
  <c r="C47" i="4"/>
  <c r="B50" i="11"/>
  <c r="B48" i="11"/>
  <c r="L23" i="12"/>
  <c r="M23" i="12" s="1"/>
  <c r="N23" i="12" s="1"/>
  <c r="B49" i="6"/>
  <c r="B51" i="6"/>
  <c r="L15" i="12"/>
  <c r="M15" i="12" s="1"/>
  <c r="N15" i="12" s="1"/>
  <c r="P17" i="12"/>
  <c r="Q17" i="12" s="1"/>
  <c r="R17" i="12" s="1"/>
  <c r="C53" i="10"/>
  <c r="C51" i="10"/>
  <c r="C49" i="10"/>
  <c r="B51" i="9"/>
  <c r="L25" i="12"/>
  <c r="M25" i="12" s="1"/>
  <c r="N25" i="12" s="1"/>
  <c r="B49" i="9"/>
  <c r="D47" i="6"/>
  <c r="D48" i="6" s="1"/>
  <c r="D47" i="7"/>
  <c r="D48" i="7" s="1"/>
  <c r="D46" i="11"/>
  <c r="D47" i="11" s="1"/>
  <c r="D47" i="9"/>
  <c r="D48" i="9" s="1"/>
  <c r="D47" i="10"/>
  <c r="D48" i="10" s="1"/>
  <c r="D46" i="4"/>
  <c r="D47" i="8"/>
  <c r="D48" i="8" s="1"/>
  <c r="B51" i="8"/>
  <c r="L21" i="12"/>
  <c r="M21" i="12" s="1"/>
  <c r="N21" i="12" s="1"/>
  <c r="B49" i="8"/>
  <c r="P21" i="12"/>
  <c r="Q21" i="12" s="1"/>
  <c r="R21" i="12" s="1"/>
  <c r="C49" i="8"/>
  <c r="C51" i="8"/>
  <c r="A42" i="1"/>
  <c r="X11" i="12" s="1"/>
  <c r="Y11" i="12" s="1"/>
  <c r="Z11" i="12" s="1"/>
  <c r="N19" i="12" l="1"/>
  <c r="R19" i="12"/>
  <c r="D51" i="9"/>
  <c r="T25" i="12"/>
  <c r="U25" i="12" s="1"/>
  <c r="V25" i="12" s="1"/>
  <c r="D49" i="9"/>
  <c r="D50" i="11"/>
  <c r="T23" i="12"/>
  <c r="U23" i="12" s="1"/>
  <c r="V23" i="12" s="1"/>
  <c r="D48" i="11"/>
  <c r="T19" i="12"/>
  <c r="U19" i="12" s="1"/>
  <c r="D51" i="7"/>
  <c r="D49" i="7"/>
  <c r="D51" i="6"/>
  <c r="T15" i="12"/>
  <c r="U15" i="12" s="1"/>
  <c r="V15" i="12" s="1"/>
  <c r="D49" i="6"/>
  <c r="D51" i="8"/>
  <c r="T21" i="12"/>
  <c r="U21" i="12" s="1"/>
  <c r="V21" i="12" s="1"/>
  <c r="D49" i="8"/>
  <c r="D47" i="4"/>
  <c r="T13" i="12"/>
  <c r="U13" i="12" s="1"/>
  <c r="V13" i="12" s="1"/>
  <c r="E46" i="4"/>
  <c r="E47" i="6"/>
  <c r="E48" i="6" s="1"/>
  <c r="E47" i="8"/>
  <c r="E48" i="8" s="1"/>
  <c r="E47" i="10"/>
  <c r="E48" i="10" s="1"/>
  <c r="E47" i="9"/>
  <c r="E48" i="9" s="1"/>
  <c r="E47" i="7"/>
  <c r="E48" i="7" s="1"/>
  <c r="E46" i="11"/>
  <c r="E47" i="11" s="1"/>
  <c r="D53" i="10"/>
  <c r="T17" i="12"/>
  <c r="U17" i="12" s="1"/>
  <c r="V17" i="12" s="1"/>
  <c r="D49" i="10"/>
  <c r="D51" i="10"/>
  <c r="V19" i="12" l="1"/>
  <c r="E48" i="11"/>
  <c r="E50" i="11"/>
  <c r="X23" i="12"/>
  <c r="Y23" i="12" s="1"/>
  <c r="Z23" i="12" s="1"/>
  <c r="E51" i="7"/>
  <c r="X19" i="12"/>
  <c r="Y19" i="12" s="1"/>
  <c r="E49" i="7"/>
  <c r="E51" i="9"/>
  <c r="X25" i="12"/>
  <c r="Y25" i="12" s="1"/>
  <c r="Z25" i="12" s="1"/>
  <c r="E49" i="9"/>
  <c r="X17" i="12"/>
  <c r="Y17" i="12" s="1"/>
  <c r="Z17" i="12" s="1"/>
  <c r="E53" i="10"/>
  <c r="E49" i="10"/>
  <c r="E51" i="10"/>
  <c r="X21" i="12"/>
  <c r="Y21" i="12" s="1"/>
  <c r="Z21" i="12" s="1"/>
  <c r="E49" i="8"/>
  <c r="E51" i="8"/>
  <c r="E51" i="6"/>
  <c r="X15" i="12"/>
  <c r="Y15" i="12" s="1"/>
  <c r="Z15" i="12" s="1"/>
  <c r="E49" i="6"/>
  <c r="E47" i="4"/>
  <c r="X13" i="12"/>
  <c r="Y13" i="12" s="1"/>
  <c r="Z13" i="12" s="1"/>
  <c r="Z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Riddle, Jim</author>
  </authors>
  <commentList>
    <comment ref="P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  <comment ref="Q2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  <comment ref="R2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Riddle, Jim</author>
  </authors>
  <commentList>
    <comment ref="M2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  <comment ref="N25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  <comment ref="O2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  <comment ref="P25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Riddle, Jim:</t>
        </r>
        <r>
          <rPr>
            <sz val="9"/>
            <color indexed="81"/>
            <rFont val="Tahoma"/>
            <family val="2"/>
          </rPr>
          <t xml:space="preserve">
this formula and those below allocate total kwh based on hours when you don’t have the actual on/peak kwh</t>
        </r>
      </text>
    </comment>
  </commentList>
</comments>
</file>

<file path=xl/sharedStrings.xml><?xml version="1.0" encoding="utf-8"?>
<sst xmlns="http://schemas.openxmlformats.org/spreadsheetml/2006/main" count="763" uniqueCount="171">
  <si>
    <t>Customer</t>
  </si>
  <si>
    <t>Jan</t>
  </si>
  <si>
    <t>$</t>
  </si>
  <si>
    <t>$/kWH</t>
  </si>
  <si>
    <t>Energy</t>
  </si>
  <si>
    <t>Rate</t>
  </si>
  <si>
    <t>Calc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</si>
  <si>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</si>
  <si>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</si>
  <si>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</si>
  <si>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</si>
  <si>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</si>
  <si>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</si>
  <si>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</si>
  <si>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</si>
  <si>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</si>
  <si>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</si>
  <si>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</si>
  <si>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kWH Input</t>
  </si>
  <si>
    <t>Total</t>
  </si>
  <si>
    <t>Fuel</t>
  </si>
  <si>
    <t>CUSTOMER+ENERGY</t>
  </si>
  <si>
    <t>Single Phase</t>
  </si>
  <si>
    <t>Demand</t>
  </si>
  <si>
    <t>$/kW</t>
  </si>
  <si>
    <t>kW Input</t>
  </si>
  <si>
    <t>Calc Inputs</t>
  </si>
  <si>
    <t>KYPSC No.2</t>
  </si>
  <si>
    <t>Sheet No.30 - 3rd Revised</t>
  </si>
  <si>
    <t>DSMR</t>
  </si>
  <si>
    <t>FAC</t>
  </si>
  <si>
    <t>PSM</t>
  </si>
  <si>
    <t>Sheet No. 78 6th R</t>
  </si>
  <si>
    <t>HEA</t>
  </si>
  <si>
    <t>&lt;=15 kW</t>
  </si>
  <si>
    <t>&gt;15 kW</t>
  </si>
  <si>
    <t>Sheet No. 40 3rd Revised</t>
  </si>
  <si>
    <t>&lt;=6000 kWh</t>
  </si>
  <si>
    <t>&gt;300* kW</t>
  </si>
  <si>
    <t>&gt;6000&lt;=300*kW</t>
  </si>
  <si>
    <t>Sheet No. 80 3rd R</t>
  </si>
  <si>
    <t>Sheet No. 82 19th R</t>
  </si>
  <si>
    <t>Sheet No. 45 3rd Revised</t>
  </si>
  <si>
    <t>&lt;=300*kW</t>
  </si>
  <si>
    <t>Summer</t>
  </si>
  <si>
    <t>Winter</t>
  </si>
  <si>
    <t>On Peak</t>
  </si>
  <si>
    <t>Off Peak</t>
  </si>
  <si>
    <t>billed kWh</t>
  </si>
  <si>
    <t xml:space="preserve">  On peak</t>
  </si>
  <si>
    <t xml:space="preserve">  Off peak</t>
  </si>
  <si>
    <t>Sheet No. 51 3rd Revised</t>
  </si>
  <si>
    <t xml:space="preserve"> Three Phase</t>
  </si>
  <si>
    <t>540 to 720</t>
  </si>
  <si>
    <t>&lt;540</t>
  </si>
  <si>
    <t>Sheet No. 42 3rd Revised</t>
  </si>
  <si>
    <t>Sheet No. 44 3rd Revised</t>
  </si>
  <si>
    <t>Y</t>
  </si>
  <si>
    <t>Primary</t>
  </si>
  <si>
    <t>Sheet No. 41 3rd Revised</t>
  </si>
  <si>
    <t>Year Round</t>
  </si>
  <si>
    <t>Three Phase</t>
  </si>
  <si>
    <t>Sheet No.43 - 3rd Revised</t>
  </si>
  <si>
    <t>Service/Phase (1, 3, P)</t>
  </si>
  <si>
    <t>Service/Phase (1, 3)</t>
  </si>
  <si>
    <t>Primary Metering (Y,N)</t>
  </si>
  <si>
    <t>Minimum</t>
  </si>
  <si>
    <t>Hours Use</t>
  </si>
  <si>
    <t>Rated Capacity (kW)</t>
  </si>
  <si>
    <t>Hours</t>
  </si>
  <si>
    <t xml:space="preserve">  Total</t>
  </si>
  <si>
    <t>ENTER ON and OFF PEAK VALUES</t>
  </si>
  <si>
    <t>if AVAILABLE</t>
  </si>
  <si>
    <t>n</t>
  </si>
  <si>
    <t>Sheet No. 76 original</t>
  </si>
  <si>
    <t>%</t>
  </si>
  <si>
    <t>ESMR</t>
  </si>
  <si>
    <t>Bill</t>
  </si>
  <si>
    <t>these fields only populate if you have the ON and OFF peak values</t>
  </si>
  <si>
    <t>or ENTER TOTAL (but not BOTH)</t>
  </si>
  <si>
    <t>Number of weekdays in the month</t>
  </si>
  <si>
    <t>Holiday</t>
  </si>
  <si>
    <t>When</t>
  </si>
  <si>
    <t>Date</t>
  </si>
  <si>
    <t>New Year's Day</t>
  </si>
  <si>
    <t>January 1</t>
  </si>
  <si>
    <t>President's Day</t>
  </si>
  <si>
    <t>The 3rd Monday in February</t>
  </si>
  <si>
    <t>Memorial Day</t>
  </si>
  <si>
    <t>The last Monday in May</t>
  </si>
  <si>
    <t>Independence Day</t>
  </si>
  <si>
    <t>July 4</t>
  </si>
  <si>
    <t>Labor Day</t>
  </si>
  <si>
    <t>The 1st Monday in September</t>
  </si>
  <si>
    <t>Columbus Day</t>
  </si>
  <si>
    <t>The 2nd Monday in October</t>
  </si>
  <si>
    <t>Veteran's Day</t>
  </si>
  <si>
    <t>November 11</t>
  </si>
  <si>
    <t>Thanksgiving Day</t>
  </si>
  <si>
    <t>The 4th Thursday in November</t>
  </si>
  <si>
    <t>Christmas Day</t>
  </si>
  <si>
    <t>December 25</t>
  </si>
  <si>
    <t>Good Friday</t>
  </si>
  <si>
    <t>Easter is first Sunday which after the first ecclesiastical full moon that occurs on or after March 21</t>
  </si>
  <si>
    <t>Base Fuel</t>
  </si>
  <si>
    <t>(Do not include in Total)</t>
  </si>
  <si>
    <t>Distribution</t>
  </si>
  <si>
    <t>Level</t>
  </si>
  <si>
    <t>Dollar</t>
  </si>
  <si>
    <t>Percent</t>
  </si>
  <si>
    <t>of</t>
  </si>
  <si>
    <t>Current</t>
  </si>
  <si>
    <t>Proposed</t>
  </si>
  <si>
    <t>Incr/(Decr)</t>
  </si>
  <si>
    <t>Line</t>
  </si>
  <si>
    <t>Use</t>
  </si>
  <si>
    <r>
      <t xml:space="preserve">Bill </t>
    </r>
    <r>
      <rPr>
        <b/>
        <vertAlign val="superscript"/>
        <sz val="12"/>
        <rFont val="Times New Roman"/>
        <family val="1"/>
      </rPr>
      <t>(1)</t>
    </r>
  </si>
  <si>
    <t>(d - c)</t>
  </si>
  <si>
    <t>(e / c)</t>
  </si>
  <si>
    <t>(g - c)</t>
  </si>
  <si>
    <t>(h / c)</t>
  </si>
  <si>
    <t>(j - c)</t>
  </si>
  <si>
    <t>(k / c)</t>
  </si>
  <si>
    <t>(m - c)</t>
  </si>
  <si>
    <t>(n / c)</t>
  </si>
  <si>
    <t>No.</t>
  </si>
  <si>
    <t>Code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</si>
  <si>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</si>
  <si>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</si>
  <si>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</si>
  <si>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</si>
  <si>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</si>
  <si>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</si>
  <si>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</si>
  <si>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</si>
  <si>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</si>
  <si>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</si>
  <si>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</si>
  <si>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</si>
  <si>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</si>
  <si>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</si>
  <si>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</si>
  <si>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(kW)</t>
  </si>
  <si>
    <t>(kWh)</t>
  </si>
  <si>
    <t>($)</t>
  </si>
  <si>
    <t>(%)</t>
  </si>
  <si>
    <t>RS</t>
  </si>
  <si>
    <t>N/A</t>
  </si>
  <si>
    <t>DS</t>
  </si>
  <si>
    <t>DP</t>
  </si>
  <si>
    <t>DT</t>
  </si>
  <si>
    <t>TT</t>
  </si>
  <si>
    <t>EH</t>
  </si>
  <si>
    <t>SP</t>
  </si>
  <si>
    <t>GSFL</t>
  </si>
  <si>
    <t>Est. $ Incr.</t>
  </si>
  <si>
    <t>Est. % Incr.</t>
  </si>
  <si>
    <t>estimated increase to typical bill in 2025</t>
  </si>
  <si>
    <t>estimated increase to typical bill in 2026</t>
  </si>
  <si>
    <t>estimated increase to typical bill in 2027</t>
  </si>
  <si>
    <t>estimated increase to typical bill in 2028</t>
  </si>
  <si>
    <t>estimated increase to typical bill:</t>
  </si>
  <si>
    <t>Est. % Incr. on ESM Billing Factor</t>
  </si>
  <si>
    <t>Est. % Incr. on Total Bill</t>
  </si>
  <si>
    <r>
      <rPr>
        <vertAlign val="superscript"/>
        <sz val="12"/>
        <color theme="1"/>
        <rFont val="Times New Roman"/>
        <family val="1"/>
      </rPr>
      <t>(1)</t>
    </r>
    <r>
      <rPr>
        <sz val="12"/>
        <color theme="1"/>
        <rFont val="Times New Roman"/>
        <family val="1"/>
      </rPr>
      <t xml:space="preserve"> Based on rates in effect for June 2024.</t>
    </r>
  </si>
  <si>
    <t>estimated increase to typical bill in 2029</t>
  </si>
  <si>
    <t>(p)</t>
  </si>
  <si>
    <t>(q)</t>
  </si>
  <si>
    <t>(r)</t>
  </si>
  <si>
    <t>(p - c)</t>
  </si>
  <si>
    <t>(q /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</si>
</sst>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0.000000"/>
    <numFmt numFmtId="166" formatCode="0.00000"/>
    <numFmt numFmtId="167" formatCode="_(* #,##0_);_(* \(#,##0\);_(* &quot;-&quot;??_);_(@_)"/>
    <numFmt numFmtId="168" formatCode="_(* #,##0.000_);_(* \(#,##0.000\);_(* &quot;-&quot;??_);_(@_)"/>
    <numFmt numFmtId="169" formatCode="0.0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name val="Courier"/>
      <family val="3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wrapText="1"/>
    </xf>
    <xf numFmtId="43" fontId="0" fillId="0" borderId="0" xfId="1" applyFont="1" applyFill="1"/>
    <xf numFmtId="167" fontId="0" fillId="0" borderId="0" xfId="1" applyNumberFormat="1" applyFont="1" applyFill="1"/>
    <xf numFmtId="17" fontId="0" fillId="0" borderId="0" xfId="1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165" fontId="0" fillId="2" borderId="0" xfId="0" applyNumberFormat="1" applyFill="1"/>
    <xf numFmtId="167" fontId="0" fillId="2" borderId="0" xfId="0" applyNumberFormat="1" applyFill="1"/>
    <xf numFmtId="43" fontId="0" fillId="2" borderId="0" xfId="1" applyFont="1" applyFill="1"/>
    <xf numFmtId="0" fontId="8" fillId="0" borderId="0" xfId="3" applyFont="1" applyAlignment="1">
      <alignment horizontal="centerContinuous"/>
    </xf>
    <xf numFmtId="0" fontId="9" fillId="0" borderId="0" xfId="0" applyFont="1"/>
    <xf numFmtId="0" fontId="8" fillId="0" borderId="2" xfId="3" applyFont="1" applyBorder="1" applyAlignment="1">
      <alignment horizontal="fill"/>
    </xf>
    <xf numFmtId="0" fontId="8" fillId="0" borderId="0" xfId="3" applyFont="1"/>
    <xf numFmtId="0" fontId="8" fillId="0" borderId="3" xfId="3" quotePrefix="1" applyFont="1" applyBorder="1" applyAlignment="1">
      <alignment horizontal="centerContinuous"/>
    </xf>
    <xf numFmtId="0" fontId="8" fillId="0" borderId="3" xfId="3" applyFont="1" applyBorder="1" applyAlignment="1">
      <alignment horizontal="centerContinuous"/>
    </xf>
    <xf numFmtId="0" fontId="8" fillId="0" borderId="0" xfId="3" applyFont="1" applyAlignment="1">
      <alignment horizontal="center"/>
    </xf>
    <xf numFmtId="0" fontId="8" fillId="0" borderId="2" xfId="3" applyFont="1" applyBorder="1" applyAlignment="1">
      <alignment horizontal="center"/>
    </xf>
    <xf numFmtId="0" fontId="8" fillId="0" borderId="2" xfId="3" applyFont="1" applyBorder="1"/>
    <xf numFmtId="0" fontId="9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left"/>
    </xf>
    <xf numFmtId="0" fontId="9" fillId="0" borderId="2" xfId="0" applyFont="1" applyBorder="1"/>
    <xf numFmtId="0" fontId="17" fillId="0" borderId="0" xfId="3" applyFont="1" applyAlignment="1">
      <alignment horizontal="left"/>
    </xf>
    <xf numFmtId="44" fontId="9" fillId="0" borderId="0" xfId="0" applyNumberFormat="1" applyFont="1"/>
    <xf numFmtId="169" fontId="9" fillId="0" borderId="0" xfId="0" applyNumberFormat="1" applyFont="1"/>
    <xf numFmtId="0" fontId="1" fillId="0" borderId="0" xfId="0" applyFont="1"/>
    <xf numFmtId="0" fontId="3" fillId="0" borderId="0" xfId="0" quotePrefix="1" applyFont="1" applyAlignment="1">
      <alignment horizontal="center"/>
    </xf>
    <xf numFmtId="10" fontId="0" fillId="0" borderId="0" xfId="2" applyNumberFormat="1" applyFont="1" applyFill="1"/>
    <xf numFmtId="167" fontId="0" fillId="0" borderId="0" xfId="1" applyNumberFormat="1" applyFont="1" applyFill="1" applyAlignment="1">
      <alignment horizontal="center"/>
    </xf>
    <xf numFmtId="167" fontId="0" fillId="0" borderId="0" xfId="1" quotePrefix="1" applyNumberFormat="1" applyFont="1" applyFill="1" applyAlignment="1">
      <alignment horizontal="center"/>
    </xf>
    <xf numFmtId="43" fontId="0" fillId="0" borderId="0" xfId="0" applyNumberFormat="1"/>
    <xf numFmtId="0" fontId="12" fillId="0" borderId="4" xfId="0" applyFont="1" applyBorder="1" applyAlignment="1">
      <alignment horizontal="center"/>
    </xf>
    <xf numFmtId="43" fontId="0" fillId="0" borderId="5" xfId="0" applyNumberFormat="1" applyBorder="1"/>
    <xf numFmtId="169" fontId="13" fillId="0" borderId="5" xfId="0" applyNumberFormat="1" applyFont="1" applyBorder="1"/>
    <xf numFmtId="0" fontId="15" fillId="0" borderId="0" xfId="0" applyFont="1"/>
    <xf numFmtId="43" fontId="0" fillId="0" borderId="6" xfId="0" applyNumberFormat="1" applyBorder="1"/>
    <xf numFmtId="169" fontId="13" fillId="0" borderId="6" xfId="0" applyNumberFormat="1" applyFont="1" applyBorder="1"/>
    <xf numFmtId="0" fontId="1" fillId="0" borderId="0" xfId="0" applyFont="1" applyAlignment="1">
      <alignment horizontal="right"/>
    </xf>
    <xf numFmtId="167" fontId="1" fillId="0" borderId="0" xfId="1" applyNumberFormat="1" applyFont="1" applyFill="1"/>
    <xf numFmtId="167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wrapText="1"/>
    </xf>
    <xf numFmtId="167" fontId="0" fillId="0" borderId="0" xfId="0" applyNumberFormat="1"/>
    <xf numFmtId="0" fontId="6" fillId="0" borderId="0" xfId="0" applyFont="1"/>
    <xf numFmtId="0" fontId="14" fillId="0" borderId="0" xfId="0" applyFont="1" applyAlignment="1">
      <alignment horizontal="center"/>
    </xf>
    <xf numFmtId="169" fontId="13" fillId="0" borderId="0" xfId="0" applyNumberFormat="1" applyFont="1"/>
    <xf numFmtId="0" fontId="0" fillId="0" borderId="0" xfId="0" applyAlignment="1">
      <alignment horizontal="left"/>
    </xf>
    <xf numFmtId="44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Continuous"/>
    </xf>
    <xf numFmtId="167" fontId="1" fillId="0" borderId="0" xfId="1" quotePrefix="1" applyNumberFormat="1" applyFont="1" applyFill="1" applyAlignment="1">
      <alignment horizontal="right"/>
    </xf>
    <xf numFmtId="14" fontId="0" fillId="0" borderId="0" xfId="0" applyNumberFormat="1"/>
    <xf numFmtId="0" fontId="0" fillId="0" borderId="1" xfId="0" applyBorder="1" applyAlignment="1">
      <alignment horizontal="center"/>
    </xf>
    <xf numFmtId="43" fontId="0" fillId="0" borderId="0" xfId="1" quotePrefix="1" applyFont="1" applyFill="1" applyAlignment="1">
      <alignment horizontal="center"/>
    </xf>
    <xf numFmtId="0" fontId="0" fillId="0" borderId="0" xfId="0" quotePrefix="1" applyAlignment="1">
      <alignment horizontal="center" wrapText="1"/>
    </xf>
    <xf numFmtId="16" fontId="0" fillId="0" borderId="0" xfId="0" quotePrefix="1" applyNumberFormat="1"/>
    <xf numFmtId="0" fontId="0" fillId="0" borderId="0" xfId="0" quotePrefix="1"/>
    <xf numFmtId="168" fontId="0" fillId="0" borderId="0" xfId="0" applyNumberFormat="1"/>
    <xf numFmtId="43" fontId="1" fillId="0" borderId="0" xfId="0" applyNumberFormat="1" applyFont="1"/>
    <xf numFmtId="169" fontId="15" fillId="0" borderId="0" xfId="0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/>
  </cellXfs>
  <cellStyles count="4">
    <cellStyle name="Comma" xfId="1" builtinId="3"/>
    <cellStyle name="Normal" xfId="0" builtinId="0"/>
    <cellStyle name="Normal 13" xfId="3" xr:uid="{6FA0248C-CD8B-4EF8-951F-0187C860A2E4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0C4B-E8A6-4C2C-8C32-0B42A5927F2D}">
  <sheetPr>
    <pageSetUpPr fitToPage="1"/>
  </sheetPr>
  <dimension ref="A1:Z36"/>
  <sheetViews>
    <sheetView tabSelected="1" view="pageLayout" topLeftCell="Q1" zoomScale="90" zoomScaleNormal="82" zoomScalePageLayoutView="90" workbookViewId="0">
      <selection activeCell="Z12" sqref="Z12"/>
    </sheetView>
  </sheetViews>
  <sheetFormatPr defaultColWidth="8.77734375" defaultRowHeight="15.6" x14ac:dyDescent="0.3"/>
  <cols>
    <col min="1" max="1" width="6.5546875" style="18" customWidth="1"/>
    <col min="2" max="2" width="1.21875" style="18" customWidth="1"/>
    <col min="3" max="3" width="13.21875" style="18" customWidth="1"/>
    <col min="4" max="4" width="10.77734375" style="18" customWidth="1"/>
    <col min="5" max="5" width="12.88671875" style="18" bestFit="1" customWidth="1"/>
    <col min="6" max="6" width="15.21875" style="18" bestFit="1" customWidth="1"/>
    <col min="7" max="7" width="1.21875" style="18" customWidth="1"/>
    <col min="8" max="8" width="15.77734375" style="18" bestFit="1" customWidth="1"/>
    <col min="9" max="10" width="16" style="18" bestFit="1" customWidth="1"/>
    <col min="11" max="11" width="1" style="18" customWidth="1"/>
    <col min="12" max="12" width="16.5546875" style="18" bestFit="1" customWidth="1"/>
    <col min="13" max="14" width="16" style="18" bestFit="1" customWidth="1"/>
    <col min="15" max="15" width="1.21875" style="18" customWidth="1"/>
    <col min="16" max="16" width="16.5546875" style="18" bestFit="1" customWidth="1"/>
    <col min="17" max="18" width="16" style="18" bestFit="1" customWidth="1"/>
    <col min="19" max="19" width="1.21875" style="18" customWidth="1"/>
    <col min="20" max="20" width="16.5546875" style="18" bestFit="1" customWidth="1"/>
    <col min="21" max="22" width="16" style="18" bestFit="1" customWidth="1"/>
    <col min="23" max="23" width="1.77734375" style="18" customWidth="1"/>
    <col min="24" max="24" width="16.5546875" style="18" bestFit="1" customWidth="1"/>
    <col min="25" max="26" width="16" style="18" bestFit="1" customWidth="1"/>
    <col min="27" max="16384" width="8.77734375" style="18"/>
  </cols>
  <sheetData>
    <row r="1" spans="1:26" x14ac:dyDescent="0.3">
      <c r="A1" s="17"/>
      <c r="B1" s="17"/>
      <c r="C1" s="30"/>
      <c r="D1" s="17"/>
      <c r="E1" s="17"/>
      <c r="F1" s="17"/>
      <c r="G1" s="17"/>
      <c r="H1" s="17"/>
      <c r="I1" s="17"/>
      <c r="J1" s="17"/>
    </row>
    <row r="2" spans="1:26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29"/>
      <c r="Y2" s="29"/>
      <c r="Z2" s="29"/>
    </row>
    <row r="3" spans="1:26" x14ac:dyDescent="0.3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26" x14ac:dyDescent="0.3">
      <c r="A4" s="20"/>
      <c r="B4" s="20"/>
      <c r="C4" s="20"/>
      <c r="D4" s="20"/>
      <c r="E4" s="20"/>
      <c r="F4" s="20"/>
      <c r="G4" s="17"/>
      <c r="H4" s="21">
        <v>2025</v>
      </c>
      <c r="I4" s="22"/>
      <c r="J4" s="22"/>
      <c r="L4" s="21">
        <v>2026</v>
      </c>
      <c r="M4" s="22"/>
      <c r="N4" s="22"/>
      <c r="P4" s="21">
        <v>2027</v>
      </c>
      <c r="Q4" s="22"/>
      <c r="R4" s="22"/>
      <c r="T4" s="21">
        <v>2028</v>
      </c>
      <c r="U4" s="22"/>
      <c r="V4" s="22"/>
      <c r="X4" s="21">
        <v>2029</v>
      </c>
      <c r="Y4" s="22"/>
      <c r="Z4" s="22"/>
    </row>
    <row r="5" spans="1:26" x14ac:dyDescent="0.3">
      <c r="A5" s="20"/>
      <c r="B5" s="20"/>
      <c r="C5" s="20"/>
      <c r="D5" s="23" t="s">
        <v>107</v>
      </c>
      <c r="E5" s="23" t="s">
        <v>107</v>
      </c>
      <c r="F5" s="20"/>
      <c r="G5" s="20"/>
      <c r="H5" s="20"/>
      <c r="I5" s="23" t="s">
        <v>108</v>
      </c>
      <c r="J5" s="23" t="s">
        <v>109</v>
      </c>
      <c r="L5" s="20"/>
      <c r="M5" s="23" t="s">
        <v>108</v>
      </c>
      <c r="N5" s="23" t="s">
        <v>109</v>
      </c>
      <c r="P5" s="20"/>
      <c r="Q5" s="23" t="s">
        <v>108</v>
      </c>
      <c r="R5" s="23" t="s">
        <v>109</v>
      </c>
      <c r="T5" s="20"/>
      <c r="U5" s="23" t="s">
        <v>108</v>
      </c>
      <c r="V5" s="23" t="s">
        <v>109</v>
      </c>
      <c r="X5" s="20"/>
      <c r="Y5" s="23" t="s">
        <v>108</v>
      </c>
      <c r="Z5" s="23" t="s">
        <v>109</v>
      </c>
    </row>
    <row r="6" spans="1:26" x14ac:dyDescent="0.3">
      <c r="A6" s="20"/>
      <c r="B6" s="20"/>
      <c r="C6" s="20"/>
      <c r="D6" s="23" t="s">
        <v>110</v>
      </c>
      <c r="E6" s="23" t="s">
        <v>110</v>
      </c>
      <c r="F6" s="23" t="s">
        <v>111</v>
      </c>
      <c r="G6" s="23"/>
      <c r="H6" s="23" t="s">
        <v>112</v>
      </c>
      <c r="I6" s="23" t="s">
        <v>113</v>
      </c>
      <c r="J6" s="23" t="s">
        <v>113</v>
      </c>
      <c r="L6" s="23" t="s">
        <v>112</v>
      </c>
      <c r="M6" s="23" t="s">
        <v>113</v>
      </c>
      <c r="N6" s="23" t="s">
        <v>113</v>
      </c>
      <c r="P6" s="23" t="s">
        <v>112</v>
      </c>
      <c r="Q6" s="23" t="s">
        <v>113</v>
      </c>
      <c r="R6" s="23" t="s">
        <v>113</v>
      </c>
      <c r="T6" s="23" t="s">
        <v>112</v>
      </c>
      <c r="U6" s="23" t="s">
        <v>113</v>
      </c>
      <c r="V6" s="23" t="s">
        <v>113</v>
      </c>
      <c r="X6" s="23" t="s">
        <v>112</v>
      </c>
      <c r="Y6" s="23" t="s">
        <v>113</v>
      </c>
      <c r="Z6" s="23" t="s">
        <v>113</v>
      </c>
    </row>
    <row r="7" spans="1:26" ht="18" x14ac:dyDescent="0.3">
      <c r="A7" s="23" t="s">
        <v>114</v>
      </c>
      <c r="B7" s="20"/>
      <c r="C7" s="23" t="s">
        <v>5</v>
      </c>
      <c r="D7" s="23" t="s">
        <v>23</v>
      </c>
      <c r="E7" s="23" t="s">
        <v>115</v>
      </c>
      <c r="F7" s="23" t="s">
        <v>116</v>
      </c>
      <c r="G7" s="23"/>
      <c r="H7" s="23" t="s">
        <v>77</v>
      </c>
      <c r="I7" s="23" t="s">
        <v>117</v>
      </c>
      <c r="J7" s="23" t="s">
        <v>118</v>
      </c>
      <c r="L7" s="23" t="s">
        <v>77</v>
      </c>
      <c r="M7" s="23" t="s">
        <v>119</v>
      </c>
      <c r="N7" s="23" t="s">
        <v>120</v>
      </c>
      <c r="P7" s="23" t="s">
        <v>77</v>
      </c>
      <c r="Q7" s="23" t="s">
        <v>121</v>
      </c>
      <c r="R7" s="23" t="s">
        <v>122</v>
      </c>
      <c r="T7" s="23" t="s">
        <v>77</v>
      </c>
      <c r="U7" s="23" t="s">
        <v>123</v>
      </c>
      <c r="V7" s="23" t="s">
        <v>124</v>
      </c>
      <c r="X7" s="23" t="s">
        <v>77</v>
      </c>
      <c r="Y7" s="23" t="s">
        <v>169</v>
      </c>
      <c r="Z7" s="23" t="s">
        <v>170</v>
      </c>
    </row>
    <row r="8" spans="1:26" x14ac:dyDescent="0.3">
      <c r="A8" s="24" t="s">
        <v>125</v>
      </c>
      <c r="B8" s="25"/>
      <c r="C8" s="24" t="s">
        <v>126</v>
      </c>
      <c r="D8" s="24" t="s">
        <v>127</v>
      </c>
      <c r="E8" s="24" t="s">
        <v>128</v>
      </c>
      <c r="F8" s="24" t="s">
        <v>129</v>
      </c>
      <c r="G8" s="24"/>
      <c r="H8" s="24" t="s">
        <v>130</v>
      </c>
      <c r="I8" s="24" t="s">
        <v>131</v>
      </c>
      <c r="J8" s="24" t="s">
        <v>132</v>
      </c>
      <c r="L8" s="24" t="s">
        <v>133</v>
      </c>
      <c r="M8" s="24" t="s">
        <v>134</v>
      </c>
      <c r="N8" s="24" t="s">
        <v>135</v>
      </c>
      <c r="P8" s="24" t="s">
        <v>136</v>
      </c>
      <c r="Q8" s="24" t="s">
        <v>137</v>
      </c>
      <c r="R8" s="24" t="s">
        <v>138</v>
      </c>
      <c r="T8" s="24" t="s">
        <v>139</v>
      </c>
      <c r="U8" s="24" t="s">
        <v>140</v>
      </c>
      <c r="V8" s="24" t="s">
        <v>141</v>
      </c>
      <c r="X8" s="24" t="s">
        <v>166</v>
      </c>
      <c r="Y8" s="24" t="s">
        <v>167</v>
      </c>
      <c r="Z8" s="24" t="s">
        <v>168</v>
      </c>
    </row>
    <row r="9" spans="1:26" x14ac:dyDescent="0.3">
      <c r="A9" s="20"/>
      <c r="B9" s="20"/>
      <c r="C9" s="20"/>
      <c r="D9" s="23" t="s">
        <v>142</v>
      </c>
      <c r="E9" s="23" t="s">
        <v>143</v>
      </c>
      <c r="F9" s="23" t="s">
        <v>144</v>
      </c>
      <c r="G9" s="23"/>
      <c r="H9" s="23" t="s">
        <v>144</v>
      </c>
      <c r="I9" s="23" t="s">
        <v>144</v>
      </c>
      <c r="J9" s="23" t="s">
        <v>145</v>
      </c>
      <c r="L9" s="23" t="s">
        <v>144</v>
      </c>
      <c r="M9" s="23" t="s">
        <v>144</v>
      </c>
      <c r="N9" s="23" t="s">
        <v>145</v>
      </c>
      <c r="P9" s="23" t="s">
        <v>144</v>
      </c>
      <c r="Q9" s="23" t="s">
        <v>144</v>
      </c>
      <c r="R9" s="23" t="s">
        <v>145</v>
      </c>
      <c r="T9" s="23" t="s">
        <v>144</v>
      </c>
      <c r="U9" s="23" t="s">
        <v>144</v>
      </c>
      <c r="V9" s="23" t="s">
        <v>145</v>
      </c>
      <c r="X9" s="23" t="s">
        <v>144</v>
      </c>
      <c r="Y9" s="23" t="s">
        <v>144</v>
      </c>
      <c r="Z9" s="23" t="s">
        <v>145</v>
      </c>
    </row>
    <row r="11" spans="1:26" x14ac:dyDescent="0.3">
      <c r="A11" s="26">
        <v>1</v>
      </c>
      <c r="C11" s="18" t="s">
        <v>146</v>
      </c>
      <c r="D11" s="27" t="s">
        <v>147</v>
      </c>
      <c r="E11" s="27">
        <f>RS!A20</f>
        <v>1000</v>
      </c>
      <c r="F11" s="31">
        <f>RS!A27</f>
        <v>127.64</v>
      </c>
      <c r="H11" s="31">
        <f>RS!$A$27+RS!A38</f>
        <v>128.96</v>
      </c>
      <c r="I11" s="31">
        <f>H11-$F$11</f>
        <v>1.3200000000000074</v>
      </c>
      <c r="J11" s="32">
        <f>I11/$F$11</f>
        <v>1.0341585709808896E-2</v>
      </c>
      <c r="L11" s="31">
        <f>RS!$A$27+RS!A39</f>
        <v>131.27000000000001</v>
      </c>
      <c r="M11" s="31">
        <f>L11-$F$11</f>
        <v>3.6300000000000097</v>
      </c>
      <c r="N11" s="32">
        <f>M11/$F$11</f>
        <v>2.8439360701974378E-2</v>
      </c>
      <c r="P11" s="31">
        <f>RS!$A$27+RS!A40</f>
        <v>130.36000000000001</v>
      </c>
      <c r="Q11" s="31">
        <f>P11-$F$11</f>
        <v>2.7200000000000131</v>
      </c>
      <c r="R11" s="32">
        <f>Q11/$F$11</f>
        <v>2.1309934189909223E-2</v>
      </c>
      <c r="T11" s="31">
        <f>RS!$A$27+RS!A41</f>
        <v>129.88999999999999</v>
      </c>
      <c r="U11" s="31">
        <f>T11-$F$11</f>
        <v>2.2499999999999858</v>
      </c>
      <c r="V11" s="32">
        <f>U11/$F$11</f>
        <v>1.762770291444677E-2</v>
      </c>
      <c r="X11" s="31">
        <f>RS!$A$27+RS!A42</f>
        <v>129.97</v>
      </c>
      <c r="Y11" s="31">
        <f>X11-$F$11</f>
        <v>2.3299999999999983</v>
      </c>
      <c r="Z11" s="32">
        <f>Y11/$F$11</f>
        <v>1.8254465684738312E-2</v>
      </c>
    </row>
    <row r="12" spans="1:26" x14ac:dyDescent="0.3">
      <c r="A12" s="26">
        <v>2</v>
      </c>
      <c r="D12" s="27"/>
      <c r="E12" s="27"/>
      <c r="F12" s="31"/>
    </row>
    <row r="13" spans="1:26" x14ac:dyDescent="0.3">
      <c r="A13" s="26">
        <v>3</v>
      </c>
      <c r="C13" s="18" t="s">
        <v>148</v>
      </c>
      <c r="D13" s="27">
        <f>DS!A16</f>
        <v>30</v>
      </c>
      <c r="E13" s="27">
        <f>DS!A18</f>
        <v>9000</v>
      </c>
      <c r="F13" s="31">
        <f>DS!A27</f>
        <v>1126.1300000000001</v>
      </c>
      <c r="H13" s="31">
        <f>DS!$A$27+DS!A46</f>
        <v>1144.72</v>
      </c>
      <c r="I13" s="31">
        <f>H13-$F$13</f>
        <v>18.589999999999918</v>
      </c>
      <c r="J13" s="32">
        <f>I13/$F$13</f>
        <v>1.6507863212950474E-2</v>
      </c>
      <c r="L13" s="31">
        <f>DS!$A$27+DS!B46</f>
        <v>1177.0800000000002</v>
      </c>
      <c r="M13" s="31">
        <f>L13-$F$13</f>
        <v>50.950000000000045</v>
      </c>
      <c r="N13" s="32">
        <f>M13/$F$13</f>
        <v>4.5243444362551427E-2</v>
      </c>
      <c r="P13" s="31">
        <f>DS!$A$27+DS!C46</f>
        <v>1164.3300000000002</v>
      </c>
      <c r="Q13" s="31">
        <f>P13-$F$13</f>
        <v>38.200000000000045</v>
      </c>
      <c r="R13" s="32">
        <f>Q13/$F$13</f>
        <v>3.392148331009745E-2</v>
      </c>
      <c r="T13" s="31">
        <f>DS!$A$27+DS!D46</f>
        <v>1157.71</v>
      </c>
      <c r="U13" s="31">
        <f>T13-$F$13</f>
        <v>31.579999999999927</v>
      </c>
      <c r="V13" s="32">
        <f>U13/$F$13</f>
        <v>2.804294353227418E-2</v>
      </c>
      <c r="X13" s="31">
        <f>DS!$A$27+DS!E46</f>
        <v>1158.7900000000002</v>
      </c>
      <c r="Y13" s="31">
        <f>X13-$F$13</f>
        <v>32.660000000000082</v>
      </c>
      <c r="Z13" s="32">
        <f>Y13/$F$13</f>
        <v>2.9001980233188066E-2</v>
      </c>
    </row>
    <row r="14" spans="1:26" x14ac:dyDescent="0.3">
      <c r="A14" s="26">
        <v>4</v>
      </c>
      <c r="D14" s="27"/>
      <c r="E14" s="27"/>
      <c r="F14" s="31"/>
      <c r="H14" s="31"/>
      <c r="L14" s="31"/>
      <c r="P14" s="31"/>
      <c r="T14" s="31"/>
      <c r="X14" s="31"/>
    </row>
    <row r="15" spans="1:26" x14ac:dyDescent="0.3">
      <c r="A15" s="26">
        <v>5</v>
      </c>
      <c r="C15" s="18" t="s">
        <v>149</v>
      </c>
      <c r="D15" s="27">
        <f>DP!A16</f>
        <v>246.2</v>
      </c>
      <c r="E15" s="27">
        <f>DP!A18</f>
        <v>66667</v>
      </c>
      <c r="F15" s="31">
        <f>DP!A27</f>
        <v>7623.63</v>
      </c>
      <c r="H15" s="31">
        <f>DP!$A$27+DP!A48</f>
        <v>7710.79</v>
      </c>
      <c r="I15" s="31">
        <f>H15-$F$15</f>
        <v>87.159999999999854</v>
      </c>
      <c r="J15" s="32">
        <f>I15/$F$15</f>
        <v>1.1432873840939271E-2</v>
      </c>
      <c r="L15" s="31">
        <f>DP!$A$27+DP!B48</f>
        <v>7862.54</v>
      </c>
      <c r="M15" s="31">
        <f>L15-$F$15</f>
        <v>238.90999999999985</v>
      </c>
      <c r="N15" s="32">
        <f>M15/$F$15</f>
        <v>3.133808959773754E-2</v>
      </c>
      <c r="P15" s="31">
        <f>DP!$A$27+DP!C48</f>
        <v>7802.72</v>
      </c>
      <c r="Q15" s="31">
        <f>P15-$F$15</f>
        <v>179.09000000000015</v>
      </c>
      <c r="R15" s="32">
        <f>Q15/$F$15</f>
        <v>2.3491433870741384E-2</v>
      </c>
      <c r="T15" s="31">
        <f>DP!$A$27+DP!D48</f>
        <v>7771.6900000000005</v>
      </c>
      <c r="U15" s="31">
        <f>T15-$F$15</f>
        <v>148.0600000000004</v>
      </c>
      <c r="V15" s="32">
        <f>U15/$F$15</f>
        <v>1.9421194365413903E-2</v>
      </c>
      <c r="X15" s="31">
        <f>DP!$A$27+DP!E48</f>
        <v>7776.74</v>
      </c>
      <c r="Y15" s="31">
        <f>X15-$F$15</f>
        <v>153.10999999999967</v>
      </c>
      <c r="Z15" s="32">
        <f>Y15/$F$15</f>
        <v>2.0083608464733949E-2</v>
      </c>
    </row>
    <row r="16" spans="1:26" x14ac:dyDescent="0.3">
      <c r="A16" s="26">
        <v>6</v>
      </c>
      <c r="D16" s="27"/>
      <c r="E16" s="27"/>
      <c r="F16" s="31"/>
      <c r="H16" s="31"/>
      <c r="L16" s="31"/>
      <c r="P16" s="31"/>
      <c r="T16" s="31"/>
      <c r="X16" s="31"/>
    </row>
    <row r="17" spans="1:26" x14ac:dyDescent="0.3">
      <c r="A17" s="26">
        <v>7</v>
      </c>
      <c r="C17" s="18" t="s">
        <v>150</v>
      </c>
      <c r="D17" s="27">
        <f>DT!B10</f>
        <v>3839.88</v>
      </c>
      <c r="E17" s="27">
        <f>DT!B19</f>
        <v>2267189</v>
      </c>
      <c r="F17" s="31">
        <f>DT!A27</f>
        <v>172276.25</v>
      </c>
      <c r="H17" s="31">
        <f>DT!$A$27+DT!A48</f>
        <v>173864.24</v>
      </c>
      <c r="I17" s="31">
        <f>H17-$F$17</f>
        <v>1587.9899999999907</v>
      </c>
      <c r="J17" s="32">
        <f>I17/$F$17</f>
        <v>9.2176954165184739E-3</v>
      </c>
      <c r="L17" s="31">
        <f>DT!$A$27+DT!B48</f>
        <v>176628.76</v>
      </c>
      <c r="M17" s="31">
        <f>L17-$F$17</f>
        <v>4352.5100000000093</v>
      </c>
      <c r="N17" s="32">
        <f>M17/$F$17</f>
        <v>2.5264712924735762E-2</v>
      </c>
      <c r="P17" s="31">
        <f>DT!$A$27+DT!C48</f>
        <v>175538.93</v>
      </c>
      <c r="Q17" s="31">
        <f>P17-$F$17</f>
        <v>3262.679999999993</v>
      </c>
      <c r="R17" s="32">
        <f>Q17/$F$17</f>
        <v>1.8938652309880167E-2</v>
      </c>
      <c r="T17" s="31">
        <f>DT!$A$27+DT!D48</f>
        <v>174973.66</v>
      </c>
      <c r="U17" s="31">
        <f>T17-$F$17</f>
        <v>2697.4100000000035</v>
      </c>
      <c r="V17" s="32">
        <f>U17/$F$17</f>
        <v>1.5657468745691894E-2</v>
      </c>
      <c r="X17" s="31">
        <f>DT!$A$27+DT!E48</f>
        <v>175065.66</v>
      </c>
      <c r="Y17" s="31">
        <f>X17-$F$17</f>
        <v>2789.4100000000035</v>
      </c>
      <c r="Z17" s="32">
        <f>Y17/$F$17</f>
        <v>1.6191494764948758E-2</v>
      </c>
    </row>
    <row r="18" spans="1:26" x14ac:dyDescent="0.3">
      <c r="A18" s="26">
        <v>8</v>
      </c>
      <c r="D18" s="27"/>
      <c r="E18" s="27"/>
      <c r="F18" s="31"/>
      <c r="H18" s="31"/>
      <c r="L18" s="31"/>
      <c r="P18" s="31"/>
      <c r="T18" s="31"/>
      <c r="X18" s="31"/>
    </row>
    <row r="19" spans="1:26" x14ac:dyDescent="0.3">
      <c r="A19" s="26">
        <v>9</v>
      </c>
      <c r="C19" s="18" t="s">
        <v>151</v>
      </c>
      <c r="D19" s="27">
        <f>TT!B10</f>
        <v>4821.8499999999995</v>
      </c>
      <c r="E19" s="27">
        <f>TT!B22</f>
        <v>1000000</v>
      </c>
      <c r="F19" s="31">
        <f>TT!A30</f>
        <v>107485.79</v>
      </c>
      <c r="H19" s="31">
        <f>TT!$A$30+TT!A48</f>
        <v>108678.59</v>
      </c>
      <c r="I19" s="31">
        <f>H19-$F$19</f>
        <v>1192.8000000000029</v>
      </c>
      <c r="J19" s="32">
        <f>I19/$F$19</f>
        <v>1.1097280859172203E-2</v>
      </c>
      <c r="L19" s="31">
        <f>TT!$A$30+TT!B48</f>
        <v>110755.12</v>
      </c>
      <c r="M19" s="31">
        <f>L19-$F$19</f>
        <v>3269.3300000000017</v>
      </c>
      <c r="N19" s="32">
        <f>M19/$F$19</f>
        <v>3.0416392715725511E-2</v>
      </c>
      <c r="P19" s="31">
        <f>TT!$A$30+TT!C48</f>
        <v>109936.51</v>
      </c>
      <c r="Q19" s="31">
        <f>P19-$F$19</f>
        <v>2450.7200000000012</v>
      </c>
      <c r="R19" s="32">
        <f>Q19/$F$19</f>
        <v>2.2800409244794137E-2</v>
      </c>
      <c r="T19" s="31">
        <f>TT!$A$30+TT!D48</f>
        <v>109511.90999999999</v>
      </c>
      <c r="U19" s="31">
        <f>T19-$F$19</f>
        <v>2026.1199999999953</v>
      </c>
      <c r="V19" s="32">
        <f>U19/$F$19</f>
        <v>1.8850119629766831E-2</v>
      </c>
      <c r="X19" s="31">
        <f>TT!$A$30+TT!E48</f>
        <v>109581.01999999999</v>
      </c>
      <c r="Y19" s="31">
        <f>X19-$F$19</f>
        <v>2095.2299999999959</v>
      </c>
      <c r="Z19" s="32">
        <f>Y19/$F$19</f>
        <v>1.9493088342189196E-2</v>
      </c>
    </row>
    <row r="20" spans="1:26" x14ac:dyDescent="0.3">
      <c r="A20" s="26">
        <v>10</v>
      </c>
      <c r="D20" s="27"/>
      <c r="E20" s="27"/>
      <c r="F20" s="31"/>
      <c r="H20" s="31"/>
      <c r="L20" s="31"/>
      <c r="P20" s="31"/>
      <c r="T20" s="31"/>
      <c r="X20" s="31"/>
    </row>
    <row r="21" spans="1:26" x14ac:dyDescent="0.3">
      <c r="A21" s="26">
        <v>11</v>
      </c>
      <c r="C21" s="18" t="s">
        <v>152</v>
      </c>
      <c r="D21" s="27" t="s">
        <v>147</v>
      </c>
      <c r="E21" s="27">
        <f>EH!A20</f>
        <v>9400</v>
      </c>
      <c r="F21" s="31">
        <f>EH!A27</f>
        <v>888.48</v>
      </c>
      <c r="H21" s="31">
        <f>EH!$A$27+EH!A48</f>
        <v>897.79</v>
      </c>
      <c r="I21" s="31">
        <f>H21-$F$21</f>
        <v>9.3099999999999454</v>
      </c>
      <c r="J21" s="32">
        <f>I21/$F$21</f>
        <v>1.0478570142265381E-2</v>
      </c>
      <c r="L21" s="31">
        <f>EH!$A$27+EH!B48</f>
        <v>913.99</v>
      </c>
      <c r="M21" s="31">
        <f>L21-$F$21</f>
        <v>25.509999999999991</v>
      </c>
      <c r="N21" s="32">
        <f>M21/$F$21</f>
        <v>2.8711957500450195E-2</v>
      </c>
      <c r="P21" s="31">
        <f>EH!$A$27+EH!C48</f>
        <v>907.6</v>
      </c>
      <c r="Q21" s="31">
        <f>P21-$F$21</f>
        <v>19.120000000000005</v>
      </c>
      <c r="R21" s="32">
        <f>Q21/$F$21</f>
        <v>2.1519899153610664E-2</v>
      </c>
      <c r="T21" s="31">
        <f>EH!$A$27+EH!D48</f>
        <v>904.29</v>
      </c>
      <c r="U21" s="31">
        <f>T21-$F$21</f>
        <v>15.809999999999945</v>
      </c>
      <c r="V21" s="32">
        <f>U21/$F$21</f>
        <v>1.7794435440302476E-2</v>
      </c>
      <c r="X21" s="31">
        <f>EH!$A$27+EH!E48</f>
        <v>904.83</v>
      </c>
      <c r="Y21" s="31">
        <f>X21-$F$21</f>
        <v>16.350000000000023</v>
      </c>
      <c r="Z21" s="32">
        <f>Y21/$F$21</f>
        <v>1.8402215018908725E-2</v>
      </c>
    </row>
    <row r="22" spans="1:26" x14ac:dyDescent="0.3">
      <c r="A22" s="26">
        <v>12</v>
      </c>
      <c r="D22" s="27"/>
      <c r="E22" s="27"/>
      <c r="F22" s="31"/>
      <c r="H22" s="31"/>
      <c r="L22" s="31"/>
      <c r="P22" s="31"/>
      <c r="T22" s="31"/>
      <c r="X22" s="31"/>
    </row>
    <row r="23" spans="1:26" x14ac:dyDescent="0.3">
      <c r="A23" s="26">
        <v>13</v>
      </c>
      <c r="C23" s="18" t="s">
        <v>153</v>
      </c>
      <c r="D23" s="27" t="s">
        <v>147</v>
      </c>
      <c r="E23" s="27">
        <f>SP!A20</f>
        <v>500</v>
      </c>
      <c r="F23" s="31">
        <f>SP!A27</f>
        <v>88.96</v>
      </c>
      <c r="H23" s="31">
        <f>SP!$A$27+SP!A47</f>
        <v>90.11</v>
      </c>
      <c r="I23" s="31">
        <f>H23-$F$23</f>
        <v>1.1500000000000057</v>
      </c>
      <c r="J23" s="32">
        <f>I23/$F$23</f>
        <v>1.292715827338136E-2</v>
      </c>
      <c r="L23" s="31">
        <f>SP!$A$27+SP!B47</f>
        <v>92.1</v>
      </c>
      <c r="M23" s="31">
        <f>L23-$F$23</f>
        <v>3.1400000000000006</v>
      </c>
      <c r="N23" s="32">
        <f>M23/$F$23</f>
        <v>3.5296762589928067E-2</v>
      </c>
      <c r="P23" s="31">
        <f>SP!$A$27+SP!C47</f>
        <v>91.32</v>
      </c>
      <c r="Q23" s="31">
        <f>P23-$F$23</f>
        <v>2.3599999999999994</v>
      </c>
      <c r="R23" s="32">
        <f>Q23/$F$23</f>
        <v>2.6528776978417261E-2</v>
      </c>
      <c r="T23" s="31">
        <f>SP!$A$27+SP!D47</f>
        <v>90.91</v>
      </c>
      <c r="U23" s="31">
        <f>T23-$F$23</f>
        <v>1.9500000000000028</v>
      </c>
      <c r="V23" s="32">
        <f>U23/$F$23</f>
        <v>2.1919964028777012E-2</v>
      </c>
      <c r="X23" s="31">
        <f>SP!$A$27+SP!E47</f>
        <v>90.97</v>
      </c>
      <c r="Y23" s="31">
        <f>X23-$F$23</f>
        <v>2.0100000000000051</v>
      </c>
      <c r="Z23" s="32">
        <f>Y23/$F$23</f>
        <v>2.2594424460431715E-2</v>
      </c>
    </row>
    <row r="24" spans="1:26" x14ac:dyDescent="0.3">
      <c r="A24" s="26">
        <v>14</v>
      </c>
      <c r="D24" s="27"/>
      <c r="E24" s="27"/>
      <c r="F24" s="31"/>
      <c r="H24" s="31"/>
      <c r="L24" s="31"/>
      <c r="P24" s="31"/>
      <c r="T24" s="31"/>
      <c r="X24" s="31"/>
    </row>
    <row r="25" spans="1:26" x14ac:dyDescent="0.3">
      <c r="A25" s="26">
        <v>15</v>
      </c>
      <c r="C25" s="18" t="s">
        <v>154</v>
      </c>
      <c r="D25" s="27">
        <f>GSFL!A18</f>
        <v>5</v>
      </c>
      <c r="E25" s="27">
        <f>GSFL!A20</f>
        <v>700</v>
      </c>
      <c r="F25" s="31">
        <f>GSFL!A27</f>
        <v>434.32</v>
      </c>
      <c r="H25" s="31">
        <f>GSFL!$A$27+GSFL!A48</f>
        <v>440.88</v>
      </c>
      <c r="I25" s="31">
        <f>H25-$F$25</f>
        <v>6.5600000000000023</v>
      </c>
      <c r="J25" s="32">
        <f>I25/$F$25</f>
        <v>1.5104070731258063E-2</v>
      </c>
      <c r="L25" s="31">
        <f>GSFL!$A$27+GSFL!B48</f>
        <v>452.3</v>
      </c>
      <c r="M25" s="31">
        <f>L25-$F$25</f>
        <v>17.980000000000018</v>
      </c>
      <c r="N25" s="32">
        <f>M25/$F$25</f>
        <v>4.1398047522564048E-2</v>
      </c>
      <c r="P25" s="31">
        <f>GSFL!$A$27+GSFL!C48</f>
        <v>447.8</v>
      </c>
      <c r="Q25" s="31">
        <f>P25-$F$25</f>
        <v>13.480000000000018</v>
      </c>
      <c r="R25" s="32">
        <f>Q25/$F$25</f>
        <v>3.1037023392890078E-2</v>
      </c>
      <c r="T25" s="31">
        <f>GSFL!$A$27+GSFL!D48</f>
        <v>445.46999999999997</v>
      </c>
      <c r="U25" s="31">
        <f>T25-$F$25</f>
        <v>11.149999999999977</v>
      </c>
      <c r="V25" s="32">
        <f>U25/$F$25</f>
        <v>2.5672315343525459E-2</v>
      </c>
      <c r="X25" s="31">
        <f>GSFL!$A$27+GSFL!E48</f>
        <v>445.84999999999997</v>
      </c>
      <c r="Y25" s="31">
        <f>X25-$F$25</f>
        <v>11.529999999999973</v>
      </c>
      <c r="Z25" s="32">
        <f>Y25/$F$25</f>
        <v>2.6547246270031251E-2</v>
      </c>
    </row>
    <row r="26" spans="1:26" x14ac:dyDescent="0.3">
      <c r="A26" s="26"/>
      <c r="D26" s="27"/>
      <c r="E26" s="27"/>
    </row>
    <row r="27" spans="1:26" x14ac:dyDescent="0.3">
      <c r="A27" s="26"/>
    </row>
    <row r="28" spans="1:26" ht="18.600000000000001" x14ac:dyDescent="0.3">
      <c r="A28" s="28" t="s">
        <v>164</v>
      </c>
    </row>
    <row r="29" spans="1:26" x14ac:dyDescent="0.3">
      <c r="A29" s="26"/>
    </row>
    <row r="30" spans="1:26" x14ac:dyDescent="0.3">
      <c r="A30" s="26"/>
    </row>
    <row r="31" spans="1:26" x14ac:dyDescent="0.3">
      <c r="A31" s="26"/>
    </row>
    <row r="32" spans="1:26" x14ac:dyDescent="0.3">
      <c r="A32" s="26"/>
    </row>
    <row r="33" spans="1:1" x14ac:dyDescent="0.3">
      <c r="A33" s="26"/>
    </row>
    <row r="34" spans="1:1" x14ac:dyDescent="0.3">
      <c r="A34" s="26"/>
    </row>
    <row r="35" spans="1:1" x14ac:dyDescent="0.3">
      <c r="A35" s="26"/>
    </row>
    <row r="36" spans="1:1" x14ac:dyDescent="0.3">
      <c r="A36" s="26"/>
    </row>
  </sheetData>
  <pageMargins left="0.2" right="0.2" top="1.5" bottom="0.75" header="1" footer="0.3"/>
  <pageSetup scale="44" orientation="landscape" r:id="rId1"/>
  <headerFooter>
    <oddHeader>&amp;R&amp;"Times New Roman,Bold"&amp;10KyPSC Case No. 2024-00152
SIERRA-DR-01-050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2"/>
  <sheetViews>
    <sheetView view="pageLayout" zoomScaleNormal="75" workbookViewId="0">
      <selection activeCell="Z12" sqref="Z12"/>
    </sheetView>
  </sheetViews>
  <sheetFormatPr defaultRowHeight="14.4" x14ac:dyDescent="0.3"/>
  <cols>
    <col min="1" max="1" width="11.5546875" customWidth="1"/>
    <col min="2" max="2" width="15.21875" customWidth="1"/>
    <col min="3" max="3" width="12.21875" customWidth="1"/>
    <col min="4" max="5" width="11.5546875" customWidth="1"/>
    <col min="6" max="6" width="2.77734375" customWidth="1"/>
    <col min="7" max="7" width="9.21875"/>
    <col min="8" max="9" width="12.44140625" customWidth="1"/>
    <col min="10" max="10" width="3" customWidth="1"/>
    <col min="11" max="11" width="18.5546875" bestFit="1" customWidth="1"/>
    <col min="12" max="12" width="2.5546875" customWidth="1"/>
    <col min="13" max="13" width="18.44140625" customWidth="1"/>
    <col min="14" max="14" width="10" customWidth="1"/>
    <col min="15" max="15" width="2.77734375" customWidth="1"/>
    <col min="16" max="16" width="20" customWidth="1"/>
    <col min="17" max="17" width="2.77734375" customWidth="1"/>
    <col min="18" max="18" width="20.5546875" customWidth="1"/>
    <col min="19" max="19" width="2.5546875" customWidth="1"/>
    <col min="20" max="20" width="15.5546875" bestFit="1" customWidth="1"/>
    <col min="21" max="21" width="2.77734375" customWidth="1"/>
    <col min="22" max="22" width="12.5546875" bestFit="1" customWidth="1"/>
    <col min="23" max="23" width="2.77734375" customWidth="1"/>
    <col min="24" max="24" width="14.44140625" bestFit="1" customWidth="1"/>
    <col min="25" max="25" width="2.77734375" customWidth="1"/>
    <col min="26" max="26" width="12.21875" customWidth="1"/>
    <col min="27" max="27" width="19.21875" customWidth="1"/>
    <col min="28" max="28" width="12.44140625" customWidth="1"/>
    <col min="29" max="29" width="2.77734375" customWidth="1"/>
    <col min="30" max="30" width="12.21875" bestFit="1" customWidth="1"/>
    <col min="31" max="33" width="12.21875" customWidth="1"/>
    <col min="34" max="34" width="2.77734375" customWidth="1"/>
    <col min="35" max="35" width="15.21875" bestFit="1" customWidth="1"/>
    <col min="36" max="36" width="14.44140625" customWidth="1"/>
    <col min="37" max="37" width="2.77734375" customWidth="1"/>
    <col min="38" max="38" width="15.5546875" bestFit="1" customWidth="1"/>
    <col min="39" max="39" width="2.77734375" customWidth="1"/>
    <col min="40" max="40" width="15.5546875" bestFit="1" customWidth="1"/>
    <col min="41" max="41" width="2.77734375" customWidth="1"/>
    <col min="42" max="42" width="15.5546875" bestFit="1" customWidth="1"/>
    <col min="43" max="43" width="2.77734375" customWidth="1"/>
    <col min="44" max="44" width="13.44140625" bestFit="1" customWidth="1"/>
    <col min="45" max="45" width="2.77734375" customWidth="1"/>
    <col min="46" max="46" width="12.21875" bestFit="1" customWidth="1"/>
    <col min="47" max="47" width="11.44140625" bestFit="1" customWidth="1"/>
    <col min="48" max="48" width="12.21875" bestFit="1" customWidth="1"/>
    <col min="49" max="49" width="11.44140625" bestFit="1" customWidth="1"/>
  </cols>
  <sheetData>
    <row r="1" spans="1:49" x14ac:dyDescent="0.3">
      <c r="A1" t="s">
        <v>27</v>
      </c>
      <c r="C1" s="33"/>
      <c r="D1" s="33"/>
      <c r="E1" s="33"/>
      <c r="F1" s="33"/>
    </row>
    <row r="2" spans="1:49" x14ac:dyDescent="0.3">
      <c r="B2" s="33"/>
      <c r="C2" s="33"/>
      <c r="D2" s="33"/>
      <c r="E2" s="33"/>
      <c r="F2" s="33"/>
      <c r="H2" s="68" t="s">
        <v>28</v>
      </c>
      <c r="I2" s="68"/>
      <c r="K2" s="1" t="s">
        <v>74</v>
      </c>
      <c r="M2" s="68" t="s">
        <v>32</v>
      </c>
      <c r="N2" s="68"/>
      <c r="O2" s="1"/>
      <c r="P2" s="1" t="s">
        <v>40</v>
      </c>
      <c r="R2" s="1" t="s">
        <v>41</v>
      </c>
      <c r="S2" s="1"/>
      <c r="T2" s="1"/>
      <c r="U2" s="1"/>
      <c r="V2" s="1"/>
      <c r="W2" s="1"/>
      <c r="X2" s="1"/>
      <c r="Z2" s="68"/>
      <c r="AA2" s="68"/>
      <c r="AB2" s="68"/>
      <c r="AD2" s="68"/>
      <c r="AE2" s="68"/>
      <c r="AF2" s="68"/>
      <c r="AG2" s="68"/>
      <c r="AI2" s="68"/>
      <c r="AJ2" s="68"/>
      <c r="AL2" s="1"/>
      <c r="AM2" s="1"/>
      <c r="AN2" s="1"/>
      <c r="AO2" s="1"/>
      <c r="AP2" s="1"/>
      <c r="AQ2" s="1"/>
      <c r="AR2" s="1"/>
      <c r="AT2" s="68"/>
      <c r="AU2" s="68"/>
      <c r="AV2" s="68"/>
      <c r="AW2" s="68"/>
    </row>
    <row r="3" spans="1:49" x14ac:dyDescent="0.3">
      <c r="H3" s="68"/>
      <c r="I3" s="68"/>
      <c r="K3" s="1" t="s">
        <v>76</v>
      </c>
      <c r="M3" s="1" t="s">
        <v>29</v>
      </c>
      <c r="N3" s="1" t="s">
        <v>33</v>
      </c>
      <c r="O3" s="1"/>
      <c r="P3" s="1" t="s">
        <v>30</v>
      </c>
      <c r="R3" s="1" t="s">
        <v>31</v>
      </c>
      <c r="S3" s="1"/>
      <c r="T3" s="1"/>
      <c r="U3" s="1"/>
      <c r="V3" s="1"/>
      <c r="W3" s="1"/>
      <c r="X3" s="1"/>
      <c r="Z3" s="68"/>
      <c r="AA3" s="68"/>
      <c r="AB3" s="68"/>
      <c r="AD3" s="68"/>
      <c r="AE3" s="68"/>
      <c r="AF3" s="68"/>
      <c r="AG3" s="68"/>
      <c r="AI3" s="68"/>
      <c r="AJ3" s="68"/>
      <c r="AL3" s="1"/>
      <c r="AM3" s="1"/>
      <c r="AN3" s="1"/>
      <c r="AO3" s="1"/>
      <c r="AP3" s="1"/>
      <c r="AQ3" s="1"/>
      <c r="AR3" s="1"/>
      <c r="AT3" s="68"/>
      <c r="AU3" s="68"/>
      <c r="AV3" s="68"/>
      <c r="AW3" s="68"/>
    </row>
    <row r="4" spans="1:49" x14ac:dyDescent="0.3">
      <c r="H4" s="1" t="s">
        <v>0</v>
      </c>
      <c r="I4" s="1" t="s">
        <v>4</v>
      </c>
      <c r="K4" s="1" t="s">
        <v>77</v>
      </c>
      <c r="M4" s="1" t="s">
        <v>4</v>
      </c>
      <c r="N4" s="1" t="s">
        <v>0</v>
      </c>
      <c r="P4" s="1" t="s">
        <v>4</v>
      </c>
      <c r="Q4" s="1"/>
      <c r="R4" s="1" t="s">
        <v>4</v>
      </c>
      <c r="T4" s="1"/>
      <c r="V4" s="1"/>
      <c r="X4" s="1"/>
      <c r="Y4" s="1"/>
      <c r="Z4" s="1"/>
      <c r="AA4" s="1"/>
      <c r="AB4" s="1"/>
      <c r="AC4" s="1"/>
      <c r="AD4" s="68"/>
      <c r="AE4" s="68"/>
      <c r="AF4" s="68"/>
      <c r="AG4" s="69"/>
      <c r="AH4" s="1"/>
      <c r="AI4" s="1"/>
      <c r="AJ4" s="1"/>
      <c r="AK4" s="1"/>
      <c r="AL4" s="1"/>
      <c r="AN4" s="1"/>
      <c r="AP4" s="1"/>
      <c r="AR4" s="1"/>
      <c r="AS4" s="1"/>
      <c r="AT4" s="68"/>
      <c r="AU4" s="68"/>
      <c r="AV4" s="68"/>
      <c r="AW4" s="69"/>
    </row>
    <row r="5" spans="1:49" x14ac:dyDescent="0.3">
      <c r="K5" s="1"/>
      <c r="M5" s="1"/>
      <c r="N5" s="1"/>
      <c r="O5" s="1"/>
      <c r="Q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S5" s="1"/>
      <c r="AT5" s="1"/>
      <c r="AU5" s="1"/>
      <c r="AV5" s="1"/>
      <c r="AW5" s="1"/>
    </row>
    <row r="6" spans="1:49" ht="15.6" x14ac:dyDescent="0.3">
      <c r="H6" s="1" t="s">
        <v>2</v>
      </c>
      <c r="I6" s="2" t="s">
        <v>3</v>
      </c>
      <c r="K6" s="34" t="s">
        <v>75</v>
      </c>
      <c r="M6" s="2" t="s">
        <v>3</v>
      </c>
      <c r="N6" s="1" t="s">
        <v>2</v>
      </c>
      <c r="O6" s="2"/>
      <c r="P6" s="2" t="s">
        <v>3</v>
      </c>
      <c r="Q6" s="2"/>
      <c r="R6" s="2" t="s">
        <v>3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3">
      <c r="G7" s="33" t="s">
        <v>5</v>
      </c>
    </row>
    <row r="8" spans="1:49" x14ac:dyDescent="0.3">
      <c r="G8" t="s">
        <v>1</v>
      </c>
      <c r="H8" s="4">
        <v>13</v>
      </c>
      <c r="I8" s="3">
        <v>9.9654000000000006E-2</v>
      </c>
      <c r="K8" s="35">
        <v>0.1055</v>
      </c>
      <c r="M8" s="3">
        <v>1.3519999999999999E-3</v>
      </c>
      <c r="N8" s="4">
        <v>0.3</v>
      </c>
      <c r="P8" s="3">
        <v>1.457E-2</v>
      </c>
      <c r="R8" s="3">
        <v>-3.7000000000000002E-3</v>
      </c>
      <c r="V8" s="3"/>
      <c r="W8" s="3"/>
      <c r="X8" s="4"/>
      <c r="Y8" s="3"/>
      <c r="Z8" s="5"/>
      <c r="AA8" s="5"/>
      <c r="AB8" s="5"/>
      <c r="AC8" s="3"/>
      <c r="AD8" s="5"/>
      <c r="AE8" s="5"/>
      <c r="AF8" s="5"/>
      <c r="AG8" s="5"/>
      <c r="AH8" s="3"/>
      <c r="AI8" s="6"/>
      <c r="AJ8" s="6"/>
      <c r="AK8" s="3"/>
      <c r="AM8" s="3"/>
      <c r="AQ8" s="3"/>
      <c r="AS8" s="3"/>
      <c r="AT8" s="3"/>
      <c r="AU8" s="3"/>
      <c r="AV8" s="3"/>
      <c r="AW8" s="3"/>
    </row>
    <row r="9" spans="1:49" x14ac:dyDescent="0.3">
      <c r="G9" t="s">
        <v>7</v>
      </c>
      <c r="H9" s="4">
        <v>13</v>
      </c>
      <c r="I9" s="3">
        <v>9.9654000000000006E-2</v>
      </c>
      <c r="K9" s="35">
        <v>0.1356</v>
      </c>
      <c r="M9" s="3">
        <v>1.3519999999999999E-3</v>
      </c>
      <c r="N9" s="4">
        <v>0.3</v>
      </c>
      <c r="P9" s="3">
        <v>5.4949999999999999E-3</v>
      </c>
      <c r="R9" s="3">
        <v>-3.7000000000000002E-3</v>
      </c>
    </row>
    <row r="10" spans="1:49" x14ac:dyDescent="0.3">
      <c r="G10" t="s">
        <v>8</v>
      </c>
      <c r="H10" s="4">
        <v>13</v>
      </c>
      <c r="I10" s="3">
        <v>9.9654000000000006E-2</v>
      </c>
      <c r="K10" s="35">
        <v>4.3499999999999997E-2</v>
      </c>
      <c r="M10" s="3">
        <v>1.3519999999999999E-3</v>
      </c>
      <c r="N10" s="4">
        <v>0.3</v>
      </c>
      <c r="P10" s="3">
        <v>9.3720000000000001E-3</v>
      </c>
      <c r="R10" s="3">
        <v>-1.237E-3</v>
      </c>
    </row>
    <row r="11" spans="1:49" x14ac:dyDescent="0.3">
      <c r="G11" t="s">
        <v>9</v>
      </c>
      <c r="H11" s="4">
        <v>13</v>
      </c>
      <c r="I11" s="3">
        <v>9.9654000000000006E-2</v>
      </c>
      <c r="K11" s="35">
        <v>9.3899999999999997E-2</v>
      </c>
      <c r="M11" s="3">
        <v>1.3519999999999999E-3</v>
      </c>
      <c r="N11" s="4">
        <v>0.3</v>
      </c>
      <c r="P11" s="3">
        <v>3.4910000000000002E-3</v>
      </c>
      <c r="R11" s="3">
        <v>-1.237E-3</v>
      </c>
    </row>
    <row r="12" spans="1:49" x14ac:dyDescent="0.3">
      <c r="G12" t="s">
        <v>10</v>
      </c>
      <c r="H12" s="4">
        <v>13</v>
      </c>
      <c r="I12" s="3">
        <v>9.9654000000000006E-2</v>
      </c>
      <c r="K12" s="35">
        <v>0.1082</v>
      </c>
      <c r="M12" s="3">
        <v>1.3519999999999999E-3</v>
      </c>
      <c r="N12" s="4">
        <v>0.3</v>
      </c>
      <c r="P12" s="3">
        <v>8.7209999999999996E-3</v>
      </c>
      <c r="R12" s="3">
        <v>-1.237E-3</v>
      </c>
    </row>
    <row r="13" spans="1:49" x14ac:dyDescent="0.3">
      <c r="G13" t="s">
        <v>11</v>
      </c>
      <c r="H13" s="4">
        <v>13</v>
      </c>
      <c r="I13" s="3">
        <v>0.108033</v>
      </c>
      <c r="K13" s="35">
        <v>8.1799999999999998E-2</v>
      </c>
      <c r="M13" s="3">
        <v>1.3519999999999999E-3</v>
      </c>
      <c r="N13" s="4">
        <v>0.3</v>
      </c>
      <c r="P13" s="3">
        <v>-2.6020000000000001E-3</v>
      </c>
      <c r="R13" s="3">
        <v>2.0969999999999999E-3</v>
      </c>
    </row>
    <row r="14" spans="1:49" x14ac:dyDescent="0.3">
      <c r="G14" t="s">
        <v>12</v>
      </c>
      <c r="H14" s="4"/>
      <c r="I14" s="3"/>
      <c r="K14" s="35"/>
      <c r="M14" s="3"/>
      <c r="N14" s="4"/>
      <c r="P14" s="3"/>
      <c r="R14" s="3"/>
    </row>
    <row r="15" spans="1:49" x14ac:dyDescent="0.3">
      <c r="G15" t="s">
        <v>13</v>
      </c>
      <c r="H15" s="4"/>
      <c r="I15" s="3"/>
      <c r="K15" s="35"/>
      <c r="M15" s="3"/>
      <c r="N15" s="4"/>
      <c r="P15" s="3"/>
      <c r="R15" s="3"/>
    </row>
    <row r="16" spans="1:49" x14ac:dyDescent="0.3">
      <c r="G16" t="s">
        <v>14</v>
      </c>
      <c r="H16" s="4"/>
      <c r="I16" s="3"/>
      <c r="K16" s="35"/>
      <c r="M16" s="3"/>
      <c r="N16" s="4"/>
      <c r="P16" s="3"/>
      <c r="R16" s="3"/>
    </row>
    <row r="17" spans="1:49" x14ac:dyDescent="0.3">
      <c r="G17" t="s">
        <v>15</v>
      </c>
      <c r="H17" s="4"/>
      <c r="I17" s="3"/>
      <c r="K17" s="35"/>
      <c r="M17" s="3"/>
      <c r="N17" s="4"/>
      <c r="P17" s="3"/>
      <c r="R17" s="3"/>
    </row>
    <row r="18" spans="1:49" x14ac:dyDescent="0.3">
      <c r="G18" t="s">
        <v>16</v>
      </c>
      <c r="H18" s="4"/>
      <c r="I18" s="3"/>
      <c r="K18" s="35"/>
      <c r="M18" s="3"/>
      <c r="N18" s="4"/>
      <c r="P18" s="3"/>
      <c r="R18" s="3"/>
    </row>
    <row r="19" spans="1:49" x14ac:dyDescent="0.3">
      <c r="A19" s="33" t="s">
        <v>18</v>
      </c>
      <c r="G19" t="s">
        <v>17</v>
      </c>
      <c r="H19" s="4"/>
      <c r="I19" s="3"/>
      <c r="K19" s="35"/>
      <c r="M19" s="3"/>
      <c r="N19" s="4"/>
      <c r="P19" s="3"/>
      <c r="R19" s="3"/>
    </row>
    <row r="20" spans="1:49" x14ac:dyDescent="0.3">
      <c r="A20" s="33">
        <v>1000</v>
      </c>
      <c r="B20" s="1" t="s">
        <v>20</v>
      </c>
      <c r="C20" s="1"/>
      <c r="D20" s="1" t="s">
        <v>0</v>
      </c>
      <c r="E20" s="1" t="s">
        <v>4</v>
      </c>
    </row>
    <row r="21" spans="1:49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33" t="s">
        <v>6</v>
      </c>
      <c r="H21" s="36"/>
      <c r="I21" s="37">
        <f>$A$20</f>
        <v>1000</v>
      </c>
      <c r="J21" s="9"/>
      <c r="K21" s="9"/>
      <c r="L21" s="9"/>
      <c r="M21" s="37">
        <f>$A$20</f>
        <v>1000</v>
      </c>
      <c r="N21" s="37"/>
      <c r="O21" s="37"/>
      <c r="P21" s="9">
        <f>$A$20</f>
        <v>1000</v>
      </c>
      <c r="Q21" s="9"/>
      <c r="R21" s="9">
        <f>$A$20</f>
        <v>1000</v>
      </c>
      <c r="Z21" s="2"/>
      <c r="AA21" s="2"/>
      <c r="AB21" s="2"/>
      <c r="AD21" s="2"/>
      <c r="AE21" s="2"/>
      <c r="AF21" s="2"/>
      <c r="AG21" s="2"/>
      <c r="AI21" s="2"/>
      <c r="AJ21" s="2"/>
      <c r="AT21" s="2"/>
      <c r="AU21" s="2"/>
      <c r="AV21" s="2"/>
      <c r="AW21" s="2"/>
    </row>
    <row r="22" spans="1:49" x14ac:dyDescent="0.3">
      <c r="A22" s="8">
        <f>ROUND(SUM(H22:R22),2)</f>
        <v>146.56</v>
      </c>
      <c r="B22" s="8">
        <f>ROUND(P22,2)</f>
        <v>14.57</v>
      </c>
      <c r="C22" s="8">
        <f>ROUND(H22+I22,2)</f>
        <v>112.65</v>
      </c>
      <c r="D22" s="8">
        <f t="shared" ref="D22:D33" si="0">ROUND(H22+N22,2)</f>
        <v>13.3</v>
      </c>
      <c r="E22" s="8">
        <f t="shared" ref="E22:E33" si="1">ROUND(I22+M22+R22,2)</f>
        <v>104.71</v>
      </c>
      <c r="F22" s="4"/>
      <c r="G22" t="s">
        <v>1</v>
      </c>
      <c r="H22" s="8">
        <f>H8</f>
        <v>13</v>
      </c>
      <c r="I22" s="8">
        <f t="shared" ref="I22:M33" si="2">I8*I$21</f>
        <v>99.654000000000011</v>
      </c>
      <c r="J22" s="8"/>
      <c r="K22" s="8">
        <f t="shared" ref="K22:K26" si="3">(SUM(H22:I22)+SUM(M22:R22))*K8</f>
        <v>13.986768000000001</v>
      </c>
      <c r="L22" s="8"/>
      <c r="M22" s="8">
        <f t="shared" ref="M22" si="4">M8*M$21</f>
        <v>1.3519999999999999</v>
      </c>
      <c r="N22" s="8">
        <f>N8</f>
        <v>0.3</v>
      </c>
      <c r="O22" s="8"/>
      <c r="P22" s="8">
        <f t="shared" ref="P22:P33" si="5">P8*P$21</f>
        <v>14.57</v>
      </c>
      <c r="Q22" s="8"/>
      <c r="R22" s="8">
        <f>-R8*R$21</f>
        <v>3.7</v>
      </c>
      <c r="S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x14ac:dyDescent="0.3">
      <c r="A23" s="8">
        <f t="shared" ref="A23:A33" si="6">ROUND(SUM(H23:R23),2)</f>
        <v>140.25</v>
      </c>
      <c r="B23" s="8">
        <f t="shared" ref="B23:B33" si="7">ROUND(P23,2)</f>
        <v>5.5</v>
      </c>
      <c r="C23" s="8">
        <f t="shared" ref="C23:C33" si="8">ROUND(H23+I23,2)</f>
        <v>112.65</v>
      </c>
      <c r="D23" s="8">
        <f t="shared" si="0"/>
        <v>13.3</v>
      </c>
      <c r="E23" s="8">
        <f t="shared" si="1"/>
        <v>104.71</v>
      </c>
      <c r="G23" t="s">
        <v>7</v>
      </c>
      <c r="H23" s="8">
        <f t="shared" ref="H23:N33" si="9">H9</f>
        <v>13</v>
      </c>
      <c r="I23" s="8">
        <f t="shared" si="2"/>
        <v>99.654000000000011</v>
      </c>
      <c r="J23" s="8"/>
      <c r="K23" s="8">
        <f t="shared" si="3"/>
        <v>16.746735600000001</v>
      </c>
      <c r="L23" s="8"/>
      <c r="M23" s="8">
        <f t="shared" ref="M23" si="10">M9*M$21</f>
        <v>1.3519999999999999</v>
      </c>
      <c r="N23" s="8">
        <f t="shared" ref="N23:N33" si="11">N9</f>
        <v>0.3</v>
      </c>
      <c r="O23" s="8"/>
      <c r="P23" s="8">
        <f t="shared" si="5"/>
        <v>5.4950000000000001</v>
      </c>
      <c r="Q23" s="8"/>
      <c r="R23" s="8">
        <f t="shared" ref="R23:R33" si="12">-R9*R$21</f>
        <v>3.7</v>
      </c>
      <c r="S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x14ac:dyDescent="0.3">
      <c r="A24" s="8">
        <f t="shared" si="6"/>
        <v>130.35</v>
      </c>
      <c r="B24" s="8">
        <f t="shared" si="7"/>
        <v>9.3699999999999992</v>
      </c>
      <c r="C24" s="8">
        <f t="shared" si="8"/>
        <v>112.65</v>
      </c>
      <c r="D24" s="8">
        <f t="shared" si="0"/>
        <v>13.3</v>
      </c>
      <c r="E24" s="8">
        <f t="shared" si="1"/>
        <v>102.24</v>
      </c>
      <c r="G24" t="s">
        <v>8</v>
      </c>
      <c r="H24" s="8">
        <f t="shared" si="9"/>
        <v>13</v>
      </c>
      <c r="I24" s="8">
        <f t="shared" si="2"/>
        <v>99.654000000000011</v>
      </c>
      <c r="J24" s="8"/>
      <c r="K24" s="8">
        <f t="shared" si="3"/>
        <v>5.4338024999999996</v>
      </c>
      <c r="L24" s="8"/>
      <c r="M24" s="8">
        <f t="shared" ref="M24" si="13">M10*M$21</f>
        <v>1.3519999999999999</v>
      </c>
      <c r="N24" s="8">
        <f t="shared" si="11"/>
        <v>0.3</v>
      </c>
      <c r="O24" s="8"/>
      <c r="P24" s="8">
        <f t="shared" si="5"/>
        <v>9.3719999999999999</v>
      </c>
      <c r="Q24" s="8"/>
      <c r="R24" s="8">
        <f t="shared" si="12"/>
        <v>1.2370000000000001</v>
      </c>
      <c r="S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x14ac:dyDescent="0.3">
      <c r="A25" s="8">
        <f t="shared" si="6"/>
        <v>130.21</v>
      </c>
      <c r="B25" s="8">
        <f t="shared" si="7"/>
        <v>3.49</v>
      </c>
      <c r="C25" s="8">
        <f t="shared" si="8"/>
        <v>112.65</v>
      </c>
      <c r="D25" s="8">
        <f t="shared" si="0"/>
        <v>13.3</v>
      </c>
      <c r="E25" s="8">
        <f t="shared" si="1"/>
        <v>102.24</v>
      </c>
      <c r="G25" t="s">
        <v>9</v>
      </c>
      <c r="H25" s="8">
        <f t="shared" si="9"/>
        <v>13</v>
      </c>
      <c r="I25" s="8">
        <f t="shared" si="2"/>
        <v>99.654000000000011</v>
      </c>
      <c r="J25" s="8"/>
      <c r="K25" s="8">
        <f t="shared" si="3"/>
        <v>11.177292599999999</v>
      </c>
      <c r="L25" s="8"/>
      <c r="M25" s="8">
        <f t="shared" ref="M25" si="14">M11*M$21</f>
        <v>1.3519999999999999</v>
      </c>
      <c r="N25" s="8">
        <f t="shared" si="11"/>
        <v>0.3</v>
      </c>
      <c r="O25" s="8"/>
      <c r="P25" s="8">
        <f t="shared" si="5"/>
        <v>3.4910000000000001</v>
      </c>
      <c r="Q25" s="8"/>
      <c r="R25" s="8">
        <f t="shared" si="12"/>
        <v>1.2370000000000001</v>
      </c>
      <c r="S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x14ac:dyDescent="0.3">
      <c r="A26" s="8">
        <f t="shared" si="6"/>
        <v>137.71</v>
      </c>
      <c r="B26" s="8">
        <f t="shared" si="7"/>
        <v>8.7200000000000006</v>
      </c>
      <c r="C26" s="8">
        <f t="shared" si="8"/>
        <v>112.65</v>
      </c>
      <c r="D26" s="8">
        <f t="shared" si="0"/>
        <v>13.3</v>
      </c>
      <c r="E26" s="8">
        <f t="shared" si="1"/>
        <v>102.24</v>
      </c>
      <c r="G26" t="s">
        <v>10</v>
      </c>
      <c r="H26" s="8">
        <f t="shared" si="9"/>
        <v>13</v>
      </c>
      <c r="I26" s="8">
        <f t="shared" si="2"/>
        <v>99.654000000000011</v>
      </c>
      <c r="J26" s="8"/>
      <c r="K26" s="8">
        <f t="shared" si="3"/>
        <v>13.445364800000002</v>
      </c>
      <c r="L26" s="8"/>
      <c r="M26" s="8">
        <f t="shared" ref="M26" si="15">M12*M$21</f>
        <v>1.3519999999999999</v>
      </c>
      <c r="N26" s="8">
        <f t="shared" si="11"/>
        <v>0.3</v>
      </c>
      <c r="O26" s="8"/>
      <c r="P26" s="8">
        <f t="shared" si="5"/>
        <v>8.7210000000000001</v>
      </c>
      <c r="Q26" s="8"/>
      <c r="R26" s="8">
        <f t="shared" si="12"/>
        <v>1.2370000000000001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x14ac:dyDescent="0.3">
      <c r="A27" s="8">
        <f t="shared" si="6"/>
        <v>127.64</v>
      </c>
      <c r="B27" s="8">
        <f t="shared" si="7"/>
        <v>-2.6</v>
      </c>
      <c r="C27" s="8">
        <f t="shared" si="8"/>
        <v>121.03</v>
      </c>
      <c r="D27" s="8">
        <f t="shared" si="0"/>
        <v>13.3</v>
      </c>
      <c r="E27" s="8">
        <f t="shared" si="1"/>
        <v>107.29</v>
      </c>
      <c r="G27" t="s">
        <v>11</v>
      </c>
      <c r="H27" s="8">
        <f t="shared" si="9"/>
        <v>13</v>
      </c>
      <c r="I27" s="8">
        <f t="shared" si="2"/>
        <v>108.033</v>
      </c>
      <c r="J27" s="8"/>
      <c r="K27" s="8">
        <f>(SUM(H27:I27)+SUM(M27:R27))*K13</f>
        <v>9.6512548000000002</v>
      </c>
      <c r="L27" s="8"/>
      <c r="M27" s="8">
        <f t="shared" ref="M27" si="16">M13*M$21</f>
        <v>1.3519999999999999</v>
      </c>
      <c r="N27" s="8">
        <f t="shared" si="11"/>
        <v>0.3</v>
      </c>
      <c r="O27" s="8"/>
      <c r="P27" s="8">
        <f t="shared" si="5"/>
        <v>-2.6020000000000003</v>
      </c>
      <c r="Q27" s="8"/>
      <c r="R27" s="8">
        <f t="shared" si="12"/>
        <v>-2.097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x14ac:dyDescent="0.3">
      <c r="A28" s="8">
        <f t="shared" si="6"/>
        <v>0</v>
      </c>
      <c r="B28" s="8">
        <f t="shared" si="7"/>
        <v>0</v>
      </c>
      <c r="C28" s="8">
        <f t="shared" si="8"/>
        <v>0</v>
      </c>
      <c r="D28" s="8">
        <f t="shared" si="0"/>
        <v>0</v>
      </c>
      <c r="E28" s="8">
        <f t="shared" si="1"/>
        <v>0</v>
      </c>
      <c r="G28" t="s">
        <v>12</v>
      </c>
      <c r="H28" s="8">
        <f t="shared" si="9"/>
        <v>0</v>
      </c>
      <c r="I28" s="8">
        <f t="shared" si="2"/>
        <v>0</v>
      </c>
      <c r="J28" s="8"/>
      <c r="K28" s="8">
        <f t="shared" ref="K28:K33" si="17">(SUM(H28:I28)+SUM(M28:R28))*K14</f>
        <v>0</v>
      </c>
      <c r="L28" s="8"/>
      <c r="M28" s="8">
        <f t="shared" ref="M28" si="18">M14*M$21</f>
        <v>0</v>
      </c>
      <c r="N28" s="8">
        <f t="shared" si="11"/>
        <v>0</v>
      </c>
      <c r="O28" s="8"/>
      <c r="P28" s="8">
        <f t="shared" si="5"/>
        <v>0</v>
      </c>
      <c r="Q28" s="8"/>
      <c r="R28" s="8">
        <f t="shared" si="12"/>
        <v>0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x14ac:dyDescent="0.3">
      <c r="A29" s="8">
        <f t="shared" si="6"/>
        <v>0</v>
      </c>
      <c r="B29" s="8">
        <f t="shared" si="7"/>
        <v>0</v>
      </c>
      <c r="C29" s="8">
        <f t="shared" si="8"/>
        <v>0</v>
      </c>
      <c r="D29" s="8">
        <f t="shared" si="0"/>
        <v>0</v>
      </c>
      <c r="E29" s="8">
        <f t="shared" si="1"/>
        <v>0</v>
      </c>
      <c r="G29" t="s">
        <v>13</v>
      </c>
      <c r="H29" s="8">
        <f t="shared" si="9"/>
        <v>0</v>
      </c>
      <c r="I29" s="8">
        <f t="shared" si="2"/>
        <v>0</v>
      </c>
      <c r="J29" s="8"/>
      <c r="K29" s="8">
        <f t="shared" si="17"/>
        <v>0</v>
      </c>
      <c r="L29" s="8"/>
      <c r="M29" s="8">
        <f t="shared" si="2"/>
        <v>0</v>
      </c>
      <c r="N29" s="8">
        <f t="shared" si="11"/>
        <v>0</v>
      </c>
      <c r="O29" s="8"/>
      <c r="P29" s="8">
        <f t="shared" si="5"/>
        <v>0</v>
      </c>
      <c r="Q29" s="8"/>
      <c r="R29" s="8">
        <f t="shared" si="12"/>
        <v>0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x14ac:dyDescent="0.3">
      <c r="A30" s="8">
        <f t="shared" si="6"/>
        <v>0</v>
      </c>
      <c r="B30" s="8">
        <f t="shared" si="7"/>
        <v>0</v>
      </c>
      <c r="C30" s="8">
        <f t="shared" si="8"/>
        <v>0</v>
      </c>
      <c r="D30" s="8">
        <f t="shared" si="0"/>
        <v>0</v>
      </c>
      <c r="E30" s="8">
        <f t="shared" si="1"/>
        <v>0</v>
      </c>
      <c r="G30" t="s">
        <v>14</v>
      </c>
      <c r="H30" s="8">
        <f t="shared" si="9"/>
        <v>0</v>
      </c>
      <c r="I30" s="8">
        <f t="shared" si="2"/>
        <v>0</v>
      </c>
      <c r="J30" s="8"/>
      <c r="K30" s="8">
        <f t="shared" si="17"/>
        <v>0</v>
      </c>
      <c r="L30" s="8"/>
      <c r="M30" s="8">
        <f t="shared" si="2"/>
        <v>0</v>
      </c>
      <c r="N30" s="8">
        <f t="shared" si="9"/>
        <v>0</v>
      </c>
      <c r="O30" s="8"/>
      <c r="P30" s="8">
        <f t="shared" si="5"/>
        <v>0</v>
      </c>
      <c r="Q30" s="8"/>
      <c r="R30" s="8">
        <f t="shared" si="12"/>
        <v>0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pans="1:49" x14ac:dyDescent="0.3">
      <c r="A31" s="8">
        <f t="shared" si="6"/>
        <v>0</v>
      </c>
      <c r="B31" s="8">
        <f t="shared" si="7"/>
        <v>0</v>
      </c>
      <c r="C31" s="8">
        <f t="shared" si="8"/>
        <v>0</v>
      </c>
      <c r="D31" s="8">
        <f t="shared" si="0"/>
        <v>0</v>
      </c>
      <c r="E31" s="8">
        <f t="shared" si="1"/>
        <v>0</v>
      </c>
      <c r="G31" t="s">
        <v>15</v>
      </c>
      <c r="H31" s="8">
        <f t="shared" si="9"/>
        <v>0</v>
      </c>
      <c r="I31" s="8">
        <f t="shared" si="2"/>
        <v>0</v>
      </c>
      <c r="J31" s="8"/>
      <c r="K31" s="8">
        <f t="shared" si="17"/>
        <v>0</v>
      </c>
      <c r="L31" s="8"/>
      <c r="M31" s="8">
        <f t="shared" ref="M31" si="19">M17*M$21</f>
        <v>0</v>
      </c>
      <c r="N31" s="8">
        <f t="shared" si="11"/>
        <v>0</v>
      </c>
      <c r="O31" s="8"/>
      <c r="P31" s="8">
        <f t="shared" si="5"/>
        <v>0</v>
      </c>
      <c r="Q31" s="8"/>
      <c r="R31" s="8">
        <f t="shared" si="12"/>
        <v>0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49" x14ac:dyDescent="0.3">
      <c r="A32" s="8">
        <f t="shared" si="6"/>
        <v>0</v>
      </c>
      <c r="B32" s="8">
        <f t="shared" si="7"/>
        <v>0</v>
      </c>
      <c r="C32" s="8">
        <f t="shared" si="8"/>
        <v>0</v>
      </c>
      <c r="D32" s="8">
        <f t="shared" si="0"/>
        <v>0</v>
      </c>
      <c r="E32" s="8">
        <f t="shared" si="1"/>
        <v>0</v>
      </c>
      <c r="G32" t="s">
        <v>16</v>
      </c>
      <c r="H32" s="8">
        <f t="shared" si="9"/>
        <v>0</v>
      </c>
      <c r="I32" s="8">
        <f t="shared" si="2"/>
        <v>0</v>
      </c>
      <c r="J32" s="8"/>
      <c r="K32" s="8">
        <f t="shared" si="17"/>
        <v>0</v>
      </c>
      <c r="L32" s="8"/>
      <c r="M32" s="8">
        <f t="shared" ref="M32" si="20">M18*M$21</f>
        <v>0</v>
      </c>
      <c r="N32" s="8">
        <f t="shared" si="11"/>
        <v>0</v>
      </c>
      <c r="O32" s="8"/>
      <c r="P32" s="8">
        <f t="shared" si="5"/>
        <v>0</v>
      </c>
      <c r="Q32" s="8"/>
      <c r="R32" s="8">
        <f t="shared" si="12"/>
        <v>0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x14ac:dyDescent="0.3">
      <c r="A33" s="8">
        <f t="shared" si="6"/>
        <v>0</v>
      </c>
      <c r="B33" s="8">
        <f t="shared" si="7"/>
        <v>0</v>
      </c>
      <c r="C33" s="8">
        <f t="shared" si="8"/>
        <v>0</v>
      </c>
      <c r="D33" s="8">
        <f t="shared" si="0"/>
        <v>0</v>
      </c>
      <c r="E33" s="8">
        <f t="shared" si="1"/>
        <v>0</v>
      </c>
      <c r="G33" t="s">
        <v>17</v>
      </c>
      <c r="H33" s="8">
        <f t="shared" si="9"/>
        <v>0</v>
      </c>
      <c r="I33" s="8">
        <f t="shared" si="2"/>
        <v>0</v>
      </c>
      <c r="J33" s="8"/>
      <c r="K33" s="8">
        <f t="shared" si="17"/>
        <v>0</v>
      </c>
      <c r="L33" s="8"/>
      <c r="M33" s="8">
        <f t="shared" ref="M33" si="21">M19*M$21</f>
        <v>0</v>
      </c>
      <c r="N33" s="8">
        <f t="shared" si="11"/>
        <v>0</v>
      </c>
      <c r="O33" s="8"/>
      <c r="P33" s="8">
        <f t="shared" si="5"/>
        <v>0</v>
      </c>
      <c r="Q33" s="8"/>
      <c r="R33" s="8">
        <f t="shared" si="12"/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6" spans="1:49" ht="15" thickBot="1" x14ac:dyDescent="0.35">
      <c r="E36" s="38"/>
    </row>
    <row r="37" spans="1:49" x14ac:dyDescent="0.3">
      <c r="A37" s="39" t="s">
        <v>155</v>
      </c>
      <c r="E37" s="39" t="s">
        <v>156</v>
      </c>
    </row>
    <row r="38" spans="1:49" x14ac:dyDescent="0.3">
      <c r="A38" s="40">
        <f>ROUND((SUM(H27:I27)+SUM(M27:R27))*E38,2)</f>
        <v>1.32</v>
      </c>
      <c r="B38" t="s">
        <v>157</v>
      </c>
      <c r="E38" s="41">
        <v>1.1224E-2</v>
      </c>
      <c r="H38" s="42"/>
    </row>
    <row r="39" spans="1:49" x14ac:dyDescent="0.3">
      <c r="A39" s="40">
        <f>ROUND((SUM(H27:I27)+SUM(M27:R27))*E39,2)</f>
        <v>3.63</v>
      </c>
      <c r="B39" t="s">
        <v>158</v>
      </c>
      <c r="E39" s="41">
        <v>3.0764E-2</v>
      </c>
    </row>
    <row r="40" spans="1:49" x14ac:dyDescent="0.3">
      <c r="A40" s="40">
        <f>ROUND((SUM(H27:I27)+SUM(M27:R27))*E40,2)</f>
        <v>2.72</v>
      </c>
      <c r="B40" t="s">
        <v>159</v>
      </c>
      <c r="E40" s="41">
        <v>2.3061000000000002E-2</v>
      </c>
    </row>
    <row r="41" spans="1:49" x14ac:dyDescent="0.3">
      <c r="A41" s="40">
        <f>ROUND((SUM(H27:I27)+SUM(M27:R27))*E41,2)</f>
        <v>2.25</v>
      </c>
      <c r="B41" t="s">
        <v>160</v>
      </c>
      <c r="E41" s="41">
        <v>1.9066E-2</v>
      </c>
    </row>
    <row r="42" spans="1:49" ht="15" thickBot="1" x14ac:dyDescent="0.35">
      <c r="A42" s="43">
        <f>ROUND((SUM(H27:I27)+SUM(M27:R27))*E42,2)</f>
        <v>2.33</v>
      </c>
      <c r="B42" t="s">
        <v>165</v>
      </c>
      <c r="E42" s="44">
        <v>1.9716000000000001E-2</v>
      </c>
    </row>
  </sheetData>
  <mergeCells count="15">
    <mergeCell ref="AT4:AU4"/>
    <mergeCell ref="AV4:AW4"/>
    <mergeCell ref="AD4:AE4"/>
    <mergeCell ref="AF4:AG4"/>
    <mergeCell ref="Z3:AB3"/>
    <mergeCell ref="AD3:AG3"/>
    <mergeCell ref="AI3:AJ3"/>
    <mergeCell ref="H2:I2"/>
    <mergeCell ref="Z2:AB2"/>
    <mergeCell ref="AT2:AW2"/>
    <mergeCell ref="AT3:AW3"/>
    <mergeCell ref="H3:I3"/>
    <mergeCell ref="M2:N2"/>
    <mergeCell ref="AD2:AG2"/>
    <mergeCell ref="AI2:AJ2"/>
  </mergeCells>
  <phoneticPr fontId="16" type="noConversion"/>
  <pageMargins left="0.2" right="0.2" top="1.5" bottom="0.75" header="1" footer="0.3"/>
  <pageSetup scale="26" orientation="landscape" r:id="rId1"/>
  <headerFooter>
    <oddHeader>&amp;R&amp;"Times New Roman,Bold"&amp;10KyPSC Case No. 2024-00152
SIERRA-DR-01-050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7"/>
  <sheetViews>
    <sheetView view="pageLayout" zoomScaleNormal="75" zoomScaleSheetLayoutView="87" workbookViewId="0">
      <selection activeCell="Z12" sqref="Z12"/>
    </sheetView>
  </sheetViews>
  <sheetFormatPr defaultRowHeight="14.4" x14ac:dyDescent="0.3"/>
  <cols>
    <col min="1" max="1" width="21.77734375" customWidth="1"/>
    <col min="2" max="2" width="15.21875" customWidth="1"/>
    <col min="3" max="3" width="12.21875" customWidth="1"/>
    <col min="4" max="4" width="13.44140625" customWidth="1"/>
    <col min="5" max="5" width="11.5546875" customWidth="1"/>
    <col min="6" max="6" width="2.77734375" customWidth="1"/>
    <col min="7" max="7" width="9.21875"/>
    <col min="8" max="9" width="9.44140625" bestFit="1" customWidth="1"/>
    <col min="10" max="10" width="10.44140625" bestFit="1" customWidth="1"/>
    <col min="11" max="11" width="11.5546875" customWidth="1"/>
    <col min="12" max="14" width="15.77734375" customWidth="1"/>
    <col min="15" max="15" width="2.77734375" customWidth="1"/>
    <col min="16" max="16" width="18.5546875" customWidth="1"/>
    <col min="17" max="17" width="2.77734375" customWidth="1"/>
    <col min="18" max="19" width="12.21875" customWidth="1"/>
    <col min="20" max="20" width="2.77734375" customWidth="1"/>
    <col min="21" max="21" width="18.5546875" customWidth="1"/>
    <col min="22" max="22" width="2.77734375" customWidth="1"/>
    <col min="23" max="23" width="21.44140625" customWidth="1"/>
    <col min="24" max="24" width="2.77734375" customWidth="1"/>
    <col min="25" max="25" width="12.5546875" bestFit="1" customWidth="1"/>
    <col min="26" max="26" width="2.77734375" customWidth="1"/>
    <col min="27" max="27" width="24.88671875" bestFit="1" customWidth="1"/>
    <col min="28" max="28" width="2.77734375" customWidth="1"/>
    <col min="29" max="29" width="12.21875" customWidth="1"/>
    <col min="30" max="30" width="19.21875" customWidth="1"/>
    <col min="31" max="31" width="12.44140625" customWidth="1"/>
    <col min="32" max="32" width="2.77734375" customWidth="1"/>
    <col min="33" max="33" width="12.44140625" bestFit="1" customWidth="1"/>
    <col min="34" max="34" width="12.21875" customWidth="1"/>
    <col min="35" max="35" width="2.77734375" customWidth="1"/>
    <col min="36" max="36" width="15.44140625" bestFit="1" customWidth="1"/>
    <col min="37" max="37" width="14.44140625" customWidth="1"/>
    <col min="38" max="38" width="2.77734375" customWidth="1"/>
    <col min="39" max="39" width="15.5546875" bestFit="1" customWidth="1"/>
    <col min="40" max="40" width="2.77734375" customWidth="1"/>
    <col min="41" max="41" width="15.5546875" bestFit="1" customWidth="1"/>
    <col min="42" max="42" width="2.77734375" customWidth="1"/>
    <col min="43" max="43" width="15.5546875" bestFit="1" customWidth="1"/>
    <col min="44" max="44" width="2.77734375" customWidth="1"/>
    <col min="45" max="45" width="15.5546875" bestFit="1" customWidth="1"/>
    <col min="46" max="46" width="2.77734375" customWidth="1"/>
    <col min="47" max="47" width="12.44140625" bestFit="1" customWidth="1"/>
    <col min="48" max="48" width="11.5546875" bestFit="1" customWidth="1"/>
    <col min="49" max="49" width="12.44140625" bestFit="1" customWidth="1"/>
    <col min="50" max="50" width="11.5546875" bestFit="1" customWidth="1"/>
    <col min="51" max="58" width="9.21875"/>
  </cols>
  <sheetData>
    <row r="1" spans="1:50" x14ac:dyDescent="0.3">
      <c r="A1" t="s">
        <v>27</v>
      </c>
      <c r="C1" s="33"/>
      <c r="D1" s="33"/>
      <c r="E1" s="33"/>
      <c r="F1" s="33"/>
    </row>
    <row r="2" spans="1:50" x14ac:dyDescent="0.3">
      <c r="B2" s="33"/>
      <c r="C2" s="33"/>
      <c r="D2" s="33"/>
      <c r="E2" s="33"/>
      <c r="F2" s="33"/>
      <c r="H2" s="68" t="s">
        <v>36</v>
      </c>
      <c r="I2" s="68"/>
      <c r="J2" s="68"/>
      <c r="K2" s="68"/>
      <c r="L2" s="68"/>
      <c r="M2" s="68"/>
      <c r="N2" s="68"/>
      <c r="P2" s="1" t="s">
        <v>74</v>
      </c>
      <c r="R2" s="68" t="s">
        <v>32</v>
      </c>
      <c r="S2" s="68"/>
      <c r="T2" s="1"/>
      <c r="U2" s="1" t="s">
        <v>40</v>
      </c>
      <c r="W2" s="1" t="s">
        <v>41</v>
      </c>
      <c r="X2" s="1"/>
      <c r="Y2" s="1"/>
      <c r="Z2" s="1"/>
      <c r="AA2" s="1"/>
      <c r="AC2" s="68"/>
      <c r="AD2" s="68"/>
      <c r="AE2" s="68"/>
      <c r="AG2" s="68"/>
      <c r="AH2" s="68"/>
      <c r="AJ2" s="68"/>
      <c r="AK2" s="68"/>
      <c r="AM2" s="1"/>
      <c r="AN2" s="1"/>
      <c r="AO2" s="1"/>
      <c r="AP2" s="1"/>
      <c r="AQ2" s="1"/>
      <c r="AR2" s="1"/>
      <c r="AS2" s="1"/>
      <c r="AU2" s="68"/>
      <c r="AV2" s="68"/>
      <c r="AW2" s="68"/>
      <c r="AX2" s="68"/>
    </row>
    <row r="3" spans="1:50" x14ac:dyDescent="0.3">
      <c r="H3" s="68"/>
      <c r="I3" s="68"/>
      <c r="J3" s="68"/>
      <c r="K3" s="68"/>
      <c r="L3" s="1"/>
      <c r="M3" s="1"/>
      <c r="N3" s="1"/>
      <c r="P3" s="1" t="s">
        <v>76</v>
      </c>
      <c r="R3" s="1" t="s">
        <v>29</v>
      </c>
      <c r="S3" s="1" t="s">
        <v>33</v>
      </c>
      <c r="T3" s="1"/>
      <c r="U3" s="1" t="s">
        <v>30</v>
      </c>
      <c r="W3" s="1" t="s">
        <v>31</v>
      </c>
      <c r="X3" s="1"/>
      <c r="Y3" s="1"/>
      <c r="Z3" s="1"/>
      <c r="AA3" s="1" t="s">
        <v>104</v>
      </c>
      <c r="AC3" s="68"/>
      <c r="AD3" s="68"/>
      <c r="AE3" s="68"/>
      <c r="AG3" s="68"/>
      <c r="AH3" s="68"/>
      <c r="AJ3" s="68"/>
      <c r="AK3" s="68"/>
      <c r="AM3" s="1"/>
      <c r="AN3" s="1"/>
      <c r="AO3" s="1"/>
      <c r="AP3" s="1"/>
      <c r="AQ3" s="1"/>
      <c r="AR3" s="1"/>
      <c r="AS3" s="1"/>
      <c r="AU3" s="68"/>
      <c r="AV3" s="68"/>
      <c r="AW3" s="68"/>
      <c r="AX3" s="68"/>
    </row>
    <row r="4" spans="1:50" x14ac:dyDescent="0.3">
      <c r="H4" s="68" t="s">
        <v>0</v>
      </c>
      <c r="I4" s="68"/>
      <c r="J4" s="68" t="s">
        <v>23</v>
      </c>
      <c r="K4" s="68"/>
      <c r="L4" s="1" t="s">
        <v>4</v>
      </c>
      <c r="M4" s="1" t="s">
        <v>4</v>
      </c>
      <c r="N4" s="1" t="s">
        <v>4</v>
      </c>
      <c r="P4" s="1" t="s">
        <v>77</v>
      </c>
      <c r="R4" s="1" t="s">
        <v>4</v>
      </c>
      <c r="S4" s="1" t="s">
        <v>0</v>
      </c>
      <c r="U4" s="1" t="s">
        <v>4</v>
      </c>
      <c r="V4" s="1"/>
      <c r="W4" s="1" t="s">
        <v>4</v>
      </c>
      <c r="Y4" s="1"/>
      <c r="AA4" s="1" t="s">
        <v>105</v>
      </c>
      <c r="AB4" s="1"/>
      <c r="AC4" s="68"/>
      <c r="AD4" s="68"/>
      <c r="AE4" s="68"/>
      <c r="AF4" s="1"/>
      <c r="AG4" s="68"/>
      <c r="AH4" s="69"/>
      <c r="AI4" s="1"/>
      <c r="AJ4" s="68"/>
      <c r="AK4" s="68"/>
      <c r="AL4" s="1"/>
      <c r="AM4" s="1"/>
      <c r="AO4" s="1"/>
      <c r="AQ4" s="1"/>
      <c r="AS4" s="1"/>
      <c r="AT4" s="1"/>
      <c r="AU4" s="68"/>
      <c r="AV4" s="68"/>
      <c r="AW4" s="68"/>
      <c r="AX4" s="68"/>
    </row>
    <row r="5" spans="1:50" ht="28.8" x14ac:dyDescent="0.3">
      <c r="H5" s="7" t="s">
        <v>22</v>
      </c>
      <c r="I5" s="7" t="s">
        <v>61</v>
      </c>
      <c r="J5" s="1" t="s">
        <v>34</v>
      </c>
      <c r="K5" s="1" t="s">
        <v>35</v>
      </c>
      <c r="L5" s="1" t="s">
        <v>37</v>
      </c>
      <c r="M5" s="1" t="s">
        <v>39</v>
      </c>
      <c r="N5" s="1" t="s">
        <v>38</v>
      </c>
      <c r="P5" s="1"/>
      <c r="R5" s="1"/>
      <c r="S5" s="1"/>
      <c r="T5" s="1"/>
      <c r="V5" s="1"/>
      <c r="AB5" s="1"/>
      <c r="AC5" s="1"/>
      <c r="AD5" s="1"/>
      <c r="AE5" s="1"/>
      <c r="AF5" s="1"/>
      <c r="AG5" s="7"/>
      <c r="AH5" s="7"/>
      <c r="AI5" s="1"/>
      <c r="AJ5" s="1"/>
      <c r="AK5" s="1"/>
      <c r="AL5" s="1"/>
      <c r="AT5" s="1"/>
      <c r="AU5" s="1"/>
      <c r="AV5" s="1"/>
      <c r="AW5" s="7"/>
      <c r="AX5" s="7"/>
    </row>
    <row r="6" spans="1:50" ht="15.6" x14ac:dyDescent="0.3">
      <c r="H6" s="1" t="s">
        <v>2</v>
      </c>
      <c r="I6" s="1" t="s">
        <v>2</v>
      </c>
      <c r="J6" s="2" t="s">
        <v>24</v>
      </c>
      <c r="K6" s="2" t="s">
        <v>24</v>
      </c>
      <c r="L6" s="2" t="s">
        <v>3</v>
      </c>
      <c r="M6" s="2" t="s">
        <v>3</v>
      </c>
      <c r="N6" s="2" t="s">
        <v>3</v>
      </c>
      <c r="P6" s="34" t="s">
        <v>75</v>
      </c>
      <c r="R6" s="2" t="s">
        <v>3</v>
      </c>
      <c r="S6" s="1" t="s">
        <v>2</v>
      </c>
      <c r="T6" s="2"/>
      <c r="U6" s="2" t="s">
        <v>3</v>
      </c>
      <c r="V6" s="2"/>
      <c r="W6" s="2" t="s">
        <v>3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x14ac:dyDescent="0.3">
      <c r="G7" s="33" t="s">
        <v>5</v>
      </c>
    </row>
    <row r="8" spans="1:50" x14ac:dyDescent="0.3">
      <c r="G8" t="s">
        <v>1</v>
      </c>
      <c r="H8" s="4">
        <v>15</v>
      </c>
      <c r="I8" s="4">
        <v>30</v>
      </c>
      <c r="J8" s="4">
        <v>0</v>
      </c>
      <c r="K8" s="4">
        <v>10.210000000000001</v>
      </c>
      <c r="L8" s="3">
        <v>0.101188</v>
      </c>
      <c r="M8" s="3">
        <v>6.2800999999999996E-2</v>
      </c>
      <c r="N8" s="3">
        <v>5.1750999999999998E-2</v>
      </c>
      <c r="P8" s="35">
        <v>0.1905</v>
      </c>
      <c r="R8" s="3">
        <v>3.503E-3</v>
      </c>
      <c r="S8" s="4">
        <v>0</v>
      </c>
      <c r="U8" s="3">
        <f>RS!$P8</f>
        <v>1.457E-2</v>
      </c>
      <c r="W8" s="3">
        <f>RS!R8</f>
        <v>-3.7000000000000002E-3</v>
      </c>
      <c r="AA8" s="3">
        <v>2.5401E-2</v>
      </c>
      <c r="AB8" s="3"/>
      <c r="AC8" s="5"/>
      <c r="AD8" s="5"/>
      <c r="AE8" s="5"/>
      <c r="AF8" s="3"/>
      <c r="AG8" s="3"/>
      <c r="AH8" s="3"/>
      <c r="AI8" s="3"/>
      <c r="AJ8" s="6"/>
      <c r="AK8" s="6"/>
      <c r="AL8" s="3"/>
      <c r="AN8" s="3"/>
      <c r="AR8" s="3"/>
      <c r="AT8" s="3"/>
      <c r="AU8" s="3"/>
      <c r="AV8" s="3"/>
      <c r="AW8" s="3"/>
      <c r="AX8" s="3"/>
    </row>
    <row r="9" spans="1:50" x14ac:dyDescent="0.3">
      <c r="G9" t="s">
        <v>7</v>
      </c>
      <c r="H9" s="4">
        <v>15</v>
      </c>
      <c r="I9" s="4">
        <v>30</v>
      </c>
      <c r="J9" s="4">
        <v>0</v>
      </c>
      <c r="K9" s="4">
        <v>10.210000000000001</v>
      </c>
      <c r="L9" s="3">
        <v>0.101188</v>
      </c>
      <c r="M9" s="3">
        <v>6.2800999999999996E-2</v>
      </c>
      <c r="N9" s="3">
        <v>5.1750999999999998E-2</v>
      </c>
      <c r="P9" s="35">
        <v>0.23200000000000001</v>
      </c>
      <c r="R9" s="3">
        <v>3.503E-3</v>
      </c>
      <c r="S9" s="4">
        <v>0</v>
      </c>
      <c r="U9" s="3">
        <f>RS!$P9</f>
        <v>5.4949999999999999E-3</v>
      </c>
      <c r="W9" s="3">
        <f>RS!R9</f>
        <v>-3.7000000000000002E-3</v>
      </c>
      <c r="AA9" s="3">
        <v>2.5401E-2</v>
      </c>
      <c r="AC9" s="5"/>
      <c r="AD9" s="5"/>
      <c r="AE9" s="5"/>
      <c r="AG9" s="3"/>
      <c r="AH9" s="3"/>
      <c r="AJ9" s="6"/>
      <c r="AK9" s="6"/>
      <c r="AM9" s="4"/>
      <c r="AO9" s="3"/>
      <c r="AQ9" s="3"/>
      <c r="AS9" s="4"/>
      <c r="AU9" s="3"/>
      <c r="AV9" s="3"/>
      <c r="AW9" s="3"/>
      <c r="AX9" s="3"/>
    </row>
    <row r="10" spans="1:50" x14ac:dyDescent="0.3">
      <c r="G10" t="s">
        <v>8</v>
      </c>
      <c r="H10" s="4">
        <v>15</v>
      </c>
      <c r="I10" s="4">
        <v>30</v>
      </c>
      <c r="J10" s="4">
        <v>0</v>
      </c>
      <c r="K10" s="4">
        <v>10.210000000000001</v>
      </c>
      <c r="L10" s="3">
        <v>0.101188</v>
      </c>
      <c r="M10" s="3">
        <v>6.2800999999999996E-2</v>
      </c>
      <c r="N10" s="3">
        <v>5.1750999999999998E-2</v>
      </c>
      <c r="P10" s="35">
        <v>7.1599999999999997E-2</v>
      </c>
      <c r="R10" s="3">
        <v>3.503E-3</v>
      </c>
      <c r="S10" s="4">
        <v>0</v>
      </c>
      <c r="U10" s="3">
        <f>RS!$P10</f>
        <v>9.3720000000000001E-3</v>
      </c>
      <c r="W10" s="3">
        <f>RS!R10</f>
        <v>-1.237E-3</v>
      </c>
      <c r="AA10" s="3">
        <v>2.5401E-2</v>
      </c>
      <c r="AC10" s="5"/>
      <c r="AD10" s="5"/>
      <c r="AE10" s="5"/>
      <c r="AG10" s="3"/>
      <c r="AH10" s="3"/>
      <c r="AJ10" s="6"/>
      <c r="AK10" s="6"/>
      <c r="AM10" s="4"/>
      <c r="AO10" s="3"/>
      <c r="AQ10" s="3"/>
      <c r="AS10" s="4"/>
      <c r="AU10" s="3"/>
      <c r="AV10" s="3"/>
      <c r="AW10" s="3"/>
      <c r="AX10" s="3"/>
    </row>
    <row r="11" spans="1:50" x14ac:dyDescent="0.3">
      <c r="A11" s="33" t="s">
        <v>65</v>
      </c>
      <c r="G11" t="s">
        <v>9</v>
      </c>
      <c r="H11" s="4">
        <v>15</v>
      </c>
      <c r="I11" s="4">
        <v>30</v>
      </c>
      <c r="J11" s="4">
        <v>0</v>
      </c>
      <c r="K11" s="4">
        <v>10.210000000000001</v>
      </c>
      <c r="L11" s="3">
        <v>0.101188</v>
      </c>
      <c r="M11" s="3">
        <v>6.2800999999999996E-2</v>
      </c>
      <c r="N11" s="3">
        <v>5.1750999999999998E-2</v>
      </c>
      <c r="P11" s="35">
        <v>0.152</v>
      </c>
      <c r="R11" s="3">
        <v>3.503E-3</v>
      </c>
      <c r="S11" s="4">
        <v>0</v>
      </c>
      <c r="U11" s="3">
        <f>RS!$P11</f>
        <v>3.4910000000000002E-3</v>
      </c>
      <c r="W11" s="3">
        <f>RS!R11</f>
        <v>-1.237E-3</v>
      </c>
      <c r="AA11" s="3">
        <v>2.5401E-2</v>
      </c>
    </row>
    <row r="12" spans="1:50" x14ac:dyDescent="0.3">
      <c r="A12" s="45" t="s">
        <v>73</v>
      </c>
      <c r="G12" t="s">
        <v>10</v>
      </c>
      <c r="H12" s="4">
        <v>15</v>
      </c>
      <c r="I12" s="4">
        <v>30</v>
      </c>
      <c r="J12" s="4">
        <v>0</v>
      </c>
      <c r="K12" s="4">
        <v>10.210000000000001</v>
      </c>
      <c r="L12" s="3">
        <v>0.101188</v>
      </c>
      <c r="M12" s="3">
        <v>6.2800999999999996E-2</v>
      </c>
      <c r="N12" s="3">
        <v>5.1750999999999998E-2</v>
      </c>
      <c r="P12" s="35">
        <v>0.17419999999999999</v>
      </c>
      <c r="R12" s="3">
        <v>3.503E-3</v>
      </c>
      <c r="S12" s="4">
        <v>0</v>
      </c>
      <c r="U12" s="3">
        <f>RS!$P12</f>
        <v>8.7209999999999996E-3</v>
      </c>
      <c r="W12" s="3">
        <f>RS!R12</f>
        <v>-1.237E-3</v>
      </c>
      <c r="AA12" s="3">
        <v>2.5401E-2</v>
      </c>
    </row>
    <row r="13" spans="1:50" x14ac:dyDescent="0.3">
      <c r="A13" s="33" t="s">
        <v>64</v>
      </c>
      <c r="G13" t="s">
        <v>11</v>
      </c>
      <c r="H13" s="4">
        <v>15</v>
      </c>
      <c r="I13" s="4">
        <v>30</v>
      </c>
      <c r="J13" s="4">
        <v>0</v>
      </c>
      <c r="K13" s="4">
        <v>10.210000000000001</v>
      </c>
      <c r="L13" s="3">
        <v>0.109567</v>
      </c>
      <c r="M13" s="3">
        <v>7.1179999999999993E-2</v>
      </c>
      <c r="N13" s="3">
        <v>6.0130000000000003E-2</v>
      </c>
      <c r="P13" s="35">
        <v>0.1308</v>
      </c>
      <c r="R13" s="3">
        <v>3.503E-3</v>
      </c>
      <c r="S13" s="4">
        <v>0</v>
      </c>
      <c r="U13" s="3">
        <f>RS!$P13</f>
        <v>-2.6020000000000001E-3</v>
      </c>
      <c r="W13" s="3">
        <f>RS!R13</f>
        <v>2.0969999999999999E-3</v>
      </c>
      <c r="AA13" s="3">
        <v>3.3779999999999998E-2</v>
      </c>
      <c r="AC13" s="3"/>
    </row>
    <row r="14" spans="1:50" x14ac:dyDescent="0.3">
      <c r="A14" s="33">
        <v>1</v>
      </c>
      <c r="G14" t="s">
        <v>12</v>
      </c>
      <c r="H14" s="4"/>
      <c r="I14" s="4"/>
      <c r="J14" s="4"/>
      <c r="K14" s="4"/>
      <c r="L14" s="3"/>
      <c r="M14" s="3"/>
      <c r="N14" s="3"/>
      <c r="P14" s="35"/>
      <c r="R14" s="3"/>
      <c r="S14" s="4"/>
      <c r="U14" s="3"/>
      <c r="W14" s="3"/>
      <c r="AA14" s="3"/>
    </row>
    <row r="15" spans="1:50" x14ac:dyDescent="0.3">
      <c r="A15" s="33" t="s">
        <v>25</v>
      </c>
      <c r="G15" t="s">
        <v>13</v>
      </c>
      <c r="H15" s="4"/>
      <c r="I15" s="4"/>
      <c r="J15" s="4"/>
      <c r="K15" s="4"/>
      <c r="L15" s="3"/>
      <c r="M15" s="3"/>
      <c r="N15" s="3"/>
      <c r="P15" s="35"/>
      <c r="R15" s="3"/>
      <c r="S15" s="4"/>
      <c r="U15" s="3"/>
      <c r="W15" s="3"/>
      <c r="AA15" s="3"/>
    </row>
    <row r="16" spans="1:50" x14ac:dyDescent="0.3">
      <c r="A16" s="33">
        <v>30</v>
      </c>
      <c r="G16" t="s">
        <v>14</v>
      </c>
      <c r="H16" s="4"/>
      <c r="I16" s="4"/>
      <c r="J16" s="4"/>
      <c r="K16" s="4"/>
      <c r="L16" s="3"/>
      <c r="M16" s="3"/>
      <c r="N16" s="3"/>
      <c r="P16" s="35"/>
      <c r="R16" s="3"/>
      <c r="S16" s="4"/>
      <c r="U16" s="3"/>
      <c r="W16" s="3"/>
      <c r="AA16" s="3"/>
    </row>
    <row r="17" spans="1:50" x14ac:dyDescent="0.3">
      <c r="A17" s="33" t="s">
        <v>18</v>
      </c>
      <c r="G17" t="s">
        <v>15</v>
      </c>
      <c r="H17" s="4"/>
      <c r="I17" s="4"/>
      <c r="J17" s="4"/>
      <c r="K17" s="4"/>
      <c r="L17" s="3"/>
      <c r="M17" s="3"/>
      <c r="N17" s="3"/>
      <c r="P17" s="35"/>
      <c r="R17" s="3"/>
      <c r="S17" s="4"/>
      <c r="U17" s="3"/>
      <c r="W17" s="3"/>
      <c r="AA17" s="3"/>
    </row>
    <row r="18" spans="1:50" x14ac:dyDescent="0.3">
      <c r="A18" s="46">
        <v>9000</v>
      </c>
      <c r="G18" t="s">
        <v>16</v>
      </c>
      <c r="H18" s="4"/>
      <c r="I18" s="4"/>
      <c r="J18" s="4"/>
      <c r="K18" s="4"/>
      <c r="L18" s="3"/>
      <c r="M18" s="3"/>
      <c r="N18" s="3"/>
      <c r="P18" s="35"/>
      <c r="R18" s="3"/>
      <c r="S18" s="4"/>
      <c r="U18" s="3"/>
      <c r="W18" s="3"/>
      <c r="AA18" s="3"/>
    </row>
    <row r="19" spans="1:50" x14ac:dyDescent="0.3">
      <c r="A19" s="33" t="s">
        <v>48</v>
      </c>
      <c r="G19" t="s">
        <v>17</v>
      </c>
      <c r="H19" s="4"/>
      <c r="I19" s="4"/>
      <c r="J19" s="4"/>
      <c r="K19" s="4"/>
      <c r="L19" s="3"/>
      <c r="M19" s="3"/>
      <c r="N19" s="3"/>
      <c r="P19" s="35"/>
      <c r="R19" s="3"/>
      <c r="S19" s="4"/>
      <c r="U19" s="3"/>
      <c r="W19" s="3"/>
      <c r="AA19" s="3"/>
    </row>
    <row r="20" spans="1:50" x14ac:dyDescent="0.3">
      <c r="A20" s="47">
        <f>ROUND(IF($A$12="n",$A$18,$A$18*0.985),0)</f>
        <v>9000</v>
      </c>
      <c r="B20" s="1" t="s">
        <v>20</v>
      </c>
      <c r="C20" s="1"/>
      <c r="D20" s="1" t="s">
        <v>0</v>
      </c>
      <c r="E20" s="1" t="s">
        <v>4</v>
      </c>
      <c r="L20" s="38"/>
    </row>
    <row r="21" spans="1:50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48" t="s">
        <v>26</v>
      </c>
      <c r="H21" s="9">
        <f>IF($A$14=1,1,0)</f>
        <v>1</v>
      </c>
      <c r="I21" s="9">
        <f>IF($A$14=3,1,0)</f>
        <v>0</v>
      </c>
      <c r="J21" s="37">
        <f>$A$16-K21</f>
        <v>15</v>
      </c>
      <c r="K21" s="37">
        <f>IF($A$16&gt;15,$A$16-15,0)</f>
        <v>15</v>
      </c>
      <c r="L21" s="37">
        <f>IF(A20&lt;=6000,A20,6000)</f>
        <v>6000</v>
      </c>
      <c r="M21" s="37">
        <f>IF(A20&lt;=6000,0,IF($A$20&gt;(6000+$A$16*300),$A$16*300,$A$16*300-6000+$A$20-$A$16*300))</f>
        <v>3000</v>
      </c>
      <c r="N21" s="37">
        <f>IF($A$20&gt;(M21+6000),$A$20-M21-6000,0)</f>
        <v>0</v>
      </c>
      <c r="O21" s="9"/>
      <c r="P21" s="9"/>
      <c r="Q21" s="9"/>
      <c r="R21" s="37">
        <f>$A$20</f>
        <v>9000</v>
      </c>
      <c r="S21" s="37"/>
      <c r="T21" s="37"/>
      <c r="U21" s="9">
        <f>$A$20</f>
        <v>9000</v>
      </c>
      <c r="V21" s="9"/>
      <c r="W21" s="9">
        <f>$A$20</f>
        <v>9000</v>
      </c>
      <c r="AA21" s="49">
        <f>+A18</f>
        <v>9000</v>
      </c>
      <c r="AC21" s="2"/>
      <c r="AD21" s="2"/>
      <c r="AE21" s="2"/>
      <c r="AG21" s="2"/>
      <c r="AH21" s="2"/>
      <c r="AJ21" s="2"/>
      <c r="AK21" s="2"/>
      <c r="AU21" s="2"/>
      <c r="AV21" s="2"/>
      <c r="AW21" s="2"/>
      <c r="AX21" s="2"/>
    </row>
    <row r="22" spans="1:50" x14ac:dyDescent="0.3">
      <c r="A22" s="8">
        <f t="shared" ref="A22:A23" si="0">ROUND(SUM(H22:W22),2)</f>
        <v>1312.02</v>
      </c>
      <c r="B22" s="8">
        <f>ROUND(U22,2)</f>
        <v>131.13</v>
      </c>
      <c r="C22" s="8">
        <f>ROUND(H22+J22+I22+K22,2)</f>
        <v>168.15</v>
      </c>
      <c r="D22" s="8">
        <f>ROUND(SUM(H22:I22)+S22,2)</f>
        <v>15</v>
      </c>
      <c r="E22" s="8">
        <f>ROUND(SUM(L22:N22)+R22+W22,2)</f>
        <v>860.36</v>
      </c>
      <c r="F22" s="4"/>
      <c r="G22" t="s">
        <v>1</v>
      </c>
      <c r="H22" s="8">
        <f>H8*H$21</f>
        <v>15</v>
      </c>
      <c r="I22" s="8">
        <f>I8*I$21</f>
        <v>0</v>
      </c>
      <c r="J22" s="8">
        <f t="shared" ref="J22" si="1">J8*J$21</f>
        <v>0</v>
      </c>
      <c r="K22" s="8">
        <f t="shared" ref="K22:N33" si="2">K8*K$21</f>
        <v>153.15</v>
      </c>
      <c r="L22" s="8">
        <f t="shared" si="2"/>
        <v>607.12800000000004</v>
      </c>
      <c r="M22" s="8">
        <f t="shared" si="2"/>
        <v>188.40299999999999</v>
      </c>
      <c r="N22" s="8">
        <f t="shared" si="2"/>
        <v>0</v>
      </c>
      <c r="O22" s="8"/>
      <c r="P22" s="8">
        <f>(SUM(H22:N22)+SUM(R22:W22)-U22-AA22)*P8</f>
        <v>152.38075949999995</v>
      </c>
      <c r="Q22" s="8"/>
      <c r="R22" s="8">
        <f t="shared" ref="R22:R33" si="3">R8*R$21</f>
        <v>31.527000000000001</v>
      </c>
      <c r="S22" s="8">
        <f>S8</f>
        <v>0</v>
      </c>
      <c r="T22" s="8"/>
      <c r="U22" s="8">
        <f>U8*U21</f>
        <v>131.13</v>
      </c>
      <c r="V22" s="8"/>
      <c r="W22" s="8">
        <f>-W8*W$21</f>
        <v>33.300000000000004</v>
      </c>
      <c r="X22" s="8"/>
      <c r="Y22" s="8"/>
      <c r="Z22" s="8"/>
      <c r="AA22" s="8">
        <f>AA8*AA21</f>
        <v>228.60900000000001</v>
      </c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x14ac:dyDescent="0.3">
      <c r="A23" s="8">
        <f t="shared" si="0"/>
        <v>1263.54</v>
      </c>
      <c r="B23" s="8">
        <f t="shared" ref="B23:B33" si="4">ROUND(U23,2)</f>
        <v>49.46</v>
      </c>
      <c r="C23" s="8">
        <f t="shared" ref="C23:C33" si="5">ROUND(H23+J23+I23+K23,2)</f>
        <v>168.15</v>
      </c>
      <c r="D23" s="8">
        <f t="shared" ref="D23:D33" si="6">ROUND(SUM(H23:I23)+S23,2)</f>
        <v>15</v>
      </c>
      <c r="E23" s="8">
        <f t="shared" ref="E23:E33" si="7">ROUND(SUM(L23:N23)+R23+W23,2)</f>
        <v>860.36</v>
      </c>
      <c r="G23" t="s">
        <v>7</v>
      </c>
      <c r="H23" s="8">
        <f t="shared" ref="H23:I33" si="8">H9*H$21</f>
        <v>15</v>
      </c>
      <c r="I23" s="8">
        <f t="shared" si="8"/>
        <v>0</v>
      </c>
      <c r="J23" s="8">
        <f t="shared" ref="J23" si="9">J9*J$21</f>
        <v>0</v>
      </c>
      <c r="K23" s="8">
        <f t="shared" si="2"/>
        <v>153.15</v>
      </c>
      <c r="L23" s="8">
        <f t="shared" si="2"/>
        <v>607.12800000000004</v>
      </c>
      <c r="M23" s="8">
        <f t="shared" si="2"/>
        <v>188.40299999999999</v>
      </c>
      <c r="N23" s="8">
        <f t="shared" si="2"/>
        <v>0</v>
      </c>
      <c r="O23" s="8"/>
      <c r="P23" s="8">
        <f t="shared" ref="P23:P33" si="10">(SUM(H23:N23)+SUM(R23:W23)-U23-AA23)*P9</f>
        <v>185.57656800000001</v>
      </c>
      <c r="Q23" s="8"/>
      <c r="R23" s="8">
        <f t="shared" si="3"/>
        <v>31.527000000000001</v>
      </c>
      <c r="S23" s="8">
        <f t="shared" ref="S23:S33" si="11">S9</f>
        <v>0</v>
      </c>
      <c r="T23" s="8"/>
      <c r="U23" s="8">
        <f t="shared" ref="U23:U33" si="12">U9*U$21</f>
        <v>49.454999999999998</v>
      </c>
      <c r="V23" s="8"/>
      <c r="W23" s="8">
        <f t="shared" ref="W23:W33" si="13">-W9*W$21</f>
        <v>33.300000000000004</v>
      </c>
      <c r="X23" s="8"/>
      <c r="Y23" s="8"/>
      <c r="Z23" s="8"/>
      <c r="AA23" s="8">
        <f t="shared" ref="AA23:AA33" si="14">AA9*AA$21</f>
        <v>228.60900000000001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x14ac:dyDescent="0.3">
      <c r="A24" s="8">
        <f>ROUND(SUM(H24:W24),2)</f>
        <v>1146.3699999999999</v>
      </c>
      <c r="B24" s="8">
        <f t="shared" si="4"/>
        <v>84.35</v>
      </c>
      <c r="C24" s="8">
        <f t="shared" si="5"/>
        <v>168.15</v>
      </c>
      <c r="D24" s="8">
        <f t="shared" si="6"/>
        <v>15</v>
      </c>
      <c r="E24" s="8">
        <f t="shared" si="7"/>
        <v>838.19</v>
      </c>
      <c r="G24" t="s">
        <v>8</v>
      </c>
      <c r="H24" s="8">
        <f t="shared" si="8"/>
        <v>15</v>
      </c>
      <c r="I24" s="8">
        <f t="shared" si="8"/>
        <v>0</v>
      </c>
      <c r="J24" s="8">
        <f t="shared" ref="J24" si="15">J10*J$21</f>
        <v>0</v>
      </c>
      <c r="K24" s="8">
        <f t="shared" si="2"/>
        <v>153.15</v>
      </c>
      <c r="L24" s="8">
        <f t="shared" si="2"/>
        <v>607.12800000000004</v>
      </c>
      <c r="M24" s="8">
        <f t="shared" si="2"/>
        <v>188.40299999999999</v>
      </c>
      <c r="N24" s="8">
        <f t="shared" si="2"/>
        <v>0</v>
      </c>
      <c r="O24" s="8"/>
      <c r="P24" s="8">
        <f t="shared" si="10"/>
        <v>55.685611200000004</v>
      </c>
      <c r="Q24" s="8"/>
      <c r="R24" s="8">
        <f t="shared" si="3"/>
        <v>31.527000000000001</v>
      </c>
      <c r="S24" s="8">
        <f t="shared" si="11"/>
        <v>0</v>
      </c>
      <c r="T24" s="8"/>
      <c r="U24" s="8">
        <f t="shared" si="12"/>
        <v>84.347999999999999</v>
      </c>
      <c r="V24" s="8"/>
      <c r="W24" s="8">
        <f t="shared" si="13"/>
        <v>11.133000000000001</v>
      </c>
      <c r="X24" s="8"/>
      <c r="Y24" s="8"/>
      <c r="Z24" s="8"/>
      <c r="AA24" s="8">
        <f t="shared" si="14"/>
        <v>228.60900000000001</v>
      </c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x14ac:dyDescent="0.3">
      <c r="A25" s="8">
        <f t="shared" ref="A25:A33" si="16">ROUND(SUM(H25:W25),2)</f>
        <v>1155.98</v>
      </c>
      <c r="B25" s="8">
        <f t="shared" si="4"/>
        <v>31.42</v>
      </c>
      <c r="C25" s="8">
        <f t="shared" si="5"/>
        <v>168.15</v>
      </c>
      <c r="D25" s="8">
        <f t="shared" si="6"/>
        <v>15</v>
      </c>
      <c r="E25" s="8">
        <f t="shared" si="7"/>
        <v>838.19</v>
      </c>
      <c r="G25" t="s">
        <v>9</v>
      </c>
      <c r="H25" s="8">
        <f t="shared" si="8"/>
        <v>15</v>
      </c>
      <c r="I25" s="8">
        <f t="shared" si="8"/>
        <v>0</v>
      </c>
      <c r="J25" s="8">
        <f t="shared" ref="J25" si="17">J11*J$21</f>
        <v>0</v>
      </c>
      <c r="K25" s="8">
        <f t="shared" si="2"/>
        <v>153.15</v>
      </c>
      <c r="L25" s="8">
        <f t="shared" si="2"/>
        <v>607.12800000000004</v>
      </c>
      <c r="M25" s="8">
        <f t="shared" si="2"/>
        <v>188.40299999999999</v>
      </c>
      <c r="N25" s="8">
        <f t="shared" si="2"/>
        <v>0</v>
      </c>
      <c r="O25" s="8"/>
      <c r="P25" s="8">
        <f t="shared" si="10"/>
        <v>118.21526399999999</v>
      </c>
      <c r="Q25" s="8"/>
      <c r="R25" s="8">
        <f t="shared" si="3"/>
        <v>31.527000000000001</v>
      </c>
      <c r="S25" s="8">
        <f t="shared" si="11"/>
        <v>0</v>
      </c>
      <c r="T25" s="8"/>
      <c r="U25" s="8">
        <f t="shared" si="12"/>
        <v>31.419</v>
      </c>
      <c r="V25" s="8"/>
      <c r="W25" s="8">
        <f t="shared" si="13"/>
        <v>11.133000000000001</v>
      </c>
      <c r="X25" s="8"/>
      <c r="Y25" s="8"/>
      <c r="Z25" s="8"/>
      <c r="AA25" s="8">
        <f t="shared" si="14"/>
        <v>228.60900000000001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x14ac:dyDescent="0.3">
      <c r="A26" s="8">
        <f t="shared" si="16"/>
        <v>1220.31</v>
      </c>
      <c r="B26" s="8">
        <f t="shared" si="4"/>
        <v>78.489999999999995</v>
      </c>
      <c r="C26" s="8">
        <f t="shared" si="5"/>
        <v>168.15</v>
      </c>
      <c r="D26" s="8">
        <f t="shared" si="6"/>
        <v>15</v>
      </c>
      <c r="E26" s="8">
        <f t="shared" si="7"/>
        <v>838.19</v>
      </c>
      <c r="G26" t="s">
        <v>10</v>
      </c>
      <c r="H26" s="8">
        <f t="shared" si="8"/>
        <v>15</v>
      </c>
      <c r="I26" s="8">
        <f t="shared" si="8"/>
        <v>0</v>
      </c>
      <c r="J26" s="8">
        <f t="shared" ref="J26" si="18">J12*J$21</f>
        <v>0</v>
      </c>
      <c r="K26" s="8">
        <f t="shared" si="2"/>
        <v>153.15</v>
      </c>
      <c r="L26" s="8">
        <f t="shared" si="2"/>
        <v>607.12800000000004</v>
      </c>
      <c r="M26" s="8">
        <f t="shared" si="2"/>
        <v>188.40299999999999</v>
      </c>
      <c r="N26" s="8">
        <f t="shared" si="2"/>
        <v>0</v>
      </c>
      <c r="O26" s="8"/>
      <c r="P26" s="8">
        <f t="shared" si="10"/>
        <v>135.48091439999996</v>
      </c>
      <c r="Q26" s="8"/>
      <c r="R26" s="8">
        <f t="shared" si="3"/>
        <v>31.527000000000001</v>
      </c>
      <c r="S26" s="8">
        <f t="shared" si="11"/>
        <v>0</v>
      </c>
      <c r="T26" s="8"/>
      <c r="U26" s="8">
        <f t="shared" si="12"/>
        <v>78.48899999999999</v>
      </c>
      <c r="V26" s="8"/>
      <c r="W26" s="8">
        <f t="shared" si="13"/>
        <v>11.133000000000001</v>
      </c>
      <c r="X26" s="8"/>
      <c r="Y26" s="8"/>
      <c r="Z26" s="8"/>
      <c r="AA26" s="8">
        <f t="shared" si="14"/>
        <v>228.60900000000001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x14ac:dyDescent="0.3">
      <c r="A27" s="8">
        <f t="shared" si="16"/>
        <v>1126.1300000000001</v>
      </c>
      <c r="B27" s="8">
        <f t="shared" si="4"/>
        <v>-23.42</v>
      </c>
      <c r="C27" s="8">
        <f t="shared" si="5"/>
        <v>168.15</v>
      </c>
      <c r="D27" s="8">
        <f t="shared" si="6"/>
        <v>15</v>
      </c>
      <c r="E27" s="8">
        <f t="shared" si="7"/>
        <v>883.6</v>
      </c>
      <c r="G27" t="s">
        <v>11</v>
      </c>
      <c r="H27" s="8">
        <f t="shared" si="8"/>
        <v>15</v>
      </c>
      <c r="I27" s="8">
        <f t="shared" si="8"/>
        <v>0</v>
      </c>
      <c r="J27" s="8">
        <f t="shared" ref="J27" si="19">J13*J$21</f>
        <v>0</v>
      </c>
      <c r="K27" s="8">
        <f t="shared" si="2"/>
        <v>153.15</v>
      </c>
      <c r="L27" s="8">
        <f t="shared" si="2"/>
        <v>657.40199999999993</v>
      </c>
      <c r="M27" s="8">
        <f t="shared" si="2"/>
        <v>213.54</v>
      </c>
      <c r="N27" s="8">
        <f t="shared" si="2"/>
        <v>0</v>
      </c>
      <c r="O27" s="8"/>
      <c r="P27" s="8">
        <f t="shared" si="10"/>
        <v>97.802560799999981</v>
      </c>
      <c r="Q27" s="8"/>
      <c r="R27" s="8">
        <f t="shared" si="3"/>
        <v>31.527000000000001</v>
      </c>
      <c r="S27" s="8">
        <f t="shared" si="11"/>
        <v>0</v>
      </c>
      <c r="T27" s="8"/>
      <c r="U27" s="8">
        <f t="shared" si="12"/>
        <v>-23.418000000000003</v>
      </c>
      <c r="V27" s="8"/>
      <c r="W27" s="8">
        <f t="shared" si="13"/>
        <v>-18.872999999999998</v>
      </c>
      <c r="X27" s="8"/>
      <c r="Y27" s="8"/>
      <c r="Z27" s="8"/>
      <c r="AA27" s="8">
        <f t="shared" si="14"/>
        <v>304.02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x14ac:dyDescent="0.3">
      <c r="A28" s="8">
        <f t="shared" si="16"/>
        <v>0</v>
      </c>
      <c r="B28" s="8">
        <f t="shared" si="4"/>
        <v>0</v>
      </c>
      <c r="C28" s="8">
        <f t="shared" si="5"/>
        <v>0</v>
      </c>
      <c r="D28" s="8">
        <f t="shared" si="6"/>
        <v>0</v>
      </c>
      <c r="E28" s="8">
        <f t="shared" si="7"/>
        <v>0</v>
      </c>
      <c r="G28" t="s">
        <v>12</v>
      </c>
      <c r="H28" s="8">
        <f t="shared" si="8"/>
        <v>0</v>
      </c>
      <c r="I28" s="8">
        <f t="shared" si="8"/>
        <v>0</v>
      </c>
      <c r="J28" s="8">
        <f t="shared" ref="J28" si="20">J14*J$21</f>
        <v>0</v>
      </c>
      <c r="K28" s="8">
        <f t="shared" si="2"/>
        <v>0</v>
      </c>
      <c r="L28" s="8">
        <f t="shared" si="2"/>
        <v>0</v>
      </c>
      <c r="M28" s="8">
        <f t="shared" si="2"/>
        <v>0</v>
      </c>
      <c r="N28" s="8">
        <f t="shared" si="2"/>
        <v>0</v>
      </c>
      <c r="O28" s="8"/>
      <c r="P28" s="8">
        <f t="shared" si="10"/>
        <v>0</v>
      </c>
      <c r="Q28" s="8"/>
      <c r="R28" s="8">
        <f t="shared" si="3"/>
        <v>0</v>
      </c>
      <c r="S28" s="8">
        <f t="shared" si="11"/>
        <v>0</v>
      </c>
      <c r="T28" s="8"/>
      <c r="U28" s="8">
        <f t="shared" si="12"/>
        <v>0</v>
      </c>
      <c r="V28" s="8"/>
      <c r="W28" s="8">
        <f t="shared" si="13"/>
        <v>0</v>
      </c>
      <c r="X28" s="8"/>
      <c r="Y28" s="8"/>
      <c r="Z28" s="8"/>
      <c r="AA28" s="8">
        <f t="shared" si="14"/>
        <v>0</v>
      </c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x14ac:dyDescent="0.3">
      <c r="A29" s="8">
        <f t="shared" si="16"/>
        <v>0</v>
      </c>
      <c r="B29" s="8">
        <f t="shared" si="4"/>
        <v>0</v>
      </c>
      <c r="C29" s="8">
        <f t="shared" si="5"/>
        <v>0</v>
      </c>
      <c r="D29" s="8">
        <f t="shared" si="6"/>
        <v>0</v>
      </c>
      <c r="E29" s="8">
        <f t="shared" si="7"/>
        <v>0</v>
      </c>
      <c r="G29" t="s">
        <v>13</v>
      </c>
      <c r="H29" s="8">
        <f t="shared" si="8"/>
        <v>0</v>
      </c>
      <c r="I29" s="8">
        <f t="shared" si="8"/>
        <v>0</v>
      </c>
      <c r="J29" s="8">
        <f t="shared" ref="J29" si="21">J15*J$21</f>
        <v>0</v>
      </c>
      <c r="K29" s="8">
        <f t="shared" si="2"/>
        <v>0</v>
      </c>
      <c r="L29" s="8">
        <f t="shared" si="2"/>
        <v>0</v>
      </c>
      <c r="M29" s="8">
        <f t="shared" si="2"/>
        <v>0</v>
      </c>
      <c r="N29" s="8">
        <f t="shared" si="2"/>
        <v>0</v>
      </c>
      <c r="O29" s="8"/>
      <c r="P29" s="8">
        <f t="shared" si="10"/>
        <v>0</v>
      </c>
      <c r="Q29" s="8"/>
      <c r="R29" s="8">
        <f t="shared" si="3"/>
        <v>0</v>
      </c>
      <c r="S29" s="8">
        <f t="shared" si="11"/>
        <v>0</v>
      </c>
      <c r="T29" s="8"/>
      <c r="U29" s="8">
        <f t="shared" si="12"/>
        <v>0</v>
      </c>
      <c r="V29" s="8"/>
      <c r="W29" s="8">
        <f t="shared" si="13"/>
        <v>0</v>
      </c>
      <c r="X29" s="8"/>
      <c r="Y29" s="8"/>
      <c r="Z29" s="8"/>
      <c r="AA29" s="8">
        <f t="shared" si="14"/>
        <v>0</v>
      </c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x14ac:dyDescent="0.3">
      <c r="A30" s="8">
        <f t="shared" si="16"/>
        <v>0</v>
      </c>
      <c r="B30" s="8">
        <f t="shared" si="4"/>
        <v>0</v>
      </c>
      <c r="C30" s="8">
        <f t="shared" si="5"/>
        <v>0</v>
      </c>
      <c r="D30" s="8">
        <f t="shared" si="6"/>
        <v>0</v>
      </c>
      <c r="E30" s="8">
        <f t="shared" si="7"/>
        <v>0</v>
      </c>
      <c r="G30" t="s">
        <v>14</v>
      </c>
      <c r="H30" s="8">
        <f t="shared" si="8"/>
        <v>0</v>
      </c>
      <c r="I30" s="8">
        <f t="shared" si="8"/>
        <v>0</v>
      </c>
      <c r="J30" s="8">
        <f t="shared" ref="J30" si="22">J16*J$21</f>
        <v>0</v>
      </c>
      <c r="K30" s="8">
        <f t="shared" si="2"/>
        <v>0</v>
      </c>
      <c r="L30" s="8">
        <f t="shared" si="2"/>
        <v>0</v>
      </c>
      <c r="M30" s="8">
        <f t="shared" si="2"/>
        <v>0</v>
      </c>
      <c r="N30" s="8">
        <f t="shared" si="2"/>
        <v>0</v>
      </c>
      <c r="O30" s="8"/>
      <c r="P30" s="8">
        <f t="shared" si="10"/>
        <v>0</v>
      </c>
      <c r="Q30" s="8"/>
      <c r="R30" s="8">
        <f t="shared" si="3"/>
        <v>0</v>
      </c>
      <c r="S30" s="8">
        <f t="shared" si="11"/>
        <v>0</v>
      </c>
      <c r="T30" s="8"/>
      <c r="U30" s="8">
        <f t="shared" si="12"/>
        <v>0</v>
      </c>
      <c r="V30" s="8"/>
      <c r="W30" s="8">
        <f t="shared" si="13"/>
        <v>0</v>
      </c>
      <c r="X30" s="8"/>
      <c r="Y30" s="8"/>
      <c r="Z30" s="8"/>
      <c r="AA30" s="8">
        <f t="shared" si="14"/>
        <v>0</v>
      </c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x14ac:dyDescent="0.3">
      <c r="A31" s="8">
        <f t="shared" si="16"/>
        <v>0</v>
      </c>
      <c r="B31" s="8">
        <f t="shared" si="4"/>
        <v>0</v>
      </c>
      <c r="C31" s="8">
        <f t="shared" si="5"/>
        <v>0</v>
      </c>
      <c r="D31" s="8">
        <f t="shared" si="6"/>
        <v>0</v>
      </c>
      <c r="E31" s="8">
        <f t="shared" si="7"/>
        <v>0</v>
      </c>
      <c r="G31" t="s">
        <v>15</v>
      </c>
      <c r="H31" s="8">
        <f t="shared" si="8"/>
        <v>0</v>
      </c>
      <c r="I31" s="8">
        <f t="shared" si="8"/>
        <v>0</v>
      </c>
      <c r="J31" s="8">
        <f t="shared" ref="J31" si="23">J17*J$21</f>
        <v>0</v>
      </c>
      <c r="K31" s="8">
        <f t="shared" si="2"/>
        <v>0</v>
      </c>
      <c r="L31" s="8">
        <f t="shared" si="2"/>
        <v>0</v>
      </c>
      <c r="M31" s="8">
        <f t="shared" si="2"/>
        <v>0</v>
      </c>
      <c r="N31" s="8">
        <f t="shared" si="2"/>
        <v>0</v>
      </c>
      <c r="O31" s="8"/>
      <c r="P31" s="8">
        <f t="shared" si="10"/>
        <v>0</v>
      </c>
      <c r="Q31" s="8"/>
      <c r="R31" s="8">
        <f t="shared" si="3"/>
        <v>0</v>
      </c>
      <c r="S31" s="8">
        <f t="shared" si="11"/>
        <v>0</v>
      </c>
      <c r="T31" s="8"/>
      <c r="U31" s="8">
        <f t="shared" si="12"/>
        <v>0</v>
      </c>
      <c r="V31" s="8"/>
      <c r="W31" s="8">
        <f t="shared" si="13"/>
        <v>0</v>
      </c>
      <c r="X31" s="8"/>
      <c r="Y31" s="8"/>
      <c r="Z31" s="8"/>
      <c r="AA31" s="8">
        <f t="shared" si="14"/>
        <v>0</v>
      </c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x14ac:dyDescent="0.3">
      <c r="A32" s="8">
        <f t="shared" si="16"/>
        <v>0</v>
      </c>
      <c r="B32" s="8">
        <f t="shared" si="4"/>
        <v>0</v>
      </c>
      <c r="C32" s="8">
        <f t="shared" si="5"/>
        <v>0</v>
      </c>
      <c r="D32" s="8">
        <f t="shared" si="6"/>
        <v>0</v>
      </c>
      <c r="E32" s="8">
        <f t="shared" si="7"/>
        <v>0</v>
      </c>
      <c r="G32" t="s">
        <v>16</v>
      </c>
      <c r="H32" s="8">
        <f t="shared" si="8"/>
        <v>0</v>
      </c>
      <c r="I32" s="8">
        <f t="shared" si="8"/>
        <v>0</v>
      </c>
      <c r="J32" s="8">
        <f t="shared" ref="J32" si="24">J18*J$21</f>
        <v>0</v>
      </c>
      <c r="K32" s="8">
        <f t="shared" si="2"/>
        <v>0</v>
      </c>
      <c r="L32" s="8">
        <f t="shared" si="2"/>
        <v>0</v>
      </c>
      <c r="M32" s="8">
        <f t="shared" si="2"/>
        <v>0</v>
      </c>
      <c r="N32" s="8">
        <f t="shared" si="2"/>
        <v>0</v>
      </c>
      <c r="O32" s="8"/>
      <c r="P32" s="8">
        <f t="shared" si="10"/>
        <v>0</v>
      </c>
      <c r="Q32" s="8"/>
      <c r="R32" s="8">
        <f t="shared" si="3"/>
        <v>0</v>
      </c>
      <c r="S32" s="8">
        <f t="shared" si="11"/>
        <v>0</v>
      </c>
      <c r="T32" s="8"/>
      <c r="U32" s="8">
        <f t="shared" si="12"/>
        <v>0</v>
      </c>
      <c r="V32" s="8"/>
      <c r="W32" s="8">
        <f t="shared" si="13"/>
        <v>0</v>
      </c>
      <c r="X32" s="8"/>
      <c r="Y32" s="8"/>
      <c r="Z32" s="8"/>
      <c r="AA32" s="8">
        <f t="shared" si="14"/>
        <v>0</v>
      </c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x14ac:dyDescent="0.3">
      <c r="A33" s="8">
        <f t="shared" si="16"/>
        <v>0</v>
      </c>
      <c r="B33" s="8">
        <f t="shared" si="4"/>
        <v>0</v>
      </c>
      <c r="C33" s="8">
        <f t="shared" si="5"/>
        <v>0</v>
      </c>
      <c r="D33" s="8">
        <f t="shared" si="6"/>
        <v>0</v>
      </c>
      <c r="E33" s="8">
        <f t="shared" si="7"/>
        <v>0</v>
      </c>
      <c r="G33" t="s">
        <v>17</v>
      </c>
      <c r="H33" s="8">
        <f t="shared" si="8"/>
        <v>0</v>
      </c>
      <c r="I33" s="8">
        <f t="shared" si="8"/>
        <v>0</v>
      </c>
      <c r="J33" s="8">
        <f t="shared" ref="J33" si="25">J19*J$21</f>
        <v>0</v>
      </c>
      <c r="K33" s="8">
        <f t="shared" si="2"/>
        <v>0</v>
      </c>
      <c r="L33" s="8">
        <f t="shared" si="2"/>
        <v>0</v>
      </c>
      <c r="M33" s="8">
        <f t="shared" si="2"/>
        <v>0</v>
      </c>
      <c r="N33" s="8">
        <f t="shared" si="2"/>
        <v>0</v>
      </c>
      <c r="O33" s="8"/>
      <c r="P33" s="8">
        <f t="shared" si="10"/>
        <v>0</v>
      </c>
      <c r="Q33" s="8"/>
      <c r="R33" s="8">
        <f t="shared" si="3"/>
        <v>0</v>
      </c>
      <c r="S33" s="8">
        <f t="shared" si="11"/>
        <v>0</v>
      </c>
      <c r="T33" s="8"/>
      <c r="U33" s="8">
        <f t="shared" si="12"/>
        <v>0</v>
      </c>
      <c r="V33" s="8"/>
      <c r="W33" s="8">
        <f t="shared" si="13"/>
        <v>0</v>
      </c>
      <c r="X33" s="8"/>
      <c r="Y33" s="8"/>
      <c r="Z33" s="8"/>
      <c r="AA33" s="8">
        <f t="shared" si="14"/>
        <v>0</v>
      </c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5" spans="1:50" x14ac:dyDescent="0.3">
      <c r="A35" s="38"/>
      <c r="D35" s="38"/>
    </row>
    <row r="42" spans="1:50" x14ac:dyDescent="0.3">
      <c r="A42" t="s">
        <v>161</v>
      </c>
    </row>
    <row r="43" spans="1:50" x14ac:dyDescent="0.3">
      <c r="A43" s="38">
        <f>SUM(H27:N27)+SUM(R27:AA27)-U27-AA27</f>
        <v>1051.7459999999999</v>
      </c>
      <c r="J43" s="50"/>
    </row>
    <row r="44" spans="1:50" x14ac:dyDescent="0.3">
      <c r="A44" s="51">
        <v>2025</v>
      </c>
      <c r="B44" s="51">
        <v>2026</v>
      </c>
      <c r="C44" s="51">
        <v>2027</v>
      </c>
      <c r="D44" s="51">
        <v>2028</v>
      </c>
      <c r="E44" s="51">
        <v>2029</v>
      </c>
    </row>
    <row r="45" spans="1:50" x14ac:dyDescent="0.3">
      <c r="A45" s="52">
        <v>1.7676000000000001E-2</v>
      </c>
      <c r="B45" s="52">
        <v>4.8447999999999998E-2</v>
      </c>
      <c r="C45" s="52">
        <v>3.6317000000000002E-2</v>
      </c>
      <c r="D45" s="52">
        <v>3.0025E-2</v>
      </c>
      <c r="E45" s="52">
        <v>3.1049E-2</v>
      </c>
      <c r="F45" s="53" t="s">
        <v>162</v>
      </c>
    </row>
    <row r="46" spans="1:50" x14ac:dyDescent="0.3">
      <c r="A46" s="54">
        <f>ROUND(A45*$A$43,2)</f>
        <v>18.59</v>
      </c>
      <c r="B46" s="54">
        <f>ROUND(B45*$A$43,2)</f>
        <v>50.95</v>
      </c>
      <c r="C46" s="54">
        <f>ROUND(C45*$A$43,2)</f>
        <v>38.200000000000003</v>
      </c>
      <c r="D46" s="54">
        <f>ROUND(D45*$A$43,2)</f>
        <v>31.58</v>
      </c>
      <c r="E46" s="54">
        <f>ROUND(E45*$A$43,2)</f>
        <v>32.659999999999997</v>
      </c>
      <c r="F46" s="53" t="s">
        <v>155</v>
      </c>
    </row>
    <row r="47" spans="1:50" x14ac:dyDescent="0.3">
      <c r="A47" s="55">
        <f>(($A$27+A46)/$A$27)-1</f>
        <v>1.6507863212950502E-2</v>
      </c>
      <c r="B47" s="55">
        <f>(($A$27+B46)/$A$27)-1</f>
        <v>4.5243444362551344E-2</v>
      </c>
      <c r="C47" s="55">
        <f>(($A$27+C46)/$A$27)-1</f>
        <v>3.3921483310097367E-2</v>
      </c>
      <c r="D47" s="55">
        <f>(($A$27+D46)/$A$27)-1</f>
        <v>2.8042943532274212E-2</v>
      </c>
      <c r="E47" s="55">
        <f>(($A$27+E46)/$A$27)-1</f>
        <v>2.9001980233188007E-2</v>
      </c>
      <c r="F47" s="53" t="s">
        <v>163</v>
      </c>
    </row>
  </sheetData>
  <mergeCells count="18">
    <mergeCell ref="AU2:AX2"/>
    <mergeCell ref="AJ4:AK4"/>
    <mergeCell ref="AU4:AV4"/>
    <mergeCell ref="AW4:AX4"/>
    <mergeCell ref="AJ3:AK3"/>
    <mergeCell ref="AU3:AX3"/>
    <mergeCell ref="H3:K3"/>
    <mergeCell ref="H2:N2"/>
    <mergeCell ref="R2:S2"/>
    <mergeCell ref="AJ2:AK2"/>
    <mergeCell ref="H4:I4"/>
    <mergeCell ref="J4:K4"/>
    <mergeCell ref="AC4:AE4"/>
    <mergeCell ref="AG4:AH4"/>
    <mergeCell ref="AG2:AH2"/>
    <mergeCell ref="AC3:AE3"/>
    <mergeCell ref="AG3:AH3"/>
    <mergeCell ref="AC2:AE2"/>
  </mergeCells>
  <pageMargins left="0.2" right="0.2" top="1.5" bottom="0.75" header="1" footer="0.3"/>
  <pageSetup scale="24" orientation="landscape" r:id="rId1"/>
  <headerFooter>
    <oddHeader>&amp;R&amp;"Times New Roman,Bold"&amp;10KyPSC Case No. 2024-00152
SIERRA-DR-01-050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53"/>
  <sheetViews>
    <sheetView view="pageLayout" zoomScaleNormal="75" zoomScaleSheetLayoutView="89" workbookViewId="0">
      <selection activeCell="Z12" sqref="Z12"/>
    </sheetView>
  </sheetViews>
  <sheetFormatPr defaultRowHeight="14.4" x14ac:dyDescent="0.3"/>
  <cols>
    <col min="1" max="1" width="20.5546875" customWidth="1"/>
    <col min="2" max="2" width="15.21875" customWidth="1"/>
    <col min="3" max="3" width="13.77734375" customWidth="1"/>
    <col min="4" max="4" width="15.5546875" customWidth="1"/>
    <col min="5" max="5" width="14.44140625" customWidth="1"/>
    <col min="6" max="6" width="2.77734375" customWidth="1"/>
    <col min="7" max="7" width="9.21875"/>
    <col min="8" max="9" width="9.44140625" bestFit="1" customWidth="1"/>
    <col min="10" max="10" width="9.44140625" customWidth="1"/>
    <col min="11" max="11" width="12.5546875" bestFit="1" customWidth="1"/>
    <col min="12" max="12" width="11.5546875" customWidth="1"/>
    <col min="13" max="13" width="12.5546875" bestFit="1" customWidth="1"/>
    <col min="14" max="14" width="11.5546875" customWidth="1"/>
    <col min="15" max="17" width="15.5546875" customWidth="1"/>
    <col min="18" max="18" width="18.21875" customWidth="1"/>
    <col min="19" max="19" width="18.5546875" customWidth="1"/>
    <col min="20" max="20" width="2.77734375" customWidth="1"/>
    <col min="21" max="21" width="15.5546875" customWidth="1"/>
    <col min="22" max="22" width="12.21875" customWidth="1"/>
    <col min="23" max="23" width="2.77734375" customWidth="1"/>
    <col min="24" max="24" width="18.5546875" customWidth="1"/>
    <col min="25" max="25" width="2.77734375" customWidth="1"/>
    <col min="26" max="26" width="21.44140625" customWidth="1"/>
    <col min="27" max="27" width="2.77734375" customWidth="1"/>
    <col min="28" max="28" width="12.5546875" bestFit="1" customWidth="1"/>
    <col min="29" max="29" width="2.77734375" customWidth="1"/>
    <col min="30" max="30" width="14.44140625" bestFit="1" customWidth="1"/>
    <col min="31" max="31" width="2.77734375" customWidth="1"/>
    <col min="32" max="32" width="12.21875" customWidth="1"/>
    <col min="33" max="33" width="19.21875" customWidth="1"/>
    <col min="34" max="34" width="12.44140625" customWidth="1"/>
    <col min="35" max="35" width="2.77734375" customWidth="1"/>
    <col min="36" max="36" width="23.44140625" bestFit="1" customWidth="1"/>
    <col min="37" max="37" width="27.21875" customWidth="1"/>
    <col min="38" max="38" width="13.21875" customWidth="1"/>
    <col min="39" max="39" width="18.5546875" bestFit="1" customWidth="1"/>
    <col min="40" max="40" width="31.6640625" bestFit="1" customWidth="1"/>
    <col min="41" max="41" width="10.5546875" customWidth="1"/>
    <col min="42" max="42" width="2.77734375" customWidth="1"/>
    <col min="43" max="43" width="24.88671875" style="11" bestFit="1" customWidth="1"/>
    <col min="44" max="44" width="2.77734375" customWidth="1"/>
    <col min="45" max="45" width="15.5546875" bestFit="1" customWidth="1"/>
    <col min="46" max="46" width="2.77734375" customWidth="1"/>
    <col min="47" max="47" width="15.5546875" bestFit="1" customWidth="1"/>
    <col min="48" max="48" width="2.77734375" customWidth="1"/>
    <col min="49" max="49" width="12.44140625" bestFit="1" customWidth="1"/>
    <col min="50" max="50" width="11.5546875" bestFit="1" customWidth="1"/>
    <col min="51" max="51" width="12.44140625" bestFit="1" customWidth="1"/>
    <col min="52" max="52" width="11.5546875" bestFit="1" customWidth="1"/>
    <col min="53" max="60" width="9.21875"/>
  </cols>
  <sheetData>
    <row r="1" spans="1:52" x14ac:dyDescent="0.3">
      <c r="A1" t="s">
        <v>27</v>
      </c>
      <c r="C1" s="33"/>
      <c r="D1" s="33"/>
      <c r="E1" s="33"/>
      <c r="F1" s="33"/>
    </row>
    <row r="2" spans="1:52" x14ac:dyDescent="0.3">
      <c r="B2" s="33"/>
      <c r="C2" s="33"/>
      <c r="D2" s="33"/>
      <c r="E2" s="33"/>
      <c r="F2" s="33"/>
      <c r="H2" s="68" t="s">
        <v>59</v>
      </c>
      <c r="I2" s="68"/>
      <c r="J2" s="68"/>
      <c r="K2" s="68"/>
      <c r="L2" s="68"/>
      <c r="M2" s="68"/>
      <c r="N2" s="68"/>
      <c r="O2" s="68"/>
      <c r="P2" s="68"/>
      <c r="Q2" s="68"/>
      <c r="S2" s="1" t="s">
        <v>74</v>
      </c>
      <c r="U2" s="68" t="s">
        <v>32</v>
      </c>
      <c r="V2" s="68"/>
      <c r="W2" s="1"/>
      <c r="X2" s="1" t="s">
        <v>40</v>
      </c>
      <c r="Z2" s="1" t="s">
        <v>41</v>
      </c>
      <c r="AA2" s="1"/>
      <c r="AB2" s="1"/>
      <c r="AC2" s="1"/>
      <c r="AD2" s="1"/>
      <c r="AF2" s="68"/>
      <c r="AG2" s="68"/>
      <c r="AH2" s="68"/>
      <c r="AJ2" s="68"/>
      <c r="AK2" s="68"/>
      <c r="AM2" s="68"/>
      <c r="AN2" s="68"/>
      <c r="AP2" s="1"/>
      <c r="AQ2" s="12"/>
      <c r="AR2" s="1"/>
      <c r="AS2" s="1"/>
      <c r="AT2" s="1"/>
      <c r="AU2" s="1"/>
      <c r="AW2" s="68"/>
      <c r="AX2" s="68"/>
      <c r="AY2" s="68"/>
      <c r="AZ2" s="68"/>
    </row>
    <row r="3" spans="1:52" x14ac:dyDescent="0.3">
      <c r="K3" s="68" t="s">
        <v>23</v>
      </c>
      <c r="L3" s="68"/>
      <c r="M3" s="68"/>
      <c r="N3" s="68"/>
      <c r="P3" s="56" t="s">
        <v>4</v>
      </c>
      <c r="Q3" s="56"/>
      <c r="R3" s="56"/>
      <c r="S3" s="1" t="s">
        <v>76</v>
      </c>
      <c r="U3" s="1" t="s">
        <v>29</v>
      </c>
      <c r="V3" s="1" t="s">
        <v>33</v>
      </c>
      <c r="W3" s="1"/>
      <c r="X3" s="1" t="s">
        <v>30</v>
      </c>
      <c r="Z3" s="1" t="s">
        <v>31</v>
      </c>
      <c r="AA3" s="1"/>
      <c r="AB3" s="1"/>
      <c r="AC3" s="1"/>
      <c r="AD3" s="1"/>
      <c r="AF3" s="68"/>
      <c r="AG3" s="68"/>
      <c r="AH3" s="68"/>
      <c r="AJ3" s="68"/>
      <c r="AK3" s="68"/>
      <c r="AM3" s="68"/>
      <c r="AN3" s="68"/>
      <c r="AP3" s="1"/>
      <c r="AQ3" s="12" t="s">
        <v>104</v>
      </c>
      <c r="AR3" s="1"/>
      <c r="AS3" s="1"/>
      <c r="AT3" s="1"/>
      <c r="AU3" s="1"/>
      <c r="AW3" s="68"/>
      <c r="AX3" s="68"/>
      <c r="AY3" s="68"/>
      <c r="AZ3" s="68"/>
    </row>
    <row r="4" spans="1:52" x14ac:dyDescent="0.3">
      <c r="H4" s="68" t="s">
        <v>0</v>
      </c>
      <c r="I4" s="68"/>
      <c r="J4" s="1"/>
      <c r="K4" s="68" t="s">
        <v>44</v>
      </c>
      <c r="L4" s="68"/>
      <c r="M4" s="68" t="s">
        <v>45</v>
      </c>
      <c r="N4" s="68"/>
      <c r="P4" s="1" t="s">
        <v>46</v>
      </c>
      <c r="Q4" s="1" t="s">
        <v>46</v>
      </c>
      <c r="R4" s="1" t="s">
        <v>47</v>
      </c>
      <c r="S4" s="1" t="s">
        <v>77</v>
      </c>
      <c r="U4" s="1" t="s">
        <v>4</v>
      </c>
      <c r="V4" s="1" t="s">
        <v>0</v>
      </c>
      <c r="X4" s="1" t="s">
        <v>4</v>
      </c>
      <c r="Y4" s="1"/>
      <c r="Z4" s="1" t="s">
        <v>4</v>
      </c>
      <c r="AB4" s="1"/>
      <c r="AD4" s="1"/>
      <c r="AE4" s="1"/>
      <c r="AF4" s="68"/>
      <c r="AG4" s="68"/>
      <c r="AH4" s="68"/>
      <c r="AI4" s="1"/>
      <c r="AJ4" s="68"/>
      <c r="AK4" s="69"/>
      <c r="AL4" s="1"/>
      <c r="AM4" s="68"/>
      <c r="AN4" s="68"/>
      <c r="AO4" s="1"/>
      <c r="AQ4" s="12" t="s">
        <v>105</v>
      </c>
      <c r="AS4" s="1"/>
      <c r="AU4" s="1"/>
      <c r="AV4" s="1"/>
      <c r="AW4" s="68"/>
      <c r="AX4" s="68"/>
      <c r="AY4" s="68"/>
      <c r="AZ4" s="68"/>
    </row>
    <row r="5" spans="1:52" ht="28.8" x14ac:dyDescent="0.3">
      <c r="H5" s="7" t="s">
        <v>22</v>
      </c>
      <c r="I5" s="7" t="s">
        <v>61</v>
      </c>
      <c r="J5" s="7" t="s">
        <v>58</v>
      </c>
      <c r="K5" s="1" t="s">
        <v>46</v>
      </c>
      <c r="L5" s="1" t="s">
        <v>47</v>
      </c>
      <c r="M5" s="1" t="s">
        <v>46</v>
      </c>
      <c r="N5" s="1" t="s">
        <v>47</v>
      </c>
      <c r="O5" s="1" t="s">
        <v>106</v>
      </c>
      <c r="P5" s="1" t="s">
        <v>44</v>
      </c>
      <c r="Q5" s="1" t="s">
        <v>45</v>
      </c>
      <c r="R5" s="1" t="s">
        <v>60</v>
      </c>
      <c r="S5" s="1"/>
      <c r="U5" s="1"/>
      <c r="V5" s="1"/>
      <c r="W5" s="1"/>
      <c r="Y5" s="1"/>
      <c r="AE5" s="1"/>
      <c r="AF5" s="1"/>
      <c r="AG5" s="1"/>
      <c r="AH5" s="1"/>
      <c r="AI5" s="1"/>
      <c r="AJ5" s="7"/>
      <c r="AK5" s="7"/>
      <c r="AL5" s="1"/>
      <c r="AM5" s="1"/>
      <c r="AN5" s="1"/>
      <c r="AO5" s="1"/>
      <c r="AV5" s="1"/>
      <c r="AW5" s="1"/>
      <c r="AX5" s="1"/>
      <c r="AY5" s="7"/>
      <c r="AZ5" s="7"/>
    </row>
    <row r="6" spans="1:52" ht="15.6" x14ac:dyDescent="0.3">
      <c r="H6" s="1" t="s">
        <v>2</v>
      </c>
      <c r="I6" s="1" t="s">
        <v>2</v>
      </c>
      <c r="J6" s="1" t="s">
        <v>2</v>
      </c>
      <c r="K6" s="2" t="s">
        <v>24</v>
      </c>
      <c r="L6" s="2" t="s">
        <v>24</v>
      </c>
      <c r="M6" s="2" t="s">
        <v>24</v>
      </c>
      <c r="N6" s="2" t="s">
        <v>24</v>
      </c>
      <c r="O6" s="2" t="s">
        <v>24</v>
      </c>
      <c r="P6" s="2" t="s">
        <v>3</v>
      </c>
      <c r="Q6" s="2" t="s">
        <v>3</v>
      </c>
      <c r="R6" s="2" t="s">
        <v>3</v>
      </c>
      <c r="S6" s="34" t="s">
        <v>75</v>
      </c>
      <c r="U6" s="2" t="s">
        <v>3</v>
      </c>
      <c r="V6" s="1" t="s">
        <v>2</v>
      </c>
      <c r="W6" s="2"/>
      <c r="X6" s="2" t="s">
        <v>3</v>
      </c>
      <c r="Y6" s="2"/>
      <c r="Z6" s="2" t="s">
        <v>3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3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3">
      <c r="A7" s="33" t="s">
        <v>65</v>
      </c>
      <c r="B7" s="45" t="s">
        <v>73</v>
      </c>
      <c r="G7" s="33" t="s">
        <v>5</v>
      </c>
    </row>
    <row r="8" spans="1:52" x14ac:dyDescent="0.3">
      <c r="A8" s="33" t="s">
        <v>63</v>
      </c>
      <c r="B8" s="45">
        <v>3</v>
      </c>
      <c r="G8" t="s">
        <v>1</v>
      </c>
      <c r="H8" s="4">
        <v>63.5</v>
      </c>
      <c r="I8" s="4">
        <v>127</v>
      </c>
      <c r="J8" s="4">
        <v>138</v>
      </c>
      <c r="K8" s="4">
        <v>14.02</v>
      </c>
      <c r="L8" s="4">
        <v>1.26</v>
      </c>
      <c r="M8" s="4">
        <v>13.26</v>
      </c>
      <c r="N8" s="4">
        <v>1.26</v>
      </c>
      <c r="O8" s="4">
        <v>6.23</v>
      </c>
      <c r="P8" s="3">
        <v>4.5678999999999997E-2</v>
      </c>
      <c r="Q8" s="3">
        <v>4.3668999999999999E-2</v>
      </c>
      <c r="R8" s="3">
        <v>3.7671000000000003E-2</v>
      </c>
      <c r="S8" s="35">
        <f>DS!P8</f>
        <v>0.1905</v>
      </c>
      <c r="U8">
        <f>DS!R8</f>
        <v>3.503E-3</v>
      </c>
      <c r="V8" s="4">
        <f>DS!S8</f>
        <v>0</v>
      </c>
      <c r="X8" s="3">
        <f>RS!$P8</f>
        <v>1.457E-2</v>
      </c>
      <c r="Z8" s="3">
        <f>RS!R8</f>
        <v>-3.7000000000000002E-3</v>
      </c>
      <c r="AQ8" s="14">
        <f>+DS!$AA8</f>
        <v>2.5401E-2</v>
      </c>
      <c r="AT8" s="3"/>
      <c r="AV8" s="3"/>
      <c r="AW8" s="3"/>
      <c r="AX8" s="3"/>
      <c r="AY8" s="3"/>
      <c r="AZ8" s="3"/>
    </row>
    <row r="9" spans="1:52" x14ac:dyDescent="0.3">
      <c r="A9" s="33" t="s">
        <v>25</v>
      </c>
      <c r="G9" t="s">
        <v>7</v>
      </c>
      <c r="H9" s="4">
        <v>63.5</v>
      </c>
      <c r="I9" s="4">
        <v>127</v>
      </c>
      <c r="J9" s="4">
        <v>138</v>
      </c>
      <c r="K9" s="4">
        <v>14.02</v>
      </c>
      <c r="L9" s="4">
        <v>1.26</v>
      </c>
      <c r="M9" s="4">
        <v>13.26</v>
      </c>
      <c r="N9" s="4">
        <v>1.26</v>
      </c>
      <c r="O9" s="4">
        <v>6.23</v>
      </c>
      <c r="P9" s="3">
        <v>4.5678999999999997E-2</v>
      </c>
      <c r="Q9" s="3">
        <v>4.3668999999999999E-2</v>
      </c>
      <c r="R9" s="3">
        <v>3.7671000000000003E-2</v>
      </c>
      <c r="S9" s="35">
        <f>DS!P9</f>
        <v>0.23200000000000001</v>
      </c>
      <c r="U9">
        <f>DS!R9</f>
        <v>3.503E-3</v>
      </c>
      <c r="V9" s="4">
        <f>DS!S9</f>
        <v>0</v>
      </c>
      <c r="X9" s="3">
        <f>RS!$P9</f>
        <v>5.4949999999999999E-3</v>
      </c>
      <c r="Z9" s="3">
        <f>RS!R9</f>
        <v>-3.7000000000000002E-3</v>
      </c>
      <c r="AB9" s="3"/>
      <c r="AD9" s="4"/>
      <c r="AF9" s="5"/>
      <c r="AG9" s="5"/>
      <c r="AH9" s="5"/>
      <c r="AJ9" s="3"/>
      <c r="AM9" s="6"/>
      <c r="AN9" s="6"/>
      <c r="AQ9" s="14">
        <f>+DS!$AA9</f>
        <v>2.5401E-2</v>
      </c>
      <c r="AS9" s="3"/>
      <c r="AU9" s="4"/>
      <c r="AW9" s="3"/>
      <c r="AX9" s="3"/>
      <c r="AY9" s="3"/>
      <c r="AZ9" s="3"/>
    </row>
    <row r="10" spans="1:52" x14ac:dyDescent="0.3">
      <c r="A10" s="33" t="s">
        <v>49</v>
      </c>
      <c r="B10" s="33">
        <v>3839.88</v>
      </c>
      <c r="G10" t="s">
        <v>8</v>
      </c>
      <c r="H10" s="4">
        <v>63.5</v>
      </c>
      <c r="I10" s="4">
        <v>127</v>
      </c>
      <c r="J10" s="4">
        <v>138</v>
      </c>
      <c r="K10" s="4">
        <v>14.02</v>
      </c>
      <c r="L10" s="4">
        <v>1.26</v>
      </c>
      <c r="M10" s="4">
        <v>13.26</v>
      </c>
      <c r="N10" s="4">
        <v>1.26</v>
      </c>
      <c r="O10" s="4">
        <v>6.23</v>
      </c>
      <c r="P10" s="3">
        <v>4.5678999999999997E-2</v>
      </c>
      <c r="Q10" s="3">
        <v>4.3668999999999999E-2</v>
      </c>
      <c r="R10" s="3">
        <v>3.7671000000000003E-2</v>
      </c>
      <c r="S10" s="35">
        <f>DS!P10</f>
        <v>7.1599999999999997E-2</v>
      </c>
      <c r="U10">
        <f>DS!R10</f>
        <v>3.503E-3</v>
      </c>
      <c r="V10" s="4">
        <f>DS!S10</f>
        <v>0</v>
      </c>
      <c r="X10" s="3">
        <f>RS!$P10</f>
        <v>9.3720000000000001E-3</v>
      </c>
      <c r="Z10" s="3">
        <f>RS!R10</f>
        <v>-1.237E-3</v>
      </c>
      <c r="AB10" s="3"/>
      <c r="AD10" s="4"/>
      <c r="AF10" s="5"/>
      <c r="AG10" s="5"/>
      <c r="AH10" s="5"/>
      <c r="AJ10" s="3"/>
      <c r="AK10" s="3"/>
      <c r="AM10" s="6"/>
      <c r="AN10" s="6"/>
      <c r="AQ10" s="14">
        <f>+DS!$AA10</f>
        <v>2.5401E-2</v>
      </c>
      <c r="AS10" s="3"/>
      <c r="AU10" s="4"/>
      <c r="AW10" s="3"/>
      <c r="AX10" s="3"/>
      <c r="AY10" s="3"/>
      <c r="AZ10" s="3"/>
    </row>
    <row r="11" spans="1:52" x14ac:dyDescent="0.3">
      <c r="A11" s="33" t="s">
        <v>50</v>
      </c>
      <c r="B11" s="33">
        <f>3873.36-B10</f>
        <v>33.480000000000018</v>
      </c>
      <c r="G11" t="s">
        <v>9</v>
      </c>
      <c r="H11" s="4">
        <v>63.5</v>
      </c>
      <c r="I11" s="4">
        <v>127</v>
      </c>
      <c r="J11" s="4">
        <v>138</v>
      </c>
      <c r="K11" s="4">
        <v>14.02</v>
      </c>
      <c r="L11" s="4">
        <v>1.26</v>
      </c>
      <c r="M11" s="4">
        <v>13.26</v>
      </c>
      <c r="N11" s="4">
        <v>1.26</v>
      </c>
      <c r="O11" s="4">
        <v>6.23</v>
      </c>
      <c r="P11" s="3">
        <v>4.5678999999999997E-2</v>
      </c>
      <c r="Q11" s="3">
        <v>4.3668999999999999E-2</v>
      </c>
      <c r="R11" s="3">
        <v>3.7671000000000003E-2</v>
      </c>
      <c r="S11" s="35">
        <f>DS!P11</f>
        <v>0.152</v>
      </c>
      <c r="U11">
        <f>DS!R11</f>
        <v>3.503E-3</v>
      </c>
      <c r="V11" s="4">
        <f>DS!S11</f>
        <v>0</v>
      </c>
      <c r="X11" s="3">
        <f>RS!$P11</f>
        <v>3.4910000000000002E-3</v>
      </c>
      <c r="Z11" s="3">
        <f>RS!R11</f>
        <v>-1.237E-3</v>
      </c>
      <c r="AQ11" s="14">
        <f>+DS!$AA11</f>
        <v>2.5401E-2</v>
      </c>
    </row>
    <row r="12" spans="1:52" x14ac:dyDescent="0.3">
      <c r="A12" s="33" t="s">
        <v>18</v>
      </c>
      <c r="G12" t="s">
        <v>10</v>
      </c>
      <c r="H12" s="4">
        <v>63.5</v>
      </c>
      <c r="I12" s="4">
        <v>127</v>
      </c>
      <c r="J12" s="4">
        <v>138</v>
      </c>
      <c r="K12" s="4">
        <v>14.02</v>
      </c>
      <c r="L12" s="4">
        <v>1.26</v>
      </c>
      <c r="M12" s="4">
        <v>13.26</v>
      </c>
      <c r="N12" s="4">
        <v>1.26</v>
      </c>
      <c r="O12" s="4">
        <v>6.23</v>
      </c>
      <c r="P12" s="3">
        <v>4.5678999999999997E-2</v>
      </c>
      <c r="Q12" s="3">
        <v>4.3668999999999999E-2</v>
      </c>
      <c r="R12" s="3">
        <v>3.7671000000000003E-2</v>
      </c>
      <c r="S12" s="35">
        <f>DS!P12</f>
        <v>0.17419999999999999</v>
      </c>
      <c r="U12">
        <f>DS!R12</f>
        <v>3.503E-3</v>
      </c>
      <c r="V12" s="4">
        <f>DS!S12</f>
        <v>0</v>
      </c>
      <c r="X12" s="3">
        <f>RS!$P12</f>
        <v>8.7209999999999996E-3</v>
      </c>
      <c r="Z12" s="3">
        <f>RS!R12</f>
        <v>-1.237E-3</v>
      </c>
      <c r="AQ12" s="14">
        <f>+DS!$AA12</f>
        <v>2.5401E-2</v>
      </c>
    </row>
    <row r="13" spans="1:52" x14ac:dyDescent="0.3">
      <c r="A13" s="33" t="s">
        <v>49</v>
      </c>
      <c r="B13" s="33">
        <v>603007.68000000005</v>
      </c>
      <c r="C13" s="33" t="s">
        <v>71</v>
      </c>
      <c r="D13" s="33"/>
      <c r="G13" t="s">
        <v>11</v>
      </c>
      <c r="H13" s="4">
        <v>63.5</v>
      </c>
      <c r="I13" s="4">
        <v>127</v>
      </c>
      <c r="J13" s="4">
        <v>138</v>
      </c>
      <c r="K13" s="4">
        <v>14.02</v>
      </c>
      <c r="L13" s="4">
        <v>1.26</v>
      </c>
      <c r="M13" s="4">
        <v>13.26</v>
      </c>
      <c r="N13" s="4">
        <v>1.26</v>
      </c>
      <c r="O13" s="4">
        <v>6.23</v>
      </c>
      <c r="P13" s="3">
        <v>5.4058000000000002E-2</v>
      </c>
      <c r="Q13" s="3">
        <v>5.2047999999999997E-2</v>
      </c>
      <c r="R13" s="3">
        <v>4.6050000000000001E-2</v>
      </c>
      <c r="S13" s="35">
        <f>DS!P13</f>
        <v>0.1308</v>
      </c>
      <c r="U13">
        <f>DS!R13</f>
        <v>3.503E-3</v>
      </c>
      <c r="V13" s="4">
        <f>DS!S13</f>
        <v>0</v>
      </c>
      <c r="X13" s="3">
        <f>RS!$P13</f>
        <v>-2.6020000000000001E-3</v>
      </c>
      <c r="Z13" s="3">
        <f>RS!R13</f>
        <v>2.0969999999999999E-3</v>
      </c>
      <c r="AQ13" s="14">
        <f>+DS!$AA13</f>
        <v>3.3779999999999998E-2</v>
      </c>
    </row>
    <row r="14" spans="1:52" x14ac:dyDescent="0.3">
      <c r="A14" s="33" t="s">
        <v>50</v>
      </c>
      <c r="B14" s="33">
        <v>1664181.675</v>
      </c>
      <c r="C14" s="33" t="s">
        <v>72</v>
      </c>
      <c r="D14" s="33"/>
      <c r="G14" t="s">
        <v>12</v>
      </c>
      <c r="H14" s="4"/>
      <c r="I14" s="4"/>
      <c r="J14" s="4"/>
      <c r="K14" s="4"/>
      <c r="L14" s="4"/>
      <c r="M14" s="4"/>
      <c r="N14" s="4"/>
      <c r="P14" s="3"/>
      <c r="Q14" s="3"/>
      <c r="R14" s="3"/>
      <c r="S14" s="35"/>
      <c r="V14" s="4"/>
      <c r="X14" s="3"/>
      <c r="Z14" s="3"/>
      <c r="AQ14" s="14">
        <f>+DS!$AA14</f>
        <v>0</v>
      </c>
    </row>
    <row r="15" spans="1:52" x14ac:dyDescent="0.3">
      <c r="A15" s="33" t="s">
        <v>70</v>
      </c>
      <c r="B15" s="46"/>
      <c r="C15" s="33" t="s">
        <v>79</v>
      </c>
      <c r="G15" t="s">
        <v>13</v>
      </c>
      <c r="H15" s="4"/>
      <c r="I15" s="4"/>
      <c r="J15" s="4"/>
      <c r="K15" s="4"/>
      <c r="L15" s="4"/>
      <c r="M15" s="4"/>
      <c r="N15" s="4"/>
      <c r="P15" s="3"/>
      <c r="Q15" s="3"/>
      <c r="R15" s="3"/>
      <c r="S15" s="35"/>
      <c r="V15" s="4"/>
      <c r="X15" s="3"/>
      <c r="Z15" s="3"/>
      <c r="AQ15" s="14">
        <f>+DS!$AA15</f>
        <v>0</v>
      </c>
    </row>
    <row r="16" spans="1:52" x14ac:dyDescent="0.3">
      <c r="A16" s="33" t="s">
        <v>48</v>
      </c>
      <c r="G16" t="s">
        <v>14</v>
      </c>
      <c r="H16" s="4"/>
      <c r="I16" s="4"/>
      <c r="J16" s="4"/>
      <c r="K16" s="4"/>
      <c r="L16" s="4"/>
      <c r="M16" s="4"/>
      <c r="N16" s="4"/>
      <c r="P16" s="3"/>
      <c r="Q16" s="3"/>
      <c r="R16" s="3"/>
      <c r="S16" s="35"/>
      <c r="V16" s="4"/>
      <c r="X16" s="3"/>
      <c r="Z16" s="3"/>
      <c r="AQ16" s="14">
        <f>+DS!$AA16</f>
        <v>0</v>
      </c>
    </row>
    <row r="17" spans="1:52" x14ac:dyDescent="0.3">
      <c r="A17" s="33" t="s">
        <v>49</v>
      </c>
      <c r="B17" s="57">
        <f>ROUND(IF($B$7="n",$B$13,$B$13*0.985),0)</f>
        <v>603008</v>
      </c>
      <c r="G17" t="s">
        <v>15</v>
      </c>
      <c r="H17" s="4"/>
      <c r="I17" s="4"/>
      <c r="J17" s="4"/>
      <c r="K17" s="4"/>
      <c r="L17" s="4"/>
      <c r="M17" s="4"/>
      <c r="N17" s="4"/>
      <c r="P17" s="3"/>
      <c r="Q17" s="3"/>
      <c r="R17" s="3"/>
      <c r="S17" s="35"/>
      <c r="V17" s="4"/>
      <c r="X17" s="3"/>
      <c r="Z17" s="3"/>
      <c r="AQ17" s="14">
        <f>+DS!$AA17</f>
        <v>0</v>
      </c>
    </row>
    <row r="18" spans="1:52" x14ac:dyDescent="0.3">
      <c r="A18" s="33" t="s">
        <v>50</v>
      </c>
      <c r="B18" s="57">
        <f>ROUND(IF($B$7="n",$B$14,$B$14*0.985),0)</f>
        <v>1664182</v>
      </c>
      <c r="G18" t="s">
        <v>16</v>
      </c>
      <c r="H18" s="4"/>
      <c r="I18" s="4"/>
      <c r="J18" s="4"/>
      <c r="K18" s="4"/>
      <c r="L18" s="4"/>
      <c r="M18" s="4"/>
      <c r="N18" s="4"/>
      <c r="O18" s="4"/>
      <c r="P18" s="3"/>
      <c r="Q18" s="3"/>
      <c r="R18" s="3"/>
      <c r="S18" s="35"/>
      <c r="V18" s="4"/>
      <c r="X18" s="3"/>
      <c r="Z18" s="3"/>
      <c r="AG18" s="58"/>
      <c r="AQ18" s="14">
        <f>+DS!$AA18</f>
        <v>0</v>
      </c>
    </row>
    <row r="19" spans="1:52" x14ac:dyDescent="0.3">
      <c r="A19" s="33" t="s">
        <v>70</v>
      </c>
      <c r="B19" s="57">
        <f>ROUND(IF($B$7="n",SUM($B$13:$B$15),SUM($B$13:$B$15)*0.985),0)</f>
        <v>2267189</v>
      </c>
      <c r="G19" t="s">
        <v>17</v>
      </c>
      <c r="H19" s="4"/>
      <c r="I19" s="4"/>
      <c r="J19" s="4"/>
      <c r="K19" s="4"/>
      <c r="L19" s="4"/>
      <c r="M19" s="4"/>
      <c r="N19" s="4"/>
      <c r="O19" s="4"/>
      <c r="P19" s="3"/>
      <c r="Q19" s="3"/>
      <c r="R19" s="3"/>
      <c r="S19" s="35"/>
      <c r="V19" s="4"/>
      <c r="X19" s="3"/>
      <c r="Z19" s="3"/>
      <c r="AK19" s="33"/>
      <c r="AL19" s="59">
        <v>2019</v>
      </c>
      <c r="AQ19" s="14">
        <f>+DS!$AA19</f>
        <v>0</v>
      </c>
    </row>
    <row r="20" spans="1:52" x14ac:dyDescent="0.3">
      <c r="B20" s="1" t="s">
        <v>20</v>
      </c>
      <c r="C20" s="1"/>
      <c r="D20" s="1" t="s">
        <v>0</v>
      </c>
      <c r="E20" s="1" t="s">
        <v>4</v>
      </c>
      <c r="P20" s="38" t="s">
        <v>78</v>
      </c>
      <c r="AB20" t="s">
        <v>69</v>
      </c>
      <c r="AD20" t="s">
        <v>69</v>
      </c>
      <c r="AF20" t="s">
        <v>69</v>
      </c>
      <c r="AQ20" s="14"/>
    </row>
    <row r="21" spans="1:52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48" t="s">
        <v>26</v>
      </c>
      <c r="H21" s="9">
        <f>IF($B$8=1,1,0)</f>
        <v>0</v>
      </c>
      <c r="I21" s="9">
        <f>IF($B$8=3,1,0)</f>
        <v>1</v>
      </c>
      <c r="J21" s="9">
        <f>IF($B$8="P",1,0)</f>
        <v>0</v>
      </c>
      <c r="K21" s="37">
        <f>$B$10</f>
        <v>3839.88</v>
      </c>
      <c r="L21" s="37">
        <f>+B11</f>
        <v>33.480000000000018</v>
      </c>
      <c r="M21" s="37">
        <f>K21</f>
        <v>3839.88</v>
      </c>
      <c r="N21" s="37">
        <f>B11</f>
        <v>33.480000000000018</v>
      </c>
      <c r="O21" s="49">
        <f>+M21+N21</f>
        <v>3873.36</v>
      </c>
      <c r="P21" s="60">
        <f>$B$17</f>
        <v>603008</v>
      </c>
      <c r="Q21" s="60">
        <f>$B$17</f>
        <v>603008</v>
      </c>
      <c r="R21" s="60">
        <f>$B$18</f>
        <v>1664182</v>
      </c>
      <c r="S21" s="8"/>
      <c r="T21" s="8"/>
      <c r="U21" s="37">
        <f>$B$19</f>
        <v>2267189</v>
      </c>
      <c r="V21" s="37"/>
      <c r="W21" s="37"/>
      <c r="X21" s="9">
        <f>$B$19</f>
        <v>2267189</v>
      </c>
      <c r="Y21" s="9"/>
      <c r="Z21" s="9">
        <f>$B$19</f>
        <v>2267189</v>
      </c>
      <c r="AB21" s="1" t="s">
        <v>46</v>
      </c>
      <c r="AD21" s="1" t="s">
        <v>47</v>
      </c>
      <c r="AF21" s="1" t="s">
        <v>19</v>
      </c>
      <c r="AG21" s="61" t="s">
        <v>80</v>
      </c>
      <c r="AH21" s="2"/>
      <c r="AJ21" s="33" t="s">
        <v>81</v>
      </c>
      <c r="AK21" s="33" t="s">
        <v>82</v>
      </c>
      <c r="AL21" s="33" t="s">
        <v>83</v>
      </c>
      <c r="AM21" s="2"/>
      <c r="AN21" s="2"/>
      <c r="AQ21" s="15">
        <f>IF(+B15=0,(B13+B14),B15)</f>
        <v>2267189.355</v>
      </c>
      <c r="AW21" s="2"/>
      <c r="AX21" s="2"/>
      <c r="AY21" s="2"/>
      <c r="AZ21" s="2"/>
    </row>
    <row r="22" spans="1:52" x14ac:dyDescent="0.3">
      <c r="A22" s="8">
        <f t="shared" ref="A22:A23" si="0">ROUND(SUM(H22:Z22),2)</f>
        <v>237032.93</v>
      </c>
      <c r="B22" s="8">
        <f>ROUND(X22,2)</f>
        <v>33032.94</v>
      </c>
      <c r="C22" s="8">
        <f>ROUND(H22+K22+I22+L22,2)</f>
        <v>127</v>
      </c>
      <c r="D22" s="8">
        <f>ROUND(SUM(H22:I22)+V22,2)</f>
        <v>127</v>
      </c>
      <c r="E22" s="8">
        <f t="shared" ref="E22:E33" si="1">ROUND(SUM(P22:R22)+U22+Z22,2)</f>
        <v>105354.72</v>
      </c>
      <c r="F22" s="4"/>
      <c r="G22" t="s">
        <v>1</v>
      </c>
      <c r="H22" s="8">
        <f>H8*H$21</f>
        <v>0</v>
      </c>
      <c r="I22" s="8">
        <f t="shared" ref="I22:J22" si="2">I8*I$21</f>
        <v>127</v>
      </c>
      <c r="J22" s="8">
        <f t="shared" si="2"/>
        <v>0</v>
      </c>
      <c r="K22" s="8">
        <f>IF(M22&gt;0,0,K$21*K8)</f>
        <v>0</v>
      </c>
      <c r="L22" s="8">
        <f>IF(N22&gt;0,0,L$21*L8)</f>
        <v>0</v>
      </c>
      <c r="M22" s="8">
        <f t="shared" ref="M22:N26" si="3">IF(OR($G22="Jun",$G22="Jul",$G22="Aug",$G22="Sep"),0,M$21*M8)</f>
        <v>50916.808799999999</v>
      </c>
      <c r="N22" s="8">
        <f t="shared" si="3"/>
        <v>42.184800000000024</v>
      </c>
      <c r="O22" s="8">
        <f t="shared" ref="O22" si="4">IF(OR($G22="Jun",$G22="Jul",$G22="Aug",$G22="Sep"),0,O$21*O8)</f>
        <v>24131.032800000001</v>
      </c>
      <c r="P22" s="8">
        <f t="shared" ref="P22:P33" si="5">ROUND(IF(Q22&gt;0,0,IF(P$21&gt;0,P$21*P8,B$19*P8*(AB22/AF22))),0)</f>
        <v>0</v>
      </c>
      <c r="Q22" s="8">
        <f t="shared" ref="Q22:Q33" si="6">ROUND(IF(OR($G22="Jun",$G22="Jul",$G22="Aug",$G22="Sep"),0,IF(Q$21&gt;0,Q$21*Q8,B$19*Q8*(AB22/AF22))),2)</f>
        <v>26332.76</v>
      </c>
      <c r="R22" s="8">
        <f t="shared" ref="R22:R33" si="7">ROUND(IF(R$21&gt;0,R$21*R8,R8*B$19*AD22/AF22),2)</f>
        <v>62691.4</v>
      </c>
      <c r="S22" s="8">
        <f t="shared" ref="S22:S33" si="8">(SUM(H22:R22)+SUM(U22:Z22)-X22-AQ22)*S8</f>
        <v>23428.237108502875</v>
      </c>
      <c r="T22" s="8"/>
      <c r="U22" s="8">
        <f t="shared" ref="U22:U33" si="9">U8*U$21</f>
        <v>7941.9630669999997</v>
      </c>
      <c r="V22" s="8">
        <f>V8</f>
        <v>0</v>
      </c>
      <c r="W22" s="8"/>
      <c r="X22" s="8">
        <f t="shared" ref="X22:X33" si="10">X8*X$21</f>
        <v>33032.943729999999</v>
      </c>
      <c r="Y22" s="8"/>
      <c r="Z22" s="8">
        <f>-Z8*Z$21</f>
        <v>8388.5992999999999</v>
      </c>
      <c r="AA22" s="8"/>
      <c r="AB22" s="8">
        <f>9*AG22</f>
        <v>198</v>
      </c>
      <c r="AC22" s="8"/>
      <c r="AD22" s="9">
        <f>DAY(EOMONTH(AH22,0))*24-AB22</f>
        <v>546</v>
      </c>
      <c r="AE22" s="8"/>
      <c r="AF22" s="8">
        <f>AD22+AB22</f>
        <v>744</v>
      </c>
      <c r="AG22" s="8">
        <f>NETWORKDAYS(AH22,EOMONTH(AH22,0))-1</f>
        <v>22</v>
      </c>
      <c r="AH22" s="10">
        <f>DATE($AL$19,1,1)</f>
        <v>43466</v>
      </c>
      <c r="AI22" s="8"/>
      <c r="AJ22" t="s">
        <v>84</v>
      </c>
      <c r="AK22" s="62" t="s">
        <v>85</v>
      </c>
      <c r="AL22" s="58">
        <f>DATE(AL19,1,1)</f>
        <v>43466</v>
      </c>
      <c r="AM22" s="8"/>
      <c r="AN22" s="8"/>
      <c r="AO22" s="8"/>
      <c r="AP22" s="8"/>
      <c r="AQ22" s="16">
        <f>AQ8*AQ21</f>
        <v>57588.876806355001</v>
      </c>
      <c r="AR22" s="8"/>
      <c r="AS22" s="8"/>
      <c r="AT22" s="8"/>
      <c r="AU22" s="8"/>
      <c r="AV22" s="8"/>
      <c r="AW22" s="8"/>
      <c r="AX22" s="8"/>
      <c r="AY22" s="8"/>
      <c r="AZ22" s="8"/>
    </row>
    <row r="23" spans="1:52" x14ac:dyDescent="0.3">
      <c r="A23" s="8">
        <f t="shared" si="0"/>
        <v>221561.98</v>
      </c>
      <c r="B23" s="8">
        <f t="shared" ref="B23:B33" si="11">ROUND(X23,2)</f>
        <v>12458.2</v>
      </c>
      <c r="C23" s="8">
        <f t="shared" ref="C23:C33" si="12">ROUND(H23+K23+I23+L23,2)</f>
        <v>127</v>
      </c>
      <c r="D23" s="8">
        <f t="shared" ref="D23:D33" si="13">ROUND(SUM(H23:I23)+V23,2)</f>
        <v>127</v>
      </c>
      <c r="E23" s="8">
        <f t="shared" si="1"/>
        <v>105354.72</v>
      </c>
      <c r="G23" t="s">
        <v>7</v>
      </c>
      <c r="H23" s="8">
        <f t="shared" ref="H23:J33" si="14">H9*H$21</f>
        <v>0</v>
      </c>
      <c r="I23" s="8">
        <f t="shared" si="14"/>
        <v>127</v>
      </c>
      <c r="J23" s="8">
        <f t="shared" si="14"/>
        <v>0</v>
      </c>
      <c r="K23" s="8">
        <f t="shared" ref="K23:L33" si="15">IF(M23&gt;0,0,K$21*K9)</f>
        <v>0</v>
      </c>
      <c r="L23" s="8">
        <f t="shared" si="15"/>
        <v>0</v>
      </c>
      <c r="M23" s="8">
        <f t="shared" si="3"/>
        <v>50916.808799999999</v>
      </c>
      <c r="N23" s="8">
        <f t="shared" si="3"/>
        <v>42.184800000000024</v>
      </c>
      <c r="O23" s="8">
        <f t="shared" ref="O23" si="16">IF(OR($G23="Jun",$G23="Jul",$G23="Aug",$G23="Sep"),0,O$21*O9)</f>
        <v>24131.032800000001</v>
      </c>
      <c r="P23" s="8">
        <f t="shared" si="5"/>
        <v>0</v>
      </c>
      <c r="Q23" s="8">
        <f t="shared" si="6"/>
        <v>26332.76</v>
      </c>
      <c r="R23" s="8">
        <f t="shared" si="7"/>
        <v>62691.4</v>
      </c>
      <c r="S23" s="8">
        <f t="shared" si="8"/>
        <v>28532.02629486964</v>
      </c>
      <c r="T23" s="8"/>
      <c r="U23" s="8">
        <f t="shared" si="9"/>
        <v>7941.9630669999997</v>
      </c>
      <c r="V23" s="8">
        <f t="shared" ref="V23:V33" si="17">V9</f>
        <v>0</v>
      </c>
      <c r="W23" s="8"/>
      <c r="X23" s="8">
        <f t="shared" si="10"/>
        <v>12458.203555</v>
      </c>
      <c r="Y23" s="8"/>
      <c r="Z23" s="8">
        <f t="shared" ref="Z23:Z33" si="18">-Z9*Z$21</f>
        <v>8388.5992999999999</v>
      </c>
      <c r="AA23" s="8"/>
      <c r="AB23" s="8">
        <f t="shared" ref="AB23:AB33" si="19">9*AG23</f>
        <v>171</v>
      </c>
      <c r="AC23" s="8"/>
      <c r="AD23" s="9">
        <f t="shared" ref="AD23:AD33" si="20">DAY(EOMONTH(AH23,0))*24-AB23</f>
        <v>501</v>
      </c>
      <c r="AE23" s="8"/>
      <c r="AF23" s="8">
        <f t="shared" ref="AF23:AF33" si="21">AD23+AB23</f>
        <v>672</v>
      </c>
      <c r="AG23" s="8">
        <f>NETWORKDAYS(AH23,EOMONTH(AH23,0))-1</f>
        <v>19</v>
      </c>
      <c r="AH23" s="10">
        <f>DATE($AL$19,2,1)</f>
        <v>43497</v>
      </c>
      <c r="AI23" s="8"/>
      <c r="AJ23" t="s">
        <v>86</v>
      </c>
      <c r="AK23" t="s">
        <v>87</v>
      </c>
      <c r="AL23" s="58">
        <f>DATE(AL19,2,1)+14+CHOOSE(WEEKDAY(DATE(AL19,2,1)),1,0,6,5,4,3,2)</f>
        <v>43514</v>
      </c>
      <c r="AM23" s="8"/>
      <c r="AN23" s="8"/>
      <c r="AO23" s="8"/>
      <c r="AP23" s="8"/>
      <c r="AQ23" s="16">
        <f t="shared" ref="AQ23:AQ33" si="22">AQ9*AQ$21</f>
        <v>57588.876806355001</v>
      </c>
      <c r="AR23" s="8"/>
      <c r="AS23" s="8"/>
      <c r="AT23" s="8"/>
      <c r="AU23" s="8"/>
      <c r="AV23" s="8"/>
      <c r="AW23" s="8"/>
      <c r="AX23" s="8"/>
      <c r="AY23" s="8"/>
      <c r="AZ23" s="8"/>
    </row>
    <row r="24" spans="1:52" x14ac:dyDescent="0.3">
      <c r="A24" s="8">
        <f>ROUND(SUM(H24:Z24),2)</f>
        <v>204641.51</v>
      </c>
      <c r="B24" s="8">
        <f t="shared" si="11"/>
        <v>21248.1</v>
      </c>
      <c r="C24" s="8">
        <f t="shared" si="12"/>
        <v>127</v>
      </c>
      <c r="D24" s="8">
        <f t="shared" si="13"/>
        <v>127</v>
      </c>
      <c r="E24" s="8">
        <f t="shared" si="1"/>
        <v>99770.64</v>
      </c>
      <c r="G24" t="s">
        <v>8</v>
      </c>
      <c r="H24" s="8">
        <f t="shared" si="14"/>
        <v>0</v>
      </c>
      <c r="I24" s="8">
        <f t="shared" si="14"/>
        <v>127</v>
      </c>
      <c r="J24" s="8">
        <f t="shared" si="14"/>
        <v>0</v>
      </c>
      <c r="K24" s="8">
        <f t="shared" si="15"/>
        <v>0</v>
      </c>
      <c r="L24" s="8">
        <f t="shared" si="15"/>
        <v>0</v>
      </c>
      <c r="M24" s="8">
        <f t="shared" si="3"/>
        <v>50916.808799999999</v>
      </c>
      <c r="N24" s="8">
        <f t="shared" si="3"/>
        <v>42.184800000000024</v>
      </c>
      <c r="O24" s="8">
        <f t="shared" ref="O24" si="23">IF(OR($G24="Jun",$G24="Jul",$G24="Aug",$G24="Sep"),0,O$21*O10)</f>
        <v>24131.032800000001</v>
      </c>
      <c r="P24" s="8">
        <f t="shared" si="5"/>
        <v>0</v>
      </c>
      <c r="Q24" s="8">
        <f t="shared" si="6"/>
        <v>26332.76</v>
      </c>
      <c r="R24" s="8">
        <f t="shared" si="7"/>
        <v>62691.4</v>
      </c>
      <c r="S24" s="8">
        <f t="shared" si="8"/>
        <v>8405.7530384809834</v>
      </c>
      <c r="T24" s="8"/>
      <c r="U24" s="8">
        <f t="shared" si="9"/>
        <v>7941.9630669999997</v>
      </c>
      <c r="V24" s="8">
        <f t="shared" si="17"/>
        <v>0</v>
      </c>
      <c r="W24" s="8"/>
      <c r="X24" s="8">
        <f t="shared" si="10"/>
        <v>21248.095308</v>
      </c>
      <c r="Y24" s="8"/>
      <c r="Z24" s="8">
        <f t="shared" si="18"/>
        <v>2804.5127929999999</v>
      </c>
      <c r="AA24" s="8"/>
      <c r="AB24" s="8">
        <f t="shared" si="19"/>
        <v>189</v>
      </c>
      <c r="AC24" s="8"/>
      <c r="AD24" s="9">
        <f t="shared" si="20"/>
        <v>555</v>
      </c>
      <c r="AE24" s="8"/>
      <c r="AF24" s="8">
        <f t="shared" si="21"/>
        <v>744</v>
      </c>
      <c r="AG24" s="8">
        <f t="shared" ref="AG24:AG25" si="24">NETWORKDAYS(AH24,EOMONTH(AH24,0),AL24)</f>
        <v>21</v>
      </c>
      <c r="AH24" s="10">
        <f>DATE($AL$19,3,1)</f>
        <v>43525</v>
      </c>
      <c r="AI24" s="8"/>
      <c r="AJ24" t="s">
        <v>102</v>
      </c>
      <c r="AK24" t="s">
        <v>103</v>
      </c>
      <c r="AL24" s="58">
        <f>(FLOOR("5/"&amp;DAY(MINUTE(AL19/38)/2+56)&amp;"/"&amp;AL19,7)-34)-2</f>
        <v>43574</v>
      </c>
      <c r="AM24" s="8"/>
      <c r="AN24" s="8"/>
      <c r="AO24" s="8"/>
      <c r="AP24" s="8"/>
      <c r="AQ24" s="16">
        <f t="shared" si="22"/>
        <v>57588.876806355001</v>
      </c>
      <c r="AR24" s="8"/>
      <c r="AS24" s="8"/>
      <c r="AT24" s="8"/>
      <c r="AU24" s="8"/>
      <c r="AV24" s="8"/>
      <c r="AW24" s="8"/>
      <c r="AX24" s="8"/>
      <c r="AY24" s="8"/>
      <c r="AZ24" s="8"/>
    </row>
    <row r="25" spans="1:52" x14ac:dyDescent="0.3">
      <c r="A25" s="8">
        <f t="shared" ref="A25:A33" si="25">ROUND(SUM(H25:Z25),2)</f>
        <v>200747.03</v>
      </c>
      <c r="B25" s="8">
        <f t="shared" si="11"/>
        <v>7914.76</v>
      </c>
      <c r="C25" s="8">
        <f t="shared" si="12"/>
        <v>127</v>
      </c>
      <c r="D25" s="8">
        <f t="shared" si="13"/>
        <v>127</v>
      </c>
      <c r="E25" s="8">
        <f t="shared" si="1"/>
        <v>99770.64</v>
      </c>
      <c r="G25" t="s">
        <v>9</v>
      </c>
      <c r="H25" s="8">
        <f t="shared" si="14"/>
        <v>0</v>
      </c>
      <c r="I25" s="8">
        <f t="shared" si="14"/>
        <v>127</v>
      </c>
      <c r="J25" s="8">
        <f t="shared" si="14"/>
        <v>0</v>
      </c>
      <c r="K25" s="8">
        <f t="shared" si="15"/>
        <v>0</v>
      </c>
      <c r="L25" s="8">
        <f t="shared" si="15"/>
        <v>0</v>
      </c>
      <c r="M25" s="8">
        <f t="shared" si="3"/>
        <v>50916.808799999999</v>
      </c>
      <c r="N25" s="8">
        <f t="shared" si="3"/>
        <v>42.184800000000024</v>
      </c>
      <c r="O25" s="8">
        <f t="shared" ref="O25" si="26">IF(OR($G25="Jun",$G25="Jul",$G25="Aug",$G25="Sep"),0,O$21*O11)</f>
        <v>24131.032800000001</v>
      </c>
      <c r="P25" s="8">
        <f t="shared" si="5"/>
        <v>0</v>
      </c>
      <c r="Q25" s="8">
        <f t="shared" si="6"/>
        <v>26332.76</v>
      </c>
      <c r="R25" s="8">
        <f t="shared" si="7"/>
        <v>62691.4</v>
      </c>
      <c r="S25" s="8">
        <f t="shared" si="8"/>
        <v>17844.615388954044</v>
      </c>
      <c r="T25" s="8"/>
      <c r="U25" s="8">
        <f t="shared" si="9"/>
        <v>7941.9630669999997</v>
      </c>
      <c r="V25" s="8">
        <f t="shared" si="17"/>
        <v>0</v>
      </c>
      <c r="W25" s="8"/>
      <c r="X25" s="8">
        <f t="shared" si="10"/>
        <v>7914.7567990000007</v>
      </c>
      <c r="Y25" s="8"/>
      <c r="Z25" s="8">
        <f t="shared" si="18"/>
        <v>2804.5127929999999</v>
      </c>
      <c r="AA25" s="8"/>
      <c r="AB25" s="8">
        <f t="shared" si="19"/>
        <v>198</v>
      </c>
      <c r="AC25" s="8"/>
      <c r="AD25" s="9">
        <f t="shared" si="20"/>
        <v>522</v>
      </c>
      <c r="AE25" s="8"/>
      <c r="AF25" s="8">
        <f t="shared" si="21"/>
        <v>720</v>
      </c>
      <c r="AG25" s="8">
        <f t="shared" si="24"/>
        <v>22</v>
      </c>
      <c r="AH25" s="10">
        <f>DATE($AL$19,4,1)</f>
        <v>43556</v>
      </c>
      <c r="AI25" s="8"/>
      <c r="AM25" s="8"/>
      <c r="AN25" s="8"/>
      <c r="AO25" s="8"/>
      <c r="AP25" s="8"/>
      <c r="AQ25" s="16">
        <f t="shared" si="22"/>
        <v>57588.876806355001</v>
      </c>
      <c r="AR25" s="8"/>
      <c r="AS25" s="8"/>
      <c r="AT25" s="8"/>
      <c r="AU25" s="8"/>
      <c r="AV25" s="8"/>
      <c r="AW25" s="8"/>
      <c r="AX25" s="8"/>
      <c r="AY25" s="8"/>
      <c r="AZ25" s="8"/>
    </row>
    <row r="26" spans="1:52" x14ac:dyDescent="0.3">
      <c r="A26" s="8">
        <f t="shared" si="25"/>
        <v>215210.69</v>
      </c>
      <c r="B26" s="8">
        <f t="shared" si="11"/>
        <v>19772.16</v>
      </c>
      <c r="C26" s="8">
        <f t="shared" si="12"/>
        <v>127</v>
      </c>
      <c r="D26" s="8">
        <f t="shared" si="13"/>
        <v>127</v>
      </c>
      <c r="E26" s="8">
        <f t="shared" si="1"/>
        <v>99770.64</v>
      </c>
      <c r="G26" t="s">
        <v>10</v>
      </c>
      <c r="H26" s="8">
        <f t="shared" si="14"/>
        <v>0</v>
      </c>
      <c r="I26" s="8">
        <f t="shared" si="14"/>
        <v>127</v>
      </c>
      <c r="J26" s="8">
        <f t="shared" si="14"/>
        <v>0</v>
      </c>
      <c r="K26" s="8">
        <f t="shared" si="15"/>
        <v>0</v>
      </c>
      <c r="L26" s="8">
        <f t="shared" si="15"/>
        <v>0</v>
      </c>
      <c r="M26" s="8">
        <f t="shared" si="3"/>
        <v>50916.808799999999</v>
      </c>
      <c r="N26" s="8">
        <f t="shared" si="3"/>
        <v>42.184800000000024</v>
      </c>
      <c r="O26" s="8">
        <f t="shared" ref="O26" si="27">IF(OR($G26="Jun",$G26="Jul",$G26="Aug",$G26="Sep"),0,O$21*O12)</f>
        <v>24131.032800000001</v>
      </c>
      <c r="P26" s="8">
        <f t="shared" si="5"/>
        <v>0</v>
      </c>
      <c r="Q26" s="8">
        <f t="shared" si="6"/>
        <v>26332.76</v>
      </c>
      <c r="R26" s="8">
        <f t="shared" si="7"/>
        <v>62691.4</v>
      </c>
      <c r="S26" s="8">
        <f t="shared" si="8"/>
        <v>20450.868426024957</v>
      </c>
      <c r="T26" s="8"/>
      <c r="U26" s="8">
        <f t="shared" si="9"/>
        <v>7941.9630669999997</v>
      </c>
      <c r="V26" s="8">
        <f t="shared" si="17"/>
        <v>0</v>
      </c>
      <c r="W26" s="8"/>
      <c r="X26" s="8">
        <f t="shared" si="10"/>
        <v>19772.155268999999</v>
      </c>
      <c r="Y26" s="8"/>
      <c r="Z26" s="8">
        <f t="shared" si="18"/>
        <v>2804.5127929999999</v>
      </c>
      <c r="AA26" s="8"/>
      <c r="AB26" s="8">
        <f t="shared" si="19"/>
        <v>198</v>
      </c>
      <c r="AC26" s="8"/>
      <c r="AD26" s="9">
        <f t="shared" si="20"/>
        <v>546</v>
      </c>
      <c r="AE26" s="8"/>
      <c r="AF26" s="8">
        <f t="shared" si="21"/>
        <v>744</v>
      </c>
      <c r="AG26" s="8">
        <f>NETWORKDAYS(AH26,EOMONTH(AH26,0))-1</f>
        <v>22</v>
      </c>
      <c r="AH26" s="10">
        <f>DATE($AL$19,5,1)</f>
        <v>43586</v>
      </c>
      <c r="AI26" s="8"/>
      <c r="AJ26" t="s">
        <v>88</v>
      </c>
      <c r="AK26" t="s">
        <v>89</v>
      </c>
      <c r="AL26" s="58">
        <f>DATE(AL19,5,31)-CHOOSE(WEEKDAY(DATE(AL19,5,31)),6,0,1,2,3,4,5)</f>
        <v>43612</v>
      </c>
      <c r="AM26" s="8"/>
      <c r="AN26" s="8"/>
      <c r="AO26" s="8"/>
      <c r="AP26" s="8"/>
      <c r="AQ26" s="16">
        <f t="shared" si="22"/>
        <v>57588.876806355001</v>
      </c>
      <c r="AR26" s="8"/>
      <c r="AS26" s="8"/>
      <c r="AT26" s="8"/>
      <c r="AU26" s="8"/>
      <c r="AV26" s="8"/>
      <c r="AW26" s="8"/>
      <c r="AX26" s="8"/>
      <c r="AY26" s="8"/>
      <c r="AZ26" s="8"/>
    </row>
    <row r="27" spans="1:52" x14ac:dyDescent="0.3">
      <c r="A27" s="8">
        <f t="shared" si="25"/>
        <v>172276.25</v>
      </c>
      <c r="B27" s="8">
        <f t="shared" si="11"/>
        <v>-5899.23</v>
      </c>
      <c r="C27" s="8">
        <f t="shared" si="12"/>
        <v>54004.3</v>
      </c>
      <c r="D27" s="8">
        <f t="shared" si="13"/>
        <v>127</v>
      </c>
      <c r="E27" s="8">
        <f t="shared" si="1"/>
        <v>112420.25</v>
      </c>
      <c r="G27" t="s">
        <v>11</v>
      </c>
      <c r="H27" s="8">
        <f t="shared" si="14"/>
        <v>0</v>
      </c>
      <c r="I27" s="8">
        <f t="shared" si="14"/>
        <v>127</v>
      </c>
      <c r="J27" s="8">
        <f t="shared" si="14"/>
        <v>0</v>
      </c>
      <c r="K27" s="8">
        <f t="shared" si="15"/>
        <v>53835.117599999998</v>
      </c>
      <c r="L27" s="8">
        <f t="shared" si="15"/>
        <v>42.184800000000024</v>
      </c>
      <c r="M27" s="8">
        <f>IF(OR($G27="Jun",$G27="Jul",$G27="Aug",$G27="Sep"),0,M$21*M13)</f>
        <v>0</v>
      </c>
      <c r="N27" s="8">
        <f>IF(OR($G27="Jun",$G27="Jul",$G27="Aug",$G27="Sep"),0,N$21*N13)</f>
        <v>0</v>
      </c>
      <c r="O27" s="8">
        <f>IF(OR($G27="Jun",$G27="Jul",$G27="Aug",$G27="Sep"),0,O$21*O13)</f>
        <v>0</v>
      </c>
      <c r="P27" s="8">
        <f t="shared" si="5"/>
        <v>32597</v>
      </c>
      <c r="Q27" s="8">
        <f t="shared" si="6"/>
        <v>0</v>
      </c>
      <c r="R27" s="8">
        <f t="shared" si="7"/>
        <v>76635.58</v>
      </c>
      <c r="S27" s="8">
        <f t="shared" si="8"/>
        <v>11750.92729885068</v>
      </c>
      <c r="T27" s="8"/>
      <c r="U27" s="8">
        <f t="shared" si="9"/>
        <v>7941.9630669999997</v>
      </c>
      <c r="V27" s="8">
        <f t="shared" si="17"/>
        <v>0</v>
      </c>
      <c r="W27" s="8"/>
      <c r="X27" s="8">
        <f t="shared" si="10"/>
        <v>-5899.225778</v>
      </c>
      <c r="Y27" s="8"/>
      <c r="Z27" s="8">
        <f t="shared" si="18"/>
        <v>-4754.295333</v>
      </c>
      <c r="AA27" s="8"/>
      <c r="AB27" s="8">
        <f t="shared" si="19"/>
        <v>180</v>
      </c>
      <c r="AC27" s="8"/>
      <c r="AD27" s="9">
        <f t="shared" si="20"/>
        <v>540</v>
      </c>
      <c r="AE27" s="8"/>
      <c r="AF27" s="8">
        <f t="shared" si="21"/>
        <v>720</v>
      </c>
      <c r="AG27" s="8">
        <f>NETWORKDAYS(AH27,EOMONTH(AH27,0))</f>
        <v>20</v>
      </c>
      <c r="AH27" s="10">
        <f>DATE($AL$19,6,1)</f>
        <v>43617</v>
      </c>
      <c r="AI27" s="8"/>
      <c r="AM27" s="8"/>
      <c r="AN27" s="8"/>
      <c r="AO27" s="8"/>
      <c r="AP27" s="8"/>
      <c r="AQ27" s="16">
        <f t="shared" si="22"/>
        <v>76585.656411899996</v>
      </c>
      <c r="AR27" s="8"/>
      <c r="AS27" s="8"/>
      <c r="AT27" s="8"/>
      <c r="AU27" s="8"/>
      <c r="AV27" s="8"/>
      <c r="AW27" s="8"/>
      <c r="AX27" s="8"/>
      <c r="AY27" s="8"/>
      <c r="AZ27" s="8"/>
    </row>
    <row r="28" spans="1:52" x14ac:dyDescent="0.3">
      <c r="A28" s="8">
        <f t="shared" si="25"/>
        <v>0</v>
      </c>
      <c r="B28" s="8">
        <f t="shared" si="11"/>
        <v>0</v>
      </c>
      <c r="C28" s="8">
        <f t="shared" si="12"/>
        <v>0</v>
      </c>
      <c r="D28" s="8">
        <f t="shared" si="13"/>
        <v>0</v>
      </c>
      <c r="E28" s="8">
        <f t="shared" si="1"/>
        <v>0</v>
      </c>
      <c r="G28" t="s">
        <v>12</v>
      </c>
      <c r="H28" s="8">
        <f t="shared" si="14"/>
        <v>0</v>
      </c>
      <c r="I28" s="8">
        <f t="shared" si="14"/>
        <v>0</v>
      </c>
      <c r="J28" s="8">
        <f t="shared" si="14"/>
        <v>0</v>
      </c>
      <c r="K28" s="8">
        <f t="shared" si="15"/>
        <v>0</v>
      </c>
      <c r="L28" s="8">
        <f t="shared" si="15"/>
        <v>0</v>
      </c>
      <c r="M28" s="8">
        <f t="shared" ref="M28:N33" si="28">IF(OR($G28="Jun",$G28="Jul",$G28="Aug",$G28="Sep"),0,M$21*M14)</f>
        <v>0</v>
      </c>
      <c r="N28" s="8">
        <f t="shared" si="28"/>
        <v>0</v>
      </c>
      <c r="O28" s="8">
        <f t="shared" ref="O28" si="29">IF(OR($G28="Jun",$G28="Jul",$G28="Aug",$G28="Sep"),0,O$21*O14)</f>
        <v>0</v>
      </c>
      <c r="P28" s="8">
        <f t="shared" si="5"/>
        <v>0</v>
      </c>
      <c r="Q28" s="8">
        <f t="shared" si="6"/>
        <v>0</v>
      </c>
      <c r="R28" s="8">
        <f t="shared" si="7"/>
        <v>0</v>
      </c>
      <c r="S28" s="8">
        <f t="shared" si="8"/>
        <v>0</v>
      </c>
      <c r="T28" s="8"/>
      <c r="U28" s="8">
        <f t="shared" si="9"/>
        <v>0</v>
      </c>
      <c r="V28" s="8">
        <f t="shared" si="17"/>
        <v>0</v>
      </c>
      <c r="W28" s="8"/>
      <c r="X28" s="8">
        <f t="shared" si="10"/>
        <v>0</v>
      </c>
      <c r="Y28" s="8"/>
      <c r="Z28" s="8">
        <f t="shared" si="18"/>
        <v>0</v>
      </c>
      <c r="AA28" s="8"/>
      <c r="AB28" s="8">
        <f t="shared" si="19"/>
        <v>198</v>
      </c>
      <c r="AC28" s="8"/>
      <c r="AD28" s="9">
        <f t="shared" si="20"/>
        <v>546</v>
      </c>
      <c r="AE28" s="8"/>
      <c r="AF28" s="8">
        <f t="shared" si="21"/>
        <v>744</v>
      </c>
      <c r="AG28" s="8">
        <f>NETWORKDAYS(AH28,EOMONTH(AH28,0))-1</f>
        <v>22</v>
      </c>
      <c r="AH28" s="10">
        <f>DATE($AL$19,7,1)</f>
        <v>43647</v>
      </c>
      <c r="AI28" s="8"/>
      <c r="AJ28" t="s">
        <v>90</v>
      </c>
      <c r="AK28" s="63" t="s">
        <v>91</v>
      </c>
      <c r="AL28" s="58">
        <f>DATE($AL$19,7,4)</f>
        <v>43650</v>
      </c>
      <c r="AM28" s="8"/>
      <c r="AN28" s="8"/>
      <c r="AO28" s="8"/>
      <c r="AP28" s="8"/>
      <c r="AQ28" s="16">
        <f t="shared" si="22"/>
        <v>0</v>
      </c>
      <c r="AR28" s="8"/>
      <c r="AS28" s="8"/>
      <c r="AT28" s="8"/>
      <c r="AU28" s="8"/>
      <c r="AV28" s="8"/>
      <c r="AW28" s="8"/>
      <c r="AX28" s="8"/>
      <c r="AY28" s="8"/>
      <c r="AZ28" s="8"/>
    </row>
    <row r="29" spans="1:52" x14ac:dyDescent="0.3">
      <c r="A29" s="8">
        <f t="shared" si="25"/>
        <v>0</v>
      </c>
      <c r="B29" s="8">
        <f t="shared" si="11"/>
        <v>0</v>
      </c>
      <c r="C29" s="8">
        <f t="shared" si="12"/>
        <v>0</v>
      </c>
      <c r="D29" s="8">
        <f t="shared" si="13"/>
        <v>0</v>
      </c>
      <c r="E29" s="8">
        <f t="shared" si="1"/>
        <v>0</v>
      </c>
      <c r="G29" t="s">
        <v>13</v>
      </c>
      <c r="H29" s="8">
        <f t="shared" si="14"/>
        <v>0</v>
      </c>
      <c r="I29" s="8">
        <f t="shared" si="14"/>
        <v>0</v>
      </c>
      <c r="J29" s="8">
        <f t="shared" si="14"/>
        <v>0</v>
      </c>
      <c r="K29" s="8">
        <f t="shared" si="15"/>
        <v>0</v>
      </c>
      <c r="L29" s="8">
        <f t="shared" si="15"/>
        <v>0</v>
      </c>
      <c r="M29" s="8">
        <f t="shared" si="28"/>
        <v>0</v>
      </c>
      <c r="N29" s="8">
        <f t="shared" si="28"/>
        <v>0</v>
      </c>
      <c r="O29" s="8">
        <f t="shared" ref="O29" si="30">IF(OR($G29="Jun",$G29="Jul",$G29="Aug",$G29="Sep"),0,O$21*O15)</f>
        <v>0</v>
      </c>
      <c r="P29" s="8">
        <f t="shared" si="5"/>
        <v>0</v>
      </c>
      <c r="Q29" s="8">
        <f t="shared" si="6"/>
        <v>0</v>
      </c>
      <c r="R29" s="8">
        <f t="shared" si="7"/>
        <v>0</v>
      </c>
      <c r="S29" s="8">
        <f t="shared" si="8"/>
        <v>0</v>
      </c>
      <c r="T29" s="8"/>
      <c r="U29" s="8">
        <f t="shared" si="9"/>
        <v>0</v>
      </c>
      <c r="V29" s="8">
        <f t="shared" si="17"/>
        <v>0</v>
      </c>
      <c r="W29" s="8"/>
      <c r="X29" s="8">
        <f t="shared" si="10"/>
        <v>0</v>
      </c>
      <c r="Y29" s="8"/>
      <c r="Z29" s="8">
        <f t="shared" si="18"/>
        <v>0</v>
      </c>
      <c r="AA29" s="8"/>
      <c r="AB29" s="8">
        <f t="shared" si="19"/>
        <v>198</v>
      </c>
      <c r="AC29" s="8"/>
      <c r="AD29" s="9">
        <f t="shared" si="20"/>
        <v>546</v>
      </c>
      <c r="AE29" s="8"/>
      <c r="AF29" s="8">
        <f t="shared" si="21"/>
        <v>744</v>
      </c>
      <c r="AG29" s="8">
        <f>NETWORKDAYS(AH29,EOMONTH(AH29,0))</f>
        <v>22</v>
      </c>
      <c r="AH29" s="10">
        <f>DATE($AL$19,8,1)</f>
        <v>43678</v>
      </c>
      <c r="AI29" s="8"/>
      <c r="AM29" s="8"/>
      <c r="AN29" s="8"/>
      <c r="AO29" s="8"/>
      <c r="AP29" s="8"/>
      <c r="AQ29" s="16">
        <f t="shared" si="22"/>
        <v>0</v>
      </c>
      <c r="AR29" s="8"/>
      <c r="AS29" s="8"/>
      <c r="AT29" s="8"/>
      <c r="AU29" s="8"/>
      <c r="AV29" s="8"/>
      <c r="AW29" s="8"/>
      <c r="AX29" s="8"/>
      <c r="AY29" s="8"/>
      <c r="AZ29" s="8"/>
    </row>
    <row r="30" spans="1:52" x14ac:dyDescent="0.3">
      <c r="A30" s="8">
        <f t="shared" si="25"/>
        <v>0</v>
      </c>
      <c r="B30" s="8">
        <f t="shared" si="11"/>
        <v>0</v>
      </c>
      <c r="C30" s="8">
        <f t="shared" si="12"/>
        <v>0</v>
      </c>
      <c r="D30" s="8">
        <f t="shared" si="13"/>
        <v>0</v>
      </c>
      <c r="E30" s="8">
        <f t="shared" si="1"/>
        <v>0</v>
      </c>
      <c r="G30" t="s">
        <v>14</v>
      </c>
      <c r="H30" s="8">
        <f t="shared" si="14"/>
        <v>0</v>
      </c>
      <c r="I30" s="8">
        <f t="shared" si="14"/>
        <v>0</v>
      </c>
      <c r="J30" s="8">
        <f t="shared" si="14"/>
        <v>0</v>
      </c>
      <c r="K30" s="8">
        <f t="shared" si="15"/>
        <v>0</v>
      </c>
      <c r="L30" s="8">
        <f t="shared" si="15"/>
        <v>0</v>
      </c>
      <c r="M30" s="8">
        <f t="shared" si="28"/>
        <v>0</v>
      </c>
      <c r="N30" s="8">
        <f t="shared" si="28"/>
        <v>0</v>
      </c>
      <c r="O30" s="8">
        <f t="shared" ref="O30" si="31">IF(OR($G30="Jun",$G30="Jul",$G30="Aug",$G30="Sep"),0,O$21*O16)</f>
        <v>0</v>
      </c>
      <c r="P30" s="8">
        <f t="shared" si="5"/>
        <v>0</v>
      </c>
      <c r="Q30" s="8">
        <f t="shared" si="6"/>
        <v>0</v>
      </c>
      <c r="R30" s="8">
        <f t="shared" si="7"/>
        <v>0</v>
      </c>
      <c r="S30" s="8">
        <f t="shared" si="8"/>
        <v>0</v>
      </c>
      <c r="T30" s="8"/>
      <c r="U30" s="8">
        <f t="shared" si="9"/>
        <v>0</v>
      </c>
      <c r="V30" s="8">
        <f t="shared" si="17"/>
        <v>0</v>
      </c>
      <c r="W30" s="8"/>
      <c r="X30" s="8">
        <f t="shared" si="10"/>
        <v>0</v>
      </c>
      <c r="Y30" s="8"/>
      <c r="Z30" s="8">
        <f t="shared" si="18"/>
        <v>0</v>
      </c>
      <c r="AA30" s="8"/>
      <c r="AB30" s="8">
        <f t="shared" si="19"/>
        <v>180</v>
      </c>
      <c r="AC30" s="8"/>
      <c r="AD30" s="9">
        <f t="shared" si="20"/>
        <v>540</v>
      </c>
      <c r="AE30" s="8"/>
      <c r="AF30" s="8">
        <f t="shared" si="21"/>
        <v>720</v>
      </c>
      <c r="AG30" s="8">
        <f>NETWORKDAYS(AH30,EOMONTH(AH30,0))-1</f>
        <v>20</v>
      </c>
      <c r="AH30" s="10">
        <f>DATE($AL$19,9,1)</f>
        <v>43709</v>
      </c>
      <c r="AI30" s="8"/>
      <c r="AJ30" t="s">
        <v>92</v>
      </c>
      <c r="AK30" t="s">
        <v>93</v>
      </c>
      <c r="AL30" s="58">
        <f>DATE(AL19,9,1)+CHOOSE(WEEKDAY(DATE(AL19,9,1)),1,0,6,5,4,3,2)</f>
        <v>43710</v>
      </c>
      <c r="AM30" s="8"/>
      <c r="AN30" s="8"/>
      <c r="AO30" s="8"/>
      <c r="AP30" s="8"/>
      <c r="AQ30" s="16">
        <f t="shared" si="22"/>
        <v>0</v>
      </c>
      <c r="AR30" s="8"/>
      <c r="AS30" s="8"/>
      <c r="AT30" s="8"/>
      <c r="AU30" s="8"/>
      <c r="AV30" s="8"/>
      <c r="AW30" s="8"/>
      <c r="AX30" s="8"/>
      <c r="AY30" s="8"/>
      <c r="AZ30" s="8"/>
    </row>
    <row r="31" spans="1:52" x14ac:dyDescent="0.3">
      <c r="A31" s="8">
        <f t="shared" si="25"/>
        <v>0</v>
      </c>
      <c r="B31" s="8">
        <f t="shared" si="11"/>
        <v>0</v>
      </c>
      <c r="C31" s="8">
        <f t="shared" si="12"/>
        <v>0</v>
      </c>
      <c r="D31" s="8">
        <f t="shared" si="13"/>
        <v>0</v>
      </c>
      <c r="E31" s="8">
        <f t="shared" si="1"/>
        <v>0</v>
      </c>
      <c r="G31" t="s">
        <v>15</v>
      </c>
      <c r="H31" s="8">
        <f t="shared" si="14"/>
        <v>0</v>
      </c>
      <c r="I31" s="8">
        <f t="shared" si="14"/>
        <v>0</v>
      </c>
      <c r="J31" s="8">
        <f t="shared" si="14"/>
        <v>0</v>
      </c>
      <c r="K31" s="8">
        <f t="shared" si="15"/>
        <v>0</v>
      </c>
      <c r="L31" s="8">
        <f t="shared" si="15"/>
        <v>0</v>
      </c>
      <c r="M31" s="8">
        <f t="shared" si="28"/>
        <v>0</v>
      </c>
      <c r="N31" s="8">
        <f t="shared" si="28"/>
        <v>0</v>
      </c>
      <c r="O31" s="8">
        <f t="shared" ref="O31" si="32">IF(OR($G31="Jun",$G31="Jul",$G31="Aug",$G31="Sep"),0,O$21*O17)</f>
        <v>0</v>
      </c>
      <c r="P31" s="8">
        <f t="shared" si="5"/>
        <v>0</v>
      </c>
      <c r="Q31" s="8">
        <f t="shared" si="6"/>
        <v>0</v>
      </c>
      <c r="R31" s="8">
        <f t="shared" si="7"/>
        <v>0</v>
      </c>
      <c r="S31" s="8">
        <f t="shared" si="8"/>
        <v>0</v>
      </c>
      <c r="T31" s="8"/>
      <c r="U31" s="8">
        <f t="shared" si="9"/>
        <v>0</v>
      </c>
      <c r="V31" s="8">
        <f t="shared" si="17"/>
        <v>0</v>
      </c>
      <c r="W31" s="8"/>
      <c r="X31" s="8">
        <f t="shared" si="10"/>
        <v>0</v>
      </c>
      <c r="Y31" s="8"/>
      <c r="Z31" s="8">
        <f t="shared" si="18"/>
        <v>0</v>
      </c>
      <c r="AA31" s="8"/>
      <c r="AB31" s="8">
        <f t="shared" si="19"/>
        <v>198</v>
      </c>
      <c r="AC31" s="8"/>
      <c r="AD31" s="9">
        <f t="shared" si="20"/>
        <v>546</v>
      </c>
      <c r="AE31" s="8"/>
      <c r="AF31" s="8">
        <f t="shared" si="21"/>
        <v>744</v>
      </c>
      <c r="AG31" s="8">
        <f>NETWORKDAYS(AH31,EOMONTH(AH31,0))-1</f>
        <v>22</v>
      </c>
      <c r="AH31" s="10">
        <f>DATE($AL$19,10,1)</f>
        <v>43739</v>
      </c>
      <c r="AI31" s="8"/>
      <c r="AJ31" t="s">
        <v>94</v>
      </c>
      <c r="AK31" t="s">
        <v>95</v>
      </c>
      <c r="AL31" s="58">
        <f>DATE(AL19,10,1)+7+CHOOSE(WEEKDAY(DATE(AL19,10,1)),1,0,6,5,4,3,2)</f>
        <v>43752</v>
      </c>
      <c r="AM31" s="8"/>
      <c r="AN31" s="8"/>
      <c r="AO31" s="8"/>
      <c r="AP31" s="8"/>
      <c r="AQ31" s="16">
        <f t="shared" si="22"/>
        <v>0</v>
      </c>
      <c r="AR31" s="8"/>
      <c r="AS31" s="8"/>
      <c r="AT31" s="8"/>
      <c r="AU31" s="8"/>
      <c r="AV31" s="8"/>
      <c r="AW31" s="8"/>
      <c r="AX31" s="8"/>
      <c r="AY31" s="8"/>
      <c r="AZ31" s="8"/>
    </row>
    <row r="32" spans="1:52" x14ac:dyDescent="0.3">
      <c r="A32" s="8">
        <f t="shared" si="25"/>
        <v>0</v>
      </c>
      <c r="B32" s="8">
        <f t="shared" si="11"/>
        <v>0</v>
      </c>
      <c r="C32" s="8">
        <f t="shared" si="12"/>
        <v>0</v>
      </c>
      <c r="D32" s="8">
        <f t="shared" si="13"/>
        <v>0</v>
      </c>
      <c r="E32" s="8">
        <f t="shared" si="1"/>
        <v>0</v>
      </c>
      <c r="G32" t="s">
        <v>16</v>
      </c>
      <c r="H32" s="8">
        <f t="shared" si="14"/>
        <v>0</v>
      </c>
      <c r="I32" s="8">
        <f t="shared" si="14"/>
        <v>0</v>
      </c>
      <c r="J32" s="8">
        <f t="shared" si="14"/>
        <v>0</v>
      </c>
      <c r="K32" s="8">
        <f t="shared" si="15"/>
        <v>0</v>
      </c>
      <c r="L32" s="8">
        <f t="shared" si="15"/>
        <v>0</v>
      </c>
      <c r="M32" s="8">
        <f t="shared" si="28"/>
        <v>0</v>
      </c>
      <c r="N32" s="8">
        <f t="shared" si="28"/>
        <v>0</v>
      </c>
      <c r="O32" s="8">
        <f t="shared" ref="O32" si="33">IF(OR($G32="Jun",$G32="Jul",$G32="Aug",$G32="Sep"),0,O$21*O18)</f>
        <v>0</v>
      </c>
      <c r="P32" s="8">
        <f t="shared" si="5"/>
        <v>0</v>
      </c>
      <c r="Q32" s="8">
        <f t="shared" si="6"/>
        <v>0</v>
      </c>
      <c r="R32" s="8">
        <f t="shared" si="7"/>
        <v>0</v>
      </c>
      <c r="S32" s="8">
        <f t="shared" si="8"/>
        <v>0</v>
      </c>
      <c r="T32" s="8"/>
      <c r="U32" s="8">
        <f t="shared" si="9"/>
        <v>0</v>
      </c>
      <c r="V32" s="8">
        <f t="shared" si="17"/>
        <v>0</v>
      </c>
      <c r="W32" s="8"/>
      <c r="X32" s="8">
        <f t="shared" si="10"/>
        <v>0</v>
      </c>
      <c r="Y32" s="8"/>
      <c r="Z32" s="8">
        <f t="shared" si="18"/>
        <v>0</v>
      </c>
      <c r="AA32" s="8"/>
      <c r="AB32" s="8">
        <f t="shared" si="19"/>
        <v>171</v>
      </c>
      <c r="AC32" s="8"/>
      <c r="AD32" s="9">
        <f t="shared" si="20"/>
        <v>549</v>
      </c>
      <c r="AE32" s="8"/>
      <c r="AF32" s="8">
        <f t="shared" si="21"/>
        <v>720</v>
      </c>
      <c r="AG32" s="8">
        <f>NETWORKDAYS(AH32,EOMONTH(AH32,0))-2</f>
        <v>19</v>
      </c>
      <c r="AH32" s="10">
        <f>DATE($AL$19,11,1)</f>
        <v>43770</v>
      </c>
      <c r="AI32" s="8"/>
      <c r="AJ32" t="s">
        <v>96</v>
      </c>
      <c r="AK32" s="62" t="s">
        <v>97</v>
      </c>
      <c r="AL32" s="58">
        <f>DATE(AL19,11,11)</f>
        <v>43780</v>
      </c>
      <c r="AM32" t="s">
        <v>98</v>
      </c>
      <c r="AN32" t="s">
        <v>99</v>
      </c>
      <c r="AO32" s="58">
        <f>DATE(AL19,11,1)+21+CHOOSE(WEEKDAY(DATE(AL19,11,1)),4,3,2,1,0,6,5)</f>
        <v>43797</v>
      </c>
      <c r="AP32" s="8"/>
      <c r="AQ32" s="16">
        <f t="shared" si="22"/>
        <v>0</v>
      </c>
      <c r="AR32" s="8"/>
      <c r="AS32" s="8"/>
      <c r="AT32" s="8"/>
      <c r="AU32" s="8"/>
      <c r="AV32" s="8"/>
      <c r="AW32" s="8"/>
      <c r="AX32" s="8"/>
      <c r="AY32" s="8"/>
      <c r="AZ32" s="8"/>
    </row>
    <row r="33" spans="1:52" x14ac:dyDescent="0.3">
      <c r="A33" s="8">
        <f t="shared" si="25"/>
        <v>0</v>
      </c>
      <c r="B33" s="8">
        <f t="shared" si="11"/>
        <v>0</v>
      </c>
      <c r="C33" s="8">
        <f t="shared" si="12"/>
        <v>0</v>
      </c>
      <c r="D33" s="8">
        <f t="shared" si="13"/>
        <v>0</v>
      </c>
      <c r="E33" s="8">
        <f t="shared" si="1"/>
        <v>0</v>
      </c>
      <c r="G33" t="s">
        <v>17</v>
      </c>
      <c r="H33" s="8">
        <f t="shared" si="14"/>
        <v>0</v>
      </c>
      <c r="I33" s="8">
        <f t="shared" si="14"/>
        <v>0</v>
      </c>
      <c r="J33" s="8">
        <f t="shared" si="14"/>
        <v>0</v>
      </c>
      <c r="K33" s="8">
        <f t="shared" si="15"/>
        <v>0</v>
      </c>
      <c r="L33" s="8">
        <f t="shared" si="15"/>
        <v>0</v>
      </c>
      <c r="M33" s="8">
        <f t="shared" si="28"/>
        <v>0</v>
      </c>
      <c r="N33" s="8">
        <f t="shared" si="28"/>
        <v>0</v>
      </c>
      <c r="O33" s="8">
        <f t="shared" ref="O33" si="34">IF(OR($G33="Jun",$G33="Jul",$G33="Aug",$G33="Sep"),0,O$21*O19)</f>
        <v>0</v>
      </c>
      <c r="P33" s="8">
        <f t="shared" si="5"/>
        <v>0</v>
      </c>
      <c r="Q33" s="8">
        <f t="shared" si="6"/>
        <v>0</v>
      </c>
      <c r="R33" s="8">
        <f t="shared" si="7"/>
        <v>0</v>
      </c>
      <c r="S33" s="8">
        <f t="shared" si="8"/>
        <v>0</v>
      </c>
      <c r="T33" s="8"/>
      <c r="U33" s="8">
        <f t="shared" si="9"/>
        <v>0</v>
      </c>
      <c r="V33" s="8">
        <f t="shared" si="17"/>
        <v>0</v>
      </c>
      <c r="W33" s="8"/>
      <c r="X33" s="8">
        <f t="shared" si="10"/>
        <v>0</v>
      </c>
      <c r="Y33" s="8"/>
      <c r="Z33" s="8">
        <f t="shared" si="18"/>
        <v>0</v>
      </c>
      <c r="AA33" s="8"/>
      <c r="AB33" s="8">
        <f t="shared" si="19"/>
        <v>189</v>
      </c>
      <c r="AC33" s="8"/>
      <c r="AD33" s="9">
        <f t="shared" si="20"/>
        <v>555</v>
      </c>
      <c r="AE33" s="8"/>
      <c r="AF33" s="8">
        <f t="shared" si="21"/>
        <v>744</v>
      </c>
      <c r="AG33" s="8">
        <f>NETWORKDAYS(AH33,EOMONTH(AH33,0))-1</f>
        <v>21</v>
      </c>
      <c r="AH33" s="10">
        <f>DATE($AL$19,12,1)</f>
        <v>43800</v>
      </c>
      <c r="AI33" s="8"/>
      <c r="AJ33" t="s">
        <v>100</v>
      </c>
      <c r="AK33" s="63" t="s">
        <v>101</v>
      </c>
      <c r="AL33" s="58">
        <f>DATE(AL19,12,25)</f>
        <v>43824</v>
      </c>
      <c r="AM33" s="8"/>
      <c r="AN33" s="8"/>
      <c r="AO33" s="8"/>
      <c r="AP33" s="8"/>
      <c r="AQ33" s="16">
        <f t="shared" si="22"/>
        <v>0</v>
      </c>
      <c r="AR33" s="8"/>
      <c r="AS33" s="8"/>
      <c r="AT33" s="8"/>
      <c r="AU33" s="8"/>
      <c r="AV33" s="8"/>
      <c r="AW33" s="8"/>
      <c r="AX33" s="8"/>
      <c r="AY33" s="8"/>
      <c r="AZ33" s="8"/>
    </row>
    <row r="34" spans="1:52" x14ac:dyDescent="0.3">
      <c r="AF34" s="38">
        <f>SUM(AF22:AF33)</f>
        <v>8760</v>
      </c>
    </row>
    <row r="35" spans="1:52" x14ac:dyDescent="0.3">
      <c r="A35" s="64"/>
      <c r="D35" s="38"/>
      <c r="Q35" s="38"/>
      <c r="AD35" s="49"/>
    </row>
    <row r="44" spans="1:52" x14ac:dyDescent="0.3">
      <c r="A44" s="33" t="s">
        <v>161</v>
      </c>
    </row>
    <row r="45" spans="1:52" x14ac:dyDescent="0.3">
      <c r="A45" s="65">
        <f>SUM($H$27:$R$27)+SUM($U$27:$Z$27)-$X$27-$AQ$27</f>
        <v>89838.893722099994</v>
      </c>
      <c r="B45" s="65"/>
      <c r="C45" s="65"/>
      <c r="D45" s="65"/>
    </row>
    <row r="46" spans="1:52" x14ac:dyDescent="0.3">
      <c r="A46" s="51">
        <v>2025</v>
      </c>
      <c r="B46" s="51">
        <v>2026</v>
      </c>
      <c r="C46" s="51">
        <v>2027</v>
      </c>
      <c r="D46" s="51">
        <v>2028</v>
      </c>
      <c r="E46" s="51">
        <v>2029</v>
      </c>
    </row>
    <row r="47" spans="1:52" x14ac:dyDescent="0.3">
      <c r="A47" s="55">
        <f>DS!A45</f>
        <v>1.7676000000000001E-2</v>
      </c>
      <c r="B47" s="55">
        <f>DS!B45</f>
        <v>4.8447999999999998E-2</v>
      </c>
      <c r="C47" s="55">
        <f>DS!C45</f>
        <v>3.6317000000000002E-2</v>
      </c>
      <c r="D47" s="55">
        <f>DS!D45</f>
        <v>3.0025E-2</v>
      </c>
      <c r="E47" s="55">
        <f>DS!E45</f>
        <v>3.1049E-2</v>
      </c>
      <c r="F47" s="53" t="s">
        <v>162</v>
      </c>
    </row>
    <row r="48" spans="1:52" x14ac:dyDescent="0.3">
      <c r="A48" s="54">
        <f>ROUND(A47*$A$45,2)</f>
        <v>1587.99</v>
      </c>
      <c r="B48" s="54">
        <f>ROUND(B47*$A$45,2)</f>
        <v>4352.51</v>
      </c>
      <c r="C48" s="54">
        <f>ROUND(C47*$A$45,2)</f>
        <v>3262.68</v>
      </c>
      <c r="D48" s="54">
        <f>ROUND(D47*$A$45,2)</f>
        <v>2697.41</v>
      </c>
      <c r="E48" s="54">
        <f>ROUND(E47*$A$45,2)</f>
        <v>2789.41</v>
      </c>
      <c r="F48" s="53" t="s">
        <v>155</v>
      </c>
    </row>
    <row r="49" spans="1:6" x14ac:dyDescent="0.3">
      <c r="A49" s="55">
        <f>(($A$27+A48)/$A$27)-1</f>
        <v>9.2176954165184011E-3</v>
      </c>
      <c r="B49" s="55">
        <f>(($A$27+B48)/$A$27)-1</f>
        <v>2.5264712924735866E-2</v>
      </c>
      <c r="C49" s="55">
        <f>(($A$27+C48)/$A$27)-1</f>
        <v>1.8938652309880233E-2</v>
      </c>
      <c r="D49" s="55">
        <f>(($A$27+D48)/$A$27)-1</f>
        <v>1.5657468745691849E-2</v>
      </c>
      <c r="E49" s="55">
        <f>(($A$27+E48)/$A$27)-1</f>
        <v>1.6191494764948855E-2</v>
      </c>
      <c r="F49" s="53" t="s">
        <v>163</v>
      </c>
    </row>
    <row r="51" spans="1:6" x14ac:dyDescent="0.3">
      <c r="A51" s="38">
        <f>$A$45+A48</f>
        <v>91426.883722099999</v>
      </c>
      <c r="B51" s="38">
        <f t="shared" ref="B51:E51" si="35">$A$45+B48</f>
        <v>94191.403722099989</v>
      </c>
      <c r="C51" s="38">
        <f t="shared" si="35"/>
        <v>93101.573722099987</v>
      </c>
      <c r="D51" s="38">
        <f t="shared" si="35"/>
        <v>92536.303722099998</v>
      </c>
      <c r="E51" s="38">
        <f t="shared" si="35"/>
        <v>92628.303722099998</v>
      </c>
    </row>
    <row r="53" spans="1:6" x14ac:dyDescent="0.3">
      <c r="A53" s="38">
        <f>$A$27+A48</f>
        <v>173864.24</v>
      </c>
      <c r="B53" s="38">
        <f t="shared" ref="B53:E53" si="36">$A$27+B48</f>
        <v>176628.76</v>
      </c>
      <c r="C53" s="38">
        <f t="shared" si="36"/>
        <v>175538.93</v>
      </c>
      <c r="D53" s="38">
        <f t="shared" si="36"/>
        <v>174973.66</v>
      </c>
      <c r="E53" s="38">
        <f t="shared" si="36"/>
        <v>175065.66</v>
      </c>
    </row>
  </sheetData>
  <mergeCells count="19">
    <mergeCell ref="AW4:AX4"/>
    <mergeCell ref="AY4:AZ4"/>
    <mergeCell ref="M4:N4"/>
    <mergeCell ref="K3:N3"/>
    <mergeCell ref="AF3:AH3"/>
    <mergeCell ref="AJ3:AK3"/>
    <mergeCell ref="AM3:AN3"/>
    <mergeCell ref="AW3:AZ3"/>
    <mergeCell ref="H4:I4"/>
    <mergeCell ref="K4:L4"/>
    <mergeCell ref="AF4:AH4"/>
    <mergeCell ref="AJ4:AK4"/>
    <mergeCell ref="AM4:AN4"/>
    <mergeCell ref="AW2:AZ2"/>
    <mergeCell ref="H2:Q2"/>
    <mergeCell ref="U2:V2"/>
    <mergeCell ref="AF2:AH2"/>
    <mergeCell ref="AJ2:AK2"/>
    <mergeCell ref="AM2:AN2"/>
  </mergeCells>
  <pageMargins left="0.2" right="0.2" top="1.5" bottom="0.75" header="1" footer="0.3"/>
  <pageSetup paperSize="3" scale="33" orientation="landscape" r:id="rId1"/>
  <headerFooter>
    <oddHeader>&amp;R&amp;"Times New Roman,Bold"&amp;10KyPSC Case No. 2024-00152
SIERRA-DR-01-050 Attachment
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51"/>
  <sheetViews>
    <sheetView view="pageLayout" zoomScaleNormal="75" zoomScaleSheetLayoutView="84" workbookViewId="0">
      <selection activeCell="Z12" sqref="Z12"/>
    </sheetView>
  </sheetViews>
  <sheetFormatPr defaultRowHeight="14.4" x14ac:dyDescent="0.3"/>
  <cols>
    <col min="1" max="1" width="20.21875" customWidth="1"/>
    <col min="2" max="2" width="15.21875" customWidth="1"/>
    <col min="3" max="3" width="12.21875" customWidth="1"/>
    <col min="4" max="4" width="13.44140625" customWidth="1"/>
    <col min="5" max="5" width="11.5546875" customWidth="1"/>
    <col min="6" max="6" width="2.77734375" customWidth="1"/>
    <col min="7" max="7" width="9.21875"/>
    <col min="8" max="9" width="9.44140625" bestFit="1" customWidth="1"/>
    <col min="10" max="10" width="9.44140625" customWidth="1"/>
    <col min="11" max="11" width="15.77734375" customWidth="1"/>
    <col min="12" max="12" width="2.77734375" customWidth="1"/>
    <col min="13" max="13" width="18.5546875" customWidth="1"/>
    <col min="14" max="14" width="2.77734375" customWidth="1"/>
    <col min="15" max="16" width="12.21875" customWidth="1"/>
    <col min="17" max="17" width="2.77734375" customWidth="1"/>
    <col min="18" max="18" width="18.5546875" customWidth="1"/>
    <col min="19" max="19" width="2.77734375" customWidth="1"/>
    <col min="20" max="20" width="21.44140625" customWidth="1"/>
    <col min="21" max="21" width="2.77734375" customWidth="1"/>
    <col min="22" max="22" width="12.5546875" bestFit="1" customWidth="1"/>
    <col min="23" max="23" width="2.77734375" customWidth="1"/>
    <col min="24" max="24" width="24.88671875" bestFit="1" customWidth="1"/>
    <col min="25" max="25" width="2.77734375" customWidth="1"/>
    <col min="26" max="26" width="12.21875" customWidth="1"/>
    <col min="27" max="27" width="19.21875" customWidth="1"/>
    <col min="28" max="28" width="12.44140625" customWidth="1"/>
    <col min="29" max="29" width="2.77734375" customWidth="1"/>
    <col min="30" max="30" width="12.44140625" bestFit="1" customWidth="1"/>
    <col min="31" max="31" width="12.21875" customWidth="1"/>
    <col min="32" max="32" width="2.77734375" customWidth="1"/>
    <col min="33" max="33" width="15.44140625" bestFit="1" customWidth="1"/>
    <col min="34" max="34" width="14.44140625" customWidth="1"/>
    <col min="35" max="35" width="2.77734375" customWidth="1"/>
    <col min="36" max="36" width="15.5546875" bestFit="1" customWidth="1"/>
    <col min="37" max="37" width="2.77734375" customWidth="1"/>
    <col min="38" max="38" width="15.5546875" bestFit="1" customWidth="1"/>
    <col min="39" max="39" width="2.77734375" customWidth="1"/>
    <col min="40" max="40" width="15.5546875" bestFit="1" customWidth="1"/>
    <col min="41" max="41" width="2.77734375" customWidth="1"/>
    <col min="42" max="42" width="15.5546875" bestFit="1" customWidth="1"/>
    <col min="43" max="43" width="2.77734375" customWidth="1"/>
    <col min="44" max="44" width="12.44140625" bestFit="1" customWidth="1"/>
    <col min="45" max="45" width="11.5546875" bestFit="1" customWidth="1"/>
    <col min="46" max="46" width="12.44140625" bestFit="1" customWidth="1"/>
    <col min="47" max="47" width="11.5546875" bestFit="1" customWidth="1"/>
    <col min="48" max="55" width="9.21875"/>
  </cols>
  <sheetData>
    <row r="1" spans="1:47" x14ac:dyDescent="0.3">
      <c r="A1" t="s">
        <v>27</v>
      </c>
      <c r="C1" s="33"/>
      <c r="D1" s="33"/>
      <c r="E1" s="33"/>
      <c r="F1" s="33"/>
    </row>
    <row r="2" spans="1:47" x14ac:dyDescent="0.3">
      <c r="B2" s="33"/>
      <c r="C2" s="33"/>
      <c r="D2" s="33"/>
      <c r="E2" s="33"/>
      <c r="F2" s="33"/>
      <c r="H2" s="68" t="s">
        <v>55</v>
      </c>
      <c r="I2" s="68"/>
      <c r="J2" s="68"/>
      <c r="K2" s="68"/>
      <c r="M2" s="1" t="s">
        <v>74</v>
      </c>
      <c r="O2" s="68" t="s">
        <v>32</v>
      </c>
      <c r="P2" s="68"/>
      <c r="Q2" s="1"/>
      <c r="R2" s="1" t="s">
        <v>40</v>
      </c>
      <c r="T2" s="1" t="s">
        <v>41</v>
      </c>
      <c r="U2" s="1"/>
      <c r="V2" s="1"/>
      <c r="W2" s="1"/>
      <c r="X2" s="1"/>
      <c r="Z2" s="68"/>
      <c r="AA2" s="68"/>
      <c r="AB2" s="68"/>
      <c r="AD2" s="68"/>
      <c r="AE2" s="68"/>
      <c r="AG2" s="68"/>
      <c r="AH2" s="68"/>
      <c r="AJ2" s="1"/>
      <c r="AK2" s="1"/>
      <c r="AL2" s="1"/>
      <c r="AM2" s="1"/>
      <c r="AN2" s="1"/>
      <c r="AO2" s="1"/>
      <c r="AP2" s="1"/>
      <c r="AR2" s="68"/>
      <c r="AS2" s="68"/>
      <c r="AT2" s="68"/>
      <c r="AU2" s="68"/>
    </row>
    <row r="3" spans="1:47" x14ac:dyDescent="0.3">
      <c r="H3" s="68"/>
      <c r="I3" s="68"/>
      <c r="J3" s="68"/>
      <c r="K3" s="1"/>
      <c r="M3" s="1" t="s">
        <v>76</v>
      </c>
      <c r="O3" s="1" t="s">
        <v>29</v>
      </c>
      <c r="P3" s="1" t="s">
        <v>33</v>
      </c>
      <c r="Q3" s="1"/>
      <c r="R3" s="1" t="s">
        <v>30</v>
      </c>
      <c r="T3" s="1" t="s">
        <v>31</v>
      </c>
      <c r="U3" s="1"/>
      <c r="V3" s="1"/>
      <c r="W3" s="1"/>
      <c r="X3" s="1" t="s">
        <v>104</v>
      </c>
      <c r="Z3" s="68"/>
      <c r="AA3" s="68"/>
      <c r="AB3" s="68"/>
      <c r="AD3" s="68"/>
      <c r="AE3" s="68"/>
      <c r="AG3" s="68"/>
      <c r="AH3" s="68"/>
      <c r="AJ3" s="1"/>
      <c r="AK3" s="1"/>
      <c r="AL3" s="1"/>
      <c r="AM3" s="1"/>
      <c r="AN3" s="1"/>
      <c r="AO3" s="1"/>
      <c r="AP3" s="1"/>
      <c r="AR3" s="68"/>
      <c r="AS3" s="68"/>
      <c r="AT3" s="68"/>
      <c r="AU3" s="68"/>
    </row>
    <row r="4" spans="1:47" x14ac:dyDescent="0.3">
      <c r="H4" s="68" t="s">
        <v>0</v>
      </c>
      <c r="I4" s="68"/>
      <c r="J4" s="1"/>
      <c r="K4" s="1" t="s">
        <v>4</v>
      </c>
      <c r="M4" s="1" t="s">
        <v>77</v>
      </c>
      <c r="O4" s="1" t="s">
        <v>4</v>
      </c>
      <c r="P4" s="1" t="s">
        <v>0</v>
      </c>
      <c r="R4" s="1" t="s">
        <v>4</v>
      </c>
      <c r="S4" s="1"/>
      <c r="T4" s="1" t="s">
        <v>4</v>
      </c>
      <c r="V4" s="1"/>
      <c r="X4" s="1" t="s">
        <v>105</v>
      </c>
      <c r="Y4" s="1"/>
      <c r="Z4" s="68"/>
      <c r="AA4" s="68"/>
      <c r="AB4" s="68"/>
      <c r="AC4" s="1"/>
      <c r="AD4" s="68"/>
      <c r="AE4" s="69"/>
      <c r="AF4" s="1"/>
      <c r="AG4" s="68"/>
      <c r="AH4" s="68"/>
      <c r="AI4" s="1"/>
      <c r="AJ4" s="1"/>
      <c r="AL4" s="1"/>
      <c r="AN4" s="1"/>
      <c r="AP4" s="1"/>
      <c r="AQ4" s="1"/>
      <c r="AR4" s="68"/>
      <c r="AS4" s="68"/>
      <c r="AT4" s="68"/>
      <c r="AU4" s="68"/>
    </row>
    <row r="5" spans="1:47" ht="28.8" x14ac:dyDescent="0.3">
      <c r="H5" s="7" t="s">
        <v>22</v>
      </c>
      <c r="I5" s="7" t="s">
        <v>52</v>
      </c>
      <c r="J5" s="7" t="s">
        <v>58</v>
      </c>
      <c r="K5" s="1"/>
      <c r="M5" s="1"/>
      <c r="O5" s="1"/>
      <c r="P5" s="1"/>
      <c r="Q5" s="1"/>
      <c r="S5" s="1"/>
      <c r="Y5" s="1"/>
      <c r="Z5" s="1"/>
      <c r="AA5" s="1"/>
      <c r="AB5" s="1"/>
      <c r="AC5" s="1"/>
      <c r="AD5" s="7"/>
      <c r="AE5" s="7"/>
      <c r="AF5" s="1"/>
      <c r="AG5" s="1"/>
      <c r="AH5" s="1"/>
      <c r="AI5" s="1"/>
      <c r="AQ5" s="1"/>
      <c r="AR5" s="1"/>
      <c r="AS5" s="1"/>
      <c r="AT5" s="7"/>
      <c r="AU5" s="7"/>
    </row>
    <row r="6" spans="1:47" ht="15.6" x14ac:dyDescent="0.3">
      <c r="H6" s="1" t="s">
        <v>2</v>
      </c>
      <c r="I6" s="1" t="s">
        <v>2</v>
      </c>
      <c r="J6" s="1" t="s">
        <v>2</v>
      </c>
      <c r="K6" s="2" t="s">
        <v>3</v>
      </c>
      <c r="M6" s="34" t="s">
        <v>75</v>
      </c>
      <c r="O6" s="2" t="s">
        <v>3</v>
      </c>
      <c r="P6" s="1" t="s">
        <v>2</v>
      </c>
      <c r="Q6" s="2"/>
      <c r="R6" s="2" t="s">
        <v>3</v>
      </c>
      <c r="S6" s="2"/>
      <c r="T6" s="2" t="s">
        <v>3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">
      <c r="G7" s="33" t="s">
        <v>5</v>
      </c>
    </row>
    <row r="8" spans="1:47" x14ac:dyDescent="0.3">
      <c r="G8" t="s">
        <v>1</v>
      </c>
      <c r="H8" s="4">
        <v>15</v>
      </c>
      <c r="I8" s="4">
        <v>30</v>
      </c>
      <c r="J8" s="4">
        <v>117</v>
      </c>
      <c r="K8" s="3">
        <v>7.8413999999999998E-2</v>
      </c>
      <c r="M8" s="35">
        <f>DS!P8</f>
        <v>0.1905</v>
      </c>
      <c r="O8">
        <f>DS!R8</f>
        <v>3.503E-3</v>
      </c>
      <c r="P8" s="4">
        <f>DS!S8</f>
        <v>0</v>
      </c>
      <c r="R8" s="3">
        <f>RS!$P8</f>
        <v>1.457E-2</v>
      </c>
      <c r="T8" s="3">
        <f>RS!R8</f>
        <v>-3.7000000000000002E-3</v>
      </c>
      <c r="X8" s="3">
        <f>+DS!AA8</f>
        <v>2.5401E-2</v>
      </c>
      <c r="Y8" s="3"/>
      <c r="Z8" s="5"/>
      <c r="AA8" s="5"/>
      <c r="AB8" s="5"/>
      <c r="AC8" s="3"/>
      <c r="AD8" s="3"/>
      <c r="AE8" s="3"/>
      <c r="AF8" s="3"/>
      <c r="AG8" s="6"/>
      <c r="AH8" s="6"/>
      <c r="AI8" s="3"/>
      <c r="AK8" s="3"/>
      <c r="AO8" s="3"/>
      <c r="AQ8" s="3"/>
      <c r="AR8" s="3"/>
      <c r="AS8" s="3"/>
      <c r="AT8" s="3"/>
      <c r="AU8" s="3"/>
    </row>
    <row r="9" spans="1:47" x14ac:dyDescent="0.3">
      <c r="G9" t="s">
        <v>7</v>
      </c>
      <c r="H9" s="4">
        <v>15</v>
      </c>
      <c r="I9" s="4">
        <v>30</v>
      </c>
      <c r="J9" s="4">
        <v>117</v>
      </c>
      <c r="K9" s="3">
        <v>7.8413999999999998E-2</v>
      </c>
      <c r="M9" s="35">
        <f>DS!P9</f>
        <v>0.23200000000000001</v>
      </c>
      <c r="O9">
        <f>DS!R9</f>
        <v>3.503E-3</v>
      </c>
      <c r="P9" s="4">
        <f>DS!S9</f>
        <v>0</v>
      </c>
      <c r="R9" s="3">
        <f>RS!$P9</f>
        <v>5.4949999999999999E-3</v>
      </c>
      <c r="T9" s="3">
        <f>RS!R9</f>
        <v>-3.7000000000000002E-3</v>
      </c>
      <c r="X9" s="3">
        <f>+DS!AA9</f>
        <v>2.5401E-2</v>
      </c>
      <c r="Z9" s="5"/>
      <c r="AA9" s="5"/>
      <c r="AB9" s="5"/>
      <c r="AD9" s="3"/>
      <c r="AE9" s="3"/>
      <c r="AG9" s="6"/>
      <c r="AH9" s="6"/>
      <c r="AJ9" s="4"/>
      <c r="AL9" s="3"/>
      <c r="AN9" s="3"/>
      <c r="AP9" s="4"/>
      <c r="AR9" s="3"/>
      <c r="AS9" s="3"/>
      <c r="AT9" s="3"/>
      <c r="AU9" s="3"/>
    </row>
    <row r="10" spans="1:47" x14ac:dyDescent="0.3">
      <c r="G10" t="s">
        <v>8</v>
      </c>
      <c r="H10" s="4">
        <v>15</v>
      </c>
      <c r="I10" s="4">
        <v>30</v>
      </c>
      <c r="J10" s="4">
        <v>117</v>
      </c>
      <c r="K10" s="3">
        <v>7.8413999999999998E-2</v>
      </c>
      <c r="M10" s="35">
        <f>DS!P10</f>
        <v>7.1599999999999997E-2</v>
      </c>
      <c r="O10">
        <f>DS!R10</f>
        <v>3.503E-3</v>
      </c>
      <c r="P10" s="4">
        <f>DS!S10</f>
        <v>0</v>
      </c>
      <c r="R10" s="3">
        <f>RS!$P10</f>
        <v>9.3720000000000001E-3</v>
      </c>
      <c r="T10" s="3">
        <f>RS!R10</f>
        <v>-1.237E-3</v>
      </c>
      <c r="X10" s="3">
        <f>+DS!AA10</f>
        <v>2.5401E-2</v>
      </c>
      <c r="Z10" s="5"/>
      <c r="AA10" s="5"/>
      <c r="AB10" s="5"/>
      <c r="AD10" s="3"/>
      <c r="AE10" s="3"/>
      <c r="AG10" s="6"/>
      <c r="AH10" s="6"/>
      <c r="AJ10" s="4"/>
      <c r="AL10" s="3"/>
      <c r="AN10" s="3"/>
      <c r="AP10" s="4"/>
      <c r="AR10" s="3"/>
      <c r="AS10" s="3"/>
      <c r="AT10" s="3"/>
      <c r="AU10" s="3"/>
    </row>
    <row r="11" spans="1:47" x14ac:dyDescent="0.3">
      <c r="A11" s="33"/>
      <c r="G11" t="s">
        <v>9</v>
      </c>
      <c r="H11" s="4">
        <v>15</v>
      </c>
      <c r="I11" s="4">
        <v>30</v>
      </c>
      <c r="J11" s="4">
        <v>117</v>
      </c>
      <c r="K11" s="3">
        <v>7.8413999999999998E-2</v>
      </c>
      <c r="M11" s="35">
        <f>DS!P11</f>
        <v>0.152</v>
      </c>
      <c r="O11">
        <f>DS!R11</f>
        <v>3.503E-3</v>
      </c>
      <c r="P11" s="4">
        <f>DS!S11</f>
        <v>0</v>
      </c>
      <c r="R11" s="3">
        <f>RS!$P11</f>
        <v>3.4910000000000002E-3</v>
      </c>
      <c r="T11" s="3">
        <f>RS!R11</f>
        <v>-1.237E-3</v>
      </c>
      <c r="X11" s="3">
        <f>+DS!AA11</f>
        <v>2.5401E-2</v>
      </c>
    </row>
    <row r="12" spans="1:47" x14ac:dyDescent="0.3">
      <c r="A12" s="45"/>
      <c r="G12" t="s">
        <v>10</v>
      </c>
      <c r="H12" s="4">
        <v>15</v>
      </c>
      <c r="I12" s="4">
        <v>30</v>
      </c>
      <c r="J12" s="4">
        <v>117</v>
      </c>
      <c r="K12" s="3">
        <v>7.8413999999999998E-2</v>
      </c>
      <c r="M12" s="35">
        <f>DS!P12</f>
        <v>0.17419999999999999</v>
      </c>
      <c r="O12">
        <f>DS!R12</f>
        <v>3.503E-3</v>
      </c>
      <c r="P12" s="4">
        <f>DS!S12</f>
        <v>0</v>
      </c>
      <c r="R12" s="3">
        <f>RS!$P12</f>
        <v>8.7209999999999996E-3</v>
      </c>
      <c r="T12" s="3">
        <f>RS!R12</f>
        <v>-1.237E-3</v>
      </c>
      <c r="X12" s="3">
        <f>+DS!AA12</f>
        <v>2.5401E-2</v>
      </c>
    </row>
    <row r="13" spans="1:47" x14ac:dyDescent="0.3">
      <c r="G13" t="s">
        <v>11</v>
      </c>
      <c r="H13" s="4">
        <v>15</v>
      </c>
      <c r="I13" s="4">
        <v>30</v>
      </c>
      <c r="J13" s="4">
        <v>117</v>
      </c>
      <c r="K13" s="3">
        <v>8.6792999999999995E-2</v>
      </c>
      <c r="M13" s="35">
        <f>DS!P13</f>
        <v>0.1308</v>
      </c>
      <c r="O13">
        <f>DS!R13</f>
        <v>3.503E-3</v>
      </c>
      <c r="P13" s="4">
        <f>DS!S13</f>
        <v>0</v>
      </c>
      <c r="R13" s="3">
        <f>RS!$P13</f>
        <v>-2.6020000000000001E-3</v>
      </c>
      <c r="T13" s="3">
        <f>RS!R13</f>
        <v>2.0969999999999999E-3</v>
      </c>
      <c r="X13" s="3">
        <f>+DS!AA13</f>
        <v>3.3779999999999998E-2</v>
      </c>
    </row>
    <row r="14" spans="1:47" x14ac:dyDescent="0.3">
      <c r="G14" t="s">
        <v>12</v>
      </c>
      <c r="H14" s="4"/>
      <c r="I14" s="4"/>
      <c r="J14" s="4"/>
      <c r="K14" s="3"/>
      <c r="M14" s="35"/>
      <c r="P14" s="4"/>
      <c r="R14" s="3"/>
      <c r="T14" s="3"/>
      <c r="X14" s="3"/>
    </row>
    <row r="15" spans="1:47" x14ac:dyDescent="0.3">
      <c r="G15" t="s">
        <v>13</v>
      </c>
      <c r="H15" s="4"/>
      <c r="I15" s="4"/>
      <c r="J15" s="4"/>
      <c r="K15" s="3"/>
      <c r="M15" s="35"/>
      <c r="P15" s="4"/>
      <c r="R15" s="3"/>
      <c r="T15" s="3"/>
      <c r="X15" s="3"/>
    </row>
    <row r="16" spans="1:47" x14ac:dyDescent="0.3">
      <c r="G16" t="s">
        <v>14</v>
      </c>
      <c r="H16" s="4"/>
      <c r="I16" s="4"/>
      <c r="J16" s="4"/>
      <c r="K16" s="3"/>
      <c r="M16" s="35"/>
      <c r="P16" s="4"/>
      <c r="R16" s="3"/>
      <c r="T16" s="3"/>
      <c r="X16" s="3"/>
    </row>
    <row r="17" spans="1:47" x14ac:dyDescent="0.3">
      <c r="A17" s="33" t="s">
        <v>63</v>
      </c>
      <c r="G17" t="s">
        <v>15</v>
      </c>
      <c r="H17" s="4"/>
      <c r="I17" s="4"/>
      <c r="J17" s="4"/>
      <c r="K17" s="3"/>
      <c r="M17" s="35"/>
      <c r="P17" s="4"/>
      <c r="R17" s="3"/>
      <c r="T17" s="3"/>
      <c r="X17" s="3"/>
    </row>
    <row r="18" spans="1:47" x14ac:dyDescent="0.3">
      <c r="A18" s="45">
        <v>1</v>
      </c>
      <c r="G18" t="s">
        <v>16</v>
      </c>
      <c r="H18" s="4"/>
      <c r="I18" s="4"/>
      <c r="J18" s="4"/>
      <c r="K18" s="3"/>
      <c r="M18" s="35"/>
      <c r="P18" s="4"/>
      <c r="R18" s="3"/>
      <c r="T18" s="3"/>
      <c r="X18" s="3"/>
    </row>
    <row r="19" spans="1:47" x14ac:dyDescent="0.3">
      <c r="A19" s="33" t="s">
        <v>18</v>
      </c>
      <c r="G19" t="s">
        <v>17</v>
      </c>
      <c r="H19" s="4"/>
      <c r="I19" s="4"/>
      <c r="J19" s="4"/>
      <c r="K19" s="3"/>
      <c r="M19" s="35"/>
      <c r="P19" s="4"/>
      <c r="R19" s="3"/>
      <c r="T19" s="3"/>
      <c r="X19" s="3"/>
    </row>
    <row r="20" spans="1:47" x14ac:dyDescent="0.3">
      <c r="A20" s="46">
        <v>9400</v>
      </c>
      <c r="B20" s="1" t="s">
        <v>20</v>
      </c>
      <c r="C20" s="1"/>
      <c r="D20" s="1" t="s">
        <v>0</v>
      </c>
      <c r="E20" s="1" t="s">
        <v>4</v>
      </c>
      <c r="K20" s="38"/>
    </row>
    <row r="21" spans="1:47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48" t="s">
        <v>26</v>
      </c>
      <c r="H21" s="9">
        <f>IF($A$18=1,1,0)</f>
        <v>1</v>
      </c>
      <c r="I21" s="9">
        <f>IF($A$18=3,1,0)</f>
        <v>0</v>
      </c>
      <c r="J21" s="9">
        <f>IF($A$18="p",1,0)</f>
        <v>0</v>
      </c>
      <c r="K21" s="37">
        <f>$A$20</f>
        <v>9400</v>
      </c>
      <c r="L21" s="9"/>
      <c r="M21" s="9"/>
      <c r="N21" s="9"/>
      <c r="O21" s="37">
        <f>$A$20</f>
        <v>9400</v>
      </c>
      <c r="P21" s="37"/>
      <c r="Q21" s="37"/>
      <c r="R21" s="9">
        <f>$A$20</f>
        <v>9400</v>
      </c>
      <c r="S21" s="9"/>
      <c r="T21" s="37">
        <f>$A$20</f>
        <v>9400</v>
      </c>
      <c r="X21" s="49">
        <f>+A20</f>
        <v>9400</v>
      </c>
      <c r="Z21" s="2"/>
      <c r="AA21" s="2"/>
      <c r="AB21" s="2"/>
      <c r="AD21" s="2"/>
      <c r="AE21" s="2"/>
      <c r="AG21" s="2"/>
      <c r="AH21" s="2"/>
      <c r="AR21" s="2"/>
      <c r="AS21" s="2"/>
      <c r="AT21" s="2"/>
      <c r="AU21" s="2"/>
    </row>
    <row r="22" spans="1:47" x14ac:dyDescent="0.3">
      <c r="A22" s="8">
        <f t="shared" ref="A22:A23" si="0">ROUND(SUM(H22:T22),2)</f>
        <v>1067.44</v>
      </c>
      <c r="B22" s="8">
        <f>ROUND(R22,2)</f>
        <v>136.96</v>
      </c>
      <c r="C22" s="8">
        <f>ROUND(D22+E22,2)</f>
        <v>819.8</v>
      </c>
      <c r="D22" s="8">
        <f>ROUND(SUM(H22:J22)+P22,2)</f>
        <v>15</v>
      </c>
      <c r="E22" s="8">
        <f>ROUND(SUM(K22:K22)+O22+T22,2)</f>
        <v>804.8</v>
      </c>
      <c r="F22" s="4"/>
      <c r="G22" t="s">
        <v>1</v>
      </c>
      <c r="H22" s="8">
        <f>H8*H$21</f>
        <v>15</v>
      </c>
      <c r="I22" s="8">
        <f>I8*I$21</f>
        <v>0</v>
      </c>
      <c r="J22" s="8">
        <f>J8*J$21</f>
        <v>0</v>
      </c>
      <c r="K22" s="8">
        <f>K8*K$21</f>
        <v>737.09159999999997</v>
      </c>
      <c r="L22" s="8"/>
      <c r="M22" s="8">
        <f>(SUM(H22:K22)+SUM(O22:T22)-R22-X22)*M8</f>
        <v>110.6862912</v>
      </c>
      <c r="N22" s="8"/>
      <c r="O22" s="8">
        <f t="shared" ref="O22:O33" si="1">O8*O$21</f>
        <v>32.928199999999997</v>
      </c>
      <c r="P22" s="8">
        <f>P8</f>
        <v>0</v>
      </c>
      <c r="Q22" s="8"/>
      <c r="R22" s="8">
        <f t="shared" ref="R22:R33" si="2">R8*R$21</f>
        <v>136.958</v>
      </c>
      <c r="S22" s="8"/>
      <c r="T22" s="8">
        <f>-T8*T$21</f>
        <v>34.78</v>
      </c>
      <c r="U22" s="8"/>
      <c r="V22" s="8"/>
      <c r="W22" s="8"/>
      <c r="X22" s="8">
        <f>X8*X21</f>
        <v>238.76939999999999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x14ac:dyDescent="0.3">
      <c r="A23" s="8">
        <f t="shared" si="0"/>
        <v>1006.25</v>
      </c>
      <c r="B23" s="8">
        <f t="shared" ref="B23:B33" si="3">ROUND(R23,2)</f>
        <v>51.65</v>
      </c>
      <c r="C23" s="8">
        <f t="shared" ref="C23:C33" si="4">ROUND(D23+E23,2)</f>
        <v>819.8</v>
      </c>
      <c r="D23" s="8">
        <f t="shared" ref="D23:D33" si="5">ROUND(SUM(H23:J23)+P23,2)</f>
        <v>15</v>
      </c>
      <c r="E23" s="8">
        <f t="shared" ref="E23:E33" si="6">ROUND(SUM(K23:K23)+O23+T23,2)</f>
        <v>804.8</v>
      </c>
      <c r="G23" t="s">
        <v>7</v>
      </c>
      <c r="H23" s="8">
        <f t="shared" ref="H23:I23" si="7">H9*H$21</f>
        <v>15</v>
      </c>
      <c r="I23" s="8">
        <f t="shared" si="7"/>
        <v>0</v>
      </c>
      <c r="J23" s="8">
        <f t="shared" ref="J23:K33" si="8">J9*J$21</f>
        <v>0</v>
      </c>
      <c r="K23" s="8">
        <f t="shared" si="8"/>
        <v>737.09159999999997</v>
      </c>
      <c r="L23" s="8"/>
      <c r="M23" s="8">
        <f t="shared" ref="M23:M33" si="9">(SUM(H23:K23)+SUM(O23:T23)-R23-X23)*M9</f>
        <v>134.7990528</v>
      </c>
      <c r="N23" s="8"/>
      <c r="O23" s="8">
        <f t="shared" si="1"/>
        <v>32.928199999999997</v>
      </c>
      <c r="P23" s="8">
        <f t="shared" ref="P23:P33" si="10">P9</f>
        <v>0</v>
      </c>
      <c r="Q23" s="8"/>
      <c r="R23" s="8">
        <f t="shared" si="2"/>
        <v>51.652999999999999</v>
      </c>
      <c r="S23" s="8"/>
      <c r="T23" s="8">
        <f t="shared" ref="T23:T33" si="11">-T9*T$21</f>
        <v>34.78</v>
      </c>
      <c r="U23" s="8"/>
      <c r="V23" s="8"/>
      <c r="W23" s="8"/>
      <c r="X23" s="8">
        <f t="shared" ref="X23:X33" si="12">X9*X$21</f>
        <v>238.76939999999999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x14ac:dyDescent="0.3">
      <c r="A24" s="8">
        <f>ROUND(SUM(H24:T24),2)</f>
        <v>924.69</v>
      </c>
      <c r="B24" s="8">
        <f t="shared" si="3"/>
        <v>88.1</v>
      </c>
      <c r="C24" s="8">
        <f t="shared" si="4"/>
        <v>796.65</v>
      </c>
      <c r="D24" s="8">
        <f t="shared" si="5"/>
        <v>15</v>
      </c>
      <c r="E24" s="8">
        <f t="shared" si="6"/>
        <v>781.65</v>
      </c>
      <c r="G24" t="s">
        <v>8</v>
      </c>
      <c r="H24" s="8">
        <f t="shared" ref="H24:I24" si="13">H10*H$21</f>
        <v>15</v>
      </c>
      <c r="I24" s="8">
        <f t="shared" si="13"/>
        <v>0</v>
      </c>
      <c r="J24" s="8">
        <f t="shared" si="8"/>
        <v>0</v>
      </c>
      <c r="K24" s="8">
        <f t="shared" si="8"/>
        <v>737.09159999999997</v>
      </c>
      <c r="L24" s="8"/>
      <c r="M24" s="8">
        <f t="shared" si="9"/>
        <v>39.944079119999998</v>
      </c>
      <c r="N24" s="8"/>
      <c r="O24" s="8">
        <f t="shared" si="1"/>
        <v>32.928199999999997</v>
      </c>
      <c r="P24" s="8">
        <f t="shared" si="10"/>
        <v>0</v>
      </c>
      <c r="Q24" s="8"/>
      <c r="R24" s="8">
        <f t="shared" si="2"/>
        <v>88.096800000000002</v>
      </c>
      <c r="S24" s="8"/>
      <c r="T24" s="8">
        <f t="shared" si="11"/>
        <v>11.627800000000001</v>
      </c>
      <c r="U24" s="8"/>
      <c r="V24" s="8"/>
      <c r="W24" s="8"/>
      <c r="X24" s="8">
        <f t="shared" si="12"/>
        <v>238.76939999999999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x14ac:dyDescent="0.3">
      <c r="A25" s="8">
        <f t="shared" ref="A25:A33" si="14">ROUND(SUM(H25:T25),2)</f>
        <v>914.26</v>
      </c>
      <c r="B25" s="8">
        <f t="shared" si="3"/>
        <v>32.82</v>
      </c>
      <c r="C25" s="8">
        <f t="shared" si="4"/>
        <v>796.65</v>
      </c>
      <c r="D25" s="8">
        <f t="shared" si="5"/>
        <v>15</v>
      </c>
      <c r="E25" s="8">
        <f t="shared" si="6"/>
        <v>781.65</v>
      </c>
      <c r="G25" t="s">
        <v>9</v>
      </c>
      <c r="H25" s="8">
        <f t="shared" ref="H25:I25" si="15">H11*H$21</f>
        <v>15</v>
      </c>
      <c r="I25" s="8">
        <f t="shared" si="15"/>
        <v>0</v>
      </c>
      <c r="J25" s="8">
        <f t="shared" si="8"/>
        <v>0</v>
      </c>
      <c r="K25" s="8">
        <f t="shared" si="8"/>
        <v>737.09159999999997</v>
      </c>
      <c r="L25" s="8"/>
      <c r="M25" s="8">
        <f t="shared" si="9"/>
        <v>84.797486399999997</v>
      </c>
      <c r="N25" s="8"/>
      <c r="O25" s="8">
        <f t="shared" si="1"/>
        <v>32.928199999999997</v>
      </c>
      <c r="P25" s="8">
        <f t="shared" si="10"/>
        <v>0</v>
      </c>
      <c r="Q25" s="8"/>
      <c r="R25" s="8">
        <f t="shared" si="2"/>
        <v>32.815400000000004</v>
      </c>
      <c r="S25" s="8"/>
      <c r="T25" s="8">
        <f t="shared" si="11"/>
        <v>11.627800000000001</v>
      </c>
      <c r="U25" s="8"/>
      <c r="V25" s="8"/>
      <c r="W25" s="8"/>
      <c r="X25" s="8">
        <f t="shared" si="12"/>
        <v>238.76939999999999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x14ac:dyDescent="0.3">
      <c r="A26" s="8">
        <f t="shared" si="14"/>
        <v>975.81</v>
      </c>
      <c r="B26" s="8">
        <f t="shared" si="3"/>
        <v>81.98</v>
      </c>
      <c r="C26" s="8">
        <f t="shared" si="4"/>
        <v>796.65</v>
      </c>
      <c r="D26" s="8">
        <f t="shared" si="5"/>
        <v>15</v>
      </c>
      <c r="E26" s="8">
        <f t="shared" si="6"/>
        <v>781.65</v>
      </c>
      <c r="G26" t="s">
        <v>10</v>
      </c>
      <c r="H26" s="8">
        <f t="shared" ref="H26:I26" si="16">H12*H$21</f>
        <v>15</v>
      </c>
      <c r="I26" s="8">
        <f t="shared" si="16"/>
        <v>0</v>
      </c>
      <c r="J26" s="8">
        <f t="shared" si="8"/>
        <v>0</v>
      </c>
      <c r="K26" s="8">
        <f t="shared" si="8"/>
        <v>737.09159999999997</v>
      </c>
      <c r="L26" s="8"/>
      <c r="M26" s="8">
        <f t="shared" si="9"/>
        <v>97.182382439999998</v>
      </c>
      <c r="N26" s="8"/>
      <c r="O26" s="8">
        <f t="shared" si="1"/>
        <v>32.928199999999997</v>
      </c>
      <c r="P26" s="8">
        <f t="shared" si="10"/>
        <v>0</v>
      </c>
      <c r="Q26" s="8"/>
      <c r="R26" s="8">
        <f t="shared" si="2"/>
        <v>81.977400000000003</v>
      </c>
      <c r="S26" s="8"/>
      <c r="T26" s="8">
        <f t="shared" si="11"/>
        <v>11.627800000000001</v>
      </c>
      <c r="U26" s="8"/>
      <c r="V26" s="8"/>
      <c r="W26" s="8"/>
      <c r="X26" s="8">
        <f t="shared" si="12"/>
        <v>238.76939999999999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x14ac:dyDescent="0.3">
      <c r="A27" s="8">
        <f t="shared" si="14"/>
        <v>888.48</v>
      </c>
      <c r="B27" s="8">
        <f t="shared" si="3"/>
        <v>-24.46</v>
      </c>
      <c r="C27" s="8">
        <f t="shared" si="4"/>
        <v>844.07</v>
      </c>
      <c r="D27" s="8">
        <f t="shared" si="5"/>
        <v>15</v>
      </c>
      <c r="E27" s="8">
        <f t="shared" si="6"/>
        <v>829.07</v>
      </c>
      <c r="G27" t="s">
        <v>11</v>
      </c>
      <c r="H27" s="8">
        <f t="shared" ref="H27:I27" si="17">H13*H$21</f>
        <v>15</v>
      </c>
      <c r="I27" s="8">
        <f t="shared" si="17"/>
        <v>0</v>
      </c>
      <c r="J27" s="8">
        <f t="shared" si="8"/>
        <v>0</v>
      </c>
      <c r="K27" s="8">
        <f t="shared" si="8"/>
        <v>815.85419999999999</v>
      </c>
      <c r="L27" s="8"/>
      <c r="M27" s="8">
        <f t="shared" si="9"/>
        <v>68.87124888000001</v>
      </c>
      <c r="N27" s="8"/>
      <c r="O27" s="8">
        <f t="shared" si="1"/>
        <v>32.928199999999997</v>
      </c>
      <c r="P27" s="8">
        <f t="shared" si="10"/>
        <v>0</v>
      </c>
      <c r="Q27" s="8"/>
      <c r="R27" s="8">
        <f t="shared" si="2"/>
        <v>-24.4588</v>
      </c>
      <c r="S27" s="8"/>
      <c r="T27" s="8">
        <f t="shared" si="11"/>
        <v>-19.7118</v>
      </c>
      <c r="U27" s="8"/>
      <c r="V27" s="8"/>
      <c r="W27" s="8"/>
      <c r="X27" s="8">
        <f t="shared" si="12"/>
        <v>317.53199999999998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x14ac:dyDescent="0.3">
      <c r="A28" s="8">
        <f t="shared" si="14"/>
        <v>0</v>
      </c>
      <c r="B28" s="8">
        <f t="shared" si="3"/>
        <v>0</v>
      </c>
      <c r="C28" s="8">
        <f t="shared" si="4"/>
        <v>0</v>
      </c>
      <c r="D28" s="8">
        <f t="shared" si="5"/>
        <v>0</v>
      </c>
      <c r="E28" s="8">
        <f t="shared" si="6"/>
        <v>0</v>
      </c>
      <c r="G28" t="s">
        <v>12</v>
      </c>
      <c r="H28" s="8">
        <f t="shared" ref="H28:I28" si="18">H14*H$21</f>
        <v>0</v>
      </c>
      <c r="I28" s="8">
        <f t="shared" si="18"/>
        <v>0</v>
      </c>
      <c r="J28" s="8">
        <f t="shared" si="8"/>
        <v>0</v>
      </c>
      <c r="K28" s="8">
        <f t="shared" si="8"/>
        <v>0</v>
      </c>
      <c r="L28" s="8"/>
      <c r="M28" s="8">
        <f t="shared" si="9"/>
        <v>0</v>
      </c>
      <c r="N28" s="8"/>
      <c r="O28" s="8">
        <f t="shared" si="1"/>
        <v>0</v>
      </c>
      <c r="P28" s="8">
        <f t="shared" si="10"/>
        <v>0</v>
      </c>
      <c r="Q28" s="8"/>
      <c r="R28" s="8">
        <f t="shared" si="2"/>
        <v>0</v>
      </c>
      <c r="S28" s="8"/>
      <c r="T28" s="8">
        <f t="shared" si="11"/>
        <v>0</v>
      </c>
      <c r="U28" s="8"/>
      <c r="V28" s="8"/>
      <c r="W28" s="8"/>
      <c r="X28" s="8">
        <f t="shared" si="12"/>
        <v>0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x14ac:dyDescent="0.3">
      <c r="A29" s="8">
        <f t="shared" si="14"/>
        <v>0</v>
      </c>
      <c r="B29" s="8">
        <f t="shared" si="3"/>
        <v>0</v>
      </c>
      <c r="C29" s="8">
        <f t="shared" si="4"/>
        <v>0</v>
      </c>
      <c r="D29" s="8">
        <f t="shared" si="5"/>
        <v>0</v>
      </c>
      <c r="E29" s="8">
        <f t="shared" si="6"/>
        <v>0</v>
      </c>
      <c r="G29" t="s">
        <v>13</v>
      </c>
      <c r="H29" s="8">
        <f t="shared" ref="H29:I29" si="19">H15*H$21</f>
        <v>0</v>
      </c>
      <c r="I29" s="8">
        <f t="shared" si="19"/>
        <v>0</v>
      </c>
      <c r="J29" s="8">
        <f t="shared" si="8"/>
        <v>0</v>
      </c>
      <c r="K29" s="8">
        <f t="shared" si="8"/>
        <v>0</v>
      </c>
      <c r="L29" s="8"/>
      <c r="M29" s="8">
        <f t="shared" si="9"/>
        <v>0</v>
      </c>
      <c r="N29" s="8"/>
      <c r="O29" s="8">
        <f t="shared" si="1"/>
        <v>0</v>
      </c>
      <c r="P29" s="8">
        <f t="shared" si="10"/>
        <v>0</v>
      </c>
      <c r="Q29" s="8"/>
      <c r="R29" s="8">
        <f t="shared" si="2"/>
        <v>0</v>
      </c>
      <c r="S29" s="8"/>
      <c r="T29" s="8">
        <f t="shared" si="11"/>
        <v>0</v>
      </c>
      <c r="U29" s="8"/>
      <c r="V29" s="8"/>
      <c r="W29" s="8"/>
      <c r="X29" s="8">
        <f t="shared" si="12"/>
        <v>0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x14ac:dyDescent="0.3">
      <c r="A30" s="8">
        <f t="shared" si="14"/>
        <v>0</v>
      </c>
      <c r="B30" s="8">
        <f t="shared" si="3"/>
        <v>0</v>
      </c>
      <c r="C30" s="8">
        <f t="shared" si="4"/>
        <v>0</v>
      </c>
      <c r="D30" s="8">
        <f t="shared" si="5"/>
        <v>0</v>
      </c>
      <c r="E30" s="8">
        <f t="shared" si="6"/>
        <v>0</v>
      </c>
      <c r="G30" t="s">
        <v>14</v>
      </c>
      <c r="H30" s="8">
        <f t="shared" ref="H30:I30" si="20">H16*H$21</f>
        <v>0</v>
      </c>
      <c r="I30" s="8">
        <f t="shared" si="20"/>
        <v>0</v>
      </c>
      <c r="J30" s="8">
        <f t="shared" si="8"/>
        <v>0</v>
      </c>
      <c r="K30" s="8">
        <f t="shared" si="8"/>
        <v>0</v>
      </c>
      <c r="L30" s="8"/>
      <c r="M30" s="8">
        <f t="shared" si="9"/>
        <v>0</v>
      </c>
      <c r="N30" s="8"/>
      <c r="O30" s="8">
        <f t="shared" si="1"/>
        <v>0</v>
      </c>
      <c r="P30" s="8">
        <f t="shared" si="10"/>
        <v>0</v>
      </c>
      <c r="Q30" s="8"/>
      <c r="R30" s="8">
        <f t="shared" si="2"/>
        <v>0</v>
      </c>
      <c r="S30" s="8"/>
      <c r="T30" s="8">
        <f t="shared" si="11"/>
        <v>0</v>
      </c>
      <c r="U30" s="8"/>
      <c r="V30" s="8"/>
      <c r="W30" s="8"/>
      <c r="X30" s="8">
        <f t="shared" si="12"/>
        <v>0</v>
      </c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x14ac:dyDescent="0.3">
      <c r="A31" s="8">
        <f t="shared" si="14"/>
        <v>0</v>
      </c>
      <c r="B31" s="8">
        <f t="shared" si="3"/>
        <v>0</v>
      </c>
      <c r="C31" s="8">
        <f t="shared" si="4"/>
        <v>0</v>
      </c>
      <c r="D31" s="8">
        <f t="shared" si="5"/>
        <v>0</v>
      </c>
      <c r="E31" s="8">
        <f t="shared" si="6"/>
        <v>0</v>
      </c>
      <c r="G31" t="s">
        <v>15</v>
      </c>
      <c r="H31" s="8">
        <f t="shared" ref="H31:I31" si="21">H17*H$21</f>
        <v>0</v>
      </c>
      <c r="I31" s="8">
        <f t="shared" si="21"/>
        <v>0</v>
      </c>
      <c r="J31" s="8">
        <f t="shared" si="8"/>
        <v>0</v>
      </c>
      <c r="K31" s="8">
        <f t="shared" si="8"/>
        <v>0</v>
      </c>
      <c r="L31" s="8"/>
      <c r="M31" s="8">
        <f t="shared" si="9"/>
        <v>0</v>
      </c>
      <c r="N31" s="8"/>
      <c r="O31" s="8">
        <f t="shared" si="1"/>
        <v>0</v>
      </c>
      <c r="P31" s="8">
        <f t="shared" si="10"/>
        <v>0</v>
      </c>
      <c r="Q31" s="8"/>
      <c r="R31" s="8">
        <f t="shared" si="2"/>
        <v>0</v>
      </c>
      <c r="S31" s="8"/>
      <c r="T31" s="8">
        <f t="shared" si="11"/>
        <v>0</v>
      </c>
      <c r="U31" s="8"/>
      <c r="V31" s="8"/>
      <c r="W31" s="8"/>
      <c r="X31" s="8">
        <f t="shared" si="12"/>
        <v>0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x14ac:dyDescent="0.3">
      <c r="A32" s="8">
        <f t="shared" si="14"/>
        <v>0</v>
      </c>
      <c r="B32" s="8">
        <f t="shared" si="3"/>
        <v>0</v>
      </c>
      <c r="C32" s="8">
        <f t="shared" si="4"/>
        <v>0</v>
      </c>
      <c r="D32" s="8">
        <f t="shared" si="5"/>
        <v>0</v>
      </c>
      <c r="E32" s="8">
        <f t="shared" si="6"/>
        <v>0</v>
      </c>
      <c r="G32" t="s">
        <v>16</v>
      </c>
      <c r="H32" s="8">
        <f t="shared" ref="H32:I32" si="22">H18*H$21</f>
        <v>0</v>
      </c>
      <c r="I32" s="8">
        <f t="shared" si="22"/>
        <v>0</v>
      </c>
      <c r="J32" s="8">
        <f t="shared" si="8"/>
        <v>0</v>
      </c>
      <c r="K32" s="8">
        <f t="shared" si="8"/>
        <v>0</v>
      </c>
      <c r="L32" s="8"/>
      <c r="M32" s="8">
        <f t="shared" si="9"/>
        <v>0</v>
      </c>
      <c r="N32" s="8"/>
      <c r="O32" s="8">
        <f t="shared" si="1"/>
        <v>0</v>
      </c>
      <c r="P32" s="8">
        <f t="shared" si="10"/>
        <v>0</v>
      </c>
      <c r="Q32" s="8"/>
      <c r="R32" s="8">
        <f t="shared" si="2"/>
        <v>0</v>
      </c>
      <c r="S32" s="8"/>
      <c r="T32" s="8">
        <f t="shared" si="11"/>
        <v>0</v>
      </c>
      <c r="U32" s="8"/>
      <c r="V32" s="8"/>
      <c r="W32" s="8"/>
      <c r="X32" s="8">
        <f t="shared" si="12"/>
        <v>0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x14ac:dyDescent="0.3">
      <c r="A33" s="8">
        <f t="shared" si="14"/>
        <v>0</v>
      </c>
      <c r="B33" s="8">
        <f t="shared" si="3"/>
        <v>0</v>
      </c>
      <c r="C33" s="8">
        <f t="shared" si="4"/>
        <v>0</v>
      </c>
      <c r="D33" s="8">
        <f t="shared" si="5"/>
        <v>0</v>
      </c>
      <c r="E33" s="8">
        <f t="shared" si="6"/>
        <v>0</v>
      </c>
      <c r="G33" t="s">
        <v>17</v>
      </c>
      <c r="H33" s="8">
        <f t="shared" ref="H33:I33" si="23">H19*H$21</f>
        <v>0</v>
      </c>
      <c r="I33" s="8">
        <f t="shared" si="23"/>
        <v>0</v>
      </c>
      <c r="J33" s="8">
        <f t="shared" si="8"/>
        <v>0</v>
      </c>
      <c r="K33" s="8">
        <f t="shared" si="8"/>
        <v>0</v>
      </c>
      <c r="L33" s="8"/>
      <c r="M33" s="8">
        <f t="shared" si="9"/>
        <v>0</v>
      </c>
      <c r="N33" s="8"/>
      <c r="O33" s="8">
        <f t="shared" si="1"/>
        <v>0</v>
      </c>
      <c r="P33" s="8">
        <f t="shared" si="10"/>
        <v>0</v>
      </c>
      <c r="Q33" s="8"/>
      <c r="R33" s="8">
        <f t="shared" si="2"/>
        <v>0</v>
      </c>
      <c r="S33" s="8"/>
      <c r="T33" s="8">
        <f t="shared" si="11"/>
        <v>0</v>
      </c>
      <c r="U33" s="8"/>
      <c r="V33" s="8"/>
      <c r="W33" s="8"/>
      <c r="X33" s="8">
        <f t="shared" si="12"/>
        <v>0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5" spans="1:47" x14ac:dyDescent="0.3">
      <c r="A35" s="38"/>
      <c r="D35" s="38"/>
    </row>
    <row r="44" spans="1:47" x14ac:dyDescent="0.3">
      <c r="A44" s="33" t="s">
        <v>161</v>
      </c>
    </row>
    <row r="45" spans="1:47" x14ac:dyDescent="0.3">
      <c r="A45" s="65">
        <f>SUM($H$27:$K$27)+SUM($O$27:$T$27)-$R$27-$X$27</f>
        <v>526.53860000000009</v>
      </c>
      <c r="B45" s="65"/>
      <c r="C45" s="65"/>
      <c r="D45" s="65"/>
    </row>
    <row r="46" spans="1:47" x14ac:dyDescent="0.3">
      <c r="A46" s="51">
        <v>2025</v>
      </c>
      <c r="B46" s="51">
        <v>2026</v>
      </c>
      <c r="C46" s="51">
        <v>2027</v>
      </c>
      <c r="D46" s="51">
        <v>2028</v>
      </c>
      <c r="E46" s="51">
        <v>2029</v>
      </c>
    </row>
    <row r="47" spans="1:47" x14ac:dyDescent="0.3">
      <c r="A47" s="55">
        <f>DS!A45</f>
        <v>1.7676000000000001E-2</v>
      </c>
      <c r="B47" s="55">
        <f>DS!B45</f>
        <v>4.8447999999999998E-2</v>
      </c>
      <c r="C47" s="55">
        <f>DS!C45</f>
        <v>3.6317000000000002E-2</v>
      </c>
      <c r="D47" s="55">
        <f>DS!D45</f>
        <v>3.0025E-2</v>
      </c>
      <c r="E47" s="55">
        <f>DS!E45</f>
        <v>3.1049E-2</v>
      </c>
      <c r="F47" s="53" t="s">
        <v>162</v>
      </c>
    </row>
    <row r="48" spans="1:47" x14ac:dyDescent="0.3">
      <c r="A48" s="54">
        <f>ROUND(A47*$A$45,2)</f>
        <v>9.31</v>
      </c>
      <c r="B48" s="54">
        <f>ROUND(B47*$A$45,2)</f>
        <v>25.51</v>
      </c>
      <c r="C48" s="54">
        <f>ROUND(C47*$A$45,2)</f>
        <v>19.12</v>
      </c>
      <c r="D48" s="54">
        <f>ROUND(D47*$A$45,2)</f>
        <v>15.81</v>
      </c>
      <c r="E48" s="54">
        <f>ROUND(E47*$A$45,2)</f>
        <v>16.350000000000001</v>
      </c>
      <c r="F48" s="53" t="s">
        <v>155</v>
      </c>
    </row>
    <row r="49" spans="1:6" x14ac:dyDescent="0.3">
      <c r="A49" s="55">
        <f>(($A$27+A48)/$A$27)-1</f>
        <v>1.0478570142265387E-2</v>
      </c>
      <c r="B49" s="55">
        <f>(($A$27+B48)/$A$27)-1</f>
        <v>2.8711957500450191E-2</v>
      </c>
      <c r="C49" s="55">
        <f>(($A$27+C48)/$A$27)-1</f>
        <v>2.1519899153610744E-2</v>
      </c>
      <c r="D49" s="55">
        <f>(($A$27+D48)/$A$27)-1</f>
        <v>1.779443544030257E-2</v>
      </c>
      <c r="E49" s="55">
        <f>(($A$27+E48)/$A$27)-1</f>
        <v>1.8402215018908707E-2</v>
      </c>
      <c r="F49" s="53" t="s">
        <v>163</v>
      </c>
    </row>
    <row r="51" spans="1:6" x14ac:dyDescent="0.3">
      <c r="A51" s="38">
        <f>$A$27+A48</f>
        <v>897.79</v>
      </c>
      <c r="B51" s="38">
        <f t="shared" ref="B51:E51" si="24">$A$27+B48</f>
        <v>913.99</v>
      </c>
      <c r="C51" s="38">
        <f t="shared" si="24"/>
        <v>907.6</v>
      </c>
      <c r="D51" s="38">
        <f t="shared" si="24"/>
        <v>904.29</v>
      </c>
      <c r="E51" s="38">
        <f t="shared" si="24"/>
        <v>904.83</v>
      </c>
    </row>
  </sheetData>
  <mergeCells count="17">
    <mergeCell ref="AR4:AS4"/>
    <mergeCell ref="AT4:AU4"/>
    <mergeCell ref="H3:J3"/>
    <mergeCell ref="Z3:AB3"/>
    <mergeCell ref="AD3:AE3"/>
    <mergeCell ref="AG3:AH3"/>
    <mergeCell ref="AR3:AU3"/>
    <mergeCell ref="H4:I4"/>
    <mergeCell ref="Z4:AB4"/>
    <mergeCell ref="AD4:AE4"/>
    <mergeCell ref="AG4:AH4"/>
    <mergeCell ref="AR2:AU2"/>
    <mergeCell ref="H2:K2"/>
    <mergeCell ref="O2:P2"/>
    <mergeCell ref="Z2:AB2"/>
    <mergeCell ref="AD2:AE2"/>
    <mergeCell ref="AG2:AH2"/>
  </mergeCells>
  <pageMargins left="0.2" right="0.2" top="1.5" bottom="0.75" header="1" footer="0.3"/>
  <pageSetup scale="26" orientation="landscape" r:id="rId1"/>
  <headerFooter>
    <oddHeader>&amp;R&amp;"Times New Roman,Bold"&amp;10KyPSC Case No. 2024-00152
SIERRA-DR-01-050 Attachment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65"/>
  <sheetViews>
    <sheetView view="pageLayout" zoomScaleNormal="75" workbookViewId="0">
      <selection activeCell="Z12" sqref="Z12"/>
    </sheetView>
  </sheetViews>
  <sheetFormatPr defaultRowHeight="14.4" x14ac:dyDescent="0.3"/>
  <cols>
    <col min="1" max="1" width="18.44140625" customWidth="1"/>
    <col min="2" max="2" width="15.21875" customWidth="1"/>
    <col min="3" max="3" width="12.21875" customWidth="1"/>
    <col min="4" max="4" width="13.44140625" customWidth="1"/>
    <col min="5" max="5" width="11.5546875" customWidth="1"/>
    <col min="6" max="6" width="2.77734375" customWidth="1"/>
    <col min="7" max="7" width="9.21875"/>
    <col min="8" max="9" width="16" customWidth="1"/>
    <col min="10" max="10" width="15.77734375" customWidth="1"/>
    <col min="11" max="11" width="2.77734375" customWidth="1"/>
    <col min="12" max="12" width="18.5546875" customWidth="1"/>
    <col min="13" max="13" width="2.77734375" customWidth="1"/>
    <col min="14" max="15" width="12.21875" customWidth="1"/>
    <col min="16" max="16" width="2.77734375" customWidth="1"/>
    <col min="17" max="17" width="18.5546875" customWidth="1"/>
    <col min="18" max="18" width="2.77734375" customWidth="1"/>
    <col min="19" max="19" width="21.44140625" customWidth="1"/>
    <col min="20" max="20" width="2.77734375" customWidth="1"/>
    <col min="21" max="21" width="12.5546875" bestFit="1" customWidth="1"/>
    <col min="22" max="22" width="2.77734375" customWidth="1"/>
    <col min="23" max="23" width="24.88671875" bestFit="1" customWidth="1"/>
    <col min="24" max="24" width="2.77734375" customWidth="1"/>
    <col min="25" max="25" width="12.21875" customWidth="1"/>
    <col min="26" max="26" width="19.21875" customWidth="1"/>
    <col min="27" max="27" width="12.44140625" customWidth="1"/>
    <col min="28" max="28" width="2.77734375" customWidth="1"/>
    <col min="29" max="29" width="12.44140625" bestFit="1" customWidth="1"/>
    <col min="30" max="30" width="12.21875" customWidth="1"/>
    <col min="31" max="31" width="2.77734375" customWidth="1"/>
    <col min="32" max="32" width="15.44140625" bestFit="1" customWidth="1"/>
    <col min="33" max="33" width="14.44140625" customWidth="1"/>
    <col min="34" max="34" width="2.77734375" customWidth="1"/>
    <col min="35" max="35" width="15.5546875" bestFit="1" customWidth="1"/>
    <col min="36" max="36" width="2.77734375" customWidth="1"/>
    <col min="37" max="37" width="15.5546875" bestFit="1" customWidth="1"/>
    <col min="38" max="38" width="2.77734375" customWidth="1"/>
    <col min="39" max="39" width="15.5546875" bestFit="1" customWidth="1"/>
    <col min="40" max="40" width="2.77734375" customWidth="1"/>
    <col min="41" max="41" width="15.5546875" bestFit="1" customWidth="1"/>
    <col min="42" max="42" width="2.77734375" customWidth="1"/>
    <col min="43" max="43" width="12.44140625" bestFit="1" customWidth="1"/>
    <col min="44" max="44" width="11.5546875" bestFit="1" customWidth="1"/>
    <col min="45" max="45" width="12.44140625" bestFit="1" customWidth="1"/>
    <col min="46" max="46" width="11.5546875" bestFit="1" customWidth="1"/>
    <col min="47" max="54" width="9.21875"/>
  </cols>
  <sheetData>
    <row r="1" spans="1:46" x14ac:dyDescent="0.3">
      <c r="A1" t="s">
        <v>27</v>
      </c>
      <c r="C1" s="33"/>
      <c r="D1" s="33"/>
      <c r="E1" s="33"/>
      <c r="F1" s="33"/>
    </row>
    <row r="2" spans="1:46" x14ac:dyDescent="0.3">
      <c r="B2" s="33"/>
      <c r="C2" s="33"/>
      <c r="D2" s="33"/>
      <c r="E2" s="33"/>
      <c r="F2" s="33"/>
      <c r="H2" s="68" t="s">
        <v>56</v>
      </c>
      <c r="I2" s="68"/>
      <c r="J2" s="68"/>
      <c r="L2" s="1" t="s">
        <v>74</v>
      </c>
      <c r="N2" s="68" t="s">
        <v>32</v>
      </c>
      <c r="O2" s="68"/>
      <c r="P2" s="1"/>
      <c r="Q2" s="1" t="s">
        <v>40</v>
      </c>
      <c r="S2" s="1" t="s">
        <v>41</v>
      </c>
      <c r="T2" s="1"/>
      <c r="U2" s="1"/>
      <c r="V2" s="1"/>
      <c r="W2" s="1"/>
      <c r="Y2" s="68"/>
      <c r="Z2" s="68"/>
      <c r="AA2" s="68"/>
      <c r="AC2" s="68"/>
      <c r="AD2" s="68"/>
      <c r="AF2" s="68"/>
      <c r="AG2" s="68"/>
      <c r="AI2" s="1"/>
      <c r="AJ2" s="1"/>
      <c r="AK2" s="1"/>
      <c r="AL2" s="1"/>
      <c r="AM2" s="1"/>
      <c r="AN2" s="1"/>
      <c r="AO2" s="1"/>
      <c r="AQ2" s="68"/>
      <c r="AR2" s="68"/>
      <c r="AS2" s="68"/>
      <c r="AT2" s="68"/>
    </row>
    <row r="3" spans="1:46" x14ac:dyDescent="0.3">
      <c r="H3" s="68"/>
      <c r="I3" s="68"/>
      <c r="J3" s="68"/>
      <c r="L3" s="1" t="s">
        <v>76</v>
      </c>
      <c r="N3" s="1" t="s">
        <v>29</v>
      </c>
      <c r="O3" s="1" t="s">
        <v>33</v>
      </c>
      <c r="P3" s="1"/>
      <c r="Q3" s="1" t="s">
        <v>30</v>
      </c>
      <c r="S3" s="1" t="s">
        <v>31</v>
      </c>
      <c r="T3" s="1"/>
      <c r="U3" s="1"/>
      <c r="V3" s="1"/>
      <c r="W3" s="1" t="s">
        <v>104</v>
      </c>
      <c r="Y3" s="68"/>
      <c r="Z3" s="68"/>
      <c r="AA3" s="68"/>
      <c r="AC3" s="68"/>
      <c r="AD3" s="68"/>
      <c r="AF3" s="68"/>
      <c r="AG3" s="68"/>
      <c r="AI3" s="1"/>
      <c r="AJ3" s="1"/>
      <c r="AK3" s="1"/>
      <c r="AL3" s="1"/>
      <c r="AM3" s="1"/>
      <c r="AN3" s="1"/>
      <c r="AO3" s="1"/>
      <c r="AQ3" s="68"/>
      <c r="AR3" s="68"/>
      <c r="AS3" s="68"/>
      <c r="AT3" s="68"/>
    </row>
    <row r="4" spans="1:46" x14ac:dyDescent="0.3">
      <c r="H4" s="1" t="s">
        <v>66</v>
      </c>
      <c r="I4" s="1" t="s">
        <v>4</v>
      </c>
      <c r="J4" s="1" t="s">
        <v>4</v>
      </c>
      <c r="L4" s="1" t="s">
        <v>77</v>
      </c>
      <c r="N4" s="1" t="s">
        <v>4</v>
      </c>
      <c r="O4" s="1" t="s">
        <v>0</v>
      </c>
      <c r="Q4" s="1" t="s">
        <v>4</v>
      </c>
      <c r="R4" s="1"/>
      <c r="S4" s="1" t="s">
        <v>4</v>
      </c>
      <c r="U4" s="1"/>
      <c r="W4" s="1" t="s">
        <v>105</v>
      </c>
      <c r="X4" s="1"/>
      <c r="Y4" s="68"/>
      <c r="Z4" s="68"/>
      <c r="AA4" s="68"/>
      <c r="AB4" s="1"/>
      <c r="AC4" s="68"/>
      <c r="AD4" s="69"/>
      <c r="AE4" s="1"/>
      <c r="AF4" s="68"/>
      <c r="AG4" s="68"/>
      <c r="AH4" s="1"/>
      <c r="AI4" s="1"/>
      <c r="AK4" s="1"/>
      <c r="AM4" s="1"/>
      <c r="AO4" s="1"/>
      <c r="AP4" s="1"/>
      <c r="AQ4" s="68"/>
      <c r="AR4" s="68"/>
      <c r="AS4" s="68"/>
      <c r="AT4" s="68"/>
    </row>
    <row r="5" spans="1:46" x14ac:dyDescent="0.3">
      <c r="H5" s="7"/>
      <c r="I5" s="7" t="s">
        <v>53</v>
      </c>
      <c r="J5" s="7" t="s">
        <v>54</v>
      </c>
      <c r="L5" s="1"/>
      <c r="N5" s="1"/>
      <c r="O5" s="1"/>
      <c r="P5" s="1"/>
      <c r="R5" s="1"/>
      <c r="X5" s="1"/>
      <c r="Y5" s="1"/>
      <c r="Z5" s="1"/>
      <c r="AA5" s="1"/>
      <c r="AB5" s="1"/>
      <c r="AC5" s="7"/>
      <c r="AD5" s="7"/>
      <c r="AE5" s="1"/>
      <c r="AF5" s="1"/>
      <c r="AG5" s="1"/>
      <c r="AH5" s="1"/>
      <c r="AP5" s="1"/>
      <c r="AQ5" s="1"/>
      <c r="AR5" s="1"/>
      <c r="AS5" s="7"/>
      <c r="AT5" s="7"/>
    </row>
    <row r="6" spans="1:46" ht="15.6" x14ac:dyDescent="0.3">
      <c r="H6" s="1" t="s">
        <v>2</v>
      </c>
      <c r="I6" s="2" t="s">
        <v>3</v>
      </c>
      <c r="J6" s="2" t="s">
        <v>3</v>
      </c>
      <c r="L6" s="34" t="s">
        <v>75</v>
      </c>
      <c r="N6" s="2" t="s">
        <v>3</v>
      </c>
      <c r="O6" s="1" t="s">
        <v>2</v>
      </c>
      <c r="P6" s="2"/>
      <c r="Q6" s="2" t="s">
        <v>3</v>
      </c>
      <c r="R6" s="2"/>
      <c r="S6" s="2" t="s">
        <v>3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x14ac:dyDescent="0.3">
      <c r="G7" s="33" t="s">
        <v>5</v>
      </c>
    </row>
    <row r="8" spans="1:46" x14ac:dyDescent="0.3">
      <c r="G8" t="s">
        <v>1</v>
      </c>
      <c r="H8" s="4">
        <v>3.65</v>
      </c>
      <c r="I8" s="3">
        <v>0.103034</v>
      </c>
      <c r="J8" s="3">
        <v>0.118449</v>
      </c>
      <c r="L8" s="35">
        <f>DS!P8</f>
        <v>0.1905</v>
      </c>
      <c r="N8">
        <f>DS!R8</f>
        <v>3.503E-3</v>
      </c>
      <c r="O8" s="4">
        <f>DS!S8</f>
        <v>0</v>
      </c>
      <c r="Q8" s="3">
        <f>RS!$P8</f>
        <v>1.457E-2</v>
      </c>
      <c r="S8" s="3">
        <f>RS!R8</f>
        <v>-3.7000000000000002E-3</v>
      </c>
      <c r="W8" s="3">
        <f>+DS!$AA8</f>
        <v>2.5401E-2</v>
      </c>
      <c r="X8" s="3"/>
      <c r="Y8" s="5"/>
      <c r="Z8" s="5"/>
      <c r="AA8" s="5"/>
      <c r="AB8" s="3"/>
      <c r="AC8" s="3"/>
      <c r="AD8" s="3"/>
      <c r="AE8" s="3"/>
      <c r="AF8" s="6"/>
      <c r="AG8" s="6"/>
      <c r="AH8" s="3"/>
      <c r="AJ8" s="3"/>
      <c r="AN8" s="3"/>
      <c r="AP8" s="3"/>
      <c r="AQ8" s="3"/>
      <c r="AR8" s="3"/>
      <c r="AS8" s="3"/>
      <c r="AT8" s="3"/>
    </row>
    <row r="9" spans="1:46" x14ac:dyDescent="0.3">
      <c r="G9" t="s">
        <v>7</v>
      </c>
      <c r="H9" s="4">
        <v>3.65</v>
      </c>
      <c r="I9" s="3">
        <v>0.103034</v>
      </c>
      <c r="J9" s="3">
        <v>0.118449</v>
      </c>
      <c r="L9" s="35">
        <f>DS!P9</f>
        <v>0.23200000000000001</v>
      </c>
      <c r="N9">
        <f>DS!R9</f>
        <v>3.503E-3</v>
      </c>
      <c r="O9" s="4">
        <f>DS!S9</f>
        <v>0</v>
      </c>
      <c r="Q9" s="3">
        <f>RS!$P9</f>
        <v>5.4949999999999999E-3</v>
      </c>
      <c r="S9" s="3">
        <f>RS!R9</f>
        <v>-3.7000000000000002E-3</v>
      </c>
      <c r="W9" s="3">
        <f>+DS!$AA9</f>
        <v>2.5401E-2</v>
      </c>
      <c r="Y9" s="5"/>
      <c r="Z9" s="5"/>
      <c r="AA9" s="5"/>
      <c r="AC9" s="3"/>
      <c r="AD9" s="3"/>
      <c r="AF9" s="6"/>
      <c r="AG9" s="6"/>
      <c r="AI9" s="4"/>
      <c r="AK9" s="3"/>
      <c r="AM9" s="3"/>
      <c r="AO9" s="4"/>
      <c r="AQ9" s="3"/>
      <c r="AR9" s="3"/>
      <c r="AS9" s="3"/>
      <c r="AT9" s="3"/>
    </row>
    <row r="10" spans="1:46" x14ac:dyDescent="0.3">
      <c r="G10" t="s">
        <v>8</v>
      </c>
      <c r="H10" s="4">
        <v>3.65</v>
      </c>
      <c r="I10" s="3">
        <v>0.103034</v>
      </c>
      <c r="J10" s="3">
        <v>0.118449</v>
      </c>
      <c r="L10" s="35">
        <f>DS!P10</f>
        <v>7.1599999999999997E-2</v>
      </c>
      <c r="N10">
        <f>DS!R10</f>
        <v>3.503E-3</v>
      </c>
      <c r="O10" s="4">
        <f>DS!S10</f>
        <v>0</v>
      </c>
      <c r="Q10" s="3">
        <f>RS!$P10</f>
        <v>9.3720000000000001E-3</v>
      </c>
      <c r="S10" s="3">
        <f>RS!R10</f>
        <v>-1.237E-3</v>
      </c>
      <c r="W10" s="3">
        <f>+DS!$AA10</f>
        <v>2.5401E-2</v>
      </c>
      <c r="Y10" s="5"/>
      <c r="Z10" s="5"/>
      <c r="AA10" s="5"/>
      <c r="AC10" s="3"/>
      <c r="AD10" s="3"/>
      <c r="AF10" s="6"/>
      <c r="AG10" s="6"/>
      <c r="AI10" s="4"/>
      <c r="AK10" s="3"/>
      <c r="AM10" s="3"/>
      <c r="AO10" s="4"/>
      <c r="AQ10" s="3"/>
      <c r="AR10" s="3"/>
      <c r="AS10" s="3"/>
      <c r="AT10" s="3"/>
    </row>
    <row r="11" spans="1:46" x14ac:dyDescent="0.3">
      <c r="A11" s="33"/>
      <c r="G11" t="s">
        <v>9</v>
      </c>
      <c r="H11" s="4">
        <v>3.65</v>
      </c>
      <c r="I11" s="3">
        <v>0.103034</v>
      </c>
      <c r="J11" s="3">
        <v>0.118449</v>
      </c>
      <c r="L11" s="35">
        <f>DS!P11</f>
        <v>0.152</v>
      </c>
      <c r="N11">
        <f>DS!R11</f>
        <v>3.503E-3</v>
      </c>
      <c r="O11" s="4">
        <f>DS!S11</f>
        <v>0</v>
      </c>
      <c r="Q11" s="3">
        <f>RS!$P11</f>
        <v>3.4910000000000002E-3</v>
      </c>
      <c r="S11" s="3">
        <f>RS!R11</f>
        <v>-1.237E-3</v>
      </c>
      <c r="W11" s="3">
        <f>+DS!$AA11</f>
        <v>2.5401E-2</v>
      </c>
    </row>
    <row r="12" spans="1:46" x14ac:dyDescent="0.3">
      <c r="A12" s="45"/>
      <c r="G12" t="s">
        <v>10</v>
      </c>
      <c r="H12" s="4">
        <v>3.65</v>
      </c>
      <c r="I12" s="3">
        <v>0.103034</v>
      </c>
      <c r="J12" s="3">
        <v>0.118449</v>
      </c>
      <c r="L12" s="35">
        <f>DS!P12</f>
        <v>0.17419999999999999</v>
      </c>
      <c r="N12">
        <f>DS!R12</f>
        <v>3.503E-3</v>
      </c>
      <c r="O12" s="4">
        <f>DS!S12</f>
        <v>0</v>
      </c>
      <c r="Q12" s="3">
        <f>RS!$P12</f>
        <v>8.7209999999999996E-3</v>
      </c>
      <c r="S12" s="3">
        <f>RS!R12</f>
        <v>-1.237E-3</v>
      </c>
      <c r="W12" s="3">
        <f>+DS!$AA12</f>
        <v>2.5401E-2</v>
      </c>
    </row>
    <row r="13" spans="1:46" x14ac:dyDescent="0.3">
      <c r="G13" t="s">
        <v>11</v>
      </c>
      <c r="H13" s="4">
        <v>3.65</v>
      </c>
      <c r="I13" s="3">
        <v>0.111413</v>
      </c>
      <c r="J13" s="3">
        <v>0.126828</v>
      </c>
      <c r="L13" s="35">
        <f>DS!P13</f>
        <v>0.1308</v>
      </c>
      <c r="N13">
        <f>DS!R13</f>
        <v>3.503E-3</v>
      </c>
      <c r="O13" s="4">
        <f>DS!S13</f>
        <v>0</v>
      </c>
      <c r="Q13" s="3">
        <f>RS!$P13</f>
        <v>-2.6020000000000001E-3</v>
      </c>
      <c r="S13" s="3">
        <f>RS!R13</f>
        <v>2.0969999999999999E-3</v>
      </c>
      <c r="W13" s="3">
        <f>+DS!$AA13</f>
        <v>3.3779999999999998E-2</v>
      </c>
    </row>
    <row r="14" spans="1:46" x14ac:dyDescent="0.3">
      <c r="G14" t="s">
        <v>12</v>
      </c>
      <c r="H14" s="4"/>
      <c r="I14" s="3"/>
      <c r="J14" s="3"/>
      <c r="L14" s="35"/>
      <c r="O14" s="4"/>
      <c r="Q14" s="3"/>
      <c r="S14" s="3"/>
      <c r="W14" s="3"/>
    </row>
    <row r="15" spans="1:46" x14ac:dyDescent="0.3">
      <c r="G15" t="s">
        <v>13</v>
      </c>
      <c r="H15" s="4"/>
      <c r="I15" s="3"/>
      <c r="J15" s="3"/>
      <c r="L15" s="35"/>
      <c r="O15" s="4"/>
      <c r="Q15" s="3"/>
      <c r="S15" s="3"/>
      <c r="W15" s="3"/>
    </row>
    <row r="16" spans="1:46" x14ac:dyDescent="0.3">
      <c r="G16" t="s">
        <v>14</v>
      </c>
      <c r="H16" s="4"/>
      <c r="I16" s="3"/>
      <c r="J16" s="3"/>
      <c r="L16" s="35"/>
      <c r="O16" s="4"/>
      <c r="Q16" s="3"/>
      <c r="S16" s="3"/>
      <c r="W16" s="3"/>
    </row>
    <row r="17" spans="1:46" x14ac:dyDescent="0.3">
      <c r="A17" s="33" t="s">
        <v>68</v>
      </c>
      <c r="G17" t="s">
        <v>15</v>
      </c>
      <c r="H17" s="4"/>
      <c r="I17" s="3"/>
      <c r="J17" s="3"/>
      <c r="L17" s="35"/>
      <c r="O17" s="4"/>
      <c r="Q17" s="3"/>
      <c r="S17" s="3"/>
      <c r="W17" s="3"/>
    </row>
    <row r="18" spans="1:46" x14ac:dyDescent="0.3">
      <c r="A18" s="33">
        <v>5</v>
      </c>
      <c r="G18" t="s">
        <v>16</v>
      </c>
      <c r="H18" s="4"/>
      <c r="I18" s="3"/>
      <c r="J18" s="3"/>
      <c r="L18" s="35"/>
      <c r="O18" s="4"/>
      <c r="Q18" s="3"/>
      <c r="S18" s="3"/>
      <c r="W18" s="3"/>
    </row>
    <row r="19" spans="1:46" x14ac:dyDescent="0.3">
      <c r="A19" s="33" t="s">
        <v>67</v>
      </c>
      <c r="G19" t="s">
        <v>17</v>
      </c>
      <c r="H19" s="4"/>
      <c r="I19" s="3"/>
      <c r="J19" s="3"/>
      <c r="L19" s="35"/>
      <c r="O19" s="4"/>
      <c r="Q19" s="3"/>
      <c r="S19" s="3"/>
      <c r="W19" s="3"/>
    </row>
    <row r="20" spans="1:46" x14ac:dyDescent="0.3">
      <c r="A20" s="46">
        <v>700</v>
      </c>
      <c r="B20" s="1" t="s">
        <v>20</v>
      </c>
      <c r="C20" s="1"/>
      <c r="D20" s="1" t="s">
        <v>0</v>
      </c>
      <c r="E20" s="1" t="s">
        <v>4</v>
      </c>
    </row>
    <row r="21" spans="1:46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48" t="s">
        <v>26</v>
      </c>
      <c r="H21" s="8">
        <f>IF($A$20&gt;0,0,1)</f>
        <v>0</v>
      </c>
      <c r="I21" s="9">
        <f>IF($A$20&gt;=540,$A$20*$A$18,0)</f>
        <v>3500</v>
      </c>
      <c r="J21" s="9">
        <f>IF($A$20&lt;540,$A$20*$A$18,0)</f>
        <v>0</v>
      </c>
      <c r="K21" s="9"/>
      <c r="L21" s="9"/>
      <c r="M21" s="9"/>
      <c r="N21" s="37">
        <f>$A$20*$A$18</f>
        <v>3500</v>
      </c>
      <c r="O21" s="37"/>
      <c r="P21" s="37"/>
      <c r="Q21" s="9">
        <f>$A$20*$A$18</f>
        <v>3500</v>
      </c>
      <c r="R21" s="9"/>
      <c r="S21" s="37">
        <f>$A$20*$A$18</f>
        <v>3500</v>
      </c>
      <c r="W21" s="49">
        <f>+A20</f>
        <v>700</v>
      </c>
      <c r="Y21" s="2"/>
      <c r="Z21" s="2"/>
      <c r="AA21" s="2"/>
      <c r="AC21" s="2"/>
      <c r="AD21" s="2"/>
      <c r="AF21" s="2"/>
      <c r="AG21" s="2"/>
      <c r="AQ21" s="2"/>
      <c r="AR21" s="2"/>
      <c r="AS21" s="2"/>
      <c r="AT21" s="2"/>
    </row>
    <row r="22" spans="1:46" x14ac:dyDescent="0.3">
      <c r="A22" s="8">
        <f t="shared" ref="A22:A23" si="0">ROUND(SUM(H22:S22),2)</f>
        <v>506.94</v>
      </c>
      <c r="B22" s="8">
        <f>ROUND(Q22,2)</f>
        <v>51</v>
      </c>
      <c r="C22" s="8">
        <f>ROUND(D22+E22,2)</f>
        <v>25.21</v>
      </c>
      <c r="D22" s="8">
        <f>H22</f>
        <v>0</v>
      </c>
      <c r="E22" s="8">
        <f>ROUND(SUM(J22:J22)+N22+S22,2)</f>
        <v>25.21</v>
      </c>
      <c r="F22" s="4"/>
      <c r="G22" t="s">
        <v>1</v>
      </c>
      <c r="H22" s="8">
        <f t="shared" ref="H22:J22" si="1">H8*H$21</f>
        <v>0</v>
      </c>
      <c r="I22" s="8">
        <f t="shared" ref="I22" si="2">I8*I$21</f>
        <v>360.61900000000003</v>
      </c>
      <c r="J22" s="8">
        <f t="shared" si="1"/>
        <v>0</v>
      </c>
      <c r="K22" s="8"/>
      <c r="L22" s="8">
        <f>(SUM(H22:J22)+SUM(N22:S22)-Q22-W22)*L8</f>
        <v>70.11329640000001</v>
      </c>
      <c r="M22" s="8"/>
      <c r="N22" s="8">
        <f t="shared" ref="N22:N33" si="3">N8*N$21</f>
        <v>12.2605</v>
      </c>
      <c r="O22" s="8">
        <f>O8</f>
        <v>0</v>
      </c>
      <c r="P22" s="8"/>
      <c r="Q22" s="8">
        <f>Q8*Q21</f>
        <v>50.994999999999997</v>
      </c>
      <c r="R22" s="8"/>
      <c r="S22" s="8">
        <f>-S8*S$21</f>
        <v>12.950000000000001</v>
      </c>
      <c r="T22" s="8"/>
      <c r="U22" s="8"/>
      <c r="V22" s="8"/>
      <c r="W22" s="8">
        <f>W8*W21</f>
        <v>17.7807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1:46" x14ac:dyDescent="0.3">
      <c r="A23" s="8">
        <f t="shared" si="0"/>
        <v>490.45</v>
      </c>
      <c r="B23" s="8">
        <f t="shared" ref="B23:B33" si="4">ROUND(Q23,2)</f>
        <v>19.23</v>
      </c>
      <c r="C23" s="8">
        <f t="shared" ref="C23:C33" si="5">ROUND(D23+E23,2)</f>
        <v>25.21</v>
      </c>
      <c r="D23" s="8">
        <f t="shared" ref="D23:D33" si="6">H23</f>
        <v>0</v>
      </c>
      <c r="E23" s="8">
        <f t="shared" ref="E23:E33" si="7">ROUND(SUM(J23:J23)+N23+S23,2)</f>
        <v>25.21</v>
      </c>
      <c r="G23" t="s">
        <v>7</v>
      </c>
      <c r="H23" s="8">
        <f t="shared" ref="H23:J23" si="8">H9*H$21</f>
        <v>0</v>
      </c>
      <c r="I23" s="8">
        <f t="shared" ref="I23" si="9">I9*I$21</f>
        <v>360.61900000000003</v>
      </c>
      <c r="J23" s="8">
        <f t="shared" si="8"/>
        <v>0</v>
      </c>
      <c r="K23" s="8"/>
      <c r="L23" s="8">
        <f t="shared" ref="L23:L33" si="10">(SUM(H23:J23)+SUM(N23:S23)-Q23-W23)*L9</f>
        <v>85.387321599999993</v>
      </c>
      <c r="M23" s="8"/>
      <c r="N23" s="8">
        <f t="shared" si="3"/>
        <v>12.2605</v>
      </c>
      <c r="O23" s="8">
        <f t="shared" ref="O23:O33" si="11">O9</f>
        <v>0</v>
      </c>
      <c r="P23" s="8"/>
      <c r="Q23" s="8">
        <f t="shared" ref="Q23:Q33" si="12">Q9*Q$21</f>
        <v>19.232499999999998</v>
      </c>
      <c r="R23" s="8"/>
      <c r="S23" s="8">
        <f t="shared" ref="S23:S33" si="13">-S9*S$21</f>
        <v>12.950000000000001</v>
      </c>
      <c r="T23" s="8"/>
      <c r="U23" s="8"/>
      <c r="V23" s="8"/>
      <c r="W23" s="8">
        <f t="shared" ref="W23:W33" si="14">W9*W$21</f>
        <v>17.7807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46" x14ac:dyDescent="0.3">
      <c r="A24" s="8">
        <f>ROUND(SUM(H24:S24),2)</f>
        <v>435.75</v>
      </c>
      <c r="B24" s="8">
        <f t="shared" si="4"/>
        <v>32.799999999999997</v>
      </c>
      <c r="C24" s="8">
        <f t="shared" si="5"/>
        <v>16.59</v>
      </c>
      <c r="D24" s="8">
        <f t="shared" si="6"/>
        <v>0</v>
      </c>
      <c r="E24" s="8">
        <f t="shared" si="7"/>
        <v>16.59</v>
      </c>
      <c r="G24" t="s">
        <v>8</v>
      </c>
      <c r="H24" s="8">
        <f t="shared" ref="H24:J24" si="15">H10*H$21</f>
        <v>0</v>
      </c>
      <c r="I24" s="8">
        <f t="shared" ref="I24" si="16">I10*I$21</f>
        <v>360.61900000000003</v>
      </c>
      <c r="J24" s="8">
        <f t="shared" si="15"/>
        <v>0</v>
      </c>
      <c r="K24" s="8"/>
      <c r="L24" s="8">
        <f t="shared" si="10"/>
        <v>25.735066279999998</v>
      </c>
      <c r="M24" s="8"/>
      <c r="N24" s="8">
        <f t="shared" si="3"/>
        <v>12.2605</v>
      </c>
      <c r="O24" s="8">
        <f t="shared" si="11"/>
        <v>0</v>
      </c>
      <c r="P24" s="8"/>
      <c r="Q24" s="8">
        <f t="shared" si="12"/>
        <v>32.802</v>
      </c>
      <c r="R24" s="8"/>
      <c r="S24" s="8">
        <f t="shared" si="13"/>
        <v>4.3295000000000003</v>
      </c>
      <c r="T24" s="8"/>
      <c r="U24" s="8"/>
      <c r="V24" s="8"/>
      <c r="W24" s="8">
        <f t="shared" si="14"/>
        <v>17.7807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</row>
    <row r="25" spans="1:46" x14ac:dyDescent="0.3">
      <c r="A25" s="8">
        <f t="shared" ref="A25:A33" si="17">ROUND(SUM(H25:S25),2)</f>
        <v>444.06</v>
      </c>
      <c r="B25" s="8">
        <f t="shared" si="4"/>
        <v>12.22</v>
      </c>
      <c r="C25" s="8">
        <f t="shared" si="5"/>
        <v>16.59</v>
      </c>
      <c r="D25" s="8">
        <f t="shared" si="6"/>
        <v>0</v>
      </c>
      <c r="E25" s="8">
        <f t="shared" si="7"/>
        <v>16.59</v>
      </c>
      <c r="G25" t="s">
        <v>9</v>
      </c>
      <c r="H25" s="8">
        <f t="shared" ref="H25:J25" si="18">H11*H$21</f>
        <v>0</v>
      </c>
      <c r="I25" s="8">
        <f t="shared" ref="I25" si="19">I11*I$21</f>
        <v>360.61900000000003</v>
      </c>
      <c r="J25" s="8">
        <f t="shared" si="18"/>
        <v>0</v>
      </c>
      <c r="K25" s="8"/>
      <c r="L25" s="8">
        <f t="shared" si="10"/>
        <v>54.633101599999996</v>
      </c>
      <c r="M25" s="8"/>
      <c r="N25" s="8">
        <f t="shared" si="3"/>
        <v>12.2605</v>
      </c>
      <c r="O25" s="8">
        <f t="shared" si="11"/>
        <v>0</v>
      </c>
      <c r="P25" s="8"/>
      <c r="Q25" s="8">
        <f t="shared" si="12"/>
        <v>12.218500000000001</v>
      </c>
      <c r="R25" s="8"/>
      <c r="S25" s="8">
        <f t="shared" si="13"/>
        <v>4.3295000000000003</v>
      </c>
      <c r="T25" s="8"/>
      <c r="U25" s="8"/>
      <c r="V25" s="8"/>
      <c r="W25" s="8">
        <f t="shared" si="14"/>
        <v>17.7807</v>
      </c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x14ac:dyDescent="0.3">
      <c r="A26" s="8">
        <f t="shared" si="17"/>
        <v>470.34</v>
      </c>
      <c r="B26" s="8">
        <f t="shared" si="4"/>
        <v>30.52</v>
      </c>
      <c r="C26" s="8">
        <f t="shared" si="5"/>
        <v>16.59</v>
      </c>
      <c r="D26" s="8">
        <f t="shared" si="6"/>
        <v>0</v>
      </c>
      <c r="E26" s="8">
        <f t="shared" si="7"/>
        <v>16.59</v>
      </c>
      <c r="G26" t="s">
        <v>10</v>
      </c>
      <c r="H26" s="8">
        <f t="shared" ref="H26:J26" si="20">H12*H$21</f>
        <v>0</v>
      </c>
      <c r="I26" s="8">
        <f t="shared" ref="I26" si="21">I12*I$21</f>
        <v>360.61900000000003</v>
      </c>
      <c r="J26" s="8">
        <f t="shared" si="20"/>
        <v>0</v>
      </c>
      <c r="K26" s="8"/>
      <c r="L26" s="8">
        <f t="shared" si="10"/>
        <v>62.612409859999993</v>
      </c>
      <c r="M26" s="8"/>
      <c r="N26" s="8">
        <f t="shared" si="3"/>
        <v>12.2605</v>
      </c>
      <c r="O26" s="8">
        <f t="shared" si="11"/>
        <v>0</v>
      </c>
      <c r="P26" s="8"/>
      <c r="Q26" s="8">
        <f t="shared" si="12"/>
        <v>30.523499999999999</v>
      </c>
      <c r="R26" s="8"/>
      <c r="S26" s="8">
        <f t="shared" si="13"/>
        <v>4.3295000000000003</v>
      </c>
      <c r="T26" s="8"/>
      <c r="U26" s="8"/>
      <c r="V26" s="8"/>
      <c r="W26" s="8">
        <f t="shared" si="14"/>
        <v>17.7807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6" x14ac:dyDescent="0.3">
      <c r="A27" s="8">
        <f t="shared" si="17"/>
        <v>434.32</v>
      </c>
      <c r="B27" s="8">
        <f t="shared" si="4"/>
        <v>-9.11</v>
      </c>
      <c r="C27" s="8">
        <f t="shared" si="5"/>
        <v>4.92</v>
      </c>
      <c r="D27" s="8">
        <f t="shared" si="6"/>
        <v>0</v>
      </c>
      <c r="E27" s="8">
        <f t="shared" si="7"/>
        <v>4.92</v>
      </c>
      <c r="G27" t="s">
        <v>11</v>
      </c>
      <c r="H27" s="8">
        <f t="shared" ref="H27:J27" si="22">H13*H$21</f>
        <v>0</v>
      </c>
      <c r="I27" s="8">
        <f t="shared" ref="I27" si="23">I13*I$21</f>
        <v>389.94549999999998</v>
      </c>
      <c r="J27" s="8">
        <f t="shared" si="22"/>
        <v>0</v>
      </c>
      <c r="K27" s="8"/>
      <c r="L27" s="8">
        <f t="shared" si="10"/>
        <v>48.555641399999999</v>
      </c>
      <c r="M27" s="8"/>
      <c r="N27" s="8">
        <f t="shared" si="3"/>
        <v>12.2605</v>
      </c>
      <c r="O27" s="8">
        <f t="shared" si="11"/>
        <v>0</v>
      </c>
      <c r="P27" s="8"/>
      <c r="Q27" s="8">
        <f t="shared" si="12"/>
        <v>-9.1070000000000011</v>
      </c>
      <c r="R27" s="8"/>
      <c r="S27" s="8">
        <f t="shared" si="13"/>
        <v>-7.3394999999999992</v>
      </c>
      <c r="T27" s="8"/>
      <c r="U27" s="8"/>
      <c r="V27" s="8"/>
      <c r="W27" s="8">
        <f t="shared" si="14"/>
        <v>23.645999999999997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6" x14ac:dyDescent="0.3">
      <c r="A28" s="8">
        <f t="shared" si="17"/>
        <v>0</v>
      </c>
      <c r="B28" s="8">
        <f t="shared" si="4"/>
        <v>0</v>
      </c>
      <c r="C28" s="8">
        <f t="shared" si="5"/>
        <v>0</v>
      </c>
      <c r="D28" s="8">
        <f t="shared" si="6"/>
        <v>0</v>
      </c>
      <c r="E28" s="8">
        <f t="shared" si="7"/>
        <v>0</v>
      </c>
      <c r="G28" t="s">
        <v>12</v>
      </c>
      <c r="H28" s="8">
        <f t="shared" ref="H28:J28" si="24">H14*H$21</f>
        <v>0</v>
      </c>
      <c r="I28" s="8">
        <f t="shared" ref="I28" si="25">I14*I$21</f>
        <v>0</v>
      </c>
      <c r="J28" s="8">
        <f t="shared" si="24"/>
        <v>0</v>
      </c>
      <c r="K28" s="8"/>
      <c r="L28" s="8">
        <f t="shared" si="10"/>
        <v>0</v>
      </c>
      <c r="M28" s="8"/>
      <c r="N28" s="8">
        <f t="shared" si="3"/>
        <v>0</v>
      </c>
      <c r="O28" s="8">
        <f t="shared" si="11"/>
        <v>0</v>
      </c>
      <c r="P28" s="8"/>
      <c r="Q28" s="8">
        <f t="shared" si="12"/>
        <v>0</v>
      </c>
      <c r="R28" s="8"/>
      <c r="S28" s="8">
        <f t="shared" si="13"/>
        <v>0</v>
      </c>
      <c r="T28" s="8"/>
      <c r="U28" s="8"/>
      <c r="V28" s="8"/>
      <c r="W28" s="8">
        <f t="shared" si="14"/>
        <v>0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</row>
    <row r="29" spans="1:46" x14ac:dyDescent="0.3">
      <c r="A29" s="8">
        <f t="shared" si="17"/>
        <v>0</v>
      </c>
      <c r="B29" s="8">
        <f t="shared" si="4"/>
        <v>0</v>
      </c>
      <c r="C29" s="8">
        <f t="shared" si="5"/>
        <v>0</v>
      </c>
      <c r="D29" s="8">
        <f t="shared" si="6"/>
        <v>0</v>
      </c>
      <c r="E29" s="8">
        <f t="shared" si="7"/>
        <v>0</v>
      </c>
      <c r="G29" t="s">
        <v>13</v>
      </c>
      <c r="H29" s="8">
        <f t="shared" ref="H29:J29" si="26">H15*H$21</f>
        <v>0</v>
      </c>
      <c r="I29" s="8">
        <f t="shared" ref="I29" si="27">I15*I$21</f>
        <v>0</v>
      </c>
      <c r="J29" s="8">
        <f t="shared" si="26"/>
        <v>0</v>
      </c>
      <c r="K29" s="8"/>
      <c r="L29" s="8">
        <f t="shared" si="10"/>
        <v>0</v>
      </c>
      <c r="M29" s="8"/>
      <c r="N29" s="8">
        <f t="shared" si="3"/>
        <v>0</v>
      </c>
      <c r="O29" s="8">
        <f t="shared" si="11"/>
        <v>0</v>
      </c>
      <c r="P29" s="8"/>
      <c r="Q29" s="8">
        <f t="shared" si="12"/>
        <v>0</v>
      </c>
      <c r="R29" s="8"/>
      <c r="S29" s="8">
        <f t="shared" si="13"/>
        <v>0</v>
      </c>
      <c r="T29" s="8"/>
      <c r="U29" s="8"/>
      <c r="V29" s="8"/>
      <c r="W29" s="8">
        <f t="shared" si="14"/>
        <v>0</v>
      </c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1:46" x14ac:dyDescent="0.3">
      <c r="A30" s="8">
        <f t="shared" si="17"/>
        <v>0</v>
      </c>
      <c r="B30" s="8">
        <f t="shared" si="4"/>
        <v>0</v>
      </c>
      <c r="C30" s="8">
        <f t="shared" si="5"/>
        <v>0</v>
      </c>
      <c r="D30" s="8">
        <f t="shared" si="6"/>
        <v>0</v>
      </c>
      <c r="E30" s="8">
        <f t="shared" si="7"/>
        <v>0</v>
      </c>
      <c r="G30" t="s">
        <v>14</v>
      </c>
      <c r="H30" s="8">
        <f t="shared" ref="H30:J30" si="28">H16*H$21</f>
        <v>0</v>
      </c>
      <c r="I30" s="8">
        <f t="shared" ref="I30" si="29">I16*I$21</f>
        <v>0</v>
      </c>
      <c r="J30" s="8">
        <f t="shared" si="28"/>
        <v>0</v>
      </c>
      <c r="K30" s="8"/>
      <c r="L30" s="8">
        <f t="shared" si="10"/>
        <v>0</v>
      </c>
      <c r="M30" s="8"/>
      <c r="N30" s="8">
        <f t="shared" si="3"/>
        <v>0</v>
      </c>
      <c r="O30" s="8">
        <f t="shared" si="11"/>
        <v>0</v>
      </c>
      <c r="P30" s="8"/>
      <c r="Q30" s="8">
        <f t="shared" si="12"/>
        <v>0</v>
      </c>
      <c r="R30" s="8"/>
      <c r="S30" s="8">
        <f t="shared" si="13"/>
        <v>0</v>
      </c>
      <c r="T30" s="8"/>
      <c r="U30" s="8"/>
      <c r="V30" s="8"/>
      <c r="W30" s="8">
        <f t="shared" si="14"/>
        <v>0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</row>
    <row r="31" spans="1:46" x14ac:dyDescent="0.3">
      <c r="A31" s="8">
        <f t="shared" si="17"/>
        <v>0</v>
      </c>
      <c r="B31" s="8">
        <f t="shared" si="4"/>
        <v>0</v>
      </c>
      <c r="C31" s="8">
        <f t="shared" si="5"/>
        <v>0</v>
      </c>
      <c r="D31" s="8">
        <f t="shared" si="6"/>
        <v>0</v>
      </c>
      <c r="E31" s="8">
        <f t="shared" si="7"/>
        <v>0</v>
      </c>
      <c r="G31" t="s">
        <v>15</v>
      </c>
      <c r="H31" s="8">
        <f t="shared" ref="H31:J31" si="30">H17*H$21</f>
        <v>0</v>
      </c>
      <c r="I31" s="8">
        <f t="shared" ref="I31" si="31">I17*I$21</f>
        <v>0</v>
      </c>
      <c r="J31" s="8">
        <f t="shared" si="30"/>
        <v>0</v>
      </c>
      <c r="K31" s="8"/>
      <c r="L31" s="8">
        <f t="shared" si="10"/>
        <v>0</v>
      </c>
      <c r="M31" s="8"/>
      <c r="N31" s="8">
        <f t="shared" si="3"/>
        <v>0</v>
      </c>
      <c r="O31" s="8">
        <f t="shared" si="11"/>
        <v>0</v>
      </c>
      <c r="P31" s="8"/>
      <c r="Q31" s="8">
        <f t="shared" si="12"/>
        <v>0</v>
      </c>
      <c r="R31" s="8"/>
      <c r="S31" s="8">
        <f t="shared" si="13"/>
        <v>0</v>
      </c>
      <c r="T31" s="8"/>
      <c r="U31" s="8"/>
      <c r="V31" s="8"/>
      <c r="W31" s="8">
        <f t="shared" si="14"/>
        <v>0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</row>
    <row r="32" spans="1:46" x14ac:dyDescent="0.3">
      <c r="A32" s="8">
        <f t="shared" si="17"/>
        <v>0</v>
      </c>
      <c r="B32" s="8">
        <f t="shared" si="4"/>
        <v>0</v>
      </c>
      <c r="C32" s="8">
        <f t="shared" si="5"/>
        <v>0</v>
      </c>
      <c r="D32" s="8">
        <f t="shared" si="6"/>
        <v>0</v>
      </c>
      <c r="E32" s="8">
        <f t="shared" si="7"/>
        <v>0</v>
      </c>
      <c r="G32" t="s">
        <v>16</v>
      </c>
      <c r="H32" s="8">
        <f t="shared" ref="H32:J32" si="32">H18*H$21</f>
        <v>0</v>
      </c>
      <c r="I32" s="8">
        <f t="shared" ref="I32" si="33">I18*I$21</f>
        <v>0</v>
      </c>
      <c r="J32" s="8">
        <f t="shared" si="32"/>
        <v>0</v>
      </c>
      <c r="K32" s="8"/>
      <c r="L32" s="8">
        <f t="shared" si="10"/>
        <v>0</v>
      </c>
      <c r="M32" s="8"/>
      <c r="N32" s="8">
        <f t="shared" si="3"/>
        <v>0</v>
      </c>
      <c r="O32" s="8">
        <f t="shared" si="11"/>
        <v>0</v>
      </c>
      <c r="P32" s="8"/>
      <c r="Q32" s="8">
        <f t="shared" si="12"/>
        <v>0</v>
      </c>
      <c r="R32" s="8"/>
      <c r="S32" s="8">
        <f t="shared" si="13"/>
        <v>0</v>
      </c>
      <c r="T32" s="8"/>
      <c r="U32" s="8"/>
      <c r="V32" s="8"/>
      <c r="W32" s="8">
        <f t="shared" si="14"/>
        <v>0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</row>
    <row r="33" spans="1:46" x14ac:dyDescent="0.3">
      <c r="A33" s="8">
        <f t="shared" si="17"/>
        <v>0</v>
      </c>
      <c r="B33" s="8">
        <f t="shared" si="4"/>
        <v>0</v>
      </c>
      <c r="C33" s="8">
        <f t="shared" si="5"/>
        <v>0</v>
      </c>
      <c r="D33" s="8">
        <f t="shared" si="6"/>
        <v>0</v>
      </c>
      <c r="E33" s="8">
        <f t="shared" si="7"/>
        <v>0</v>
      </c>
      <c r="G33" t="s">
        <v>17</v>
      </c>
      <c r="H33" s="8">
        <f t="shared" ref="H33:J33" si="34">H19*H$21</f>
        <v>0</v>
      </c>
      <c r="I33" s="8">
        <f t="shared" ref="I33" si="35">I19*I$21</f>
        <v>0</v>
      </c>
      <c r="J33" s="8">
        <f t="shared" si="34"/>
        <v>0</v>
      </c>
      <c r="K33" s="8"/>
      <c r="L33" s="8">
        <f t="shared" si="10"/>
        <v>0</v>
      </c>
      <c r="M33" s="8"/>
      <c r="N33" s="8">
        <f t="shared" si="3"/>
        <v>0</v>
      </c>
      <c r="O33" s="8">
        <f t="shared" si="11"/>
        <v>0</v>
      </c>
      <c r="P33" s="8"/>
      <c r="Q33" s="8">
        <f t="shared" si="12"/>
        <v>0</v>
      </c>
      <c r="R33" s="8"/>
      <c r="S33" s="8">
        <f t="shared" si="13"/>
        <v>0</v>
      </c>
      <c r="T33" s="8"/>
      <c r="U33" s="8"/>
      <c r="V33" s="8"/>
      <c r="W33" s="8">
        <f t="shared" si="14"/>
        <v>0</v>
      </c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</row>
    <row r="35" spans="1:46" x14ac:dyDescent="0.3">
      <c r="A35" s="38"/>
      <c r="D35" s="38"/>
      <c r="H35" s="68"/>
      <c r="I35" s="68"/>
    </row>
    <row r="36" spans="1:46" x14ac:dyDescent="0.3">
      <c r="H36" s="1"/>
      <c r="I36" s="1"/>
    </row>
    <row r="37" spans="1:46" x14ac:dyDescent="0.3">
      <c r="H37" s="7"/>
      <c r="I37" s="7"/>
    </row>
    <row r="38" spans="1:46" x14ac:dyDescent="0.3">
      <c r="H38" s="2"/>
      <c r="I38" s="2"/>
    </row>
    <row r="40" spans="1:46" x14ac:dyDescent="0.3">
      <c r="H40" s="3"/>
      <c r="I40" s="3"/>
    </row>
    <row r="41" spans="1:46" x14ac:dyDescent="0.3">
      <c r="H41" s="3"/>
      <c r="I41" s="3"/>
    </row>
    <row r="42" spans="1:46" x14ac:dyDescent="0.3">
      <c r="H42" s="3"/>
      <c r="I42" s="3"/>
    </row>
    <row r="43" spans="1:46" x14ac:dyDescent="0.3">
      <c r="H43" s="3"/>
      <c r="I43" s="3"/>
    </row>
    <row r="44" spans="1:46" x14ac:dyDescent="0.3">
      <c r="A44" s="33" t="s">
        <v>161</v>
      </c>
      <c r="I44" s="4"/>
    </row>
    <row r="45" spans="1:46" x14ac:dyDescent="0.3">
      <c r="A45" s="38">
        <f>SUM(H27:J27)+SUM(N27:T27)-Q27-W27</f>
        <v>371.22050000000002</v>
      </c>
      <c r="I45" s="4"/>
    </row>
    <row r="46" spans="1:46" x14ac:dyDescent="0.3">
      <c r="A46" s="51">
        <v>2025</v>
      </c>
      <c r="B46" s="51">
        <v>2026</v>
      </c>
      <c r="C46" s="51">
        <v>2027</v>
      </c>
      <c r="D46" s="51">
        <v>2028</v>
      </c>
      <c r="E46" s="51">
        <v>2029</v>
      </c>
      <c r="I46" s="4"/>
    </row>
    <row r="47" spans="1:46" x14ac:dyDescent="0.3">
      <c r="A47" s="66">
        <f>DS!A45</f>
        <v>1.7676000000000001E-2</v>
      </c>
      <c r="B47" s="66">
        <f>DS!B45</f>
        <v>4.8447999999999998E-2</v>
      </c>
      <c r="C47" s="66">
        <f>DS!C45</f>
        <v>3.6317000000000002E-2</v>
      </c>
      <c r="D47" s="66">
        <f>DS!D45</f>
        <v>3.0025E-2</v>
      </c>
      <c r="E47" s="66">
        <f>DS!E45</f>
        <v>3.1049E-2</v>
      </c>
      <c r="F47" s="53" t="s">
        <v>162</v>
      </c>
      <c r="I47" s="4"/>
    </row>
    <row r="48" spans="1:46" x14ac:dyDescent="0.3">
      <c r="A48" s="54">
        <f>ROUND(A47*$A$45,2)</f>
        <v>6.56</v>
      </c>
      <c r="B48" s="54">
        <f>ROUND(B47*$A$45,2)</f>
        <v>17.98</v>
      </c>
      <c r="C48" s="54">
        <f>ROUND(C47*$A$45,2)</f>
        <v>13.48</v>
      </c>
      <c r="D48" s="54">
        <f>ROUND(D47*$A$45,2)</f>
        <v>11.15</v>
      </c>
      <c r="E48" s="54">
        <f>ROUND(E47*$A$45,2)</f>
        <v>11.53</v>
      </c>
      <c r="F48" s="53" t="s">
        <v>155</v>
      </c>
      <c r="I48" s="4"/>
    </row>
    <row r="49" spans="1:9" x14ac:dyDescent="0.3">
      <c r="A49" s="55">
        <f>(($A$27+A48)/$A$27)-1</f>
        <v>1.5104070731257968E-2</v>
      </c>
      <c r="B49" s="55">
        <f t="shared" ref="B49:E49" si="36">(($A$27+B48)/$A$27)-1</f>
        <v>4.1398047522564152E-2</v>
      </c>
      <c r="C49" s="55">
        <f t="shared" si="36"/>
        <v>3.1037023392890051E-2</v>
      </c>
      <c r="D49" s="55">
        <f t="shared" si="36"/>
        <v>2.5672315343525431E-2</v>
      </c>
      <c r="E49" s="55">
        <f t="shared" si="36"/>
        <v>2.6547246270031355E-2</v>
      </c>
      <c r="F49" s="53" t="s">
        <v>163</v>
      </c>
      <c r="I49" s="4"/>
    </row>
    <row r="50" spans="1:9" x14ac:dyDescent="0.3">
      <c r="I50" s="4"/>
    </row>
    <row r="51" spans="1:9" x14ac:dyDescent="0.3">
      <c r="A51" s="38">
        <f>$A$27+A48</f>
        <v>440.88</v>
      </c>
      <c r="B51" s="38">
        <f t="shared" ref="B51:E51" si="37">$A$27+B48</f>
        <v>452.3</v>
      </c>
      <c r="C51" s="38">
        <f t="shared" si="37"/>
        <v>447.8</v>
      </c>
      <c r="D51" s="38">
        <f t="shared" si="37"/>
        <v>445.46999999999997</v>
      </c>
      <c r="E51" s="38">
        <f t="shared" si="37"/>
        <v>445.84999999999997</v>
      </c>
      <c r="I51" s="4"/>
    </row>
    <row r="53" spans="1:9" x14ac:dyDescent="0.3">
      <c r="H53" s="9"/>
      <c r="I53" s="9"/>
    </row>
    <row r="54" spans="1:9" x14ac:dyDescent="0.3">
      <c r="H54" s="8"/>
      <c r="I54" s="8"/>
    </row>
    <row r="55" spans="1:9" x14ac:dyDescent="0.3">
      <c r="H55" s="8"/>
      <c r="I55" s="8"/>
    </row>
    <row r="56" spans="1:9" x14ac:dyDescent="0.3">
      <c r="H56" s="8"/>
      <c r="I56" s="8"/>
    </row>
    <row r="57" spans="1:9" x14ac:dyDescent="0.3">
      <c r="H57" s="8"/>
      <c r="I57" s="8"/>
    </row>
    <row r="58" spans="1:9" x14ac:dyDescent="0.3">
      <c r="H58" s="8"/>
      <c r="I58" s="8"/>
    </row>
    <row r="59" spans="1:9" x14ac:dyDescent="0.3">
      <c r="H59" s="8"/>
      <c r="I59" s="8"/>
    </row>
    <row r="60" spans="1:9" x14ac:dyDescent="0.3">
      <c r="H60" s="8"/>
      <c r="I60" s="8"/>
    </row>
    <row r="61" spans="1:9" x14ac:dyDescent="0.3">
      <c r="H61" s="8"/>
      <c r="I61" s="8"/>
    </row>
    <row r="62" spans="1:9" x14ac:dyDescent="0.3">
      <c r="H62" s="8"/>
      <c r="I62" s="8"/>
    </row>
    <row r="63" spans="1:9" x14ac:dyDescent="0.3">
      <c r="H63" s="8"/>
      <c r="I63" s="8"/>
    </row>
    <row r="64" spans="1:9" x14ac:dyDescent="0.3">
      <c r="H64" s="8"/>
      <c r="I64" s="8"/>
    </row>
    <row r="65" spans="8:9" x14ac:dyDescent="0.3">
      <c r="H65" s="8"/>
      <c r="I65" s="8"/>
    </row>
  </sheetData>
  <mergeCells count="17">
    <mergeCell ref="AS4:AT4"/>
    <mergeCell ref="H35:I35"/>
    <mergeCell ref="H3:J3"/>
    <mergeCell ref="Y3:AA3"/>
    <mergeCell ref="AC3:AD3"/>
    <mergeCell ref="AF3:AG3"/>
    <mergeCell ref="AQ3:AT3"/>
    <mergeCell ref="Y4:AA4"/>
    <mergeCell ref="AC4:AD4"/>
    <mergeCell ref="AF4:AG4"/>
    <mergeCell ref="AQ4:AR4"/>
    <mergeCell ref="AQ2:AT2"/>
    <mergeCell ref="H2:J2"/>
    <mergeCell ref="N2:O2"/>
    <mergeCell ref="Y2:AA2"/>
    <mergeCell ref="AC2:AD2"/>
    <mergeCell ref="AF2:AG2"/>
  </mergeCells>
  <pageMargins left="0.2" right="0.2" top="1.5" bottom="0.75" header="1" footer="0.3"/>
  <pageSetup scale="26" orientation="landscape" r:id="rId1"/>
  <headerFooter>
    <oddHeader>&amp;R&amp;"Times New Roman,Bold"&amp;10KyPSC Case No. 2024-00152
SIERRA-DR-01-050 Attachment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W50"/>
  <sheetViews>
    <sheetView view="pageLayout" zoomScaleNormal="75" workbookViewId="0">
      <selection activeCell="Z12" sqref="Z12"/>
    </sheetView>
  </sheetViews>
  <sheetFormatPr defaultRowHeight="14.4" x14ac:dyDescent="0.3"/>
  <cols>
    <col min="1" max="1" width="11.5546875" customWidth="1"/>
    <col min="2" max="2" width="15.21875" customWidth="1"/>
    <col min="3" max="3" width="12.21875" customWidth="1"/>
    <col min="4" max="5" width="11.5546875" customWidth="1"/>
    <col min="6" max="6" width="2.77734375" customWidth="1"/>
    <col min="7" max="7" width="9.21875"/>
    <col min="8" max="9" width="12.44140625" customWidth="1"/>
    <col min="10" max="10" width="2.5546875" customWidth="1"/>
    <col min="11" max="11" width="18.5546875" bestFit="1" customWidth="1"/>
    <col min="12" max="12" width="2.5546875" customWidth="1"/>
    <col min="13" max="13" width="18.44140625" customWidth="1"/>
    <col min="14" max="14" width="10" customWidth="1"/>
    <col min="15" max="15" width="2.77734375" customWidth="1"/>
    <col min="16" max="16" width="20" customWidth="1"/>
    <col min="17" max="17" width="2.77734375" customWidth="1"/>
    <col min="18" max="18" width="20.5546875" customWidth="1"/>
    <col min="19" max="19" width="2.5546875" customWidth="1"/>
    <col min="20" max="20" width="15.5546875" bestFit="1" customWidth="1"/>
    <col min="21" max="21" width="2.77734375" customWidth="1"/>
    <col min="22" max="22" width="24.88671875" bestFit="1" customWidth="1"/>
    <col min="23" max="23" width="2.77734375" customWidth="1"/>
    <col min="24" max="24" width="14.44140625" bestFit="1" customWidth="1"/>
    <col min="25" max="25" width="2.77734375" customWidth="1"/>
    <col min="26" max="26" width="12.21875" customWidth="1"/>
    <col min="27" max="27" width="19.21875" customWidth="1"/>
    <col min="28" max="28" width="12.44140625" customWidth="1"/>
    <col min="29" max="29" width="2.77734375" customWidth="1"/>
    <col min="30" max="30" width="12.21875" bestFit="1" customWidth="1"/>
    <col min="31" max="33" width="12.21875" customWidth="1"/>
    <col min="34" max="34" width="2.77734375" customWidth="1"/>
    <col min="35" max="35" width="15.21875" bestFit="1" customWidth="1"/>
    <col min="36" max="36" width="14.44140625" customWidth="1"/>
    <col min="37" max="37" width="2.77734375" customWidth="1"/>
    <col min="38" max="38" width="15.5546875" bestFit="1" customWidth="1"/>
    <col min="39" max="39" width="2.77734375" customWidth="1"/>
    <col min="40" max="40" width="15.5546875" bestFit="1" customWidth="1"/>
    <col min="41" max="41" width="2.77734375" customWidth="1"/>
    <col min="42" max="42" width="15.5546875" bestFit="1" customWidth="1"/>
    <col min="43" max="43" width="2.77734375" customWidth="1"/>
    <col min="44" max="44" width="13.44140625" bestFit="1" customWidth="1"/>
    <col min="45" max="45" width="2.77734375" customWidth="1"/>
    <col min="46" max="46" width="12.21875" bestFit="1" customWidth="1"/>
    <col min="47" max="47" width="11.44140625" bestFit="1" customWidth="1"/>
    <col min="48" max="48" width="12.21875" bestFit="1" customWidth="1"/>
    <col min="49" max="49" width="11.44140625" bestFit="1" customWidth="1"/>
  </cols>
  <sheetData>
    <row r="1" spans="1:49" x14ac:dyDescent="0.3">
      <c r="A1" t="s">
        <v>27</v>
      </c>
      <c r="C1" s="33"/>
      <c r="D1" s="33"/>
      <c r="E1" s="33"/>
      <c r="F1" s="33"/>
    </row>
    <row r="2" spans="1:49" x14ac:dyDescent="0.3">
      <c r="B2" s="33"/>
      <c r="C2" s="33"/>
      <c r="D2" s="33"/>
      <c r="E2" s="33"/>
      <c r="F2" s="33"/>
      <c r="H2" s="68" t="s">
        <v>62</v>
      </c>
      <c r="I2" s="68"/>
      <c r="K2" s="1" t="s">
        <v>74</v>
      </c>
      <c r="M2" s="68" t="s">
        <v>32</v>
      </c>
      <c r="N2" s="68"/>
      <c r="O2" s="1"/>
      <c r="P2" s="1" t="s">
        <v>40</v>
      </c>
      <c r="R2" s="1" t="s">
        <v>41</v>
      </c>
      <c r="S2" s="1"/>
      <c r="T2" s="1"/>
      <c r="U2" s="1"/>
      <c r="V2" s="1"/>
      <c r="W2" s="1"/>
      <c r="X2" s="1"/>
      <c r="Z2" s="68"/>
      <c r="AA2" s="68"/>
      <c r="AB2" s="68"/>
      <c r="AD2" s="68"/>
      <c r="AE2" s="68"/>
      <c r="AF2" s="68"/>
      <c r="AG2" s="68"/>
      <c r="AI2" s="68"/>
      <c r="AJ2" s="68"/>
      <c r="AL2" s="1"/>
      <c r="AM2" s="1"/>
      <c r="AN2" s="1"/>
      <c r="AO2" s="1"/>
      <c r="AP2" s="1"/>
      <c r="AQ2" s="1"/>
      <c r="AR2" s="1"/>
      <c r="AT2" s="68"/>
      <c r="AU2" s="68"/>
      <c r="AV2" s="68"/>
      <c r="AW2" s="68"/>
    </row>
    <row r="3" spans="1:49" x14ac:dyDescent="0.3">
      <c r="H3" s="68"/>
      <c r="I3" s="68"/>
      <c r="K3" s="1" t="s">
        <v>76</v>
      </c>
      <c r="M3" s="1" t="s">
        <v>29</v>
      </c>
      <c r="N3" s="1" t="s">
        <v>33</v>
      </c>
      <c r="O3" s="1"/>
      <c r="P3" s="1" t="s">
        <v>30</v>
      </c>
      <c r="R3" s="1" t="s">
        <v>31</v>
      </c>
      <c r="S3" s="1"/>
      <c r="T3" s="1"/>
      <c r="U3" s="1"/>
      <c r="V3" s="1" t="s">
        <v>104</v>
      </c>
      <c r="W3" s="1"/>
      <c r="X3" s="1"/>
      <c r="Z3" s="68"/>
      <c r="AA3" s="68"/>
      <c r="AB3" s="68"/>
      <c r="AD3" s="68"/>
      <c r="AE3" s="68"/>
      <c r="AF3" s="68"/>
      <c r="AG3" s="68"/>
      <c r="AI3" s="68"/>
      <c r="AJ3" s="68"/>
      <c r="AL3" s="1"/>
      <c r="AM3" s="1"/>
      <c r="AN3" s="1"/>
      <c r="AO3" s="1"/>
      <c r="AP3" s="1"/>
      <c r="AQ3" s="1"/>
      <c r="AR3" s="1"/>
      <c r="AT3" s="68"/>
      <c r="AU3" s="68"/>
      <c r="AV3" s="68"/>
      <c r="AW3" s="68"/>
    </row>
    <row r="4" spans="1:49" x14ac:dyDescent="0.3">
      <c r="H4" s="1" t="s">
        <v>0</v>
      </c>
      <c r="I4" s="1" t="s">
        <v>4</v>
      </c>
      <c r="K4" s="1" t="s">
        <v>77</v>
      </c>
      <c r="M4" s="1" t="s">
        <v>4</v>
      </c>
      <c r="N4" s="1" t="s">
        <v>0</v>
      </c>
      <c r="P4" s="1" t="s">
        <v>4</v>
      </c>
      <c r="Q4" s="1"/>
      <c r="R4" s="1" t="s">
        <v>4</v>
      </c>
      <c r="T4" s="1"/>
      <c r="V4" s="1" t="s">
        <v>105</v>
      </c>
      <c r="X4" s="1"/>
      <c r="Y4" s="1"/>
      <c r="Z4" s="1"/>
      <c r="AA4" s="1"/>
      <c r="AB4" s="1"/>
      <c r="AC4" s="1"/>
      <c r="AD4" s="68"/>
      <c r="AE4" s="68"/>
      <c r="AF4" s="68"/>
      <c r="AG4" s="69"/>
      <c r="AH4" s="1"/>
      <c r="AI4" s="1"/>
      <c r="AJ4" s="1"/>
      <c r="AK4" s="1"/>
      <c r="AL4" s="1"/>
      <c r="AN4" s="1"/>
      <c r="AP4" s="1"/>
      <c r="AR4" s="1"/>
      <c r="AS4" s="1"/>
      <c r="AT4" s="68"/>
      <c r="AU4" s="68"/>
      <c r="AV4" s="68"/>
      <c r="AW4" s="69"/>
    </row>
    <row r="5" spans="1:49" x14ac:dyDescent="0.3">
      <c r="K5" s="1"/>
      <c r="M5" s="1"/>
      <c r="N5" s="1"/>
      <c r="O5" s="1"/>
      <c r="Q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S5" s="1"/>
      <c r="AT5" s="1"/>
      <c r="AU5" s="1"/>
      <c r="AV5" s="1"/>
      <c r="AW5" s="1"/>
    </row>
    <row r="6" spans="1:49" ht="15.6" x14ac:dyDescent="0.3">
      <c r="H6" s="1" t="s">
        <v>2</v>
      </c>
      <c r="I6" s="2" t="s">
        <v>3</v>
      </c>
      <c r="K6" s="34" t="s">
        <v>75</v>
      </c>
      <c r="M6" s="2" t="s">
        <v>3</v>
      </c>
      <c r="N6" s="1" t="s">
        <v>2</v>
      </c>
      <c r="O6" s="2"/>
      <c r="P6" s="2" t="s">
        <v>3</v>
      </c>
      <c r="Q6" s="2"/>
      <c r="R6" s="2" t="s">
        <v>3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3">
      <c r="G7" s="33" t="s">
        <v>5</v>
      </c>
    </row>
    <row r="8" spans="1:49" x14ac:dyDescent="0.3">
      <c r="G8" t="s">
        <v>1</v>
      </c>
      <c r="H8" s="4">
        <v>15</v>
      </c>
      <c r="I8" s="3">
        <v>0.12376</v>
      </c>
      <c r="K8" s="35">
        <f>DS!P8</f>
        <v>0.1905</v>
      </c>
      <c r="M8">
        <f>DS!R8</f>
        <v>3.503E-3</v>
      </c>
      <c r="N8" s="4">
        <f>DS!S8</f>
        <v>0</v>
      </c>
      <c r="P8" s="3">
        <f>RS!$P8</f>
        <v>1.457E-2</v>
      </c>
      <c r="R8" s="3">
        <f>RS!R8</f>
        <v>-3.7000000000000002E-3</v>
      </c>
      <c r="V8" s="3">
        <f>+DS!$AA8</f>
        <v>2.5401E-2</v>
      </c>
      <c r="W8" s="3"/>
      <c r="X8" s="4"/>
      <c r="Y8" s="3"/>
      <c r="Z8" s="5"/>
      <c r="AA8" s="5"/>
      <c r="AB8" s="5"/>
      <c r="AC8" s="3"/>
      <c r="AD8" s="5"/>
      <c r="AE8" s="5"/>
      <c r="AF8" s="5"/>
      <c r="AG8" s="5"/>
      <c r="AH8" s="3"/>
      <c r="AI8" s="6"/>
      <c r="AJ8" s="6"/>
      <c r="AK8" s="3"/>
      <c r="AM8" s="3"/>
      <c r="AQ8" s="3"/>
      <c r="AS8" s="3"/>
      <c r="AT8" s="3"/>
      <c r="AU8" s="3"/>
      <c r="AV8" s="3"/>
      <c r="AW8" s="3"/>
    </row>
    <row r="9" spans="1:49" x14ac:dyDescent="0.3">
      <c r="G9" t="s">
        <v>7</v>
      </c>
      <c r="H9" s="4">
        <v>15</v>
      </c>
      <c r="I9" s="3">
        <v>0.12376</v>
      </c>
      <c r="K9" s="35">
        <f>DS!P9</f>
        <v>0.23200000000000001</v>
      </c>
      <c r="M9">
        <f>DS!R9</f>
        <v>3.503E-3</v>
      </c>
      <c r="N9" s="4">
        <f>DS!S9</f>
        <v>0</v>
      </c>
      <c r="P9" s="3">
        <f>RS!$P9</f>
        <v>5.4949999999999999E-3</v>
      </c>
      <c r="R9" s="3">
        <f>RS!R9</f>
        <v>-3.7000000000000002E-3</v>
      </c>
      <c r="V9" s="3">
        <f>+DS!$AA9</f>
        <v>2.5401E-2</v>
      </c>
    </row>
    <row r="10" spans="1:49" x14ac:dyDescent="0.3">
      <c r="G10" t="s">
        <v>8</v>
      </c>
      <c r="H10" s="4">
        <v>15</v>
      </c>
      <c r="I10" s="3">
        <v>0.12376</v>
      </c>
      <c r="K10" s="35">
        <f>DS!P10</f>
        <v>7.1599999999999997E-2</v>
      </c>
      <c r="M10">
        <f>DS!R10</f>
        <v>3.503E-3</v>
      </c>
      <c r="N10" s="4">
        <f>DS!S10</f>
        <v>0</v>
      </c>
      <c r="P10" s="3">
        <f>RS!$P10</f>
        <v>9.3720000000000001E-3</v>
      </c>
      <c r="R10" s="3">
        <f>RS!R10</f>
        <v>-1.237E-3</v>
      </c>
      <c r="V10" s="3">
        <f>+DS!$AA10</f>
        <v>2.5401E-2</v>
      </c>
    </row>
    <row r="11" spans="1:49" x14ac:dyDescent="0.3">
      <c r="G11" t="s">
        <v>9</v>
      </c>
      <c r="H11" s="4">
        <v>15</v>
      </c>
      <c r="I11" s="3">
        <v>0.12376</v>
      </c>
      <c r="K11" s="35">
        <f>DS!P11</f>
        <v>0.152</v>
      </c>
      <c r="M11">
        <f>DS!R11</f>
        <v>3.503E-3</v>
      </c>
      <c r="N11" s="4">
        <f>DS!S11</f>
        <v>0</v>
      </c>
      <c r="P11" s="3">
        <f>RS!$P11</f>
        <v>3.4910000000000002E-3</v>
      </c>
      <c r="R11" s="3">
        <f>RS!R11</f>
        <v>-1.237E-3</v>
      </c>
      <c r="V11" s="3">
        <f>+DS!$AA11</f>
        <v>2.5401E-2</v>
      </c>
    </row>
    <row r="12" spans="1:49" x14ac:dyDescent="0.3">
      <c r="G12" t="s">
        <v>10</v>
      </c>
      <c r="H12" s="4">
        <v>15</v>
      </c>
      <c r="I12" s="3">
        <v>0.12376</v>
      </c>
      <c r="K12" s="35">
        <f>DS!P12</f>
        <v>0.17419999999999999</v>
      </c>
      <c r="M12">
        <f>DS!R12</f>
        <v>3.503E-3</v>
      </c>
      <c r="N12" s="4">
        <f>DS!S12</f>
        <v>0</v>
      </c>
      <c r="P12" s="3">
        <f>RS!$P12</f>
        <v>8.7209999999999996E-3</v>
      </c>
      <c r="R12" s="3">
        <f>RS!R12</f>
        <v>-1.237E-3</v>
      </c>
      <c r="V12" s="3">
        <f>+DS!$AA12</f>
        <v>2.5401E-2</v>
      </c>
    </row>
    <row r="13" spans="1:49" x14ac:dyDescent="0.3">
      <c r="G13" t="s">
        <v>11</v>
      </c>
      <c r="H13" s="4">
        <v>15</v>
      </c>
      <c r="I13" s="3">
        <v>0.13213900000000001</v>
      </c>
      <c r="K13" s="35">
        <f>DS!P13</f>
        <v>0.1308</v>
      </c>
      <c r="M13">
        <f>DS!R13</f>
        <v>3.503E-3</v>
      </c>
      <c r="N13" s="4">
        <f>DS!S13</f>
        <v>0</v>
      </c>
      <c r="P13" s="3">
        <f>RS!$P13</f>
        <v>-2.6020000000000001E-3</v>
      </c>
      <c r="R13" s="3">
        <f>RS!R13</f>
        <v>2.0969999999999999E-3</v>
      </c>
      <c r="V13" s="3">
        <f>+DS!$AA13</f>
        <v>3.3779999999999998E-2</v>
      </c>
    </row>
    <row r="14" spans="1:49" x14ac:dyDescent="0.3">
      <c r="G14" t="s">
        <v>12</v>
      </c>
      <c r="H14" s="4"/>
      <c r="I14" s="3"/>
      <c r="K14" s="35"/>
      <c r="N14" s="4"/>
      <c r="P14" s="3"/>
      <c r="R14" s="3"/>
      <c r="V14" s="3"/>
    </row>
    <row r="15" spans="1:49" x14ac:dyDescent="0.3">
      <c r="G15" t="s">
        <v>13</v>
      </c>
      <c r="H15" s="4"/>
      <c r="I15" s="3"/>
      <c r="K15" s="35"/>
      <c r="N15" s="4"/>
      <c r="P15" s="3"/>
      <c r="R15" s="3"/>
      <c r="V15" s="3"/>
    </row>
    <row r="16" spans="1:49" x14ac:dyDescent="0.3">
      <c r="G16" t="s">
        <v>14</v>
      </c>
      <c r="H16" s="4"/>
      <c r="I16" s="3"/>
      <c r="K16" s="35"/>
      <c r="N16" s="4"/>
      <c r="P16" s="3"/>
      <c r="R16" s="3"/>
      <c r="V16" s="3"/>
    </row>
    <row r="17" spans="1:49" x14ac:dyDescent="0.3">
      <c r="G17" t="s">
        <v>15</v>
      </c>
      <c r="H17" s="4"/>
      <c r="I17" s="3"/>
      <c r="K17" s="35"/>
      <c r="N17" s="4"/>
      <c r="P17" s="3"/>
      <c r="R17" s="3"/>
      <c r="V17" s="3"/>
    </row>
    <row r="18" spans="1:49" x14ac:dyDescent="0.3">
      <c r="G18" t="s">
        <v>16</v>
      </c>
      <c r="H18" s="4"/>
      <c r="I18" s="3"/>
      <c r="K18" s="35"/>
      <c r="N18" s="4"/>
      <c r="P18" s="3"/>
      <c r="R18" s="3"/>
      <c r="V18" s="3"/>
    </row>
    <row r="19" spans="1:49" x14ac:dyDescent="0.3">
      <c r="A19" s="33" t="s">
        <v>18</v>
      </c>
      <c r="G19" t="s">
        <v>17</v>
      </c>
      <c r="H19" s="4"/>
      <c r="I19" s="3"/>
      <c r="K19" s="35"/>
      <c r="N19" s="4"/>
      <c r="P19" s="3"/>
      <c r="R19" s="3"/>
      <c r="V19" s="3"/>
    </row>
    <row r="20" spans="1:49" x14ac:dyDescent="0.3">
      <c r="A20" s="33">
        <v>500</v>
      </c>
      <c r="B20" s="1" t="s">
        <v>20</v>
      </c>
      <c r="C20" s="1"/>
      <c r="D20" s="1" t="s">
        <v>0</v>
      </c>
      <c r="E20" s="1" t="s">
        <v>4</v>
      </c>
    </row>
    <row r="21" spans="1:49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33" t="s">
        <v>6</v>
      </c>
      <c r="H21" s="36"/>
      <c r="I21" s="37">
        <f>$A$20</f>
        <v>500</v>
      </c>
      <c r="J21" s="9"/>
      <c r="K21" s="9"/>
      <c r="L21" s="9"/>
      <c r="M21" s="37">
        <f>$A$20</f>
        <v>500</v>
      </c>
      <c r="N21" s="37"/>
      <c r="O21" s="37"/>
      <c r="P21" s="9">
        <f>$A$20</f>
        <v>500</v>
      </c>
      <c r="Q21" s="9"/>
      <c r="R21" s="9">
        <f>$A$20</f>
        <v>500</v>
      </c>
      <c r="V21" s="49">
        <f>+A20</f>
        <v>500</v>
      </c>
      <c r="Z21" s="2"/>
      <c r="AA21" s="2"/>
      <c r="AB21" s="2"/>
      <c r="AD21" s="2"/>
      <c r="AE21" s="2"/>
      <c r="AF21" s="2"/>
      <c r="AG21" s="2"/>
      <c r="AI21" s="2"/>
      <c r="AJ21" s="2"/>
      <c r="AT21" s="2"/>
      <c r="AU21" s="2"/>
      <c r="AV21" s="2"/>
      <c r="AW21" s="2"/>
    </row>
    <row r="22" spans="1:49" x14ac:dyDescent="0.3">
      <c r="A22" s="8">
        <f>ROUND(SUM(H22:R22),2)</f>
        <v>100.68</v>
      </c>
      <c r="B22" s="8">
        <f>ROUND(P22,2)</f>
        <v>7.29</v>
      </c>
      <c r="C22" s="8">
        <f>ROUND(H22+I22,2)</f>
        <v>76.88</v>
      </c>
      <c r="D22" s="8">
        <f>ROUND(H22+N22,2)</f>
        <v>15</v>
      </c>
      <c r="E22" s="8">
        <f>ROUND(I22+M22+R22,2)</f>
        <v>65.48</v>
      </c>
      <c r="F22" s="4"/>
      <c r="G22" t="s">
        <v>1</v>
      </c>
      <c r="H22" s="8">
        <f>H8</f>
        <v>15</v>
      </c>
      <c r="I22" s="8">
        <f t="shared" ref="I22:I33" si="0">I8*I$21</f>
        <v>61.879999999999995</v>
      </c>
      <c r="J22" s="8"/>
      <c r="K22" s="8">
        <f>(SUM(H22:I22)+SUM(M22:R22)-P22-V22)*K8</f>
        <v>12.912280499999998</v>
      </c>
      <c r="L22" s="8"/>
      <c r="M22" s="8">
        <f t="shared" ref="M22:M33" si="1">M8*M$21</f>
        <v>1.7515000000000001</v>
      </c>
      <c r="N22" s="8">
        <f>N8</f>
        <v>0</v>
      </c>
      <c r="O22" s="8"/>
      <c r="P22" s="8">
        <f t="shared" ref="P22:P33" si="2">P8*P$21</f>
        <v>7.2850000000000001</v>
      </c>
      <c r="Q22" s="8"/>
      <c r="R22" s="8">
        <f>-R8*R$21</f>
        <v>1.85</v>
      </c>
      <c r="S22" s="8"/>
      <c r="T22" s="8"/>
      <c r="U22" s="8"/>
      <c r="V22" s="8">
        <f>V8*V21</f>
        <v>12.7005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x14ac:dyDescent="0.3">
      <c r="A23" s="8">
        <f t="shared" ref="A23:A33" si="3">ROUND(SUM(H23:R23),2)</f>
        <v>98.95</v>
      </c>
      <c r="B23" s="8">
        <f t="shared" ref="B23:B33" si="4">ROUND(P23,2)</f>
        <v>2.75</v>
      </c>
      <c r="C23" s="8">
        <f t="shared" ref="C23:C33" si="5">ROUND(H23+I23,2)</f>
        <v>76.88</v>
      </c>
      <c r="D23" s="8">
        <f t="shared" ref="D23:D33" si="6">ROUND(H23+N23,2)</f>
        <v>15</v>
      </c>
      <c r="E23" s="8">
        <f t="shared" ref="E23:E33" si="7">ROUND(I23+M23+R23,2)</f>
        <v>65.48</v>
      </c>
      <c r="G23" t="s">
        <v>7</v>
      </c>
      <c r="H23" s="8">
        <f t="shared" ref="H23:H33" si="8">H9</f>
        <v>15</v>
      </c>
      <c r="I23" s="8">
        <f t="shared" si="0"/>
        <v>61.879999999999995</v>
      </c>
      <c r="J23" s="8"/>
      <c r="K23" s="8">
        <f t="shared" ref="K23:K33" si="9">(SUM(H23:I23)+SUM(M23:R23)-P23-V23)*K9</f>
        <v>15.725191999999998</v>
      </c>
      <c r="L23" s="8"/>
      <c r="M23" s="8">
        <f t="shared" si="1"/>
        <v>1.7515000000000001</v>
      </c>
      <c r="N23" s="8">
        <f t="shared" ref="N23:N33" si="10">N9</f>
        <v>0</v>
      </c>
      <c r="O23" s="8"/>
      <c r="P23" s="8">
        <f t="shared" si="2"/>
        <v>2.7475000000000001</v>
      </c>
      <c r="Q23" s="8"/>
      <c r="R23" s="8">
        <f t="shared" ref="R23:R33" si="11">-R9*R$21</f>
        <v>1.85</v>
      </c>
      <c r="S23" s="8"/>
      <c r="T23" s="8"/>
      <c r="U23" s="8"/>
      <c r="V23" s="8">
        <f t="shared" ref="V23:V33" si="12">V9*V$21</f>
        <v>12.7005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x14ac:dyDescent="0.3">
      <c r="A24" s="8">
        <f t="shared" si="3"/>
        <v>88.7</v>
      </c>
      <c r="B24" s="8">
        <f t="shared" si="4"/>
        <v>4.6900000000000004</v>
      </c>
      <c r="C24" s="8">
        <f t="shared" si="5"/>
        <v>76.88</v>
      </c>
      <c r="D24" s="8">
        <f t="shared" si="6"/>
        <v>15</v>
      </c>
      <c r="E24" s="8">
        <f t="shared" si="7"/>
        <v>64.25</v>
      </c>
      <c r="G24" t="s">
        <v>8</v>
      </c>
      <c r="H24" s="8">
        <f t="shared" si="8"/>
        <v>15</v>
      </c>
      <c r="I24" s="8">
        <f t="shared" si="0"/>
        <v>61.879999999999995</v>
      </c>
      <c r="J24" s="8"/>
      <c r="K24" s="8">
        <f t="shared" si="9"/>
        <v>4.7649441999999995</v>
      </c>
      <c r="L24" s="8"/>
      <c r="M24" s="8">
        <f t="shared" si="1"/>
        <v>1.7515000000000001</v>
      </c>
      <c r="N24" s="8">
        <f t="shared" si="10"/>
        <v>0</v>
      </c>
      <c r="O24" s="8"/>
      <c r="P24" s="8">
        <f t="shared" si="2"/>
        <v>4.6859999999999999</v>
      </c>
      <c r="Q24" s="8"/>
      <c r="R24" s="8">
        <f t="shared" si="11"/>
        <v>0.61850000000000005</v>
      </c>
      <c r="S24" s="8"/>
      <c r="T24" s="8"/>
      <c r="U24" s="8"/>
      <c r="V24" s="8">
        <f t="shared" si="12"/>
        <v>12.7005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x14ac:dyDescent="0.3">
      <c r="A25" s="8">
        <f t="shared" si="3"/>
        <v>91.11</v>
      </c>
      <c r="B25" s="8">
        <f t="shared" si="4"/>
        <v>1.75</v>
      </c>
      <c r="C25" s="8">
        <f t="shared" si="5"/>
        <v>76.88</v>
      </c>
      <c r="D25" s="8">
        <f t="shared" si="6"/>
        <v>15</v>
      </c>
      <c r="E25" s="8">
        <f t="shared" si="7"/>
        <v>64.25</v>
      </c>
      <c r="G25" t="s">
        <v>9</v>
      </c>
      <c r="H25" s="8">
        <f t="shared" si="8"/>
        <v>15</v>
      </c>
      <c r="I25" s="8">
        <f t="shared" si="0"/>
        <v>61.879999999999995</v>
      </c>
      <c r="J25" s="8"/>
      <c r="K25" s="8">
        <f t="shared" si="9"/>
        <v>10.115523999999997</v>
      </c>
      <c r="L25" s="8"/>
      <c r="M25" s="8">
        <f t="shared" si="1"/>
        <v>1.7515000000000001</v>
      </c>
      <c r="N25" s="8">
        <f t="shared" si="10"/>
        <v>0</v>
      </c>
      <c r="O25" s="8"/>
      <c r="P25" s="8">
        <f t="shared" si="2"/>
        <v>1.7455000000000001</v>
      </c>
      <c r="Q25" s="8"/>
      <c r="R25" s="8">
        <f t="shared" si="11"/>
        <v>0.61850000000000005</v>
      </c>
      <c r="S25" s="8"/>
      <c r="T25" s="8"/>
      <c r="U25" s="8"/>
      <c r="V25" s="8">
        <f t="shared" si="12"/>
        <v>12.7005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x14ac:dyDescent="0.3">
      <c r="A26" s="8">
        <f t="shared" si="3"/>
        <v>95.2</v>
      </c>
      <c r="B26" s="8">
        <f t="shared" si="4"/>
        <v>4.3600000000000003</v>
      </c>
      <c r="C26" s="8">
        <f t="shared" si="5"/>
        <v>76.88</v>
      </c>
      <c r="D26" s="8">
        <f t="shared" si="6"/>
        <v>15</v>
      </c>
      <c r="E26" s="8">
        <f t="shared" si="7"/>
        <v>64.25</v>
      </c>
      <c r="G26" t="s">
        <v>10</v>
      </c>
      <c r="H26" s="8">
        <f t="shared" si="8"/>
        <v>15</v>
      </c>
      <c r="I26" s="8">
        <f t="shared" si="0"/>
        <v>61.879999999999995</v>
      </c>
      <c r="J26" s="8"/>
      <c r="K26" s="8">
        <f t="shared" si="9"/>
        <v>11.592922899999998</v>
      </c>
      <c r="L26" s="8"/>
      <c r="M26" s="8">
        <f t="shared" si="1"/>
        <v>1.7515000000000001</v>
      </c>
      <c r="N26" s="8">
        <f t="shared" si="10"/>
        <v>0</v>
      </c>
      <c r="O26" s="8"/>
      <c r="P26" s="8">
        <f t="shared" si="2"/>
        <v>4.3605</v>
      </c>
      <c r="Q26" s="8"/>
      <c r="R26" s="8">
        <f t="shared" si="11"/>
        <v>0.61850000000000005</v>
      </c>
      <c r="S26" s="8"/>
      <c r="T26" s="8"/>
      <c r="U26" s="8"/>
      <c r="V26" s="8">
        <f t="shared" si="12"/>
        <v>12.7005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x14ac:dyDescent="0.3">
      <c r="A27" s="8">
        <f t="shared" si="3"/>
        <v>88.96</v>
      </c>
      <c r="B27" s="8">
        <f t="shared" si="4"/>
        <v>-1.3</v>
      </c>
      <c r="C27" s="8">
        <f t="shared" si="5"/>
        <v>81.069999999999993</v>
      </c>
      <c r="D27" s="8">
        <f t="shared" si="6"/>
        <v>15</v>
      </c>
      <c r="E27" s="8">
        <f t="shared" si="7"/>
        <v>66.77</v>
      </c>
      <c r="G27" t="s">
        <v>11</v>
      </c>
      <c r="H27" s="8">
        <f t="shared" si="8"/>
        <v>15</v>
      </c>
      <c r="I27" s="8">
        <f t="shared" si="0"/>
        <v>66.069500000000005</v>
      </c>
      <c r="J27" s="8"/>
      <c r="K27" s="8">
        <f t="shared" si="9"/>
        <v>8.4866310000000009</v>
      </c>
      <c r="L27" s="8"/>
      <c r="M27" s="8">
        <f t="shared" si="1"/>
        <v>1.7515000000000001</v>
      </c>
      <c r="N27" s="8">
        <f t="shared" si="10"/>
        <v>0</v>
      </c>
      <c r="O27" s="8"/>
      <c r="P27" s="8">
        <f t="shared" si="2"/>
        <v>-1.3010000000000002</v>
      </c>
      <c r="Q27" s="8"/>
      <c r="R27" s="8">
        <f t="shared" si="11"/>
        <v>-1.0485</v>
      </c>
      <c r="S27" s="8"/>
      <c r="T27" s="8"/>
      <c r="U27" s="8"/>
      <c r="V27" s="8">
        <f t="shared" si="12"/>
        <v>16.889999999999997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x14ac:dyDescent="0.3">
      <c r="A28" s="8">
        <f t="shared" si="3"/>
        <v>0</v>
      </c>
      <c r="B28" s="8">
        <f t="shared" si="4"/>
        <v>0</v>
      </c>
      <c r="C28" s="8">
        <f t="shared" si="5"/>
        <v>0</v>
      </c>
      <c r="D28" s="8">
        <f t="shared" si="6"/>
        <v>0</v>
      </c>
      <c r="E28" s="8">
        <f t="shared" si="7"/>
        <v>0</v>
      </c>
      <c r="G28" t="s">
        <v>12</v>
      </c>
      <c r="H28" s="8">
        <f t="shared" si="8"/>
        <v>0</v>
      </c>
      <c r="I28" s="8">
        <f t="shared" si="0"/>
        <v>0</v>
      </c>
      <c r="J28" s="8"/>
      <c r="K28" s="8">
        <f t="shared" si="9"/>
        <v>0</v>
      </c>
      <c r="L28" s="8"/>
      <c r="M28" s="8">
        <f t="shared" si="1"/>
        <v>0</v>
      </c>
      <c r="N28" s="8">
        <f t="shared" si="10"/>
        <v>0</v>
      </c>
      <c r="O28" s="8"/>
      <c r="P28" s="8">
        <f t="shared" si="2"/>
        <v>0</v>
      </c>
      <c r="Q28" s="8"/>
      <c r="R28" s="8">
        <f t="shared" si="11"/>
        <v>0</v>
      </c>
      <c r="S28" s="8"/>
      <c r="T28" s="8"/>
      <c r="U28" s="8"/>
      <c r="V28" s="8">
        <f t="shared" si="12"/>
        <v>0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x14ac:dyDescent="0.3">
      <c r="A29" s="8">
        <f t="shared" si="3"/>
        <v>0</v>
      </c>
      <c r="B29" s="8">
        <f t="shared" si="4"/>
        <v>0</v>
      </c>
      <c r="C29" s="8">
        <f t="shared" si="5"/>
        <v>0</v>
      </c>
      <c r="D29" s="8">
        <f t="shared" si="6"/>
        <v>0</v>
      </c>
      <c r="E29" s="8">
        <f t="shared" si="7"/>
        <v>0</v>
      </c>
      <c r="G29" t="s">
        <v>13</v>
      </c>
      <c r="H29" s="8">
        <f t="shared" si="8"/>
        <v>0</v>
      </c>
      <c r="I29" s="8">
        <f t="shared" si="0"/>
        <v>0</v>
      </c>
      <c r="J29" s="8"/>
      <c r="K29" s="8">
        <f t="shared" si="9"/>
        <v>0</v>
      </c>
      <c r="L29" s="8"/>
      <c r="M29" s="8">
        <f t="shared" si="1"/>
        <v>0</v>
      </c>
      <c r="N29" s="8">
        <f t="shared" si="10"/>
        <v>0</v>
      </c>
      <c r="O29" s="8"/>
      <c r="P29" s="8">
        <f t="shared" si="2"/>
        <v>0</v>
      </c>
      <c r="Q29" s="8"/>
      <c r="R29" s="8">
        <f t="shared" si="11"/>
        <v>0</v>
      </c>
      <c r="S29" s="8"/>
      <c r="T29" s="8"/>
      <c r="U29" s="8"/>
      <c r="V29" s="8">
        <f t="shared" si="12"/>
        <v>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x14ac:dyDescent="0.3">
      <c r="A30" s="8">
        <f t="shared" si="3"/>
        <v>0</v>
      </c>
      <c r="B30" s="8">
        <f t="shared" si="4"/>
        <v>0</v>
      </c>
      <c r="C30" s="8">
        <f t="shared" si="5"/>
        <v>0</v>
      </c>
      <c r="D30" s="8">
        <f t="shared" si="6"/>
        <v>0</v>
      </c>
      <c r="E30" s="8">
        <f t="shared" si="7"/>
        <v>0</v>
      </c>
      <c r="G30" t="s">
        <v>14</v>
      </c>
      <c r="H30" s="8">
        <f t="shared" si="8"/>
        <v>0</v>
      </c>
      <c r="I30" s="8">
        <f t="shared" si="0"/>
        <v>0</v>
      </c>
      <c r="J30" s="8"/>
      <c r="K30" s="8">
        <f t="shared" si="9"/>
        <v>0</v>
      </c>
      <c r="L30" s="8"/>
      <c r="M30" s="8">
        <f t="shared" si="1"/>
        <v>0</v>
      </c>
      <c r="N30" s="8">
        <f t="shared" si="10"/>
        <v>0</v>
      </c>
      <c r="O30" s="8"/>
      <c r="P30" s="8">
        <f t="shared" si="2"/>
        <v>0</v>
      </c>
      <c r="Q30" s="8"/>
      <c r="R30" s="8">
        <f t="shared" si="11"/>
        <v>0</v>
      </c>
      <c r="S30" s="8"/>
      <c r="T30" s="8"/>
      <c r="U30" s="8"/>
      <c r="V30" s="8">
        <f t="shared" si="12"/>
        <v>0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pans="1:49" x14ac:dyDescent="0.3">
      <c r="A31" s="8">
        <f t="shared" si="3"/>
        <v>0</v>
      </c>
      <c r="B31" s="8">
        <f t="shared" si="4"/>
        <v>0</v>
      </c>
      <c r="C31" s="8">
        <f t="shared" si="5"/>
        <v>0</v>
      </c>
      <c r="D31" s="8">
        <f t="shared" si="6"/>
        <v>0</v>
      </c>
      <c r="E31" s="8">
        <f t="shared" si="7"/>
        <v>0</v>
      </c>
      <c r="G31" t="s">
        <v>15</v>
      </c>
      <c r="H31" s="8">
        <f t="shared" si="8"/>
        <v>0</v>
      </c>
      <c r="I31" s="8">
        <f t="shared" si="0"/>
        <v>0</v>
      </c>
      <c r="J31" s="8"/>
      <c r="K31" s="8">
        <f t="shared" si="9"/>
        <v>0</v>
      </c>
      <c r="L31" s="8"/>
      <c r="M31" s="8">
        <f t="shared" si="1"/>
        <v>0</v>
      </c>
      <c r="N31" s="8">
        <f t="shared" si="10"/>
        <v>0</v>
      </c>
      <c r="O31" s="8"/>
      <c r="P31" s="8">
        <f t="shared" si="2"/>
        <v>0</v>
      </c>
      <c r="Q31" s="8"/>
      <c r="R31" s="8">
        <f t="shared" si="11"/>
        <v>0</v>
      </c>
      <c r="S31" s="8"/>
      <c r="T31" s="8"/>
      <c r="U31" s="8"/>
      <c r="V31" s="8">
        <f t="shared" si="12"/>
        <v>0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49" x14ac:dyDescent="0.3">
      <c r="A32" s="8">
        <f t="shared" si="3"/>
        <v>0</v>
      </c>
      <c r="B32" s="8">
        <f t="shared" si="4"/>
        <v>0</v>
      </c>
      <c r="C32" s="8">
        <f t="shared" si="5"/>
        <v>0</v>
      </c>
      <c r="D32" s="8">
        <f t="shared" si="6"/>
        <v>0</v>
      </c>
      <c r="E32" s="8">
        <f t="shared" si="7"/>
        <v>0</v>
      </c>
      <c r="G32" t="s">
        <v>16</v>
      </c>
      <c r="H32" s="8">
        <f t="shared" si="8"/>
        <v>0</v>
      </c>
      <c r="I32" s="8">
        <f t="shared" si="0"/>
        <v>0</v>
      </c>
      <c r="J32" s="8"/>
      <c r="K32" s="8">
        <f t="shared" si="9"/>
        <v>0</v>
      </c>
      <c r="L32" s="8"/>
      <c r="M32" s="8">
        <f t="shared" si="1"/>
        <v>0</v>
      </c>
      <c r="N32" s="8">
        <f t="shared" si="10"/>
        <v>0</v>
      </c>
      <c r="O32" s="8"/>
      <c r="P32" s="8">
        <f t="shared" si="2"/>
        <v>0</v>
      </c>
      <c r="Q32" s="8"/>
      <c r="R32" s="8">
        <f t="shared" si="11"/>
        <v>0</v>
      </c>
      <c r="S32" s="8"/>
      <c r="T32" s="8"/>
      <c r="U32" s="8"/>
      <c r="V32" s="8">
        <f t="shared" si="12"/>
        <v>0</v>
      </c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x14ac:dyDescent="0.3">
      <c r="A33" s="8">
        <f t="shared" si="3"/>
        <v>0</v>
      </c>
      <c r="B33" s="8">
        <f t="shared" si="4"/>
        <v>0</v>
      </c>
      <c r="C33" s="8">
        <f t="shared" si="5"/>
        <v>0</v>
      </c>
      <c r="D33" s="8">
        <f t="shared" si="6"/>
        <v>0</v>
      </c>
      <c r="E33" s="8">
        <f t="shared" si="7"/>
        <v>0</v>
      </c>
      <c r="G33" t="s">
        <v>17</v>
      </c>
      <c r="H33" s="8">
        <f t="shared" si="8"/>
        <v>0</v>
      </c>
      <c r="I33" s="8">
        <f t="shared" si="0"/>
        <v>0</v>
      </c>
      <c r="J33" s="8"/>
      <c r="K33" s="8">
        <f t="shared" si="9"/>
        <v>0</v>
      </c>
      <c r="L33" s="8"/>
      <c r="M33" s="8">
        <f t="shared" si="1"/>
        <v>0</v>
      </c>
      <c r="N33" s="8">
        <f t="shared" si="10"/>
        <v>0</v>
      </c>
      <c r="O33" s="8"/>
      <c r="P33" s="8">
        <f t="shared" si="2"/>
        <v>0</v>
      </c>
      <c r="Q33" s="8"/>
      <c r="R33" s="8">
        <f t="shared" si="11"/>
        <v>0</v>
      </c>
      <c r="S33" s="8"/>
      <c r="T33" s="8"/>
      <c r="U33" s="8"/>
      <c r="V33" s="8">
        <f t="shared" si="12"/>
        <v>0</v>
      </c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pans="1:49" x14ac:dyDescent="0.3">
      <c r="A34" s="8"/>
    </row>
    <row r="43" spans="1:49" x14ac:dyDescent="0.3">
      <c r="A43" s="33" t="s">
        <v>161</v>
      </c>
    </row>
    <row r="44" spans="1:49" x14ac:dyDescent="0.3">
      <c r="A44" s="38">
        <f>SUM(H27:I27)+SUM(M27:R27)-P27-V27</f>
        <v>64.882500000000007</v>
      </c>
    </row>
    <row r="45" spans="1:49" x14ac:dyDescent="0.3">
      <c r="A45" s="51">
        <v>2025</v>
      </c>
      <c r="B45" s="51">
        <v>2026</v>
      </c>
      <c r="C45" s="51">
        <v>2027</v>
      </c>
      <c r="D45" s="51">
        <v>2028</v>
      </c>
      <c r="E45" s="51">
        <v>2029</v>
      </c>
    </row>
    <row r="46" spans="1:49" x14ac:dyDescent="0.3">
      <c r="A46" s="55">
        <f>DS!A45</f>
        <v>1.7676000000000001E-2</v>
      </c>
      <c r="B46" s="55">
        <f>DS!B45</f>
        <v>4.8447999999999998E-2</v>
      </c>
      <c r="C46" s="55">
        <f>DS!C45</f>
        <v>3.6317000000000002E-2</v>
      </c>
      <c r="D46" s="55">
        <f>DS!D45</f>
        <v>3.0025E-2</v>
      </c>
      <c r="E46" s="55">
        <f>DS!E45</f>
        <v>3.1049E-2</v>
      </c>
      <c r="F46" s="53" t="s">
        <v>162</v>
      </c>
    </row>
    <row r="47" spans="1:49" x14ac:dyDescent="0.3">
      <c r="A47" s="54">
        <f>ROUND(A46*$A$44,2)</f>
        <v>1.1499999999999999</v>
      </c>
      <c r="B47" s="54">
        <f>ROUND(B46*$A$44,2)</f>
        <v>3.14</v>
      </c>
      <c r="C47" s="54">
        <f>ROUND(C46*$A$44,2)</f>
        <v>2.36</v>
      </c>
      <c r="D47" s="54">
        <f>ROUND(D46*$A$44,2)</f>
        <v>1.95</v>
      </c>
      <c r="E47" s="54">
        <f>ROUND(E46*$A$44,2)</f>
        <v>2.0099999999999998</v>
      </c>
      <c r="F47" s="53" t="s">
        <v>155</v>
      </c>
    </row>
    <row r="48" spans="1:49" x14ac:dyDescent="0.3">
      <c r="A48" s="55">
        <f>(($A$27+A47)/$A$27)-1</f>
        <v>1.2927158273381423E-2</v>
      </c>
      <c r="B48" s="55">
        <f>(($A$27+B47)/$A$27)-1</f>
        <v>3.5296762589928088E-2</v>
      </c>
      <c r="C48" s="55">
        <f>(($A$27+C47)/$A$27)-1</f>
        <v>2.6528776978417268E-2</v>
      </c>
      <c r="D48" s="55">
        <f>(($A$27+D47)/$A$27)-1</f>
        <v>2.191996402877705E-2</v>
      </c>
      <c r="E48" s="55">
        <f>(($A$27+E47)/$A$27)-1</f>
        <v>2.2594424460431695E-2</v>
      </c>
      <c r="F48" s="53" t="s">
        <v>163</v>
      </c>
    </row>
    <row r="50" spans="1:5" x14ac:dyDescent="0.3">
      <c r="A50" s="38">
        <f>$A$27+A47</f>
        <v>90.11</v>
      </c>
      <c r="B50" s="38">
        <f t="shared" ref="B50:E50" si="13">$A$27+B47</f>
        <v>92.1</v>
      </c>
      <c r="C50" s="38">
        <f t="shared" si="13"/>
        <v>91.32</v>
      </c>
      <c r="D50" s="38">
        <f t="shared" si="13"/>
        <v>90.91</v>
      </c>
      <c r="E50" s="38">
        <f t="shared" si="13"/>
        <v>90.97</v>
      </c>
    </row>
  </sheetData>
  <mergeCells count="15">
    <mergeCell ref="AD4:AE4"/>
    <mergeCell ref="AF4:AG4"/>
    <mergeCell ref="AT4:AU4"/>
    <mergeCell ref="AV4:AW4"/>
    <mergeCell ref="H2:I2"/>
    <mergeCell ref="M2:N2"/>
    <mergeCell ref="Z2:AB2"/>
    <mergeCell ref="AD2:AG2"/>
    <mergeCell ref="AI2:AJ2"/>
    <mergeCell ref="AT2:AW2"/>
    <mergeCell ref="H3:I3"/>
    <mergeCell ref="Z3:AB3"/>
    <mergeCell ref="AD3:AG3"/>
    <mergeCell ref="AI3:AJ3"/>
    <mergeCell ref="AT3:AW3"/>
  </mergeCells>
  <pageMargins left="0.2" right="0.2" top="1.5" bottom="0.75" header="1" footer="0.3"/>
  <pageSetup scale="26" orientation="landscape" r:id="rId1"/>
  <headerFooter>
    <oddHeader>&amp;R&amp;"Times New Roman,Bold"&amp;10KyPSC Case No. 2024-00152
SIERRA-DR-01-050 Attachment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51"/>
  <sheetViews>
    <sheetView view="pageLayout" zoomScaleNormal="75" workbookViewId="0">
      <selection activeCell="Z12" sqref="Z12"/>
    </sheetView>
  </sheetViews>
  <sheetFormatPr defaultRowHeight="14.4" x14ac:dyDescent="0.3"/>
  <cols>
    <col min="1" max="1" width="20.77734375" customWidth="1"/>
    <col min="2" max="2" width="15.21875" customWidth="1"/>
    <col min="3" max="3" width="12.21875" customWidth="1"/>
    <col min="4" max="4" width="13.44140625" customWidth="1"/>
    <col min="5" max="5" width="11.5546875" customWidth="1"/>
    <col min="6" max="6" width="2.77734375" customWidth="1"/>
    <col min="7" max="7" width="9.21875"/>
    <col min="8" max="8" width="9.44140625" bestFit="1" customWidth="1"/>
    <col min="9" max="9" width="10.44140625" bestFit="1" customWidth="1"/>
    <col min="10" max="11" width="15.77734375" customWidth="1"/>
    <col min="12" max="12" width="2.77734375" customWidth="1"/>
    <col min="13" max="13" width="18.5546875" customWidth="1"/>
    <col min="14" max="14" width="2.77734375" customWidth="1"/>
    <col min="15" max="16" width="12.21875" customWidth="1"/>
    <col min="17" max="17" width="2.77734375" customWidth="1"/>
    <col min="18" max="18" width="18.5546875" customWidth="1"/>
    <col min="19" max="19" width="2.77734375" customWidth="1"/>
    <col min="20" max="20" width="21.44140625" customWidth="1"/>
    <col min="21" max="21" width="2.77734375" customWidth="1"/>
    <col min="22" max="22" width="12.5546875" bestFit="1" customWidth="1"/>
    <col min="23" max="23" width="2.77734375" customWidth="1"/>
    <col min="24" max="24" width="22.21875" customWidth="1"/>
    <col min="25" max="25" width="2.77734375" customWidth="1"/>
    <col min="26" max="26" width="12.21875" customWidth="1"/>
    <col min="27" max="27" width="19.21875" customWidth="1"/>
    <col min="28" max="28" width="12.44140625" customWidth="1"/>
    <col min="29" max="29" width="2.77734375" customWidth="1"/>
    <col min="30" max="30" width="12.44140625" bestFit="1" customWidth="1"/>
    <col min="31" max="31" width="12.21875" customWidth="1"/>
    <col min="32" max="32" width="2.77734375" customWidth="1"/>
    <col min="33" max="33" width="15.44140625" bestFit="1" customWidth="1"/>
    <col min="34" max="34" width="14.44140625" customWidth="1"/>
    <col min="35" max="35" width="2.77734375" customWidth="1"/>
    <col min="36" max="36" width="15.5546875" bestFit="1" customWidth="1"/>
    <col min="37" max="37" width="2.77734375" customWidth="1"/>
    <col min="38" max="38" width="15.5546875" bestFit="1" customWidth="1"/>
    <col min="39" max="39" width="2.77734375" customWidth="1"/>
    <col min="40" max="40" width="15.5546875" bestFit="1" customWidth="1"/>
    <col min="41" max="41" width="2.77734375" customWidth="1"/>
    <col min="42" max="42" width="15.5546875" bestFit="1" customWidth="1"/>
    <col min="43" max="43" width="2.77734375" customWidth="1"/>
    <col min="44" max="44" width="12.44140625" bestFit="1" customWidth="1"/>
    <col min="45" max="45" width="11.5546875" bestFit="1" customWidth="1"/>
    <col min="46" max="46" width="12.44140625" bestFit="1" customWidth="1"/>
    <col min="47" max="47" width="11.5546875" bestFit="1" customWidth="1"/>
    <col min="48" max="55" width="9.21875"/>
  </cols>
  <sheetData>
    <row r="1" spans="1:47" x14ac:dyDescent="0.3">
      <c r="A1" t="s">
        <v>27</v>
      </c>
      <c r="C1" s="33"/>
      <c r="D1" s="33"/>
      <c r="E1" s="33"/>
      <c r="F1" s="33"/>
    </row>
    <row r="2" spans="1:47" x14ac:dyDescent="0.3">
      <c r="B2" s="33"/>
      <c r="C2" s="33"/>
      <c r="D2" s="33"/>
      <c r="E2" s="33"/>
      <c r="F2" s="33"/>
      <c r="H2" s="68" t="s">
        <v>42</v>
      </c>
      <c r="I2" s="68"/>
      <c r="J2" s="68"/>
      <c r="K2" s="68"/>
      <c r="M2" s="1" t="s">
        <v>74</v>
      </c>
      <c r="O2" s="68" t="s">
        <v>32</v>
      </c>
      <c r="P2" s="68"/>
      <c r="Q2" s="1"/>
      <c r="R2" s="1" t="s">
        <v>40</v>
      </c>
      <c r="T2" s="1" t="s">
        <v>41</v>
      </c>
      <c r="U2" s="1"/>
      <c r="V2" s="1"/>
      <c r="W2" s="1"/>
      <c r="X2" s="1"/>
      <c r="Z2" s="68"/>
      <c r="AA2" s="68"/>
      <c r="AB2" s="68"/>
      <c r="AD2" s="68"/>
      <c r="AE2" s="68"/>
      <c r="AG2" s="68"/>
      <c r="AH2" s="68"/>
      <c r="AJ2" s="1"/>
      <c r="AK2" s="1"/>
      <c r="AL2" s="1"/>
      <c r="AM2" s="1"/>
      <c r="AN2" s="1"/>
      <c r="AO2" s="1"/>
      <c r="AP2" s="1"/>
      <c r="AR2" s="68"/>
      <c r="AS2" s="68"/>
      <c r="AT2" s="68"/>
      <c r="AU2" s="68"/>
    </row>
    <row r="3" spans="1:47" x14ac:dyDescent="0.3">
      <c r="H3" s="68"/>
      <c r="I3" s="68"/>
      <c r="J3" s="1"/>
      <c r="K3" s="1"/>
      <c r="M3" s="1" t="s">
        <v>76</v>
      </c>
      <c r="O3" s="1" t="s">
        <v>29</v>
      </c>
      <c r="P3" s="1" t="s">
        <v>33</v>
      </c>
      <c r="Q3" s="1"/>
      <c r="R3" s="1" t="s">
        <v>30</v>
      </c>
      <c r="T3" s="1" t="s">
        <v>31</v>
      </c>
      <c r="U3" s="1"/>
      <c r="V3" s="1"/>
      <c r="W3" s="1"/>
      <c r="X3" s="1" t="s">
        <v>104</v>
      </c>
      <c r="Z3" s="68"/>
      <c r="AA3" s="68"/>
      <c r="AB3" s="68"/>
      <c r="AD3" s="68"/>
      <c r="AE3" s="68"/>
      <c r="AG3" s="68"/>
      <c r="AH3" s="68"/>
      <c r="AJ3" s="1"/>
      <c r="AK3" s="1"/>
      <c r="AL3" s="1"/>
      <c r="AM3" s="1"/>
      <c r="AN3" s="1"/>
      <c r="AO3" s="1"/>
      <c r="AP3" s="1"/>
      <c r="AR3" s="68"/>
      <c r="AS3" s="68"/>
      <c r="AT3" s="68"/>
      <c r="AU3" s="68"/>
    </row>
    <row r="4" spans="1:47" x14ac:dyDescent="0.3">
      <c r="H4" s="1" t="s">
        <v>0</v>
      </c>
      <c r="I4" s="1" t="s">
        <v>23</v>
      </c>
      <c r="J4" s="1" t="s">
        <v>4</v>
      </c>
      <c r="K4" s="1" t="s">
        <v>4</v>
      </c>
      <c r="M4" s="1" t="s">
        <v>77</v>
      </c>
      <c r="O4" s="1" t="s">
        <v>4</v>
      </c>
      <c r="P4" s="1" t="s">
        <v>0</v>
      </c>
      <c r="R4" s="1" t="s">
        <v>4</v>
      </c>
      <c r="S4" s="1"/>
      <c r="T4" s="1" t="s">
        <v>4</v>
      </c>
      <c r="V4" s="1"/>
      <c r="X4" s="1" t="s">
        <v>105</v>
      </c>
      <c r="Y4" s="1"/>
      <c r="Z4" s="68"/>
      <c r="AA4" s="68"/>
      <c r="AB4" s="68"/>
      <c r="AC4" s="1"/>
      <c r="AD4" s="68"/>
      <c r="AE4" s="69"/>
      <c r="AF4" s="1"/>
      <c r="AG4" s="68"/>
      <c r="AH4" s="68"/>
      <c r="AI4" s="1"/>
      <c r="AJ4" s="1"/>
      <c r="AL4" s="1"/>
      <c r="AN4" s="1"/>
      <c r="AP4" s="1"/>
      <c r="AQ4" s="1"/>
      <c r="AR4" s="68"/>
      <c r="AS4" s="68"/>
      <c r="AT4" s="68"/>
      <c r="AU4" s="68"/>
    </row>
    <row r="5" spans="1:47" x14ac:dyDescent="0.3">
      <c r="H5" s="7"/>
      <c r="I5" s="1"/>
      <c r="J5" s="1" t="s">
        <v>43</v>
      </c>
      <c r="K5" s="1" t="s">
        <v>38</v>
      </c>
      <c r="M5" s="1"/>
      <c r="O5" s="1"/>
      <c r="P5" s="1"/>
      <c r="Q5" s="1"/>
      <c r="S5" s="1"/>
      <c r="Y5" s="1"/>
      <c r="Z5" s="1"/>
      <c r="AA5" s="1"/>
      <c r="AB5" s="1"/>
      <c r="AC5" s="1"/>
      <c r="AD5" s="7"/>
      <c r="AE5" s="7"/>
      <c r="AF5" s="1"/>
      <c r="AG5" s="1"/>
      <c r="AH5" s="1"/>
      <c r="AI5" s="1"/>
      <c r="AQ5" s="1"/>
      <c r="AR5" s="1"/>
      <c r="AS5" s="1"/>
      <c r="AT5" s="7"/>
      <c r="AU5" s="7"/>
    </row>
    <row r="6" spans="1:47" ht="15.6" x14ac:dyDescent="0.3">
      <c r="H6" s="1" t="s">
        <v>2</v>
      </c>
      <c r="I6" s="2" t="s">
        <v>24</v>
      </c>
      <c r="J6" s="2" t="s">
        <v>3</v>
      </c>
      <c r="K6" s="2" t="s">
        <v>3</v>
      </c>
      <c r="M6" s="34" t="s">
        <v>75</v>
      </c>
      <c r="O6" s="2" t="s">
        <v>3</v>
      </c>
      <c r="P6" s="1" t="s">
        <v>2</v>
      </c>
      <c r="Q6" s="2"/>
      <c r="R6" s="2" t="s">
        <v>3</v>
      </c>
      <c r="S6" s="2"/>
      <c r="T6" s="2" t="s">
        <v>3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">
      <c r="G7" s="33" t="s">
        <v>5</v>
      </c>
    </row>
    <row r="8" spans="1:47" x14ac:dyDescent="0.3">
      <c r="G8" t="s">
        <v>1</v>
      </c>
      <c r="H8" s="4">
        <v>117</v>
      </c>
      <c r="I8" s="4">
        <v>9.3699999999999992</v>
      </c>
      <c r="J8" s="3">
        <v>6.2177999999999997E-2</v>
      </c>
      <c r="K8" s="3">
        <v>5.2874999999999998E-2</v>
      </c>
      <c r="M8" s="35">
        <f>DS!P8</f>
        <v>0.1905</v>
      </c>
      <c r="O8">
        <f>DS!R8</f>
        <v>3.503E-3</v>
      </c>
      <c r="P8" s="4">
        <f>DS!S8</f>
        <v>0</v>
      </c>
      <c r="R8" s="3">
        <f>RS!$P8</f>
        <v>1.457E-2</v>
      </c>
      <c r="T8" s="3">
        <f>RS!R8</f>
        <v>-3.7000000000000002E-3</v>
      </c>
      <c r="X8" s="3">
        <f>+DS!$AA8</f>
        <v>2.5401E-2</v>
      </c>
      <c r="Z8" s="5"/>
      <c r="AA8" s="5"/>
      <c r="AB8" s="5"/>
      <c r="AC8" s="3"/>
      <c r="AD8" s="3"/>
      <c r="AE8" s="3"/>
      <c r="AF8" s="3"/>
      <c r="AG8" s="6"/>
      <c r="AH8" s="6"/>
      <c r="AI8" s="3"/>
      <c r="AK8" s="3"/>
      <c r="AO8" s="3"/>
      <c r="AQ8" s="3"/>
      <c r="AR8" s="3"/>
      <c r="AS8" s="3"/>
      <c r="AT8" s="3"/>
      <c r="AU8" s="3"/>
    </row>
    <row r="9" spans="1:47" x14ac:dyDescent="0.3">
      <c r="G9" t="s">
        <v>7</v>
      </c>
      <c r="H9" s="4">
        <v>117</v>
      </c>
      <c r="I9" s="4">
        <v>9.3699999999999992</v>
      </c>
      <c r="J9" s="3">
        <v>6.2177999999999997E-2</v>
      </c>
      <c r="K9" s="3">
        <v>5.2874999999999998E-2</v>
      </c>
      <c r="M9" s="35">
        <f>DS!P9</f>
        <v>0.23200000000000001</v>
      </c>
      <c r="O9">
        <f>DS!R9</f>
        <v>3.503E-3</v>
      </c>
      <c r="P9" s="4">
        <f>DS!S9</f>
        <v>0</v>
      </c>
      <c r="R9" s="3">
        <f>RS!$P9</f>
        <v>5.4949999999999999E-3</v>
      </c>
      <c r="T9" s="3">
        <f>RS!R9</f>
        <v>-3.7000000000000002E-3</v>
      </c>
      <c r="X9" s="3">
        <f>+DS!$AA9</f>
        <v>2.5401E-2</v>
      </c>
      <c r="Z9" s="5"/>
      <c r="AA9" s="5"/>
      <c r="AB9" s="5"/>
      <c r="AD9" s="3"/>
      <c r="AE9" s="3"/>
      <c r="AG9" s="6"/>
      <c r="AH9" s="6"/>
      <c r="AJ9" s="4"/>
      <c r="AL9" s="3"/>
      <c r="AN9" s="3"/>
      <c r="AP9" s="4"/>
      <c r="AR9" s="3"/>
      <c r="AS9" s="3"/>
      <c r="AT9" s="3"/>
      <c r="AU9" s="3"/>
    </row>
    <row r="10" spans="1:47" x14ac:dyDescent="0.3">
      <c r="G10" t="s">
        <v>8</v>
      </c>
      <c r="H10" s="4">
        <v>117</v>
      </c>
      <c r="I10" s="4">
        <v>9.3699999999999992</v>
      </c>
      <c r="J10" s="3">
        <v>6.2177999999999997E-2</v>
      </c>
      <c r="K10" s="3">
        <v>5.2874999999999998E-2</v>
      </c>
      <c r="M10" s="35">
        <f>DS!P10</f>
        <v>7.1599999999999997E-2</v>
      </c>
      <c r="O10">
        <f>DS!R10</f>
        <v>3.503E-3</v>
      </c>
      <c r="P10" s="4">
        <f>DS!S10</f>
        <v>0</v>
      </c>
      <c r="R10" s="3">
        <f>RS!$P10</f>
        <v>9.3720000000000001E-3</v>
      </c>
      <c r="T10" s="3">
        <f>RS!R10</f>
        <v>-1.237E-3</v>
      </c>
      <c r="X10" s="3">
        <f>+DS!$AA10</f>
        <v>2.5401E-2</v>
      </c>
      <c r="Z10" s="5"/>
      <c r="AA10" s="5"/>
      <c r="AB10" s="5"/>
      <c r="AD10" s="3"/>
      <c r="AE10" s="3"/>
      <c r="AG10" s="6"/>
      <c r="AH10" s="6"/>
      <c r="AJ10" s="4"/>
      <c r="AL10" s="3"/>
      <c r="AN10" s="3"/>
      <c r="AP10" s="4"/>
      <c r="AR10" s="3"/>
      <c r="AS10" s="3"/>
      <c r="AT10" s="3"/>
      <c r="AU10" s="3"/>
    </row>
    <row r="11" spans="1:47" x14ac:dyDescent="0.3">
      <c r="G11" t="s">
        <v>9</v>
      </c>
      <c r="H11" s="4">
        <v>117</v>
      </c>
      <c r="I11" s="4">
        <v>9.3699999999999992</v>
      </c>
      <c r="J11" s="3">
        <v>6.2177999999999997E-2</v>
      </c>
      <c r="K11" s="3">
        <v>5.2874999999999998E-2</v>
      </c>
      <c r="M11" s="35">
        <f>DS!P11</f>
        <v>0.152</v>
      </c>
      <c r="O11">
        <f>DS!R11</f>
        <v>3.503E-3</v>
      </c>
      <c r="P11" s="4">
        <f>DS!S11</f>
        <v>0</v>
      </c>
      <c r="R11" s="3">
        <f>RS!$P11</f>
        <v>3.4910000000000002E-3</v>
      </c>
      <c r="T11" s="3">
        <f>RS!R11</f>
        <v>-1.237E-3</v>
      </c>
      <c r="X11" s="3">
        <f>+DS!$AA11</f>
        <v>2.5401E-2</v>
      </c>
    </row>
    <row r="12" spans="1:47" x14ac:dyDescent="0.3">
      <c r="G12" t="s">
        <v>10</v>
      </c>
      <c r="H12" s="4">
        <v>117</v>
      </c>
      <c r="I12" s="4">
        <v>9.3699999999999992</v>
      </c>
      <c r="J12" s="3">
        <v>6.2177999999999997E-2</v>
      </c>
      <c r="K12" s="3">
        <v>5.2874999999999998E-2</v>
      </c>
      <c r="M12" s="35">
        <f>DS!P12</f>
        <v>0.17419999999999999</v>
      </c>
      <c r="O12">
        <f>DS!R12</f>
        <v>3.503E-3</v>
      </c>
      <c r="P12" s="4">
        <f>DS!S12</f>
        <v>0</v>
      </c>
      <c r="R12" s="3">
        <f>RS!$P12</f>
        <v>8.7209999999999996E-3</v>
      </c>
      <c r="T12" s="3">
        <f>RS!R12</f>
        <v>-1.237E-3</v>
      </c>
      <c r="X12" s="3">
        <f>+DS!$AA12</f>
        <v>2.5401E-2</v>
      </c>
    </row>
    <row r="13" spans="1:47" x14ac:dyDescent="0.3">
      <c r="A13" s="33" t="s">
        <v>65</v>
      </c>
      <c r="G13" t="s">
        <v>11</v>
      </c>
      <c r="H13" s="4">
        <v>117</v>
      </c>
      <c r="I13" s="4">
        <v>9.3699999999999992</v>
      </c>
      <c r="J13" s="3">
        <v>7.0556999999999995E-2</v>
      </c>
      <c r="K13" s="3">
        <v>6.1254000000000003E-2</v>
      </c>
      <c r="M13" s="35">
        <f>DS!P13</f>
        <v>0.1308</v>
      </c>
      <c r="O13">
        <f>DS!R13</f>
        <v>3.503E-3</v>
      </c>
      <c r="P13" s="4">
        <f>DS!S13</f>
        <v>0</v>
      </c>
      <c r="R13" s="3">
        <f>RS!$P13</f>
        <v>-2.6020000000000001E-3</v>
      </c>
      <c r="T13" s="3">
        <f>RS!R13</f>
        <v>2.0969999999999999E-3</v>
      </c>
      <c r="X13" s="3">
        <f>+DS!$AA13</f>
        <v>3.3779999999999998E-2</v>
      </c>
    </row>
    <row r="14" spans="1:47" x14ac:dyDescent="0.3">
      <c r="A14" s="45" t="s">
        <v>57</v>
      </c>
      <c r="G14" t="s">
        <v>12</v>
      </c>
      <c r="H14" s="4"/>
      <c r="I14" s="4"/>
      <c r="J14" s="3"/>
      <c r="K14" s="3"/>
      <c r="L14" s="3"/>
      <c r="M14" s="35"/>
      <c r="P14" s="4"/>
      <c r="R14" s="3"/>
      <c r="T14" s="3"/>
      <c r="X14" s="3"/>
    </row>
    <row r="15" spans="1:47" x14ac:dyDescent="0.3">
      <c r="A15" s="33" t="s">
        <v>25</v>
      </c>
      <c r="G15" t="s">
        <v>13</v>
      </c>
      <c r="H15" s="4"/>
      <c r="I15" s="4"/>
      <c r="J15" s="3"/>
      <c r="K15" s="3"/>
      <c r="M15" s="35"/>
      <c r="P15" s="4"/>
      <c r="R15" s="3"/>
      <c r="T15" s="3"/>
      <c r="X15" s="3"/>
    </row>
    <row r="16" spans="1:47" x14ac:dyDescent="0.3">
      <c r="A16" s="33">
        <v>246.2</v>
      </c>
      <c r="G16" t="s">
        <v>14</v>
      </c>
      <c r="H16" s="4"/>
      <c r="I16" s="4"/>
      <c r="J16" s="3"/>
      <c r="K16" s="3"/>
      <c r="M16" s="35"/>
      <c r="P16" s="4"/>
      <c r="R16" s="3"/>
      <c r="T16" s="3"/>
      <c r="X16" s="3"/>
    </row>
    <row r="17" spans="1:47" x14ac:dyDescent="0.3">
      <c r="A17" s="33" t="s">
        <v>18</v>
      </c>
      <c r="G17" t="s">
        <v>15</v>
      </c>
      <c r="H17" s="4"/>
      <c r="I17" s="4"/>
      <c r="J17" s="3"/>
      <c r="K17" s="3"/>
      <c r="M17" s="35"/>
      <c r="P17" s="4"/>
      <c r="R17" s="3"/>
      <c r="T17" s="3"/>
      <c r="X17" s="3"/>
    </row>
    <row r="18" spans="1:47" x14ac:dyDescent="0.3">
      <c r="A18" s="46">
        <v>66667</v>
      </c>
      <c r="G18" t="s">
        <v>16</v>
      </c>
      <c r="H18" s="4"/>
      <c r="I18" s="4"/>
      <c r="J18" s="3"/>
      <c r="K18" s="3"/>
      <c r="M18" s="35"/>
      <c r="P18" s="4"/>
      <c r="R18" s="3"/>
      <c r="T18" s="3"/>
      <c r="X18" s="3"/>
    </row>
    <row r="19" spans="1:47" x14ac:dyDescent="0.3">
      <c r="A19" s="33" t="s">
        <v>48</v>
      </c>
      <c r="G19" t="s">
        <v>17</v>
      </c>
      <c r="H19" s="4"/>
      <c r="I19" s="4"/>
      <c r="J19" s="3"/>
      <c r="K19" s="3"/>
      <c r="M19" s="35"/>
      <c r="P19" s="4"/>
      <c r="R19" s="3"/>
      <c r="T19" s="3"/>
      <c r="X19" s="3"/>
    </row>
    <row r="20" spans="1:47" x14ac:dyDescent="0.3">
      <c r="A20" s="47">
        <f>ROUND(IF($A$14="n",$A$18,$A$18*0.985),0)</f>
        <v>65667</v>
      </c>
      <c r="B20" s="1" t="s">
        <v>20</v>
      </c>
      <c r="C20" s="1"/>
      <c r="D20" s="1" t="s">
        <v>0</v>
      </c>
      <c r="E20" s="1" t="s">
        <v>4</v>
      </c>
      <c r="J20" s="38"/>
    </row>
    <row r="21" spans="1:47" ht="28.8" x14ac:dyDescent="0.3">
      <c r="A21" s="1" t="s">
        <v>19</v>
      </c>
      <c r="B21" s="1" t="s">
        <v>30</v>
      </c>
      <c r="C21" s="7" t="s">
        <v>21</v>
      </c>
      <c r="D21" s="7"/>
      <c r="E21" s="7"/>
      <c r="G21" s="48" t="s">
        <v>26</v>
      </c>
      <c r="H21" s="36"/>
      <c r="I21" s="37">
        <f>$A$16</f>
        <v>246.2</v>
      </c>
      <c r="J21" s="37">
        <f>$A$20-K21</f>
        <v>65667</v>
      </c>
      <c r="K21" s="37">
        <f>ROUND(IF($A$20&gt;($A$16*300),$A$20-($A$16*300),0),0)</f>
        <v>0</v>
      </c>
      <c r="L21" s="36"/>
      <c r="M21" s="36"/>
      <c r="N21" s="36"/>
      <c r="O21" s="37">
        <f>$A$20</f>
        <v>65667</v>
      </c>
      <c r="P21" s="37"/>
      <c r="Q21" s="37"/>
      <c r="R21" s="36">
        <f>$A$20</f>
        <v>65667</v>
      </c>
      <c r="S21" s="36"/>
      <c r="T21" s="36">
        <f>$A$20</f>
        <v>65667</v>
      </c>
      <c r="X21" s="49">
        <f>+A20</f>
        <v>65667</v>
      </c>
      <c r="Z21" s="2"/>
      <c r="AA21" s="2"/>
      <c r="AB21" s="2"/>
      <c r="AD21" s="2"/>
      <c r="AE21" s="2"/>
      <c r="AG21" s="2"/>
      <c r="AH21" s="2"/>
      <c r="AR21" s="2"/>
      <c r="AS21" s="2"/>
      <c r="AT21" s="2"/>
      <c r="AU21" s="2"/>
    </row>
    <row r="22" spans="1:47" x14ac:dyDescent="0.3">
      <c r="A22" s="8">
        <f t="shared" ref="A22:A23" si="0">ROUND(SUM(H22:T22),2)</f>
        <v>8948.6299999999992</v>
      </c>
      <c r="B22" s="8">
        <f>ROUND(R22,2)</f>
        <v>956.77</v>
      </c>
      <c r="C22" s="8">
        <f>ROUND(H22+I22,2)</f>
        <v>2423.89</v>
      </c>
      <c r="D22" s="8">
        <f>ROUND(SUM(H22:H22)+P22,2)</f>
        <v>117</v>
      </c>
      <c r="E22" s="8">
        <f>ROUND(SUM(J22:K22)+O22+T22,2)</f>
        <v>4556.04</v>
      </c>
      <c r="F22" s="4"/>
      <c r="G22" t="s">
        <v>1</v>
      </c>
      <c r="H22" s="8">
        <f>H8</f>
        <v>117</v>
      </c>
      <c r="I22" s="8">
        <f t="shared" ref="I22:K33" si="1">I8*I$21</f>
        <v>2306.8939999999998</v>
      </c>
      <c r="J22" s="8">
        <f t="shared" si="1"/>
        <v>4083.0427259999997</v>
      </c>
      <c r="K22" s="8">
        <f t="shared" si="1"/>
        <v>0</v>
      </c>
      <c r="L22" s="8"/>
      <c r="M22" s="8">
        <f>(SUM(H22:K22)+SUM(O22:T22)-R22-X22)*M8</f>
        <v>1011.9224097299999</v>
      </c>
      <c r="N22" s="8"/>
      <c r="O22" s="8">
        <f t="shared" ref="O22:O33" si="2">O8*O$21</f>
        <v>230.03150099999999</v>
      </c>
      <c r="P22" s="8">
        <f>P8</f>
        <v>0</v>
      </c>
      <c r="Q22" s="8"/>
      <c r="R22" s="8">
        <f>R8*R21</f>
        <v>956.76819</v>
      </c>
      <c r="S22" s="8"/>
      <c r="T22" s="8">
        <f>-T8*T$21</f>
        <v>242.96790000000001</v>
      </c>
      <c r="U22" s="8"/>
      <c r="V22" s="8"/>
      <c r="W22" s="8"/>
      <c r="X22" s="8">
        <f>X8*X21</f>
        <v>1668.0074669999999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 x14ac:dyDescent="0.3">
      <c r="A23" s="8">
        <f t="shared" si="0"/>
        <v>8573.14</v>
      </c>
      <c r="B23" s="8">
        <f t="shared" ref="B23:B33" si="3">ROUND(R23,2)</f>
        <v>360.84</v>
      </c>
      <c r="C23" s="8">
        <f t="shared" ref="C23:C33" si="4">ROUND(H23+I23,2)</f>
        <v>2423.89</v>
      </c>
      <c r="D23" s="8">
        <f t="shared" ref="D23:D33" si="5">ROUND(SUM(H23:H23)+P23,2)</f>
        <v>117</v>
      </c>
      <c r="E23" s="8">
        <f t="shared" ref="E23:E33" si="6">ROUND(SUM(J23:K23)+O23+T23,2)</f>
        <v>4556.04</v>
      </c>
      <c r="G23" t="s">
        <v>7</v>
      </c>
      <c r="H23" s="8">
        <f t="shared" ref="H23:H33" si="7">H9</f>
        <v>117</v>
      </c>
      <c r="I23" s="8">
        <f t="shared" si="1"/>
        <v>2306.8939999999998</v>
      </c>
      <c r="J23" s="8">
        <f t="shared" si="1"/>
        <v>4083.0427259999997</v>
      </c>
      <c r="K23" s="8">
        <f t="shared" si="1"/>
        <v>0</v>
      </c>
      <c r="L23" s="8"/>
      <c r="M23" s="8">
        <f t="shared" ref="M23:M33" si="8">(SUM(H23:K23)+SUM(O23:T23)-R23-X23)*M9</f>
        <v>1232.3674491199999</v>
      </c>
      <c r="N23" s="8"/>
      <c r="O23" s="8">
        <f t="shared" si="2"/>
        <v>230.03150099999999</v>
      </c>
      <c r="P23" s="8">
        <f t="shared" ref="P23:P33" si="9">P9</f>
        <v>0</v>
      </c>
      <c r="Q23" s="8"/>
      <c r="R23" s="8">
        <f t="shared" ref="R23:R33" si="10">R9*R$21</f>
        <v>360.84016500000001</v>
      </c>
      <c r="S23" s="8"/>
      <c r="T23" s="8">
        <f t="shared" ref="T23:T33" si="11">-T9*T$21</f>
        <v>242.96790000000001</v>
      </c>
      <c r="U23" s="8"/>
      <c r="V23" s="8"/>
      <c r="W23" s="8"/>
      <c r="X23" s="8">
        <f t="shared" ref="X23:X33" si="12">X9*X$21</f>
        <v>1668.0074669999999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x14ac:dyDescent="0.3">
      <c r="A24" s="8">
        <f>ROUND(SUM(H24:T24),2)</f>
        <v>7802.38</v>
      </c>
      <c r="B24" s="8">
        <f t="shared" si="3"/>
        <v>615.42999999999995</v>
      </c>
      <c r="C24" s="8">
        <f t="shared" si="4"/>
        <v>2423.89</v>
      </c>
      <c r="D24" s="8">
        <f t="shared" si="5"/>
        <v>117</v>
      </c>
      <c r="E24" s="8">
        <f t="shared" si="6"/>
        <v>4394.3</v>
      </c>
      <c r="G24" t="s">
        <v>8</v>
      </c>
      <c r="H24" s="8">
        <f t="shared" si="7"/>
        <v>117</v>
      </c>
      <c r="I24" s="8">
        <f t="shared" si="1"/>
        <v>2306.8939999999998</v>
      </c>
      <c r="J24" s="8">
        <f t="shared" si="1"/>
        <v>4083.0427259999997</v>
      </c>
      <c r="K24" s="8">
        <f t="shared" si="1"/>
        <v>0</v>
      </c>
      <c r="L24" s="8"/>
      <c r="M24" s="8">
        <f t="shared" si="8"/>
        <v>368.75366407240006</v>
      </c>
      <c r="N24" s="8"/>
      <c r="O24" s="8">
        <f t="shared" si="2"/>
        <v>230.03150099999999</v>
      </c>
      <c r="P24" s="8">
        <f t="shared" si="9"/>
        <v>0</v>
      </c>
      <c r="Q24" s="8"/>
      <c r="R24" s="8">
        <f t="shared" si="10"/>
        <v>615.43112399999995</v>
      </c>
      <c r="S24" s="8"/>
      <c r="T24" s="8">
        <f t="shared" si="11"/>
        <v>81.230079000000003</v>
      </c>
      <c r="U24" s="8"/>
      <c r="V24" s="8"/>
      <c r="W24" s="8"/>
      <c r="X24" s="8">
        <f t="shared" si="12"/>
        <v>1668.0074669999999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 x14ac:dyDescent="0.3">
      <c r="A25" s="8">
        <f t="shared" ref="A25:A33" si="13">ROUND(SUM(H25:T25),2)</f>
        <v>7830.27</v>
      </c>
      <c r="B25" s="8">
        <f t="shared" si="3"/>
        <v>229.24</v>
      </c>
      <c r="C25" s="8">
        <f t="shared" si="4"/>
        <v>2423.89</v>
      </c>
      <c r="D25" s="8">
        <f t="shared" si="5"/>
        <v>117</v>
      </c>
      <c r="E25" s="8">
        <f t="shared" si="6"/>
        <v>4394.3</v>
      </c>
      <c r="G25" t="s">
        <v>9</v>
      </c>
      <c r="H25" s="8">
        <f t="shared" si="7"/>
        <v>117</v>
      </c>
      <c r="I25" s="8">
        <f t="shared" si="1"/>
        <v>2306.8939999999998</v>
      </c>
      <c r="J25" s="8">
        <f t="shared" si="1"/>
        <v>4083.0427259999997</v>
      </c>
      <c r="K25" s="8">
        <f t="shared" si="1"/>
        <v>0</v>
      </c>
      <c r="L25" s="8"/>
      <c r="M25" s="8">
        <f t="shared" si="8"/>
        <v>782.82900752799981</v>
      </c>
      <c r="N25" s="8"/>
      <c r="O25" s="8">
        <f t="shared" si="2"/>
        <v>230.03150099999999</v>
      </c>
      <c r="P25" s="8">
        <f t="shared" si="9"/>
        <v>0</v>
      </c>
      <c r="Q25" s="8"/>
      <c r="R25" s="8">
        <f t="shared" si="10"/>
        <v>229.24349700000002</v>
      </c>
      <c r="S25" s="8"/>
      <c r="T25" s="8">
        <f t="shared" si="11"/>
        <v>81.230079000000003</v>
      </c>
      <c r="U25" s="8"/>
      <c r="V25" s="8"/>
      <c r="W25" s="8"/>
      <c r="X25" s="8">
        <f t="shared" si="12"/>
        <v>1668.0074669999999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 x14ac:dyDescent="0.3">
      <c r="A26" s="8">
        <f t="shared" si="13"/>
        <v>8288.0400000000009</v>
      </c>
      <c r="B26" s="8">
        <f t="shared" si="3"/>
        <v>572.67999999999995</v>
      </c>
      <c r="C26" s="8">
        <f t="shared" si="4"/>
        <v>2423.89</v>
      </c>
      <c r="D26" s="8">
        <f t="shared" si="5"/>
        <v>117</v>
      </c>
      <c r="E26" s="8">
        <f t="shared" si="6"/>
        <v>4394.3</v>
      </c>
      <c r="G26" t="s">
        <v>10</v>
      </c>
      <c r="H26" s="8">
        <f t="shared" si="7"/>
        <v>117</v>
      </c>
      <c r="I26" s="8">
        <f t="shared" si="1"/>
        <v>2306.8939999999998</v>
      </c>
      <c r="J26" s="8">
        <f t="shared" si="1"/>
        <v>4083.0427259999997</v>
      </c>
      <c r="K26" s="8">
        <f t="shared" si="1"/>
        <v>0</v>
      </c>
      <c r="L26" s="8"/>
      <c r="M26" s="8">
        <f t="shared" si="8"/>
        <v>897.16324415380006</v>
      </c>
      <c r="N26" s="8"/>
      <c r="O26" s="8">
        <f t="shared" si="2"/>
        <v>230.03150099999999</v>
      </c>
      <c r="P26" s="8">
        <f t="shared" si="9"/>
        <v>0</v>
      </c>
      <c r="Q26" s="8"/>
      <c r="R26" s="8">
        <f t="shared" si="10"/>
        <v>572.68190700000002</v>
      </c>
      <c r="S26" s="8"/>
      <c r="T26" s="8">
        <f t="shared" si="11"/>
        <v>81.230079000000003</v>
      </c>
      <c r="U26" s="8"/>
      <c r="V26" s="8"/>
      <c r="W26" s="8"/>
      <c r="X26" s="8">
        <f t="shared" si="12"/>
        <v>1668.0074669999999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 x14ac:dyDescent="0.3">
      <c r="A27" s="8">
        <f t="shared" si="13"/>
        <v>7623.63</v>
      </c>
      <c r="B27" s="8">
        <f t="shared" si="3"/>
        <v>-170.87</v>
      </c>
      <c r="C27" s="8">
        <f t="shared" si="4"/>
        <v>2423.89</v>
      </c>
      <c r="D27" s="8">
        <f t="shared" si="5"/>
        <v>117</v>
      </c>
      <c r="E27" s="8">
        <f t="shared" si="6"/>
        <v>4725.59</v>
      </c>
      <c r="G27" t="s">
        <v>11</v>
      </c>
      <c r="H27" s="8">
        <f t="shared" si="7"/>
        <v>117</v>
      </c>
      <c r="I27" s="8">
        <f t="shared" si="1"/>
        <v>2306.8939999999998</v>
      </c>
      <c r="J27" s="8">
        <f t="shared" si="1"/>
        <v>4633.2665189999998</v>
      </c>
      <c r="K27" s="8">
        <f t="shared" si="1"/>
        <v>0</v>
      </c>
      <c r="L27" s="8"/>
      <c r="M27" s="8">
        <f t="shared" si="8"/>
        <v>645.00842357879981</v>
      </c>
      <c r="N27" s="8"/>
      <c r="O27" s="8">
        <f t="shared" si="2"/>
        <v>230.03150099999999</v>
      </c>
      <c r="P27" s="8">
        <f t="shared" si="9"/>
        <v>0</v>
      </c>
      <c r="Q27" s="8"/>
      <c r="R27" s="8">
        <f t="shared" si="10"/>
        <v>-170.865534</v>
      </c>
      <c r="S27" s="8"/>
      <c r="T27" s="8">
        <f t="shared" si="11"/>
        <v>-137.703699</v>
      </c>
      <c r="U27" s="8"/>
      <c r="V27" s="8"/>
      <c r="W27" s="8"/>
      <c r="X27" s="8">
        <f t="shared" si="12"/>
        <v>2218.23126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 x14ac:dyDescent="0.3">
      <c r="A28" s="8">
        <f t="shared" si="13"/>
        <v>0</v>
      </c>
      <c r="B28" s="8">
        <f t="shared" si="3"/>
        <v>0</v>
      </c>
      <c r="C28" s="8">
        <f t="shared" si="4"/>
        <v>0</v>
      </c>
      <c r="D28" s="8">
        <f t="shared" si="5"/>
        <v>0</v>
      </c>
      <c r="E28" s="8">
        <f t="shared" si="6"/>
        <v>0</v>
      </c>
      <c r="G28" t="s">
        <v>12</v>
      </c>
      <c r="H28" s="8">
        <f t="shared" si="7"/>
        <v>0</v>
      </c>
      <c r="I28" s="8">
        <f t="shared" si="1"/>
        <v>0</v>
      </c>
      <c r="J28" s="8">
        <f t="shared" si="1"/>
        <v>0</v>
      </c>
      <c r="K28" s="8">
        <f t="shared" si="1"/>
        <v>0</v>
      </c>
      <c r="L28" s="8"/>
      <c r="M28" s="8">
        <f t="shared" si="8"/>
        <v>0</v>
      </c>
      <c r="N28" s="8"/>
      <c r="O28" s="8">
        <f t="shared" si="2"/>
        <v>0</v>
      </c>
      <c r="P28" s="8">
        <f t="shared" si="9"/>
        <v>0</v>
      </c>
      <c r="Q28" s="8"/>
      <c r="R28" s="8">
        <f t="shared" si="10"/>
        <v>0</v>
      </c>
      <c r="S28" s="8"/>
      <c r="T28" s="8">
        <f t="shared" si="11"/>
        <v>0</v>
      </c>
      <c r="U28" s="8"/>
      <c r="V28" s="8"/>
      <c r="W28" s="8"/>
      <c r="X28" s="8">
        <f t="shared" si="12"/>
        <v>0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 x14ac:dyDescent="0.3">
      <c r="A29" s="8">
        <f t="shared" si="13"/>
        <v>0</v>
      </c>
      <c r="B29" s="8">
        <f t="shared" si="3"/>
        <v>0</v>
      </c>
      <c r="C29" s="8">
        <f t="shared" si="4"/>
        <v>0</v>
      </c>
      <c r="D29" s="8">
        <f t="shared" si="5"/>
        <v>0</v>
      </c>
      <c r="E29" s="8">
        <f t="shared" si="6"/>
        <v>0</v>
      </c>
      <c r="G29" t="s">
        <v>13</v>
      </c>
      <c r="H29" s="8">
        <f t="shared" si="7"/>
        <v>0</v>
      </c>
      <c r="I29" s="8">
        <f t="shared" si="1"/>
        <v>0</v>
      </c>
      <c r="J29" s="8">
        <f t="shared" si="1"/>
        <v>0</v>
      </c>
      <c r="K29" s="8">
        <f t="shared" si="1"/>
        <v>0</v>
      </c>
      <c r="L29" s="8"/>
      <c r="M29" s="8">
        <f t="shared" si="8"/>
        <v>0</v>
      </c>
      <c r="N29" s="8"/>
      <c r="O29" s="8">
        <f t="shared" si="2"/>
        <v>0</v>
      </c>
      <c r="P29" s="8">
        <f t="shared" si="9"/>
        <v>0</v>
      </c>
      <c r="Q29" s="8"/>
      <c r="R29" s="8">
        <f t="shared" si="10"/>
        <v>0</v>
      </c>
      <c r="S29" s="8"/>
      <c r="T29" s="8">
        <f t="shared" si="11"/>
        <v>0</v>
      </c>
      <c r="U29" s="8"/>
      <c r="V29" s="8"/>
      <c r="W29" s="8"/>
      <c r="X29" s="8">
        <f t="shared" si="12"/>
        <v>0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 x14ac:dyDescent="0.3">
      <c r="A30" s="8">
        <f t="shared" si="13"/>
        <v>0</v>
      </c>
      <c r="B30" s="8">
        <f t="shared" si="3"/>
        <v>0</v>
      </c>
      <c r="C30" s="8">
        <f t="shared" si="4"/>
        <v>0</v>
      </c>
      <c r="D30" s="8">
        <f t="shared" si="5"/>
        <v>0</v>
      </c>
      <c r="E30" s="8">
        <f t="shared" si="6"/>
        <v>0</v>
      </c>
      <c r="G30" t="s">
        <v>14</v>
      </c>
      <c r="H30" s="8">
        <f t="shared" si="7"/>
        <v>0</v>
      </c>
      <c r="I30" s="8">
        <f t="shared" si="1"/>
        <v>0</v>
      </c>
      <c r="J30" s="8">
        <f t="shared" si="1"/>
        <v>0</v>
      </c>
      <c r="K30" s="8">
        <f t="shared" si="1"/>
        <v>0</v>
      </c>
      <c r="L30" s="8"/>
      <c r="M30" s="8">
        <f t="shared" si="8"/>
        <v>0</v>
      </c>
      <c r="N30" s="8"/>
      <c r="O30" s="8">
        <f t="shared" si="2"/>
        <v>0</v>
      </c>
      <c r="P30" s="8">
        <f t="shared" si="9"/>
        <v>0</v>
      </c>
      <c r="Q30" s="8"/>
      <c r="R30" s="8">
        <f t="shared" si="10"/>
        <v>0</v>
      </c>
      <c r="S30" s="8"/>
      <c r="T30" s="8">
        <f t="shared" si="11"/>
        <v>0</v>
      </c>
      <c r="U30" s="8"/>
      <c r="V30" s="8"/>
      <c r="W30" s="8"/>
      <c r="X30" s="8">
        <f t="shared" si="12"/>
        <v>0</v>
      </c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 x14ac:dyDescent="0.3">
      <c r="A31" s="8">
        <f t="shared" si="13"/>
        <v>0</v>
      </c>
      <c r="B31" s="8">
        <f t="shared" si="3"/>
        <v>0</v>
      </c>
      <c r="C31" s="8">
        <f t="shared" si="4"/>
        <v>0</v>
      </c>
      <c r="D31" s="8">
        <f t="shared" si="5"/>
        <v>0</v>
      </c>
      <c r="E31" s="8">
        <f t="shared" si="6"/>
        <v>0</v>
      </c>
      <c r="G31" t="s">
        <v>15</v>
      </c>
      <c r="H31" s="8">
        <f t="shared" si="7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/>
      <c r="M31" s="8">
        <f t="shared" si="8"/>
        <v>0</v>
      </c>
      <c r="N31" s="8"/>
      <c r="O31" s="8">
        <f t="shared" si="2"/>
        <v>0</v>
      </c>
      <c r="P31" s="8">
        <f t="shared" si="9"/>
        <v>0</v>
      </c>
      <c r="Q31" s="8"/>
      <c r="R31" s="8">
        <f t="shared" si="10"/>
        <v>0</v>
      </c>
      <c r="S31" s="8"/>
      <c r="T31" s="8">
        <f t="shared" si="11"/>
        <v>0</v>
      </c>
      <c r="U31" s="8"/>
      <c r="V31" s="8"/>
      <c r="W31" s="8"/>
      <c r="X31" s="8">
        <f t="shared" si="12"/>
        <v>0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x14ac:dyDescent="0.3">
      <c r="A32" s="8">
        <f t="shared" si="13"/>
        <v>0</v>
      </c>
      <c r="B32" s="8">
        <f t="shared" si="3"/>
        <v>0</v>
      </c>
      <c r="C32" s="8">
        <f t="shared" si="4"/>
        <v>0</v>
      </c>
      <c r="D32" s="8">
        <f t="shared" si="5"/>
        <v>0</v>
      </c>
      <c r="E32" s="8">
        <f t="shared" si="6"/>
        <v>0</v>
      </c>
      <c r="G32" t="s">
        <v>16</v>
      </c>
      <c r="H32" s="8">
        <f t="shared" si="7"/>
        <v>0</v>
      </c>
      <c r="I32" s="8">
        <f t="shared" si="1"/>
        <v>0</v>
      </c>
      <c r="J32" s="8">
        <f t="shared" si="1"/>
        <v>0</v>
      </c>
      <c r="K32" s="8">
        <f t="shared" si="1"/>
        <v>0</v>
      </c>
      <c r="L32" s="8"/>
      <c r="M32" s="8">
        <f t="shared" si="8"/>
        <v>0</v>
      </c>
      <c r="N32" s="8"/>
      <c r="O32" s="8">
        <f t="shared" si="2"/>
        <v>0</v>
      </c>
      <c r="P32" s="8">
        <f t="shared" si="9"/>
        <v>0</v>
      </c>
      <c r="Q32" s="8"/>
      <c r="R32" s="8">
        <f t="shared" si="10"/>
        <v>0</v>
      </c>
      <c r="S32" s="8"/>
      <c r="T32" s="8">
        <f t="shared" si="11"/>
        <v>0</v>
      </c>
      <c r="U32" s="8"/>
      <c r="V32" s="8"/>
      <c r="W32" s="8"/>
      <c r="X32" s="8">
        <f t="shared" si="12"/>
        <v>0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x14ac:dyDescent="0.3">
      <c r="A33" s="8">
        <f t="shared" si="13"/>
        <v>0</v>
      </c>
      <c r="B33" s="8">
        <f t="shared" si="3"/>
        <v>0</v>
      </c>
      <c r="C33" s="8">
        <f t="shared" si="4"/>
        <v>0</v>
      </c>
      <c r="D33" s="8">
        <f t="shared" si="5"/>
        <v>0</v>
      </c>
      <c r="E33" s="8">
        <f t="shared" si="6"/>
        <v>0</v>
      </c>
      <c r="G33" t="s">
        <v>17</v>
      </c>
      <c r="H33" s="8">
        <f t="shared" si="7"/>
        <v>0</v>
      </c>
      <c r="I33" s="8">
        <f t="shared" si="1"/>
        <v>0</v>
      </c>
      <c r="J33" s="8">
        <f t="shared" si="1"/>
        <v>0</v>
      </c>
      <c r="K33" s="8">
        <f t="shared" si="1"/>
        <v>0</v>
      </c>
      <c r="L33" s="8"/>
      <c r="M33" s="8">
        <f t="shared" si="8"/>
        <v>0</v>
      </c>
      <c r="N33" s="8"/>
      <c r="O33" s="8">
        <f t="shared" si="2"/>
        <v>0</v>
      </c>
      <c r="P33" s="8">
        <f t="shared" si="9"/>
        <v>0</v>
      </c>
      <c r="Q33" s="8"/>
      <c r="R33" s="8">
        <f t="shared" si="10"/>
        <v>0</v>
      </c>
      <c r="S33" s="8"/>
      <c r="T33" s="8">
        <f t="shared" si="11"/>
        <v>0</v>
      </c>
      <c r="U33" s="8"/>
      <c r="V33" s="8"/>
      <c r="W33" s="8"/>
      <c r="X33" s="8">
        <f t="shared" si="12"/>
        <v>0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5" spans="1:47" x14ac:dyDescent="0.3">
      <c r="A35" s="38"/>
      <c r="D35" s="38"/>
    </row>
    <row r="44" spans="1:47" x14ac:dyDescent="0.3">
      <c r="A44" s="33" t="s">
        <v>161</v>
      </c>
    </row>
    <row r="45" spans="1:47" x14ac:dyDescent="0.3">
      <c r="A45" s="38">
        <f>SUM(H27:K27)+SUM(O27:T27)-R27-X27</f>
        <v>4931.2570609999984</v>
      </c>
    </row>
    <row r="46" spans="1:47" x14ac:dyDescent="0.3">
      <c r="A46" s="51">
        <v>2025</v>
      </c>
      <c r="B46" s="51">
        <v>2026</v>
      </c>
      <c r="C46" s="51">
        <v>2027</v>
      </c>
      <c r="D46" s="51">
        <v>2028</v>
      </c>
      <c r="E46" s="51">
        <v>2029</v>
      </c>
    </row>
    <row r="47" spans="1:47" x14ac:dyDescent="0.3">
      <c r="A47" s="66">
        <f>DS!A45</f>
        <v>1.7676000000000001E-2</v>
      </c>
      <c r="B47" s="66">
        <f>DS!B45</f>
        <v>4.8447999999999998E-2</v>
      </c>
      <c r="C47" s="66">
        <f>DS!C45</f>
        <v>3.6317000000000002E-2</v>
      </c>
      <c r="D47" s="66">
        <f>DS!D45</f>
        <v>3.0025E-2</v>
      </c>
      <c r="E47" s="66">
        <f>DS!E45</f>
        <v>3.1049E-2</v>
      </c>
      <c r="F47" s="53" t="s">
        <v>162</v>
      </c>
    </row>
    <row r="48" spans="1:47" x14ac:dyDescent="0.3">
      <c r="A48" s="54">
        <f>ROUND(A47*$A$45,2)</f>
        <v>87.16</v>
      </c>
      <c r="B48" s="54">
        <f>ROUND(B47*$A$45,2)</f>
        <v>238.91</v>
      </c>
      <c r="C48" s="54">
        <f>ROUND(C47*$A$45,2)</f>
        <v>179.09</v>
      </c>
      <c r="D48" s="54">
        <f>ROUND(D47*$A$45,2)</f>
        <v>148.06</v>
      </c>
      <c r="E48" s="54">
        <f>ROUND(E47*$A$45,2)</f>
        <v>153.11000000000001</v>
      </c>
      <c r="F48" s="53" t="s">
        <v>155</v>
      </c>
    </row>
    <row r="49" spans="1:6" x14ac:dyDescent="0.3">
      <c r="A49" s="55">
        <f>(($A$27+A48)/$A$27)-1</f>
        <v>1.1432873840939273E-2</v>
      </c>
      <c r="B49" s="55">
        <f t="shared" ref="B49:E49" si="14">(($A$27+B48)/$A$27)-1</f>
        <v>3.133808959773754E-2</v>
      </c>
      <c r="C49" s="55">
        <f t="shared" si="14"/>
        <v>2.3491433870741485E-2</v>
      </c>
      <c r="D49" s="55">
        <f t="shared" si="14"/>
        <v>1.9421194365413896E-2</v>
      </c>
      <c r="E49" s="55">
        <f t="shared" si="14"/>
        <v>2.0083608464734004E-2</v>
      </c>
      <c r="F49" s="53" t="s">
        <v>163</v>
      </c>
    </row>
    <row r="51" spans="1:6" x14ac:dyDescent="0.3">
      <c r="A51" s="38">
        <f>$A$27+A48</f>
        <v>7710.79</v>
      </c>
      <c r="B51" s="38">
        <f t="shared" ref="B51:E51" si="15">$A$27+B48</f>
        <v>7862.54</v>
      </c>
      <c r="C51" s="38">
        <f t="shared" si="15"/>
        <v>7802.72</v>
      </c>
      <c r="D51" s="38">
        <f t="shared" si="15"/>
        <v>7771.6900000000005</v>
      </c>
      <c r="E51" s="38">
        <f t="shared" si="15"/>
        <v>7776.74</v>
      </c>
    </row>
  </sheetData>
  <mergeCells count="16">
    <mergeCell ref="AR2:AU2"/>
    <mergeCell ref="H2:K2"/>
    <mergeCell ref="O2:P2"/>
    <mergeCell ref="Z2:AB2"/>
    <mergeCell ref="AD2:AE2"/>
    <mergeCell ref="AG2:AH2"/>
    <mergeCell ref="AR4:AS4"/>
    <mergeCell ref="AT4:AU4"/>
    <mergeCell ref="H3:I3"/>
    <mergeCell ref="Z3:AB3"/>
    <mergeCell ref="AD3:AE3"/>
    <mergeCell ref="AG3:AH3"/>
    <mergeCell ref="AR3:AU3"/>
    <mergeCell ref="Z4:AB4"/>
    <mergeCell ref="AD4:AE4"/>
    <mergeCell ref="AG4:AH4"/>
  </mergeCells>
  <pageMargins left="0.2" right="0.2" top="1.5" bottom="0.75" header="1" footer="0.3"/>
  <pageSetup scale="26" orientation="landscape" r:id="rId1"/>
  <headerFooter>
    <oddHeader>&amp;R&amp;"Times New Roman,Bold"&amp;10KyPSC Case No. 2024-00152
SIERRA-DR-01-050 Attachment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51"/>
  <sheetViews>
    <sheetView view="pageLayout" zoomScaleNormal="75" zoomScaleSheetLayoutView="77" workbookViewId="0">
      <selection activeCell="Z12" sqref="Z12"/>
    </sheetView>
  </sheetViews>
  <sheetFormatPr defaultRowHeight="14.4" x14ac:dyDescent="0.3"/>
  <cols>
    <col min="1" max="1" width="21.5546875" customWidth="1"/>
    <col min="2" max="2" width="15.21875" customWidth="1"/>
    <col min="3" max="3" width="14.44140625" customWidth="1"/>
    <col min="4" max="4" width="13.44140625" customWidth="1"/>
    <col min="5" max="5" width="14.44140625" bestFit="1" customWidth="1"/>
    <col min="6" max="6" width="2.77734375" customWidth="1"/>
    <col min="7" max="7" width="9.21875"/>
    <col min="8" max="8" width="9.44140625" bestFit="1" customWidth="1"/>
    <col min="9" max="9" width="12.5546875" bestFit="1" customWidth="1"/>
    <col min="10" max="10" width="10.44140625" customWidth="1"/>
    <col min="11" max="11" width="12.5546875" customWidth="1"/>
    <col min="12" max="12" width="10.44140625" customWidth="1"/>
    <col min="13" max="16" width="15.77734375" customWidth="1"/>
    <col min="17" max="17" width="2.77734375" customWidth="1"/>
    <col min="18" max="18" width="18.5546875" customWidth="1"/>
    <col min="19" max="19" width="2.77734375" customWidth="1"/>
    <col min="20" max="20" width="13.44140625" customWidth="1"/>
    <col min="21" max="21" width="12.21875" customWidth="1"/>
    <col min="22" max="22" width="2.77734375" customWidth="1"/>
    <col min="23" max="23" width="18.5546875" customWidth="1"/>
    <col min="24" max="24" width="2.77734375" customWidth="1"/>
    <col min="25" max="25" width="21.44140625" customWidth="1"/>
    <col min="26" max="26" width="2.77734375" customWidth="1"/>
    <col min="27" max="27" width="12.5546875" bestFit="1" customWidth="1"/>
    <col min="28" max="28" width="2.77734375" customWidth="1"/>
    <col min="29" max="29" width="24.88671875" bestFit="1" customWidth="1"/>
    <col min="30" max="37" width="9.21875"/>
  </cols>
  <sheetData>
    <row r="1" spans="1:29" x14ac:dyDescent="0.3">
      <c r="A1" t="s">
        <v>27</v>
      </c>
      <c r="C1" s="33"/>
      <c r="D1" s="33"/>
      <c r="E1" s="33"/>
      <c r="F1" s="33"/>
    </row>
    <row r="2" spans="1:29" x14ac:dyDescent="0.3">
      <c r="B2" s="33"/>
      <c r="C2" s="33"/>
      <c r="D2" s="33"/>
      <c r="E2" s="33"/>
      <c r="F2" s="33"/>
      <c r="H2" s="68" t="s">
        <v>51</v>
      </c>
      <c r="I2" s="68"/>
      <c r="J2" s="68"/>
      <c r="K2" s="68"/>
      <c r="L2" s="68"/>
      <c r="M2" s="68"/>
      <c r="N2" s="1"/>
      <c r="O2" s="1"/>
      <c r="P2" s="1"/>
      <c r="R2" s="1" t="s">
        <v>74</v>
      </c>
      <c r="T2" s="68" t="s">
        <v>32</v>
      </c>
      <c r="U2" s="68"/>
      <c r="V2" s="1"/>
      <c r="W2" s="1" t="s">
        <v>40</v>
      </c>
      <c r="Y2" s="1" t="s">
        <v>41</v>
      </c>
      <c r="Z2" s="1"/>
      <c r="AA2" s="1"/>
      <c r="AB2" s="1"/>
      <c r="AC2" s="1"/>
    </row>
    <row r="3" spans="1:29" x14ac:dyDescent="0.3">
      <c r="H3" s="1"/>
      <c r="I3" s="68" t="s">
        <v>23</v>
      </c>
      <c r="J3" s="68"/>
      <c r="K3" s="68"/>
      <c r="L3" s="68"/>
      <c r="M3" s="68" t="s">
        <v>4</v>
      </c>
      <c r="N3" s="68"/>
      <c r="O3" s="68"/>
      <c r="P3" s="68"/>
      <c r="R3" s="1" t="s">
        <v>76</v>
      </c>
      <c r="T3" s="1" t="s">
        <v>29</v>
      </c>
      <c r="U3" s="1" t="s">
        <v>33</v>
      </c>
      <c r="V3" s="1"/>
      <c r="W3" s="1" t="s">
        <v>30</v>
      </c>
      <c r="Y3" s="1" t="s">
        <v>31</v>
      </c>
      <c r="Z3" s="1"/>
      <c r="AA3" s="1"/>
      <c r="AB3" s="1"/>
      <c r="AC3" s="1" t="s">
        <v>104</v>
      </c>
    </row>
    <row r="4" spans="1:29" x14ac:dyDescent="0.3">
      <c r="H4" s="1" t="s">
        <v>0</v>
      </c>
      <c r="I4" s="68" t="s">
        <v>44</v>
      </c>
      <c r="J4" s="68"/>
      <c r="K4" s="68" t="s">
        <v>45</v>
      </c>
      <c r="L4" s="68"/>
      <c r="M4" s="68" t="s">
        <v>44</v>
      </c>
      <c r="N4" s="68"/>
      <c r="O4" s="68" t="s">
        <v>45</v>
      </c>
      <c r="P4" s="68"/>
      <c r="R4" s="1" t="s">
        <v>77</v>
      </c>
      <c r="T4" s="1" t="s">
        <v>4</v>
      </c>
      <c r="U4" s="1" t="s">
        <v>0</v>
      </c>
      <c r="W4" s="1" t="s">
        <v>4</v>
      </c>
      <c r="X4" s="1"/>
      <c r="Y4" s="1" t="s">
        <v>4</v>
      </c>
      <c r="AA4" s="1"/>
      <c r="AC4" s="1" t="s">
        <v>105</v>
      </c>
    </row>
    <row r="5" spans="1:29" x14ac:dyDescent="0.3">
      <c r="H5" s="7"/>
      <c r="I5" s="1" t="s">
        <v>46</v>
      </c>
      <c r="J5" s="1" t="s">
        <v>47</v>
      </c>
      <c r="K5" s="1" t="s">
        <v>46</v>
      </c>
      <c r="L5" s="1" t="s">
        <v>47</v>
      </c>
      <c r="M5" s="1" t="s">
        <v>46</v>
      </c>
      <c r="N5" s="1" t="s">
        <v>47</v>
      </c>
      <c r="O5" s="1" t="s">
        <v>46</v>
      </c>
      <c r="P5" s="1" t="s">
        <v>47</v>
      </c>
      <c r="R5" s="1"/>
      <c r="T5" s="1"/>
      <c r="U5" s="1"/>
      <c r="V5" s="1"/>
      <c r="X5" s="1"/>
    </row>
    <row r="6" spans="1:29" ht="15.6" x14ac:dyDescent="0.3">
      <c r="H6" s="1" t="s">
        <v>2</v>
      </c>
      <c r="I6" s="2" t="s">
        <v>24</v>
      </c>
      <c r="J6" s="2" t="s">
        <v>24</v>
      </c>
      <c r="K6" s="2" t="s">
        <v>24</v>
      </c>
      <c r="L6" s="2" t="s">
        <v>24</v>
      </c>
      <c r="M6" s="2" t="s">
        <v>3</v>
      </c>
      <c r="N6" s="2" t="s">
        <v>3</v>
      </c>
      <c r="O6" s="2" t="s">
        <v>3</v>
      </c>
      <c r="P6" s="2" t="s">
        <v>3</v>
      </c>
      <c r="R6" s="34" t="s">
        <v>75</v>
      </c>
      <c r="T6" s="2" t="s">
        <v>3</v>
      </c>
      <c r="U6" s="1" t="s">
        <v>2</v>
      </c>
      <c r="V6" s="2"/>
      <c r="W6" s="2" t="s">
        <v>3</v>
      </c>
      <c r="X6" s="2"/>
      <c r="Y6" s="2" t="s">
        <v>3</v>
      </c>
      <c r="Z6" s="2"/>
      <c r="AA6" s="2"/>
      <c r="AB6" s="2"/>
      <c r="AC6" s="2"/>
    </row>
    <row r="7" spans="1:29" x14ac:dyDescent="0.3">
      <c r="A7" s="33" t="s">
        <v>65</v>
      </c>
      <c r="B7" s="45" t="s">
        <v>73</v>
      </c>
      <c r="G7" s="33" t="s">
        <v>5</v>
      </c>
    </row>
    <row r="8" spans="1:29" x14ac:dyDescent="0.3">
      <c r="G8" t="s">
        <v>1</v>
      </c>
      <c r="H8" s="4">
        <v>500</v>
      </c>
      <c r="I8" s="4">
        <v>9.08</v>
      </c>
      <c r="J8" s="4">
        <v>1.38</v>
      </c>
      <c r="K8" s="4">
        <v>7.45</v>
      </c>
      <c r="L8" s="4">
        <v>1.38</v>
      </c>
      <c r="M8" s="3">
        <v>5.6863999999999998E-2</v>
      </c>
      <c r="N8" s="3">
        <v>4.6869000000000001E-2</v>
      </c>
      <c r="O8" s="3">
        <v>5.4359999999999999E-2</v>
      </c>
      <c r="P8" s="3">
        <v>4.6869000000000001E-2</v>
      </c>
      <c r="R8" s="67">
        <f>DS!P8</f>
        <v>0.1905</v>
      </c>
      <c r="T8" s="3">
        <v>5.1400000000000003E-4</v>
      </c>
      <c r="U8" s="4">
        <v>0</v>
      </c>
      <c r="W8" s="3">
        <f>RS!$P8</f>
        <v>1.457E-2</v>
      </c>
      <c r="Y8" s="3">
        <f>RS!R8</f>
        <v>-3.7000000000000002E-3</v>
      </c>
      <c r="AC8" s="3">
        <f>+DS!$AA8</f>
        <v>2.5401E-2</v>
      </c>
    </row>
    <row r="9" spans="1:29" x14ac:dyDescent="0.3">
      <c r="A9" s="33" t="s">
        <v>25</v>
      </c>
      <c r="G9" t="s">
        <v>7</v>
      </c>
      <c r="H9" s="4">
        <v>500</v>
      </c>
      <c r="I9" s="4">
        <v>9.08</v>
      </c>
      <c r="J9" s="4">
        <v>1.38</v>
      </c>
      <c r="K9" s="4">
        <v>7.45</v>
      </c>
      <c r="L9" s="4">
        <v>1.38</v>
      </c>
      <c r="M9" s="3">
        <v>5.6863999999999998E-2</v>
      </c>
      <c r="N9" s="3">
        <v>4.6869000000000001E-2</v>
      </c>
      <c r="O9" s="3">
        <v>5.4359999999999999E-2</v>
      </c>
      <c r="P9" s="3">
        <v>4.6869000000000001E-2</v>
      </c>
      <c r="R9" s="67">
        <f>DS!P9</f>
        <v>0.23200000000000001</v>
      </c>
      <c r="T9" s="3">
        <v>5.1400000000000003E-4</v>
      </c>
      <c r="U9" s="4">
        <v>0</v>
      </c>
      <c r="W9" s="3">
        <f>RS!$P9</f>
        <v>5.4949999999999999E-3</v>
      </c>
      <c r="Y9" s="3">
        <f>RS!R9</f>
        <v>-3.7000000000000002E-3</v>
      </c>
      <c r="AC9" s="3">
        <f>+DS!$AA9</f>
        <v>2.5401E-2</v>
      </c>
    </row>
    <row r="10" spans="1:29" x14ac:dyDescent="0.3">
      <c r="A10" s="33" t="s">
        <v>49</v>
      </c>
      <c r="B10" s="33">
        <f>5000*0.96437</f>
        <v>4821.8499999999995</v>
      </c>
      <c r="G10" t="s">
        <v>8</v>
      </c>
      <c r="H10" s="4">
        <v>500</v>
      </c>
      <c r="I10" s="4">
        <v>9.08</v>
      </c>
      <c r="J10" s="4">
        <v>1.38</v>
      </c>
      <c r="K10" s="4">
        <v>7.45</v>
      </c>
      <c r="L10" s="4">
        <v>1.38</v>
      </c>
      <c r="M10" s="3">
        <v>5.6863999999999998E-2</v>
      </c>
      <c r="N10" s="3">
        <v>4.6869000000000001E-2</v>
      </c>
      <c r="O10" s="3">
        <v>5.4359999999999999E-2</v>
      </c>
      <c r="P10" s="3">
        <v>4.6869000000000001E-2</v>
      </c>
      <c r="R10" s="67">
        <f>DS!P10</f>
        <v>7.1599999999999997E-2</v>
      </c>
      <c r="T10" s="3">
        <v>5.1400000000000003E-4</v>
      </c>
      <c r="U10" s="4">
        <v>0</v>
      </c>
      <c r="W10" s="3">
        <f>RS!$P10</f>
        <v>9.3720000000000001E-3</v>
      </c>
      <c r="Y10" s="3">
        <f>RS!R10</f>
        <v>-1.237E-3</v>
      </c>
      <c r="AC10" s="3">
        <f>+DS!$AA10</f>
        <v>2.5401E-2</v>
      </c>
    </row>
    <row r="11" spans="1:29" x14ac:dyDescent="0.3">
      <c r="A11" s="33" t="s">
        <v>50</v>
      </c>
      <c r="B11" s="33">
        <f>5000-B10</f>
        <v>178.15000000000055</v>
      </c>
      <c r="G11" t="s">
        <v>9</v>
      </c>
      <c r="H11" s="4">
        <v>500</v>
      </c>
      <c r="I11" s="4">
        <v>9.08</v>
      </c>
      <c r="J11" s="4">
        <v>1.38</v>
      </c>
      <c r="K11" s="4">
        <v>7.45</v>
      </c>
      <c r="L11" s="4">
        <v>1.38</v>
      </c>
      <c r="M11" s="3">
        <v>5.6863999999999998E-2</v>
      </c>
      <c r="N11" s="3">
        <v>4.6869000000000001E-2</v>
      </c>
      <c r="O11" s="3">
        <v>5.4359999999999999E-2</v>
      </c>
      <c r="P11" s="3">
        <v>4.6869000000000001E-2</v>
      </c>
      <c r="R11" s="67">
        <f>DS!P11</f>
        <v>0.152</v>
      </c>
      <c r="T11" s="3">
        <v>5.1400000000000003E-4</v>
      </c>
      <c r="U11" s="4">
        <v>0</v>
      </c>
      <c r="W11" s="3">
        <f>RS!$P11</f>
        <v>3.4910000000000002E-3</v>
      </c>
      <c r="Y11" s="3">
        <f>RS!R11</f>
        <v>-1.237E-3</v>
      </c>
      <c r="AC11" s="3">
        <f>+DS!$AA11</f>
        <v>2.5401E-2</v>
      </c>
    </row>
    <row r="12" spans="1:29" x14ac:dyDescent="0.3">
      <c r="G12" t="s">
        <v>10</v>
      </c>
      <c r="H12" s="4">
        <v>500</v>
      </c>
      <c r="I12" s="4">
        <v>9.08</v>
      </c>
      <c r="J12" s="4">
        <v>1.38</v>
      </c>
      <c r="K12" s="4">
        <v>7.45</v>
      </c>
      <c r="L12" s="4">
        <v>1.38</v>
      </c>
      <c r="M12" s="3">
        <v>5.6863999999999998E-2</v>
      </c>
      <c r="N12" s="3">
        <v>4.6869000000000001E-2</v>
      </c>
      <c r="O12" s="3">
        <v>5.4359999999999999E-2</v>
      </c>
      <c r="P12" s="3">
        <v>4.6869000000000001E-2</v>
      </c>
      <c r="R12" s="67">
        <f>DS!P12</f>
        <v>0.17419999999999999</v>
      </c>
      <c r="T12" s="3">
        <v>5.1400000000000003E-4</v>
      </c>
      <c r="U12" s="4">
        <v>0</v>
      </c>
      <c r="W12" s="3">
        <f>RS!$P12</f>
        <v>8.7209999999999996E-3</v>
      </c>
      <c r="Y12" s="3">
        <f>RS!R12</f>
        <v>-1.237E-3</v>
      </c>
      <c r="AC12" s="3">
        <f>+DS!$AA12</f>
        <v>2.5401E-2</v>
      </c>
    </row>
    <row r="13" spans="1:29" x14ac:dyDescent="0.3">
      <c r="G13" t="s">
        <v>11</v>
      </c>
      <c r="H13" s="4">
        <v>500</v>
      </c>
      <c r="I13" s="4">
        <v>9.08</v>
      </c>
      <c r="J13" s="4">
        <v>1.38</v>
      </c>
      <c r="K13" s="4">
        <v>7.45</v>
      </c>
      <c r="L13" s="4">
        <v>1.38</v>
      </c>
      <c r="M13" s="3">
        <v>6.5242999999999995E-2</v>
      </c>
      <c r="N13" s="3">
        <v>5.5247999999999998E-2</v>
      </c>
      <c r="O13" s="3">
        <v>6.2739000000000003E-2</v>
      </c>
      <c r="P13" s="3">
        <v>5.5247999999999998E-2</v>
      </c>
      <c r="R13" s="67">
        <f>DS!P13</f>
        <v>0.1308</v>
      </c>
      <c r="T13" s="3">
        <v>5.1400000000000003E-4</v>
      </c>
      <c r="U13" s="4">
        <v>0</v>
      </c>
      <c r="W13" s="3">
        <f>RS!$P13</f>
        <v>-2.6020000000000001E-3</v>
      </c>
      <c r="Y13" s="3">
        <f>RS!R13</f>
        <v>2.0969999999999999E-3</v>
      </c>
      <c r="AC13" s="3">
        <f>+DS!$AA13</f>
        <v>3.3779999999999998E-2</v>
      </c>
    </row>
    <row r="14" spans="1:29" x14ac:dyDescent="0.3">
      <c r="A14" s="33" t="s">
        <v>18</v>
      </c>
      <c r="G14" t="s">
        <v>12</v>
      </c>
      <c r="H14" s="4"/>
      <c r="I14" s="4"/>
      <c r="J14" s="4"/>
      <c r="K14" s="4"/>
      <c r="L14" s="4"/>
      <c r="M14" s="3"/>
      <c r="N14" s="3"/>
      <c r="O14" s="3"/>
      <c r="P14" s="3"/>
      <c r="R14" s="67"/>
      <c r="T14" s="3"/>
      <c r="U14" s="4"/>
      <c r="W14" s="3"/>
      <c r="Y14" s="3"/>
      <c r="AC14" s="3"/>
    </row>
    <row r="15" spans="1:29" x14ac:dyDescent="0.3">
      <c r="A15" s="33" t="s">
        <v>49</v>
      </c>
      <c r="B15" s="46">
        <f>0.30698*1000000</f>
        <v>306980</v>
      </c>
      <c r="C15" s="33" t="s">
        <v>71</v>
      </c>
      <c r="D15" s="33"/>
      <c r="G15" t="s">
        <v>13</v>
      </c>
      <c r="H15" s="4"/>
      <c r="I15" s="4"/>
      <c r="J15" s="4"/>
      <c r="K15" s="4"/>
      <c r="L15" s="4"/>
      <c r="M15" s="3"/>
      <c r="N15" s="3"/>
      <c r="O15" s="3"/>
      <c r="P15" s="3"/>
      <c r="R15" s="67"/>
      <c r="T15" s="3"/>
      <c r="U15" s="4"/>
      <c r="W15" s="3"/>
      <c r="Y15" s="3"/>
      <c r="AC15" s="3"/>
    </row>
    <row r="16" spans="1:29" x14ac:dyDescent="0.3">
      <c r="A16" s="33" t="s">
        <v>50</v>
      </c>
      <c r="B16" s="46">
        <f>1000000-B15</f>
        <v>693020</v>
      </c>
      <c r="C16" s="33" t="s">
        <v>72</v>
      </c>
      <c r="D16" s="33"/>
      <c r="G16" t="s">
        <v>14</v>
      </c>
      <c r="H16" s="4"/>
      <c r="I16" s="4"/>
      <c r="J16" s="4"/>
      <c r="K16" s="4"/>
      <c r="L16" s="4"/>
      <c r="M16" s="3"/>
      <c r="N16" s="3"/>
      <c r="O16" s="3"/>
      <c r="P16" s="3"/>
      <c r="R16" s="67"/>
      <c r="T16" s="3"/>
      <c r="U16" s="4"/>
      <c r="W16" s="3"/>
      <c r="Y16" s="3"/>
      <c r="AC16" s="3"/>
    </row>
    <row r="17" spans="1:29" x14ac:dyDescent="0.3">
      <c r="A17" s="33" t="s">
        <v>70</v>
      </c>
      <c r="B17" s="46"/>
      <c r="C17" s="33" t="s">
        <v>79</v>
      </c>
      <c r="G17" t="s">
        <v>15</v>
      </c>
      <c r="H17" s="4"/>
      <c r="I17" s="4"/>
      <c r="J17" s="4"/>
      <c r="K17" s="4"/>
      <c r="L17" s="4"/>
      <c r="M17" s="3"/>
      <c r="N17" s="3"/>
      <c r="O17" s="3"/>
      <c r="P17" s="3"/>
      <c r="R17" s="67"/>
      <c r="T17" s="3"/>
      <c r="U17" s="4"/>
      <c r="W17" s="3"/>
      <c r="Y17" s="3"/>
      <c r="AC17" s="3"/>
    </row>
    <row r="18" spans="1:29" x14ac:dyDescent="0.3">
      <c r="G18" t="s">
        <v>16</v>
      </c>
      <c r="H18" s="4"/>
      <c r="I18" s="4"/>
      <c r="J18" s="4"/>
      <c r="K18" s="4"/>
      <c r="L18" s="4"/>
      <c r="M18" s="3"/>
      <c r="N18" s="3"/>
      <c r="O18" s="3"/>
      <c r="P18" s="3"/>
      <c r="R18" s="67"/>
      <c r="T18" s="3"/>
      <c r="U18" s="4"/>
      <c r="W18" s="3"/>
      <c r="Y18" s="3"/>
      <c r="AC18" s="3"/>
    </row>
    <row r="19" spans="1:29" x14ac:dyDescent="0.3">
      <c r="A19" s="33" t="s">
        <v>48</v>
      </c>
      <c r="G19" t="s">
        <v>17</v>
      </c>
      <c r="H19" s="4"/>
      <c r="I19" s="4"/>
      <c r="J19" s="4"/>
      <c r="K19" s="4"/>
      <c r="L19" s="4"/>
      <c r="M19" s="3"/>
      <c r="N19" s="3"/>
      <c r="O19" s="3"/>
      <c r="P19" s="3"/>
      <c r="R19" s="67"/>
      <c r="T19" s="3"/>
      <c r="U19" s="4"/>
      <c r="W19" s="3"/>
      <c r="Y19" s="3"/>
      <c r="AC19" s="3"/>
    </row>
    <row r="20" spans="1:29" x14ac:dyDescent="0.3">
      <c r="A20" s="33" t="s">
        <v>49</v>
      </c>
      <c r="B20" s="57">
        <f>ROUND(IF($B$7="n",$B$15,$B$15*0.985),0)</f>
        <v>306980</v>
      </c>
      <c r="H20" s="4"/>
      <c r="I20" s="4"/>
      <c r="J20" s="4"/>
      <c r="K20" s="4"/>
      <c r="L20" s="4"/>
      <c r="M20" s="3"/>
      <c r="N20" s="3"/>
      <c r="O20" s="3"/>
      <c r="P20" s="3"/>
      <c r="T20" s="3"/>
      <c r="U20" s="4"/>
      <c r="W20" s="3"/>
      <c r="Y20" s="3"/>
    </row>
    <row r="21" spans="1:29" x14ac:dyDescent="0.3">
      <c r="A21" s="33" t="s">
        <v>50</v>
      </c>
      <c r="B21" s="57">
        <f>ROUND(IF($B$7="n",$B$16,$B$16*0.985),0)</f>
        <v>693020</v>
      </c>
      <c r="H21" s="4"/>
      <c r="I21" s="4"/>
      <c r="J21" s="4"/>
      <c r="K21" s="4"/>
      <c r="L21" s="4"/>
      <c r="M21" s="3"/>
      <c r="N21" s="3"/>
      <c r="O21" s="3"/>
      <c r="P21" s="3"/>
      <c r="T21" s="3"/>
      <c r="U21" s="4"/>
      <c r="W21" s="3"/>
      <c r="Y21" s="3"/>
      <c r="AC21" s="49"/>
    </row>
    <row r="22" spans="1:29" x14ac:dyDescent="0.3">
      <c r="A22" s="33" t="s">
        <v>70</v>
      </c>
      <c r="B22" s="57">
        <f>ROUND(IF($B$7="n",SUM($B$15:$B$17),SUM(B15:$B$17)*0.985),0)</f>
        <v>1000000</v>
      </c>
      <c r="H22" s="4"/>
      <c r="I22" s="4"/>
      <c r="J22" s="4"/>
      <c r="K22" s="4"/>
      <c r="L22" s="4"/>
      <c r="M22" s="3"/>
      <c r="N22" s="3"/>
      <c r="O22" s="3"/>
      <c r="P22" s="3"/>
      <c r="T22" s="3"/>
      <c r="U22" s="4"/>
      <c r="W22" s="3"/>
      <c r="Y22" s="3"/>
      <c r="AC22" s="8"/>
    </row>
    <row r="23" spans="1:29" x14ac:dyDescent="0.3">
      <c r="A23" s="47"/>
      <c r="B23" s="1" t="s">
        <v>20</v>
      </c>
      <c r="C23" s="1"/>
      <c r="D23" s="1" t="s">
        <v>0</v>
      </c>
      <c r="E23" s="1" t="s">
        <v>4</v>
      </c>
      <c r="M23" s="38" t="s">
        <v>78</v>
      </c>
      <c r="P23" s="38"/>
      <c r="AC23" s="8"/>
    </row>
    <row r="24" spans="1:29" ht="28.8" x14ac:dyDescent="0.3">
      <c r="A24" s="1" t="s">
        <v>19</v>
      </c>
      <c r="B24" s="1" t="s">
        <v>30</v>
      </c>
      <c r="C24" s="7" t="s">
        <v>21</v>
      </c>
      <c r="D24" s="7"/>
      <c r="E24" s="7"/>
      <c r="G24" s="48" t="s">
        <v>26</v>
      </c>
      <c r="H24" s="36"/>
      <c r="I24" s="37">
        <f>$B$10</f>
        <v>4821.8499999999995</v>
      </c>
      <c r="J24" s="37">
        <f>$B$11</f>
        <v>178.15000000000055</v>
      </c>
      <c r="K24" s="37">
        <f>$B$10</f>
        <v>4821.8499999999995</v>
      </c>
      <c r="L24" s="37">
        <f>$B$11</f>
        <v>178.15000000000055</v>
      </c>
      <c r="M24" s="37">
        <f>$B$20</f>
        <v>306980</v>
      </c>
      <c r="N24" s="37">
        <f>$B$21</f>
        <v>693020</v>
      </c>
      <c r="O24" s="37">
        <f>$B$20</f>
        <v>306980</v>
      </c>
      <c r="P24" s="37">
        <f>$B$21</f>
        <v>693020</v>
      </c>
      <c r="Q24" s="36"/>
      <c r="R24" s="36"/>
      <c r="S24" s="36"/>
      <c r="T24" s="37">
        <f>$B$22</f>
        <v>1000000</v>
      </c>
      <c r="U24" s="37"/>
      <c r="V24" s="37"/>
      <c r="W24" s="36">
        <f>$B$22</f>
        <v>1000000</v>
      </c>
      <c r="X24" s="36"/>
      <c r="Y24" s="36">
        <f>$B$22</f>
        <v>1000000</v>
      </c>
      <c r="AC24" s="8">
        <f>IF(B17=0,B15+B16,B17)</f>
        <v>1000000</v>
      </c>
    </row>
    <row r="25" spans="1:29" x14ac:dyDescent="0.3">
      <c r="A25" s="8">
        <f t="shared" ref="A25:A26" si="0">ROUND(SUM(H25:Y25),2)</f>
        <v>116936.38</v>
      </c>
      <c r="B25" s="8">
        <f>ROUND(W25,2)</f>
        <v>14570</v>
      </c>
      <c r="C25" s="8">
        <f>ROUND(H25+M25,2)</f>
        <v>500</v>
      </c>
      <c r="D25" s="8">
        <f>ROUND(SUM(H25:H25)+U25,2)</f>
        <v>500</v>
      </c>
      <c r="E25" s="8">
        <f>ROUND(SUM(M25:M25)+T25+Y25,2)</f>
        <v>4214</v>
      </c>
      <c r="F25" s="4"/>
      <c r="G25" t="s">
        <v>1</v>
      </c>
      <c r="H25" s="8">
        <f t="shared" ref="H25:H36" si="1">H8</f>
        <v>500</v>
      </c>
      <c r="I25" s="8">
        <f t="shared" ref="I25:I36" si="2">IF(K25&gt;0,0,I8*I$24)</f>
        <v>0</v>
      </c>
      <c r="J25" s="8">
        <f t="shared" ref="J25:J36" si="3">IF(L25&gt;0,0,J8*J$24)</f>
        <v>0</v>
      </c>
      <c r="K25" s="8">
        <f t="shared" ref="K25:L29" si="4">IF(OR($G25="Jun",$G25="Jul",$G25="Aug",$G25="Sep"),0,K$24*K8)</f>
        <v>35922.782499999994</v>
      </c>
      <c r="L25" s="8">
        <f t="shared" si="4"/>
        <v>245.84700000000075</v>
      </c>
      <c r="M25" s="8">
        <f>ROUND(IF(O25&gt;0,0,IF(M$24&gt;0,M$24*M8,B$22*M8*(DT!AB22/DT!AF22))),0)</f>
        <v>0</v>
      </c>
      <c r="N25" s="8">
        <f>ROUND(IF(P25&gt;0,0,IF(N$24&gt;0,N$24*M8,B$22*M8*(DT!AB22/DT!AF22))),0)</f>
        <v>0</v>
      </c>
      <c r="O25" s="8">
        <f>ROUND(IF(OR($G25="Jun",$G25="Jul",$G25="Aug",$G25="Sep"),0,IF(O$24&gt;0,O$24*O8,B$22*O8*(DT!AB22/DT!AF22))),0)</f>
        <v>16687</v>
      </c>
      <c r="P25" s="8">
        <f>ROUND(IF(OR($G25="Jun",$G25="Jul",$G25="Aug",$G25="Sep"),0,IF(P$24&gt;0,P$24*P8,P8*B$22*DT!AD22/DT!AF22)),0)</f>
        <v>32481</v>
      </c>
      <c r="Q25" s="8"/>
      <c r="R25" s="8">
        <f>(SUM(H25:P25)+SUM(T25:Y25)-W25-AC25)*R8</f>
        <v>12315.754419749999</v>
      </c>
      <c r="S25" s="8"/>
      <c r="T25" s="8">
        <f t="shared" ref="T25:T36" si="5">T8*T$24</f>
        <v>514</v>
      </c>
      <c r="U25" s="8">
        <f t="shared" ref="U25:U36" si="6">U8</f>
        <v>0</v>
      </c>
      <c r="V25" s="8"/>
      <c r="W25" s="8">
        <f t="shared" ref="W25:W36" si="7">W8*W$24</f>
        <v>14570</v>
      </c>
      <c r="X25" s="8"/>
      <c r="Y25" s="8">
        <f t="shared" ref="Y25:Y36" si="8">-Y8*Y$24</f>
        <v>3700</v>
      </c>
      <c r="Z25" s="8"/>
      <c r="AA25" s="8"/>
      <c r="AB25" s="8"/>
      <c r="AC25" s="8">
        <f>+AC$24*AC8</f>
        <v>25401</v>
      </c>
    </row>
    <row r="26" spans="1:29" x14ac:dyDescent="0.3">
      <c r="A26" s="8">
        <f t="shared" si="0"/>
        <v>110544.34</v>
      </c>
      <c r="B26" s="8">
        <f t="shared" ref="B26:B36" si="9">ROUND(W26,2)</f>
        <v>5495</v>
      </c>
      <c r="C26" s="8">
        <f t="shared" ref="C26:C36" si="10">ROUND(H26+M26,2)</f>
        <v>500</v>
      </c>
      <c r="D26" s="8">
        <f t="shared" ref="D26:D36" si="11">ROUND(SUM(H26:H26)+U26,2)</f>
        <v>500</v>
      </c>
      <c r="E26" s="8">
        <f>ROUND(SUM(M26:M26)+T26+Y26,2)</f>
        <v>4214</v>
      </c>
      <c r="G26" t="s">
        <v>7</v>
      </c>
      <c r="H26" s="8">
        <f t="shared" si="1"/>
        <v>500</v>
      </c>
      <c r="I26" s="8">
        <f t="shared" si="2"/>
        <v>0</v>
      </c>
      <c r="J26" s="8">
        <f t="shared" si="3"/>
        <v>0</v>
      </c>
      <c r="K26" s="8">
        <f t="shared" si="4"/>
        <v>35922.782499999994</v>
      </c>
      <c r="L26" s="8">
        <f t="shared" si="4"/>
        <v>245.84700000000075</v>
      </c>
      <c r="M26" s="8">
        <f>ROUND(IF(O26&gt;0,0,IF(M$24&gt;0,M$24*M9,B$22*M9*(DT!AB23/DT!AF23))),0)</f>
        <v>0</v>
      </c>
      <c r="N26" s="8">
        <f>ROUND(IF(P26&gt;0,0,IF(N$24&gt;0,N$24*M9,B$22*M9*(DT!AB23/DT!AF23))),0)</f>
        <v>0</v>
      </c>
      <c r="O26" s="8">
        <f>ROUND(IF(OR($G26="Jun",$G26="Jul",$G26="Aug",$G26="Sep"),0,IF(O$24&gt;0,O$24*O9,B$22*O9*(DT!AB23/DT!AF23))),0)</f>
        <v>16687</v>
      </c>
      <c r="P26" s="8">
        <f>ROUND(IF(OR($G26="Jun",$G26="Jul",$G26="Aug",$G26="Sep"),0,IF(P$24&gt;0,P$24*P9,P9*B$22*DT!AD23/DT!AF23)),0)</f>
        <v>32481</v>
      </c>
      <c r="Q26" s="8"/>
      <c r="R26" s="8">
        <f t="shared" ref="R26:R36" si="12">(SUM(H26:P26)+SUM(T26:Y26)-W26-AC26)*R9</f>
        <v>14998.714044</v>
      </c>
      <c r="S26" s="8"/>
      <c r="T26" s="8">
        <f t="shared" si="5"/>
        <v>514</v>
      </c>
      <c r="U26" s="8">
        <f t="shared" si="6"/>
        <v>0</v>
      </c>
      <c r="V26" s="8"/>
      <c r="W26" s="8">
        <f t="shared" si="7"/>
        <v>5495</v>
      </c>
      <c r="X26" s="8"/>
      <c r="Y26" s="8">
        <f t="shared" si="8"/>
        <v>3700</v>
      </c>
      <c r="Z26" s="8"/>
      <c r="AA26" s="8"/>
      <c r="AB26" s="8"/>
      <c r="AC26" s="8">
        <f t="shared" ref="AC26:AC36" si="13">+AC$24*AC9</f>
        <v>25401</v>
      </c>
    </row>
    <row r="27" spans="1:29" x14ac:dyDescent="0.3">
      <c r="A27" s="8">
        <f>ROUND(SUM(H27:Y27),2)</f>
        <v>101412.19</v>
      </c>
      <c r="B27" s="8">
        <f t="shared" si="9"/>
        <v>9372</v>
      </c>
      <c r="C27" s="8">
        <f t="shared" si="10"/>
        <v>500</v>
      </c>
      <c r="D27" s="8">
        <f t="shared" si="11"/>
        <v>500</v>
      </c>
      <c r="E27" s="8">
        <f t="shared" ref="E27:E36" si="14">ROUND(SUM(M27:M27)+T27+Y27,2)</f>
        <v>1751</v>
      </c>
      <c r="G27" t="s">
        <v>8</v>
      </c>
      <c r="H27" s="8">
        <f t="shared" si="1"/>
        <v>500</v>
      </c>
      <c r="I27" s="8">
        <f t="shared" si="2"/>
        <v>0</v>
      </c>
      <c r="J27" s="8">
        <f t="shared" si="3"/>
        <v>0</v>
      </c>
      <c r="K27" s="8">
        <f t="shared" si="4"/>
        <v>35922.782499999994</v>
      </c>
      <c r="L27" s="8">
        <f t="shared" si="4"/>
        <v>245.84700000000075</v>
      </c>
      <c r="M27" s="8">
        <f>ROUND(IF(O27&gt;0,0,IF(M$24&gt;0,M$24*M10,B$22*M10*(DT!AB24/DT!AF24))),0)</f>
        <v>0</v>
      </c>
      <c r="N27" s="8">
        <f>ROUND(IF(P27&gt;0,0,IF(N$24&gt;0,N$24*M10,B$22*M10*(DT!AB24/DT!AF24))),0)</f>
        <v>0</v>
      </c>
      <c r="O27" s="8">
        <f>ROUND(IF(OR($G27="Jun",$G27="Jul",$G27="Aug",$G27="Sep"),0,IF(O$24&gt;0,O$24*O10,B$22*O10*(DT!AB24/DT!AF24))),0)</f>
        <v>16687</v>
      </c>
      <c r="P27" s="8">
        <f>ROUND(IF(OR($G27="Jun",$G27="Jul",$G27="Aug",$G27="Sep"),0,IF(P$24&gt;0,P$24*P10,P10*B$22*DT!AD24/DT!AF24)),0)</f>
        <v>32481</v>
      </c>
      <c r="Q27" s="8"/>
      <c r="R27" s="8">
        <f t="shared" ref="R27" si="15">(SUM(H27:P27)+SUM(T27:Y27)-W27-AC27)*R10</f>
        <v>4452.5626721999997</v>
      </c>
      <c r="S27" s="8"/>
      <c r="T27" s="8">
        <f t="shared" si="5"/>
        <v>514</v>
      </c>
      <c r="U27" s="8">
        <f t="shared" si="6"/>
        <v>0</v>
      </c>
      <c r="V27" s="8"/>
      <c r="W27" s="8">
        <f t="shared" si="7"/>
        <v>9372</v>
      </c>
      <c r="X27" s="8"/>
      <c r="Y27" s="8">
        <f t="shared" si="8"/>
        <v>1237</v>
      </c>
      <c r="Z27" s="8"/>
      <c r="AA27" s="8"/>
      <c r="AB27" s="8"/>
      <c r="AC27" s="8">
        <f t="shared" si="13"/>
        <v>25401</v>
      </c>
    </row>
    <row r="28" spans="1:29" x14ac:dyDescent="0.3">
      <c r="A28" s="8">
        <f t="shared" ref="A28:A36" si="16">ROUND(SUM(H28:Y28),2)</f>
        <v>100531</v>
      </c>
      <c r="B28" s="8">
        <f t="shared" si="9"/>
        <v>3491</v>
      </c>
      <c r="C28" s="8">
        <f t="shared" si="10"/>
        <v>500</v>
      </c>
      <c r="D28" s="8">
        <f t="shared" si="11"/>
        <v>500</v>
      </c>
      <c r="E28" s="8">
        <f t="shared" si="14"/>
        <v>1751</v>
      </c>
      <c r="G28" t="s">
        <v>9</v>
      </c>
      <c r="H28" s="8">
        <f t="shared" si="1"/>
        <v>500</v>
      </c>
      <c r="I28" s="8">
        <f t="shared" si="2"/>
        <v>0</v>
      </c>
      <c r="J28" s="8">
        <f t="shared" si="3"/>
        <v>0</v>
      </c>
      <c r="K28" s="8">
        <f t="shared" si="4"/>
        <v>35922.782499999994</v>
      </c>
      <c r="L28" s="8">
        <f t="shared" si="4"/>
        <v>245.84700000000075</v>
      </c>
      <c r="M28" s="8">
        <f>ROUND(IF(O28&gt;0,0,IF(M$24&gt;0,M$24*M11,B$22*M11*(DT!AB25/DT!AF25))),0)</f>
        <v>0</v>
      </c>
      <c r="N28" s="8">
        <f>ROUND(IF(P28&gt;0,0,IF(N$24&gt;0,N$24*M11,B$22*M11*(DT!AB25/DT!AF25))),0)</f>
        <v>0</v>
      </c>
      <c r="O28" s="8">
        <f>ROUND(IF(OR($G28="Jun",$G28="Jul",$G28="Aug",$G28="Sep"),0,IF(O$24&gt;0,O$24*O11,B$22*O11*(DT!AB25/DT!AF25))),0)</f>
        <v>16687</v>
      </c>
      <c r="P28" s="8">
        <f>ROUND(IF(OR($G28="Jun",$G28="Jul",$G28="Aug",$G28="Sep"),0,IF(P$24&gt;0,P$24*P11,P11*B$22*DT!AD25/DT!AF25)),0)</f>
        <v>32481</v>
      </c>
      <c r="Q28" s="8"/>
      <c r="R28" s="8">
        <f t="shared" si="12"/>
        <v>9452.3676839999989</v>
      </c>
      <c r="S28" s="8"/>
      <c r="T28" s="8">
        <f t="shared" si="5"/>
        <v>514</v>
      </c>
      <c r="U28" s="8">
        <f t="shared" si="6"/>
        <v>0</v>
      </c>
      <c r="V28" s="8"/>
      <c r="W28" s="8">
        <f t="shared" si="7"/>
        <v>3491</v>
      </c>
      <c r="X28" s="8"/>
      <c r="Y28" s="8">
        <f t="shared" si="8"/>
        <v>1237</v>
      </c>
      <c r="Z28" s="8"/>
      <c r="AA28" s="8"/>
      <c r="AB28" s="8"/>
      <c r="AC28" s="8">
        <f t="shared" si="13"/>
        <v>25401</v>
      </c>
    </row>
    <row r="29" spans="1:29" x14ac:dyDescent="0.3">
      <c r="A29" s="8">
        <f t="shared" si="16"/>
        <v>107141.54</v>
      </c>
      <c r="B29" s="8">
        <f t="shared" si="9"/>
        <v>8721</v>
      </c>
      <c r="C29" s="8">
        <f t="shared" si="10"/>
        <v>500</v>
      </c>
      <c r="D29" s="8">
        <f t="shared" si="11"/>
        <v>500</v>
      </c>
      <c r="E29" s="8">
        <f t="shared" si="14"/>
        <v>1751</v>
      </c>
      <c r="G29" t="s">
        <v>10</v>
      </c>
      <c r="H29" s="8">
        <f t="shared" si="1"/>
        <v>500</v>
      </c>
      <c r="I29" s="8">
        <f t="shared" si="2"/>
        <v>0</v>
      </c>
      <c r="J29" s="8">
        <f t="shared" si="3"/>
        <v>0</v>
      </c>
      <c r="K29" s="8">
        <f t="shared" si="4"/>
        <v>35922.782499999994</v>
      </c>
      <c r="L29" s="8">
        <f t="shared" si="4"/>
        <v>245.84700000000075</v>
      </c>
      <c r="M29" s="8">
        <f>ROUND(IF(O29&gt;0,0,IF(M$24&gt;0,M$24*M12,B$22*M12*(DT!AB26/DT!AF26))),0)</f>
        <v>0</v>
      </c>
      <c r="N29" s="8">
        <f>ROUND(IF(P29&gt;0,0,IF(N$24&gt;0,N$24*M12,B$22*M12*(DT!AB26/DT!AF26))),0)</f>
        <v>0</v>
      </c>
      <c r="O29" s="8">
        <f>ROUND(IF(OR($G29="Jun",$G29="Jul",$G29="Aug",$G29="Sep"),0,IF(O$24&gt;0,O$24*O12,B$22*O12*(DT!AB26/DT!AF26))),0)</f>
        <v>16687</v>
      </c>
      <c r="P29" s="8">
        <f>ROUND(IF(OR($G29="Jun",$G29="Jul",$G29="Aug",$G29="Sep"),0,IF(P$24&gt;0,P$24*P12,P12*B$22*DT!AD26/DT!AF26)),0)</f>
        <v>32481</v>
      </c>
      <c r="Q29" s="8"/>
      <c r="R29" s="8">
        <f t="shared" si="12"/>
        <v>10832.910858899999</v>
      </c>
      <c r="S29" s="8"/>
      <c r="T29" s="8">
        <f t="shared" si="5"/>
        <v>514</v>
      </c>
      <c r="U29" s="8">
        <f t="shared" si="6"/>
        <v>0</v>
      </c>
      <c r="V29" s="8"/>
      <c r="W29" s="8">
        <f t="shared" si="7"/>
        <v>8721</v>
      </c>
      <c r="X29" s="8"/>
      <c r="Y29" s="8">
        <f t="shared" si="8"/>
        <v>1237</v>
      </c>
      <c r="Z29" s="8"/>
      <c r="AA29" s="8"/>
      <c r="AB29" s="8"/>
      <c r="AC29" s="8">
        <f t="shared" si="13"/>
        <v>25401</v>
      </c>
    </row>
    <row r="30" spans="1:29" x14ac:dyDescent="0.3">
      <c r="A30" s="8">
        <f t="shared" si="16"/>
        <v>107485.79</v>
      </c>
      <c r="B30" s="8">
        <f t="shared" si="9"/>
        <v>-2602</v>
      </c>
      <c r="C30" s="8">
        <f t="shared" si="10"/>
        <v>20528</v>
      </c>
      <c r="D30" s="8">
        <f t="shared" si="11"/>
        <v>500</v>
      </c>
      <c r="E30" s="8">
        <f t="shared" si="14"/>
        <v>18445</v>
      </c>
      <c r="G30" t="s">
        <v>11</v>
      </c>
      <c r="H30" s="8">
        <f t="shared" si="1"/>
        <v>500</v>
      </c>
      <c r="I30" s="8">
        <f t="shared" si="2"/>
        <v>43782.397999999994</v>
      </c>
      <c r="J30" s="8">
        <f t="shared" si="3"/>
        <v>245.84700000000075</v>
      </c>
      <c r="K30" s="8">
        <f>IF(OR($G30="Jun",$G30="Jul",$G30="Aug",$G30="Sep"),0,K$24*K13)</f>
        <v>0</v>
      </c>
      <c r="L30" s="8">
        <f>IF(OR($G30="Jun",$G30="Jul",$G30="Aug",$G30="Sep"),0,L$24*L13)</f>
        <v>0</v>
      </c>
      <c r="M30" s="8">
        <f>ROUND(IF(O30&gt;0,0,IF(M$24&gt;0,M$24*M13,B$22*M13*(DT!AB27/DT!AF27))),0)</f>
        <v>20028</v>
      </c>
      <c r="N30" s="8">
        <f>ROUND(IF(P30&gt;0,0,IF(N$24&gt;0,N$24*N13,C$22*N13*(DT!AC27/DT!AG27))),0)</f>
        <v>38288</v>
      </c>
      <c r="O30" s="8">
        <f>ROUND(IF(OR($G30="Jun",$G30="Jul",$G30="Aug",$G30="Sep"),0,IF(O$24&gt;0,O$24*O13,B$22*O13*(DT!AB27/DT!AF27))),0)</f>
        <v>0</v>
      </c>
      <c r="P30" s="8">
        <f>ROUND(IF(OR($G30="Jun",$G30="Jul",$G30="Aug",$G30="Sep"),0,IF(P$24&gt;0,P$24*P13,P13*B$22*DT!AD27/DT!AF27)),0)</f>
        <v>0</v>
      </c>
      <c r="Q30" s="8"/>
      <c r="R30" s="8">
        <f t="shared" si="12"/>
        <v>8826.5468459999993</v>
      </c>
      <c r="S30" s="8"/>
      <c r="T30" s="8">
        <f t="shared" si="5"/>
        <v>514</v>
      </c>
      <c r="U30" s="8">
        <f t="shared" si="6"/>
        <v>0</v>
      </c>
      <c r="V30" s="8"/>
      <c r="W30" s="8">
        <f t="shared" si="7"/>
        <v>-2602</v>
      </c>
      <c r="X30" s="8"/>
      <c r="Y30" s="8">
        <f t="shared" si="8"/>
        <v>-2097</v>
      </c>
      <c r="Z30" s="8"/>
      <c r="AA30" s="8"/>
      <c r="AB30" s="8"/>
      <c r="AC30" s="8">
        <f t="shared" si="13"/>
        <v>33780</v>
      </c>
    </row>
    <row r="31" spans="1:29" x14ac:dyDescent="0.3">
      <c r="A31" s="8">
        <f t="shared" si="16"/>
        <v>0</v>
      </c>
      <c r="B31" s="8">
        <f t="shared" si="9"/>
        <v>0</v>
      </c>
      <c r="C31" s="8">
        <f t="shared" si="10"/>
        <v>0</v>
      </c>
      <c r="D31" s="8">
        <f t="shared" si="11"/>
        <v>0</v>
      </c>
      <c r="E31" s="8">
        <f t="shared" si="14"/>
        <v>0</v>
      </c>
      <c r="G31" t="s">
        <v>12</v>
      </c>
      <c r="H31" s="8">
        <f t="shared" si="1"/>
        <v>0</v>
      </c>
      <c r="I31" s="8">
        <f t="shared" si="2"/>
        <v>0</v>
      </c>
      <c r="J31" s="8">
        <f t="shared" si="3"/>
        <v>0</v>
      </c>
      <c r="K31" s="8">
        <f t="shared" ref="K31:L36" si="17">IF(OR($G31="Jun",$G31="Jul",$G31="Aug",$G31="Sep"),0,K$24*K14)</f>
        <v>0</v>
      </c>
      <c r="L31" s="8">
        <f t="shared" si="17"/>
        <v>0</v>
      </c>
      <c r="M31" s="8">
        <f>ROUND(IF(O31&gt;0,0,IF(M$24&gt;0,M$24*M14,B$22*M14*(DT!AB28/DT!AF28))),0)</f>
        <v>0</v>
      </c>
      <c r="N31" s="8">
        <f>ROUND(IF(P31&gt;0,0,IF(N$24&gt;0,N$24*N14,C$22*N14*(DT!AC28/DT!AG28))),0)</f>
        <v>0</v>
      </c>
      <c r="O31" s="8">
        <f>ROUND(IF(OR($G31="Jun",$G31="Jul",$G31="Aug",$G31="Sep"),0,IF(O$24&gt;0,O$24*O14,B$22*O14*(DT!AB28/DT!AF28))),0)</f>
        <v>0</v>
      </c>
      <c r="P31" s="8">
        <f>ROUND(IF(OR($G31="Jun",$G31="Jul",$G31="Aug",$G31="Sep"),0,IF(P$24&gt;0,P$24*P14,P14*B$22*DT!AD28/DT!AF28)),0)</f>
        <v>0</v>
      </c>
      <c r="Q31" s="8"/>
      <c r="R31" s="8">
        <f t="shared" si="12"/>
        <v>0</v>
      </c>
      <c r="S31" s="8"/>
      <c r="T31" s="8">
        <f t="shared" si="5"/>
        <v>0</v>
      </c>
      <c r="U31" s="8">
        <f t="shared" si="6"/>
        <v>0</v>
      </c>
      <c r="V31" s="8"/>
      <c r="W31" s="8">
        <f t="shared" si="7"/>
        <v>0</v>
      </c>
      <c r="X31" s="8"/>
      <c r="Y31" s="8">
        <f t="shared" si="8"/>
        <v>0</v>
      </c>
      <c r="Z31" s="8"/>
      <c r="AA31" s="8"/>
      <c r="AB31" s="8"/>
      <c r="AC31" s="8">
        <f t="shared" si="13"/>
        <v>0</v>
      </c>
    </row>
    <row r="32" spans="1:29" x14ac:dyDescent="0.3">
      <c r="A32" s="8">
        <f t="shared" si="16"/>
        <v>0</v>
      </c>
      <c r="B32" s="8">
        <f t="shared" si="9"/>
        <v>0</v>
      </c>
      <c r="C32" s="8">
        <f t="shared" si="10"/>
        <v>0</v>
      </c>
      <c r="D32" s="8">
        <f t="shared" si="11"/>
        <v>0</v>
      </c>
      <c r="E32" s="8">
        <f t="shared" si="14"/>
        <v>0</v>
      </c>
      <c r="G32" t="s">
        <v>13</v>
      </c>
      <c r="H32" s="8">
        <f t="shared" si="1"/>
        <v>0</v>
      </c>
      <c r="I32" s="8">
        <f t="shared" si="2"/>
        <v>0</v>
      </c>
      <c r="J32" s="8">
        <f t="shared" si="3"/>
        <v>0</v>
      </c>
      <c r="K32" s="8">
        <f t="shared" si="17"/>
        <v>0</v>
      </c>
      <c r="L32" s="8">
        <f t="shared" si="17"/>
        <v>0</v>
      </c>
      <c r="M32" s="8">
        <f>ROUND(IF(O32&gt;0,0,IF(M$24&gt;0,M$24*M15,B$22*M15*(DT!AB29/DT!AF29))),0)</f>
        <v>0</v>
      </c>
      <c r="N32" s="8">
        <f>ROUND(IF(P32&gt;0,0,IF(N$24&gt;0,N$24*N15,C$22*N15*(DT!AC29/DT!AG29))),0)</f>
        <v>0</v>
      </c>
      <c r="O32" s="8">
        <f>ROUND(IF(OR($G32="Jun",$G32="Jul",$G32="Aug",$G32="Sep"),0,IF(O$24&gt;0,O$24*O15,B$22*O15*(DT!AB29/DT!AF29))),0)</f>
        <v>0</v>
      </c>
      <c r="P32" s="8">
        <f>ROUND(IF(OR($G32="Jun",$G32="Jul",$G32="Aug",$G32="Sep"),0,IF(P$24&gt;0,P$24*P15,P15*B$22*DT!AD29/DT!AF29)),0)</f>
        <v>0</v>
      </c>
      <c r="Q32" s="8"/>
      <c r="R32" s="8">
        <f t="shared" si="12"/>
        <v>0</v>
      </c>
      <c r="S32" s="8"/>
      <c r="T32" s="8">
        <f t="shared" si="5"/>
        <v>0</v>
      </c>
      <c r="U32" s="8">
        <f t="shared" si="6"/>
        <v>0</v>
      </c>
      <c r="V32" s="8"/>
      <c r="W32" s="8">
        <f t="shared" si="7"/>
        <v>0</v>
      </c>
      <c r="X32" s="8"/>
      <c r="Y32" s="8">
        <f t="shared" si="8"/>
        <v>0</v>
      </c>
      <c r="Z32" s="8"/>
      <c r="AA32" s="8"/>
      <c r="AB32" s="8"/>
      <c r="AC32" s="8">
        <f t="shared" si="13"/>
        <v>0</v>
      </c>
    </row>
    <row r="33" spans="1:29" x14ac:dyDescent="0.3">
      <c r="A33" s="8">
        <f t="shared" si="16"/>
        <v>0</v>
      </c>
      <c r="B33" s="8">
        <f t="shared" si="9"/>
        <v>0</v>
      </c>
      <c r="C33" s="8">
        <f t="shared" si="10"/>
        <v>0</v>
      </c>
      <c r="D33" s="8">
        <f t="shared" si="11"/>
        <v>0</v>
      </c>
      <c r="E33" s="8">
        <f t="shared" si="14"/>
        <v>0</v>
      </c>
      <c r="G33" t="s">
        <v>14</v>
      </c>
      <c r="H33" s="8">
        <f t="shared" si="1"/>
        <v>0</v>
      </c>
      <c r="I33" s="8">
        <f t="shared" si="2"/>
        <v>0</v>
      </c>
      <c r="J33" s="8">
        <f t="shared" si="3"/>
        <v>0</v>
      </c>
      <c r="K33" s="8">
        <f t="shared" si="17"/>
        <v>0</v>
      </c>
      <c r="L33" s="8">
        <f t="shared" si="17"/>
        <v>0</v>
      </c>
      <c r="M33" s="8">
        <f>ROUND(IF(O33&gt;0,0,IF(M$24&gt;0,M$24*M16,B$22*M16*(DT!AB30/DT!AF30))),0)</f>
        <v>0</v>
      </c>
      <c r="N33" s="8">
        <f>ROUND(IF(P33&gt;0,0,IF(N$24&gt;0,N$24*N16,C$22*N16*(DT!AC30/DT!AG30))),0)</f>
        <v>0</v>
      </c>
      <c r="O33" s="8">
        <f>ROUND(IF(OR($G33="Jun",$G33="Jul",$G33="Aug",$G33="Sep"),0,IF(O$24&gt;0,O$24*O16,B$22*O16*(DT!AB30/DT!AF30))),0)</f>
        <v>0</v>
      </c>
      <c r="P33" s="8">
        <f>ROUND(IF(OR($G33="Jun",$G33="Jul",$G33="Aug",$G33="Sep"),0,IF(P$24&gt;0,P$24*P16,P16*B$22*DT!AD30/DT!AF30)),0)</f>
        <v>0</v>
      </c>
      <c r="Q33" s="8"/>
      <c r="R33" s="8">
        <f t="shared" si="12"/>
        <v>0</v>
      </c>
      <c r="S33" s="8"/>
      <c r="T33" s="8">
        <f t="shared" si="5"/>
        <v>0</v>
      </c>
      <c r="U33" s="8">
        <f t="shared" si="6"/>
        <v>0</v>
      </c>
      <c r="V33" s="8"/>
      <c r="W33" s="8">
        <f t="shared" si="7"/>
        <v>0</v>
      </c>
      <c r="X33" s="8"/>
      <c r="Y33" s="8">
        <f t="shared" si="8"/>
        <v>0</v>
      </c>
      <c r="Z33" s="8"/>
      <c r="AA33" s="8"/>
      <c r="AB33" s="8"/>
      <c r="AC33" s="8">
        <f t="shared" si="13"/>
        <v>0</v>
      </c>
    </row>
    <row r="34" spans="1:29" x14ac:dyDescent="0.3">
      <c r="A34" s="8">
        <f t="shared" si="16"/>
        <v>0</v>
      </c>
      <c r="B34" s="8">
        <f t="shared" si="9"/>
        <v>0</v>
      </c>
      <c r="C34" s="8">
        <f t="shared" si="10"/>
        <v>0</v>
      </c>
      <c r="D34" s="8">
        <f t="shared" si="11"/>
        <v>0</v>
      </c>
      <c r="E34" s="8">
        <f t="shared" si="14"/>
        <v>0</v>
      </c>
      <c r="G34" t="s">
        <v>15</v>
      </c>
      <c r="H34" s="8">
        <f t="shared" si="1"/>
        <v>0</v>
      </c>
      <c r="I34" s="8">
        <f t="shared" si="2"/>
        <v>0</v>
      </c>
      <c r="J34" s="8">
        <f t="shared" si="3"/>
        <v>0</v>
      </c>
      <c r="K34" s="8">
        <f t="shared" si="17"/>
        <v>0</v>
      </c>
      <c r="L34" s="8">
        <f t="shared" si="17"/>
        <v>0</v>
      </c>
      <c r="M34" s="8">
        <f>ROUND(IF(O34&gt;0,0,IF(M$24&gt;0,M$24*M17,B$22*M17*(DT!AB31/DT!AF31))),0)</f>
        <v>0</v>
      </c>
      <c r="N34" s="8">
        <f>ROUND(IF(P34&gt;0,0,IF(N$24&gt;0,N$24*M17,B$22*M17*(DT!AB31/DT!AF31))),0)</f>
        <v>0</v>
      </c>
      <c r="O34" s="8">
        <f>ROUND(IF(OR($G34="Jun",$G34="Jul",$G34="Aug",$G34="Sep"),0,IF(O$24&gt;0,O$24*O17,B$22*O17*(DT!AB31/DT!AF31))),0)</f>
        <v>0</v>
      </c>
      <c r="P34" s="8">
        <f>ROUND(IF(OR($G34="Jun",$G34="Jul",$G34="Aug",$G34="Sep"),0,IF(P$24&gt;0,P$24*P17,P17*B$22*DT!AD31/DT!AF31)),0)</f>
        <v>0</v>
      </c>
      <c r="Q34" s="8"/>
      <c r="R34" s="8">
        <f t="shared" si="12"/>
        <v>0</v>
      </c>
      <c r="S34" s="8"/>
      <c r="T34" s="8">
        <f t="shared" si="5"/>
        <v>0</v>
      </c>
      <c r="U34" s="8">
        <f t="shared" si="6"/>
        <v>0</v>
      </c>
      <c r="V34" s="8"/>
      <c r="W34" s="8">
        <f t="shared" si="7"/>
        <v>0</v>
      </c>
      <c r="X34" s="8"/>
      <c r="Y34" s="8">
        <f t="shared" si="8"/>
        <v>0</v>
      </c>
      <c r="Z34" s="8"/>
      <c r="AA34" s="8"/>
      <c r="AB34" s="8"/>
      <c r="AC34" s="8">
        <f t="shared" si="13"/>
        <v>0</v>
      </c>
    </row>
    <row r="35" spans="1:29" x14ac:dyDescent="0.3">
      <c r="A35" s="8">
        <f t="shared" si="16"/>
        <v>0</v>
      </c>
      <c r="B35" s="8">
        <f t="shared" si="9"/>
        <v>0</v>
      </c>
      <c r="C35" s="8">
        <f t="shared" si="10"/>
        <v>0</v>
      </c>
      <c r="D35" s="8">
        <f t="shared" si="11"/>
        <v>0</v>
      </c>
      <c r="E35" s="8">
        <f t="shared" si="14"/>
        <v>0</v>
      </c>
      <c r="G35" t="s">
        <v>16</v>
      </c>
      <c r="H35" s="8">
        <f t="shared" si="1"/>
        <v>0</v>
      </c>
      <c r="I35" s="8">
        <f t="shared" si="2"/>
        <v>0</v>
      </c>
      <c r="J35" s="8">
        <f t="shared" si="3"/>
        <v>0</v>
      </c>
      <c r="K35" s="8">
        <f t="shared" si="17"/>
        <v>0</v>
      </c>
      <c r="L35" s="8">
        <f t="shared" si="17"/>
        <v>0</v>
      </c>
      <c r="M35" s="8">
        <f>ROUND(IF(O35&gt;0,0,IF(M$24&gt;0,M$24*M18,B$22*M18*(DT!AB32/DT!AF32))),0)</f>
        <v>0</v>
      </c>
      <c r="N35" s="8">
        <f>ROUND(IF(P35&gt;0,0,IF(N$24&gt;0,N$24*M18,B$22*M18*(DT!AB32/DT!AF32))),0)</f>
        <v>0</v>
      </c>
      <c r="O35" s="8">
        <f>ROUND(IF(OR($G35="Jun",$G35="Jul",$G35="Aug",$G35="Sep"),0,IF(O$24&gt;0,O$24*O18,B$22*O18*(DT!AB32/DT!AF32))),0)</f>
        <v>0</v>
      </c>
      <c r="P35" s="8">
        <f>ROUND(IF(OR($G35="Jun",$G35="Jul",$G35="Aug",$G35="Sep"),0,IF(P$24&gt;0,P$24*P18,P18*B$22*DT!AD32/DT!AF32)),0)</f>
        <v>0</v>
      </c>
      <c r="Q35" s="8"/>
      <c r="R35" s="8">
        <f t="shared" si="12"/>
        <v>0</v>
      </c>
      <c r="S35" s="8"/>
      <c r="T35" s="8">
        <f t="shared" si="5"/>
        <v>0</v>
      </c>
      <c r="U35" s="8">
        <f t="shared" si="6"/>
        <v>0</v>
      </c>
      <c r="V35" s="8"/>
      <c r="W35" s="8">
        <f t="shared" si="7"/>
        <v>0</v>
      </c>
      <c r="X35" s="8"/>
      <c r="Y35" s="8">
        <f t="shared" si="8"/>
        <v>0</v>
      </c>
      <c r="Z35" s="8"/>
      <c r="AA35" s="8"/>
      <c r="AB35" s="8"/>
      <c r="AC35" s="8">
        <f t="shared" si="13"/>
        <v>0</v>
      </c>
    </row>
    <row r="36" spans="1:29" x14ac:dyDescent="0.3">
      <c r="A36" s="8">
        <f t="shared" si="16"/>
        <v>0</v>
      </c>
      <c r="B36" s="8">
        <f t="shared" si="9"/>
        <v>0</v>
      </c>
      <c r="C36" s="8">
        <f t="shared" si="10"/>
        <v>0</v>
      </c>
      <c r="D36" s="8">
        <f t="shared" si="11"/>
        <v>0</v>
      </c>
      <c r="E36" s="8">
        <f t="shared" si="14"/>
        <v>0</v>
      </c>
      <c r="G36" t="s">
        <v>17</v>
      </c>
      <c r="H36" s="8">
        <f t="shared" si="1"/>
        <v>0</v>
      </c>
      <c r="I36" s="8">
        <f t="shared" si="2"/>
        <v>0</v>
      </c>
      <c r="J36" s="8">
        <f t="shared" si="3"/>
        <v>0</v>
      </c>
      <c r="K36" s="8">
        <f t="shared" si="17"/>
        <v>0</v>
      </c>
      <c r="L36" s="8">
        <f t="shared" si="17"/>
        <v>0</v>
      </c>
      <c r="M36" s="8">
        <f>ROUND(IF(O36&gt;0,0,IF(M$24&gt;0,M$24*M19,B$22*M19*(DT!AB33/DT!AF33))),0)</f>
        <v>0</v>
      </c>
      <c r="N36" s="8">
        <f>ROUND(IF(P36&gt;0,0,IF(N$24&gt;0,N$24*M19,B$22*M19*(DT!AB33/DT!AF33))),0)</f>
        <v>0</v>
      </c>
      <c r="O36" s="8">
        <f>ROUND(IF(OR($G36="Jun",$G36="Jul",$G36="Aug",$G36="Sep"),0,IF(O$24&gt;0,O$24*O19,B$22*O19*(DT!AB33/DT!AF33))),0)</f>
        <v>0</v>
      </c>
      <c r="P36" s="8">
        <f>ROUND(IF(OR($G36="Jun",$G36="Jul",$G36="Aug",$G36="Sep"),0,IF(P$24&gt;0,P$24*P19,P19*B$22*DT!AD33/DT!AF33)),0)</f>
        <v>0</v>
      </c>
      <c r="Q36" s="8"/>
      <c r="R36" s="8">
        <f t="shared" si="12"/>
        <v>0</v>
      </c>
      <c r="S36" s="8"/>
      <c r="T36" s="8">
        <f t="shared" si="5"/>
        <v>0</v>
      </c>
      <c r="U36" s="8">
        <f t="shared" si="6"/>
        <v>0</v>
      </c>
      <c r="V36" s="8"/>
      <c r="W36" s="8">
        <f t="shared" si="7"/>
        <v>0</v>
      </c>
      <c r="X36" s="8"/>
      <c r="Y36" s="8">
        <f t="shared" si="8"/>
        <v>0</v>
      </c>
      <c r="Z36" s="8"/>
      <c r="AA36" s="8"/>
      <c r="AB36" s="8"/>
      <c r="AC36" s="8">
        <f t="shared" si="13"/>
        <v>0</v>
      </c>
    </row>
    <row r="38" spans="1:29" x14ac:dyDescent="0.3">
      <c r="A38" s="64"/>
      <c r="D38" s="38"/>
    </row>
    <row r="39" spans="1:29" x14ac:dyDescent="0.3">
      <c r="A39" s="38"/>
    </row>
    <row r="40" spans="1:29" x14ac:dyDescent="0.3">
      <c r="A40" s="64"/>
    </row>
    <row r="41" spans="1:29" x14ac:dyDescent="0.3">
      <c r="A41" s="64"/>
    </row>
    <row r="44" spans="1:29" x14ac:dyDescent="0.3">
      <c r="A44" s="33" t="s">
        <v>161</v>
      </c>
    </row>
    <row r="45" spans="1:29" x14ac:dyDescent="0.3">
      <c r="A45" s="38">
        <f>SUM(H30:P30)+SUM(T30:Y30)-W30-AC30</f>
        <v>67481.244999999995</v>
      </c>
    </row>
    <row r="46" spans="1:29" x14ac:dyDescent="0.3">
      <c r="A46" s="51">
        <v>2025</v>
      </c>
      <c r="B46" s="51">
        <v>2026</v>
      </c>
      <c r="C46" s="51">
        <v>2027</v>
      </c>
      <c r="D46" s="51">
        <v>2028</v>
      </c>
      <c r="E46" s="51">
        <v>2029</v>
      </c>
    </row>
    <row r="47" spans="1:29" x14ac:dyDescent="0.3">
      <c r="A47" s="66">
        <f>DS!A45</f>
        <v>1.7676000000000001E-2</v>
      </c>
      <c r="B47" s="66">
        <f>DS!B45</f>
        <v>4.8447999999999998E-2</v>
      </c>
      <c r="C47" s="66">
        <f>DS!C45</f>
        <v>3.6317000000000002E-2</v>
      </c>
      <c r="D47" s="66">
        <f>DS!D45</f>
        <v>3.0025E-2</v>
      </c>
      <c r="E47" s="66">
        <f>DS!E45</f>
        <v>3.1049E-2</v>
      </c>
      <c r="F47" s="53" t="s">
        <v>162</v>
      </c>
    </row>
    <row r="48" spans="1:29" x14ac:dyDescent="0.3">
      <c r="A48" s="54">
        <f>ROUND(A47*$A$45,2)</f>
        <v>1192.8</v>
      </c>
      <c r="B48" s="54">
        <f>ROUND(B47*$A$45,2)</f>
        <v>3269.33</v>
      </c>
      <c r="C48" s="54">
        <f t="shared" ref="C48:D48" si="18">ROUND(C47*$A$45,2)</f>
        <v>2450.7199999999998</v>
      </c>
      <c r="D48" s="54">
        <f t="shared" si="18"/>
        <v>2026.12</v>
      </c>
      <c r="E48" s="54">
        <f t="shared" ref="E48" si="19">ROUND(E47*$A$45,2)</f>
        <v>2095.23</v>
      </c>
      <c r="F48" s="53" t="s">
        <v>155</v>
      </c>
    </row>
    <row r="49" spans="1:6" x14ac:dyDescent="0.3">
      <c r="A49" s="55">
        <f>(($A$30+A48)/$A$30)-1</f>
        <v>1.1097280859172276E-2</v>
      </c>
      <c r="B49" s="55">
        <f t="shared" ref="B49:E49" si="20">(($A$30+B48)/$A$30)-1</f>
        <v>3.0416392715725493E-2</v>
      </c>
      <c r="C49" s="55">
        <f t="shared" si="20"/>
        <v>2.2800409244794206E-2</v>
      </c>
      <c r="D49" s="55">
        <f t="shared" si="20"/>
        <v>1.8850119629766793E-2</v>
      </c>
      <c r="E49" s="55">
        <f t="shared" si="20"/>
        <v>1.9493088342189102E-2</v>
      </c>
      <c r="F49" s="53" t="s">
        <v>163</v>
      </c>
    </row>
    <row r="51" spans="1:6" x14ac:dyDescent="0.3">
      <c r="A51" s="38">
        <f>$A$30+A48</f>
        <v>108678.59</v>
      </c>
      <c r="B51" s="38">
        <f t="shared" ref="B51:E51" si="21">$A$30+B48</f>
        <v>110755.12</v>
      </c>
      <c r="C51" s="38">
        <f t="shared" si="21"/>
        <v>109936.51</v>
      </c>
      <c r="D51" s="38">
        <f t="shared" si="21"/>
        <v>109511.90999999999</v>
      </c>
      <c r="E51" s="38">
        <f t="shared" si="21"/>
        <v>109581.01999999999</v>
      </c>
    </row>
  </sheetData>
  <mergeCells count="8">
    <mergeCell ref="H2:M2"/>
    <mergeCell ref="T2:U2"/>
    <mergeCell ref="I3:L3"/>
    <mergeCell ref="I4:J4"/>
    <mergeCell ref="K4:L4"/>
    <mergeCell ref="M3:P3"/>
    <mergeCell ref="M4:N4"/>
    <mergeCell ref="O4:P4"/>
  </mergeCells>
  <pageMargins left="0.2" right="0.2" top="1.5" bottom="0.75" header="1" footer="0.3"/>
  <pageSetup scale="39" orientation="landscape" r:id="rId1"/>
  <headerFooter>
    <oddHeader>&amp;R&amp;"Times New Roman,Bold"&amp;10KyPSC Case No. 2024-00152
SIERRA-DR-01-050 Attachment
Page &amp;P of &amp;N</oddHeader>
  </headerFooter>
  <ignoredErrors>
    <ignoredError sqref="N24:O24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BF6BBC4A1BC24BBEDAF0285F5802C3" ma:contentTypeVersion="4" ma:contentTypeDescription="Create a new document." ma:contentTypeScope="" ma:versionID="6d4362a07ecf59f83568211fb833639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Lawler</Witness>
  </documentManagement>
</p:properties>
</file>

<file path=customXml/itemProps1.xml><?xml version="1.0" encoding="utf-8"?>
<ds:datastoreItem xmlns:ds="http://schemas.openxmlformats.org/officeDocument/2006/customXml" ds:itemID="{CE94AE65-6B7B-4A75-A5E7-E0FEABD3D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E3C5DC-1393-4875-9830-186071CCBC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49226B-FF2D-41BF-99BE-34B8365A533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3c9d8c27-8a6d-4d9e-a15e-ef5d28c114af"/>
    <ds:schemaRef ds:uri="2612a682-5ffb-4b9c-9555-017618935178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SEL-2</vt:lpstr>
      <vt:lpstr>RS</vt:lpstr>
      <vt:lpstr>DS</vt:lpstr>
      <vt:lpstr>DT</vt:lpstr>
      <vt:lpstr>EH</vt:lpstr>
      <vt:lpstr>GSFL</vt:lpstr>
      <vt:lpstr>SP</vt:lpstr>
      <vt:lpstr>DP</vt:lpstr>
      <vt:lpstr>TT</vt:lpstr>
      <vt:lpstr>DP!Print_Area</vt:lpstr>
      <vt:lpstr>DS!Print_Area</vt:lpstr>
      <vt:lpstr>DT!Print_Area</vt:lpstr>
      <vt:lpstr>EH!Print_Area</vt:lpstr>
      <vt:lpstr>GSFL!Print_Area</vt:lpstr>
      <vt:lpstr>RS!Print_Area</vt:lpstr>
      <vt:lpstr>SP!Print_Area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Workbook for SEL-2</dc:subject>
  <dc:creator>t67497</dc:creator>
  <cp:lastModifiedBy>Sunderman, Minna</cp:lastModifiedBy>
  <cp:lastPrinted>2024-10-03T23:21:52Z</cp:lastPrinted>
  <dcterms:created xsi:type="dcterms:W3CDTF">2011-03-01T15:26:38Z</dcterms:created>
  <dcterms:modified xsi:type="dcterms:W3CDTF">2024-10-03T23:22:04Z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0x0101008FBF6BBC4A1BC24BBEDAF0285F5802C3</vt:lpwstr>
  </property>
</Properties>
</file>