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East Bend Limestone Conversion CPCN/Testimony/"/>
    </mc:Choice>
  </mc:AlternateContent>
  <xr:revisionPtr revIDLastSave="0" documentId="13_ncr:1_{49581B0D-7F5C-46A0-96C1-D9C46A180F90}" xr6:coauthVersionLast="47" xr6:coauthVersionMax="47" xr10:uidLastSave="{00000000-0000-0000-0000-000000000000}"/>
  <bookViews>
    <workbookView xWindow="-108" yWindow="-108" windowWidth="23256" windowHeight="12576" xr2:uid="{7ACC0F1D-077B-450D-B73D-EECA8F9FD1E6}"/>
  </bookViews>
  <sheets>
    <sheet name="Page 1" sheetId="1" r:id="rId1"/>
    <sheet name="Page 2" sheetId="2" r:id="rId2"/>
  </sheets>
  <definedNames>
    <definedName name="_Dist_Bin" hidden="1">#REF!</definedName>
    <definedName name="_Dist_Values" hidden="1">#REF!</definedName>
    <definedName name="_xlnm.Print_Area" localSheetId="0">'Page 1'!$A$1:$O$53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2" l="1"/>
  <c r="C21" i="2"/>
  <c r="B27" i="1" l="1"/>
  <c r="B26" i="1"/>
  <c r="K53" i="2"/>
  <c r="K52" i="2"/>
  <c r="K51" i="2"/>
  <c r="K50" i="2"/>
  <c r="K49" i="2"/>
  <c r="K48" i="2"/>
  <c r="K47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B30" i="2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K29" i="2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O27" i="2"/>
  <c r="O26" i="2"/>
  <c r="S26" i="2" s="1"/>
  <c r="C15" i="2" s="1"/>
  <c r="E11" i="2"/>
  <c r="C11" i="2"/>
  <c r="C9" i="2"/>
  <c r="E9" i="2" s="1"/>
  <c r="E6" i="2"/>
  <c r="G6" i="2" s="1"/>
  <c r="J43" i="1"/>
  <c r="L43" i="1" s="1"/>
  <c r="I42" i="1"/>
  <c r="K42" i="1" s="1"/>
  <c r="M42" i="1" s="1"/>
  <c r="I31" i="1"/>
  <c r="L31" i="1" s="1"/>
  <c r="I15" i="1"/>
  <c r="H15" i="1"/>
  <c r="H9" i="1"/>
  <c r="B8" i="1"/>
  <c r="B9" i="1" s="1"/>
  <c r="I5" i="1"/>
  <c r="H5" i="1"/>
  <c r="I6" i="2" l="1"/>
  <c r="K6" i="2" s="1"/>
  <c r="M6" i="2" s="1"/>
  <c r="O6" i="2" s="1"/>
  <c r="Q6" i="2" s="1"/>
  <c r="J5" i="1"/>
  <c r="S27" i="2"/>
  <c r="E15" i="2" s="1"/>
  <c r="E13" i="2"/>
  <c r="G9" i="2"/>
  <c r="I8" i="1"/>
  <c r="I9" i="1" s="1"/>
  <c r="I25" i="1" s="1"/>
  <c r="H25" i="1"/>
  <c r="H27" i="1" s="1"/>
  <c r="H17" i="1"/>
  <c r="H21" i="1" s="1"/>
  <c r="K54" i="2"/>
  <c r="K31" i="1"/>
  <c r="J31" i="1"/>
  <c r="M31" i="1" s="1"/>
  <c r="I43" i="1"/>
  <c r="K43" i="1" s="1"/>
  <c r="M43" i="1" s="1"/>
  <c r="H41" i="1"/>
  <c r="J42" i="1"/>
  <c r="L42" i="1" s="1"/>
  <c r="C13" i="2"/>
  <c r="B11" i="1"/>
  <c r="B12" i="1" s="1"/>
  <c r="H29" i="1" l="1"/>
  <c r="H33" i="1" s="1"/>
  <c r="H36" i="1" s="1"/>
  <c r="H39" i="1" s="1"/>
  <c r="H47" i="1" s="1"/>
  <c r="I53" i="2"/>
  <c r="O53" i="2" s="1"/>
  <c r="I29" i="2"/>
  <c r="O29" i="2" s="1"/>
  <c r="I50" i="2"/>
  <c r="O50" i="2" s="1"/>
  <c r="I46" i="2"/>
  <c r="O46" i="2" s="1"/>
  <c r="I45" i="2"/>
  <c r="O45" i="2" s="1"/>
  <c r="I44" i="2"/>
  <c r="O44" i="2" s="1"/>
  <c r="I43" i="2"/>
  <c r="O43" i="2" s="1"/>
  <c r="I42" i="2"/>
  <c r="O42" i="2" s="1"/>
  <c r="I41" i="2"/>
  <c r="O41" i="2" s="1"/>
  <c r="I40" i="2"/>
  <c r="O40" i="2" s="1"/>
  <c r="I39" i="2"/>
  <c r="O39" i="2" s="1"/>
  <c r="I38" i="2"/>
  <c r="O38" i="2" s="1"/>
  <c r="I37" i="2"/>
  <c r="O37" i="2" s="1"/>
  <c r="I36" i="2"/>
  <c r="O36" i="2" s="1"/>
  <c r="I35" i="2"/>
  <c r="O35" i="2" s="1"/>
  <c r="I34" i="2"/>
  <c r="O34" i="2" s="1"/>
  <c r="I33" i="2"/>
  <c r="O33" i="2" s="1"/>
  <c r="I32" i="2"/>
  <c r="O32" i="2" s="1"/>
  <c r="I31" i="2"/>
  <c r="O31" i="2" s="1"/>
  <c r="I30" i="2"/>
  <c r="O30" i="2" s="1"/>
  <c r="Q28" i="2"/>
  <c r="I28" i="2"/>
  <c r="I47" i="2"/>
  <c r="O47" i="2" s="1"/>
  <c r="I48" i="2"/>
  <c r="O48" i="2" s="1"/>
  <c r="I49" i="2"/>
  <c r="O49" i="2" s="1"/>
  <c r="I51" i="2"/>
  <c r="O51" i="2" s="1"/>
  <c r="I52" i="2"/>
  <c r="O52" i="2" s="1"/>
  <c r="J7" i="1"/>
  <c r="J9" i="1" s="1"/>
  <c r="I9" i="2"/>
  <c r="J41" i="1"/>
  <c r="L41" i="1" s="1"/>
  <c r="I41" i="1"/>
  <c r="K41" i="1" s="1"/>
  <c r="M41" i="1" s="1"/>
  <c r="B13" i="1"/>
  <c r="B14" i="1"/>
  <c r="I17" i="1"/>
  <c r="I21" i="1" s="1"/>
  <c r="I27" i="1"/>
  <c r="B15" i="1" l="1"/>
  <c r="H38" i="1"/>
  <c r="H46" i="1" s="1"/>
  <c r="I54" i="2"/>
  <c r="O28" i="2"/>
  <c r="Q38" i="2"/>
  <c r="Q36" i="2"/>
  <c r="Q35" i="2"/>
  <c r="Q32" i="2"/>
  <c r="O11" i="2" s="1"/>
  <c r="Q31" i="2"/>
  <c r="M11" i="2" s="1"/>
  <c r="M24" i="1" s="1"/>
  <c r="Q29" i="2"/>
  <c r="I11" i="2" s="1"/>
  <c r="K24" i="1" s="1"/>
  <c r="K7" i="1"/>
  <c r="K9" i="1" s="1"/>
  <c r="Q39" i="2"/>
  <c r="Q34" i="2"/>
  <c r="Q37" i="2"/>
  <c r="Q33" i="2"/>
  <c r="Q11" i="2" s="1"/>
  <c r="Q30" i="2"/>
  <c r="K11" i="2" s="1"/>
  <c r="L24" i="1" s="1"/>
  <c r="K9" i="2"/>
  <c r="G11" i="2"/>
  <c r="I29" i="1"/>
  <c r="I33" i="1" s="1"/>
  <c r="I36" i="1" s="1"/>
  <c r="B17" i="1"/>
  <c r="B19" i="1" s="1"/>
  <c r="Q54" i="2" l="1"/>
  <c r="B21" i="1"/>
  <c r="B23" i="1" s="1"/>
  <c r="S28" i="2"/>
  <c r="G15" i="2" s="1"/>
  <c r="J13" i="1" s="1"/>
  <c r="O54" i="2"/>
  <c r="L7" i="1"/>
  <c r="L9" i="1" s="1"/>
  <c r="M9" i="2"/>
  <c r="G13" i="2"/>
  <c r="J12" i="1" s="1"/>
  <c r="M13" i="2"/>
  <c r="M12" i="1" s="1"/>
  <c r="M25" i="1" s="1"/>
  <c r="Q13" i="2"/>
  <c r="J24" i="1"/>
  <c r="O13" i="2"/>
  <c r="K13" i="2"/>
  <c r="L12" i="1" s="1"/>
  <c r="L25" i="1" s="1"/>
  <c r="I13" i="2"/>
  <c r="K12" i="1" s="1"/>
  <c r="K25" i="1" s="1"/>
  <c r="K27" i="1"/>
  <c r="I39" i="1"/>
  <c r="I47" i="1" s="1"/>
  <c r="I38" i="1"/>
  <c r="I46" i="1" s="1"/>
  <c r="J15" i="1" l="1"/>
  <c r="J17" i="1" s="1"/>
  <c r="J21" i="1" s="1"/>
  <c r="J25" i="1"/>
  <c r="J27" i="1" s="1"/>
  <c r="J29" i="1" s="1"/>
  <c r="J33" i="1" s="1"/>
  <c r="J36" i="1" s="1"/>
  <c r="J39" i="1" s="1"/>
  <c r="J47" i="1" s="1"/>
  <c r="S29" i="2"/>
  <c r="I15" i="2" s="1"/>
  <c r="K13" i="1" s="1"/>
  <c r="K15" i="1" s="1"/>
  <c r="K17" i="1" s="1"/>
  <c r="K21" i="1" s="1"/>
  <c r="K29" i="1" s="1"/>
  <c r="K33" i="1" s="1"/>
  <c r="K36" i="1" s="1"/>
  <c r="B24" i="1"/>
  <c r="M7" i="1"/>
  <c r="M9" i="1" s="1"/>
  <c r="O9" i="2"/>
  <c r="Q9" i="2" s="1"/>
  <c r="L27" i="1"/>
  <c r="S30" i="2" l="1"/>
  <c r="J38" i="1"/>
  <c r="J46" i="1" s="1"/>
  <c r="M27" i="1"/>
  <c r="B25" i="1"/>
  <c r="K15" i="2"/>
  <c r="L13" i="1" s="1"/>
  <c r="L15" i="1" s="1"/>
  <c r="L17" i="1" s="1"/>
  <c r="L21" i="1" s="1"/>
  <c r="L29" i="1" s="1"/>
  <c r="L33" i="1" s="1"/>
  <c r="L36" i="1" s="1"/>
  <c r="S31" i="2"/>
  <c r="K38" i="1"/>
  <c r="K46" i="1" s="1"/>
  <c r="K39" i="1"/>
  <c r="K47" i="1" s="1"/>
  <c r="M15" i="2" l="1"/>
  <c r="M13" i="1" s="1"/>
  <c r="M15" i="1" s="1"/>
  <c r="M17" i="1" s="1"/>
  <c r="M21" i="1" s="1"/>
  <c r="M29" i="1" s="1"/>
  <c r="M33" i="1" s="1"/>
  <c r="M36" i="1" s="1"/>
  <c r="S32" i="2"/>
  <c r="L39" i="1"/>
  <c r="L47" i="1" s="1"/>
  <c r="L38" i="1"/>
  <c r="L46" i="1" s="1"/>
  <c r="B29" i="1" l="1"/>
  <c r="B31" i="1" s="1"/>
  <c r="B33" i="1" s="1"/>
  <c r="B36" i="1" s="1"/>
  <c r="B38" i="1" s="1"/>
  <c r="B39" i="1" s="1"/>
  <c r="B42" i="1" s="1"/>
  <c r="B43" i="1" s="1"/>
  <c r="B46" i="1" s="1"/>
  <c r="B47" i="1" s="1"/>
  <c r="O15" i="2"/>
  <c r="S33" i="2"/>
  <c r="M39" i="1"/>
  <c r="M47" i="1" s="1"/>
  <c r="M38" i="1"/>
  <c r="M46" i="1" s="1"/>
  <c r="Q15" i="2" l="1"/>
  <c r="S34" i="2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</calcChain>
</file>

<file path=xl/sharedStrings.xml><?xml version="1.0" encoding="utf-8"?>
<sst xmlns="http://schemas.openxmlformats.org/spreadsheetml/2006/main" count="83" uniqueCount="71">
  <si>
    <t xml:space="preserve"> </t>
  </si>
  <si>
    <t>Line</t>
  </si>
  <si>
    <t>Environmental Compliance Plans</t>
  </si>
  <si>
    <t>No.</t>
  </si>
  <si>
    <t>Source</t>
  </si>
  <si>
    <t>Eligible Environmental Compliance Plant (Gross Plant)</t>
  </si>
  <si>
    <t>Page 2</t>
  </si>
  <si>
    <t>Eligible Environmental Compliance CWIP Excluding AFUDC</t>
  </si>
  <si>
    <t>Subtotal</t>
  </si>
  <si>
    <t>(1) + (2)</t>
  </si>
  <si>
    <t>Deductions:</t>
  </si>
  <si>
    <t>Accumulated Depreciation on Eligible Environmental Compliance Plant</t>
  </si>
  <si>
    <t>Accumulated Deferred Income Taxes on Eligible Environmental Compliance Plant</t>
  </si>
  <si>
    <t>Accumulated Deferred Investment Tax Credits (ITC) on Eligible Environmental Compliance Plant</t>
  </si>
  <si>
    <t>(5) + (6) + (7)</t>
  </si>
  <si>
    <t>Environmental Compliance Rate Base</t>
  </si>
  <si>
    <t>(3) - (8)</t>
  </si>
  <si>
    <t>Pretax Rate of Return (ROR)</t>
  </si>
  <si>
    <t>Return on the Environmental Compliance Rate Base (RORB)</t>
  </si>
  <si>
    <t>(9) x (10)</t>
  </si>
  <si>
    <t>Environmental Operating Expenses (OE)</t>
  </si>
  <si>
    <t>Depreciation Expense</t>
  </si>
  <si>
    <t>Taxes Other Than Income Taxes</t>
  </si>
  <si>
    <t xml:space="preserve">  Sub-Total E(m)</t>
  </si>
  <si>
    <t xml:space="preserve">Jurisdictional Allocation </t>
  </si>
  <si>
    <t xml:space="preserve">Jurisdictional E(m) </t>
  </si>
  <si>
    <t>Estimated Annual Revenue Requirement</t>
  </si>
  <si>
    <t xml:space="preserve">Residential </t>
  </si>
  <si>
    <t>Non-Residential</t>
  </si>
  <si>
    <t>Estimated Percentage Increase</t>
  </si>
  <si>
    <t>Annual Spend (Capital)</t>
  </si>
  <si>
    <t>Project</t>
  </si>
  <si>
    <t>Limestone Project</t>
  </si>
  <si>
    <t xml:space="preserve">  Cumulative Gross Plant</t>
  </si>
  <si>
    <t>Accumulated Depreciation</t>
  </si>
  <si>
    <t>Accumulated Deferred Income Tax</t>
  </si>
  <si>
    <r>
      <t>Book Life</t>
    </r>
    <r>
      <rPr>
        <b/>
        <vertAlign val="superscript"/>
        <sz val="11"/>
        <color theme="1"/>
        <rFont val="Times New Roman"/>
        <family val="1"/>
      </rPr>
      <t>(1)</t>
    </r>
  </si>
  <si>
    <t>Tax Life</t>
  </si>
  <si>
    <t>Total</t>
  </si>
  <si>
    <t>Book</t>
  </si>
  <si>
    <t>20 Yr MACRS</t>
  </si>
  <si>
    <t>2024 Capital</t>
  </si>
  <si>
    <t>2025 Capital</t>
  </si>
  <si>
    <t>2026 Capital</t>
  </si>
  <si>
    <t>2027 Capital</t>
  </si>
  <si>
    <t>2028 Capital</t>
  </si>
  <si>
    <t>Tax Depr</t>
  </si>
  <si>
    <t>Depreciation</t>
  </si>
  <si>
    <t>ADIT</t>
  </si>
  <si>
    <t>Capital in service December 2026</t>
  </si>
  <si>
    <r>
      <t xml:space="preserve">ES Form 1.20 </t>
    </r>
    <r>
      <rPr>
        <vertAlign val="superscript"/>
        <sz val="11"/>
        <color theme="1"/>
        <rFont val="Times New Roman"/>
        <family val="1"/>
      </rPr>
      <t>(1)</t>
    </r>
  </si>
  <si>
    <r>
      <t xml:space="preserve">ES Form 1.10 </t>
    </r>
    <r>
      <rPr>
        <vertAlign val="superscript"/>
        <sz val="11"/>
        <color theme="1"/>
        <rFont val="Times New Roman"/>
        <family val="1"/>
      </rPr>
      <t>(1)</t>
    </r>
  </si>
  <si>
    <r>
      <t xml:space="preserve">ES Form 3.00 </t>
    </r>
    <r>
      <rPr>
        <vertAlign val="superscript"/>
        <sz val="11"/>
        <color theme="1"/>
        <rFont val="Times New Roman"/>
        <family val="1"/>
      </rPr>
      <t>(1)</t>
    </r>
  </si>
  <si>
    <r>
      <rPr>
        <vertAlign val="superscript"/>
        <sz val="11"/>
        <color theme="1"/>
        <rFont val="Times New Roman"/>
        <family val="1"/>
      </rPr>
      <t>(2)</t>
    </r>
    <r>
      <rPr>
        <sz val="11"/>
        <color theme="1"/>
        <rFont val="Times New Roman"/>
        <family val="1"/>
      </rPr>
      <t>Actual Environmental Reagent Expense per ES Form 2.00 for June of 2023 through May of 2024</t>
    </r>
  </si>
  <si>
    <t>Tax Depreciation</t>
  </si>
  <si>
    <t>Limestone Conversion Project</t>
  </si>
  <si>
    <t>(13) + (14) + (15)</t>
  </si>
  <si>
    <t>(11) + (16)</t>
  </si>
  <si>
    <r>
      <t>((3)-(5)) * 1.26091%</t>
    </r>
    <r>
      <rPr>
        <vertAlign val="superscript"/>
        <sz val="10"/>
        <color theme="1"/>
        <rFont val="Times New Roman"/>
        <family val="1"/>
      </rPr>
      <t>(1)</t>
    </r>
  </si>
  <si>
    <t xml:space="preserve"> (17) x (18)</t>
  </si>
  <si>
    <t>(19)</t>
  </si>
  <si>
    <r>
      <t>Residential</t>
    </r>
    <r>
      <rPr>
        <vertAlign val="superscript"/>
        <sz val="11"/>
        <color theme="1"/>
        <rFont val="Times New Roman"/>
        <family val="1"/>
      </rPr>
      <t xml:space="preserve"> (1)</t>
    </r>
  </si>
  <si>
    <r>
      <t xml:space="preserve">Non-Residential </t>
    </r>
    <r>
      <rPr>
        <vertAlign val="superscript"/>
        <sz val="11"/>
        <color theme="1"/>
        <rFont val="Times New Roman"/>
        <family val="1"/>
      </rPr>
      <t>(1)</t>
    </r>
  </si>
  <si>
    <t xml:space="preserve">Allocation of Estimated Annual Revenue Requirement </t>
  </si>
  <si>
    <t>(21) / (23)</t>
  </si>
  <si>
    <t>(22) / (24)</t>
  </si>
  <si>
    <t xml:space="preserve">    compared to Annual Projected Reagent Expense for the Limestone Conversion Project </t>
  </si>
  <si>
    <t>Total Revenues for the twelve months ended May 2024</t>
  </si>
  <si>
    <r>
      <rPr>
        <vertAlign val="superscript"/>
        <sz val="11"/>
        <rFont val="Times New Roman"/>
        <family val="1"/>
      </rPr>
      <t xml:space="preserve">(1) </t>
    </r>
    <r>
      <rPr>
        <sz val="11"/>
        <rFont val="Times New Roman"/>
        <family val="1"/>
      </rPr>
      <t>From Expense Month May 2024 ESM filing</t>
    </r>
  </si>
  <si>
    <r>
      <t>Environmental Reagent Expense change - Actual vs. Limestone Conversion Project</t>
    </r>
    <r>
      <rPr>
        <vertAlign val="superscript"/>
        <sz val="11"/>
        <rFont val="Times New Roman"/>
        <family val="1"/>
      </rPr>
      <t>(2)</t>
    </r>
  </si>
  <si>
    <r>
      <rPr>
        <vertAlign val="superscript"/>
        <sz val="11"/>
        <color theme="1"/>
        <rFont val="Times New Roman"/>
        <family val="1"/>
      </rPr>
      <t>(1)</t>
    </r>
    <r>
      <rPr>
        <sz val="11"/>
        <color theme="1"/>
        <rFont val="Times New Roman"/>
        <family val="1"/>
      </rPr>
      <t xml:space="preserve"> Rate based on a 2038 retirement date, 12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</si>
</sst>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0.0000%"/>
    <numFmt numFmtId="166" formatCode="_(* #,##0_);_(* \(#,##0\);_(* &quot;-&quot;??_);_(@_)"/>
    <numFmt numFmtId="167" formatCode="_(* #,##0.0_);_(* \(#,##0.0\);_(* &quot;-&quot;??_);_(@_)"/>
    <numFmt numFmtId="168" formatCode="0.0%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FF"/>
      <name val="Times New Roman"/>
      <family val="1"/>
    </font>
    <font>
      <sz val="11"/>
      <name val="Times New Roman"/>
      <family val="1"/>
    </font>
    <font>
      <b/>
      <sz val="11"/>
      <color rgb="FF0000FF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11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3" applyFont="1" applyFill="1"/>
    <xf numFmtId="0" fontId="5" fillId="0" borderId="0" xfId="0" applyFont="1" applyFill="1" applyAlignment="1">
      <alignment horizontal="right"/>
    </xf>
    <xf numFmtId="0" fontId="2" fillId="0" borderId="0" xfId="3" quotePrefix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3" applyFont="1" applyFill="1"/>
    <xf numFmtId="0" fontId="6" fillId="0" borderId="3" xfId="3" applyFont="1" applyFill="1" applyBorder="1"/>
    <xf numFmtId="0" fontId="2" fillId="0" borderId="7" xfId="3" applyFont="1" applyFill="1" applyBorder="1" applyAlignment="1">
      <alignment horizontal="center"/>
    </xf>
    <xf numFmtId="0" fontId="2" fillId="0" borderId="8" xfId="3" quotePrefix="1" applyFont="1" applyFill="1" applyBorder="1" applyAlignment="1">
      <alignment horizontal="center"/>
    </xf>
    <xf numFmtId="0" fontId="2" fillId="0" borderId="0" xfId="3" quotePrefix="1" applyFont="1" applyFill="1" applyAlignment="1">
      <alignment horizontal="center"/>
    </xf>
    <xf numFmtId="0" fontId="6" fillId="0" borderId="0" xfId="3" quotePrefix="1" applyFont="1" applyFill="1" applyAlignment="1">
      <alignment horizontal="left"/>
    </xf>
    <xf numFmtId="0" fontId="2" fillId="0" borderId="7" xfId="3" quotePrefix="1" applyFont="1" applyFill="1" applyBorder="1" applyAlignment="1">
      <alignment horizontal="center"/>
    </xf>
    <xf numFmtId="10" fontId="6" fillId="0" borderId="0" xfId="2" applyNumberFormat="1" applyFont="1" applyFill="1"/>
    <xf numFmtId="166" fontId="6" fillId="0" borderId="0" xfId="1" applyNumberFormat="1" applyFont="1" applyFill="1"/>
    <xf numFmtId="0" fontId="6" fillId="0" borderId="0" xfId="3" applyFont="1" applyFill="1" applyAlignment="1">
      <alignment horizontal="right" indent="1"/>
    </xf>
    <xf numFmtId="0" fontId="2" fillId="0" borderId="9" xfId="3" quotePrefix="1" applyFont="1" applyFill="1" applyBorder="1" applyAlignment="1">
      <alignment horizontal="center"/>
    </xf>
    <xf numFmtId="0" fontId="6" fillId="0" borderId="0" xfId="3" quotePrefix="1" applyFont="1" applyFill="1" applyAlignment="1">
      <alignment horizontal="center"/>
    </xf>
    <xf numFmtId="0" fontId="6" fillId="0" borderId="0" xfId="3" applyFont="1" applyFill="1" applyAlignment="1">
      <alignment horizontal="right" indent="2"/>
    </xf>
    <xf numFmtId="166" fontId="6" fillId="0" borderId="0" xfId="3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10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2" fillId="0" borderId="1" xfId="0" quotePrefix="1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2" fontId="13" fillId="0" borderId="0" xfId="0" applyNumberFormat="1" applyFont="1" applyFill="1"/>
    <xf numFmtId="42" fontId="6" fillId="0" borderId="0" xfId="0" applyNumberFormat="1" applyFont="1" applyFill="1"/>
    <xf numFmtId="5" fontId="14" fillId="0" borderId="0" xfId="0" applyNumberFormat="1" applyFont="1" applyFill="1"/>
    <xf numFmtId="5" fontId="13" fillId="0" borderId="0" xfId="0" applyNumberFormat="1" applyFont="1" applyFill="1"/>
    <xf numFmtId="41" fontId="13" fillId="0" borderId="0" xfId="0" applyNumberFormat="1" applyFont="1" applyFill="1"/>
    <xf numFmtId="164" fontId="6" fillId="0" borderId="0" xfId="0" applyNumberFormat="1" applyFont="1" applyFill="1"/>
    <xf numFmtId="10" fontId="15" fillId="0" borderId="0" xfId="0" applyNumberFormat="1" applyFont="1" applyFill="1"/>
    <xf numFmtId="41" fontId="14" fillId="0" borderId="0" xfId="0" applyNumberFormat="1" applyFont="1" applyFill="1"/>
    <xf numFmtId="5" fontId="6" fillId="0" borderId="0" xfId="0" applyNumberFormat="1" applyFont="1" applyFill="1"/>
    <xf numFmtId="42" fontId="2" fillId="0" borderId="0" xfId="0" applyNumberFormat="1" applyFont="1" applyFill="1"/>
    <xf numFmtId="10" fontId="13" fillId="0" borderId="0" xfId="0" applyNumberFormat="1" applyFont="1" applyFill="1"/>
    <xf numFmtId="165" fontId="14" fillId="0" borderId="0" xfId="0" applyNumberFormat="1" applyFont="1" applyFill="1"/>
    <xf numFmtId="42" fontId="6" fillId="0" borderId="0" xfId="0" applyNumberFormat="1" applyFont="1" applyFill="1" applyAlignment="1">
      <alignment vertical="center"/>
    </xf>
    <xf numFmtId="42" fontId="13" fillId="0" borderId="0" xfId="0" applyNumberFormat="1" applyFont="1" applyFill="1" applyAlignment="1">
      <alignment vertical="center"/>
    </xf>
    <xf numFmtId="42" fontId="1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164" fontId="13" fillId="0" borderId="1" xfId="0" applyNumberFormat="1" applyFont="1" applyFill="1" applyBorder="1" applyAlignment="1">
      <alignment vertical="center"/>
    </xf>
    <xf numFmtId="10" fontId="15" fillId="0" borderId="2" xfId="0" applyNumberFormat="1" applyFont="1" applyFill="1" applyBorder="1" applyAlignment="1">
      <alignment vertical="center"/>
    </xf>
    <xf numFmtId="10" fontId="15" fillId="0" borderId="0" xfId="0" applyNumberFormat="1" applyFont="1" applyFill="1" applyAlignment="1">
      <alignment vertical="center"/>
    </xf>
    <xf numFmtId="41" fontId="14" fillId="0" borderId="0" xfId="0" applyNumberFormat="1" applyFont="1" applyFill="1" applyAlignment="1">
      <alignment vertical="center"/>
    </xf>
    <xf numFmtId="41" fontId="14" fillId="0" borderId="1" xfId="0" applyNumberFormat="1" applyFont="1" applyFill="1" applyBorder="1" applyAlignment="1">
      <alignment vertical="center"/>
    </xf>
    <xf numFmtId="42" fontId="2" fillId="0" borderId="0" xfId="0" applyNumberFormat="1" applyFont="1" applyFill="1" applyAlignment="1">
      <alignment vertical="center"/>
    </xf>
    <xf numFmtId="10" fontId="13" fillId="0" borderId="0" xfId="0" applyNumberFormat="1" applyFont="1" applyFill="1" applyAlignment="1">
      <alignment vertical="center"/>
    </xf>
    <xf numFmtId="165" fontId="14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4" fillId="0" borderId="0" xfId="0" quotePrefix="1" applyFont="1" applyFill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42" fontId="13" fillId="0" borderId="0" xfId="4" applyNumberFormat="1" applyFont="1" applyFill="1"/>
    <xf numFmtId="42" fontId="6" fillId="0" borderId="2" xfId="4" applyNumberFormat="1" applyFont="1" applyFill="1" applyBorder="1"/>
    <xf numFmtId="42" fontId="6" fillId="0" borderId="0" xfId="4" applyNumberFormat="1" applyFont="1" applyFill="1"/>
    <xf numFmtId="166" fontId="6" fillId="0" borderId="0" xfId="4" applyNumberFormat="1" applyFont="1" applyFill="1"/>
    <xf numFmtId="167" fontId="6" fillId="0" borderId="0" xfId="4" applyNumberFormat="1" applyFont="1" applyFill="1"/>
    <xf numFmtId="168" fontId="6" fillId="0" borderId="0" xfId="5" applyNumberFormat="1" applyFont="1" applyFill="1" applyAlignment="1">
      <alignment horizontal="right" indent="1"/>
    </xf>
    <xf numFmtId="164" fontId="13" fillId="0" borderId="0" xfId="5" applyNumberFormat="1" applyFont="1" applyFill="1" applyAlignment="1">
      <alignment horizontal="right" indent="1"/>
    </xf>
    <xf numFmtId="168" fontId="13" fillId="0" borderId="0" xfId="5" applyNumberFormat="1" applyFont="1" applyFill="1" applyAlignment="1">
      <alignment horizontal="right" indent="1"/>
    </xf>
    <xf numFmtId="42" fontId="6" fillId="0" borderId="5" xfId="4" applyNumberFormat="1" applyFont="1" applyFill="1" applyBorder="1"/>
    <xf numFmtId="42" fontId="6" fillId="0" borderId="0" xfId="3" applyNumberFormat="1" applyFont="1" applyFill="1"/>
    <xf numFmtId="42" fontId="6" fillId="0" borderId="5" xfId="3" applyNumberFormat="1" applyFont="1" applyFill="1" applyBorder="1"/>
    <xf numFmtId="0" fontId="6" fillId="0" borderId="0" xfId="3" applyFont="1" applyAlignment="1">
      <alignment horizontal="left" indent="2"/>
    </xf>
    <xf numFmtId="0" fontId="2" fillId="0" borderId="4" xfId="3" quotePrefix="1" applyFont="1" applyFill="1" applyBorder="1" applyAlignment="1">
      <alignment horizontal="center"/>
    </xf>
    <xf numFmtId="0" fontId="2" fillId="0" borderId="5" xfId="3" quotePrefix="1" applyFont="1" applyFill="1" applyBorder="1" applyAlignment="1">
      <alignment horizontal="center"/>
    </xf>
    <xf numFmtId="0" fontId="2" fillId="0" borderId="6" xfId="3" quotePrefix="1" applyFont="1" applyFill="1" applyBorder="1" applyAlignment="1">
      <alignment horizontal="center"/>
    </xf>
  </cellXfs>
  <cellStyles count="6">
    <cellStyle name="Comma" xfId="1" builtinId="3"/>
    <cellStyle name="Comma 79" xfId="4" xr:uid="{F73537F6-3386-46E4-8979-56453366E391}"/>
    <cellStyle name="Normal" xfId="0" builtinId="0"/>
    <cellStyle name="Normal 110" xfId="3" xr:uid="{8E75B626-0246-446F-A2DD-0A4905CC8B7D}"/>
    <cellStyle name="Percent" xfId="2" builtinId="5"/>
    <cellStyle name="Percent 54" xfId="5" xr:uid="{1FE51BC0-C785-45D2-8A52-C510394601A2}"/>
  </cellStyles>
  <dxfs count="0"/>
  <tableStyles count="0" defaultTableStyle="TableStyleMedium2" defaultPivotStyle="PivotStyleLight16"/>
  <colors>
    <mruColors>
      <color rgb="FF441CEC"/>
      <color rgb="FF2638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B422-277B-4950-9700-EDDE7F8C2934}">
  <sheetPr codeName="Sheet3">
    <pageSetUpPr fitToPage="1"/>
  </sheetPr>
  <dimension ref="B1:P55"/>
  <sheetViews>
    <sheetView tabSelected="1" view="pageLayout" zoomScaleNormal="100" workbookViewId="0">
      <selection activeCell="D12" sqref="D12"/>
    </sheetView>
  </sheetViews>
  <sheetFormatPr defaultColWidth="9.33203125" defaultRowHeight="13.8" x14ac:dyDescent="0.25"/>
  <cols>
    <col min="1" max="1" width="1.44140625" style="19" customWidth="1"/>
    <col min="2" max="2" width="6.6640625" style="19" customWidth="1"/>
    <col min="3" max="3" width="1.6640625" style="19" customWidth="1"/>
    <col min="4" max="4" width="76.109375" style="19" customWidth="1"/>
    <col min="5" max="5" width="1.6640625" style="19" customWidth="1"/>
    <col min="6" max="6" width="19" style="19" bestFit="1" customWidth="1"/>
    <col min="7" max="7" width="4" style="19" customWidth="1"/>
    <col min="8" max="13" width="16.33203125" style="19" customWidth="1"/>
    <col min="14" max="14" width="4.33203125" style="19" customWidth="1"/>
    <col min="15" max="16384" width="9.33203125" style="19"/>
  </cols>
  <sheetData>
    <row r="1" spans="2:14" ht="12.75" customHeight="1" x14ac:dyDescent="0.25">
      <c r="B1" s="20"/>
      <c r="C1" s="20"/>
      <c r="D1" s="20"/>
      <c r="E1" s="20"/>
      <c r="F1" s="20"/>
      <c r="G1" s="20"/>
      <c r="H1" s="20"/>
      <c r="I1" s="21"/>
    </row>
    <row r="2" spans="2:14" ht="12.75" customHeight="1" x14ac:dyDescent="0.25">
      <c r="I2" s="21" t="s">
        <v>0</v>
      </c>
      <c r="J2" s="21"/>
    </row>
    <row r="3" spans="2:14" ht="12.75" customHeight="1" x14ac:dyDescent="0.25"/>
    <row r="4" spans="2:14" ht="12.75" customHeight="1" x14ac:dyDescent="0.25">
      <c r="B4" s="4" t="s">
        <v>1</v>
      </c>
      <c r="H4" s="22" t="s">
        <v>2</v>
      </c>
      <c r="I4" s="23"/>
      <c r="J4" s="23"/>
      <c r="K4" s="23"/>
      <c r="L4" s="23"/>
      <c r="M4" s="23"/>
      <c r="N4" s="23"/>
    </row>
    <row r="5" spans="2:14" ht="14.25" customHeight="1" x14ac:dyDescent="0.25">
      <c r="B5" s="24" t="s">
        <v>3</v>
      </c>
      <c r="C5" s="4"/>
      <c r="D5" s="25"/>
      <c r="F5" s="26" t="s">
        <v>4</v>
      </c>
      <c r="H5" s="27">
        <f>'Page 2'!C6</f>
        <v>2024</v>
      </c>
      <c r="I5" s="27">
        <f>'Page 2'!E6</f>
        <v>2025</v>
      </c>
      <c r="J5" s="27">
        <f>'Page 2'!G6</f>
        <v>2026</v>
      </c>
      <c r="K5" s="27">
        <v>2027</v>
      </c>
      <c r="L5" s="27">
        <v>2028</v>
      </c>
      <c r="M5" s="27">
        <v>2029</v>
      </c>
      <c r="N5" s="28"/>
    </row>
    <row r="6" spans="2:14" ht="12.75" customHeight="1" x14ac:dyDescent="0.25">
      <c r="H6" s="29"/>
    </row>
    <row r="7" spans="2:14" ht="15" customHeight="1" x14ac:dyDescent="0.25">
      <c r="B7" s="59">
        <v>1</v>
      </c>
      <c r="D7" s="47" t="s">
        <v>5</v>
      </c>
      <c r="F7" s="58" t="s">
        <v>6</v>
      </c>
      <c r="H7" s="46">
        <v>0</v>
      </c>
      <c r="I7" s="46">
        <v>0</v>
      </c>
      <c r="J7" s="46">
        <f>'Page 2'!G9</f>
        <v>123332000</v>
      </c>
      <c r="K7" s="46">
        <f>'Page 2'!I9</f>
        <v>125801000</v>
      </c>
      <c r="L7" s="46">
        <f>'Page 2'!K9</f>
        <v>125801000</v>
      </c>
      <c r="M7" s="46">
        <f>'Page 2'!M9</f>
        <v>125801000</v>
      </c>
      <c r="N7" s="32"/>
    </row>
    <row r="8" spans="2:14" ht="15" customHeight="1" x14ac:dyDescent="0.25">
      <c r="B8" s="59">
        <f>MAX(B$6:B7)+1</f>
        <v>2</v>
      </c>
      <c r="D8" s="47" t="s">
        <v>7</v>
      </c>
      <c r="F8" s="58" t="s">
        <v>6</v>
      </c>
      <c r="H8" s="53">
        <v>0</v>
      </c>
      <c r="I8" s="53">
        <f>'Page 2'!E9</f>
        <v>46109000</v>
      </c>
      <c r="J8" s="53">
        <v>0</v>
      </c>
      <c r="K8" s="53">
        <v>0</v>
      </c>
      <c r="L8" s="53">
        <v>0</v>
      </c>
      <c r="M8" s="53">
        <v>0</v>
      </c>
      <c r="N8" s="32"/>
    </row>
    <row r="9" spans="2:14" ht="15" customHeight="1" x14ac:dyDescent="0.25">
      <c r="B9" s="59">
        <f>MAX(B$6:B8)+1</f>
        <v>3</v>
      </c>
      <c r="D9" s="61" t="s">
        <v>8</v>
      </c>
      <c r="F9" s="59" t="s">
        <v>9</v>
      </c>
      <c r="H9" s="44">
        <f>H7+H8</f>
        <v>0</v>
      </c>
      <c r="I9" s="44">
        <f t="shared" ref="I9:M9" si="0">I7+I8</f>
        <v>46109000</v>
      </c>
      <c r="J9" s="44">
        <f t="shared" si="0"/>
        <v>123332000</v>
      </c>
      <c r="K9" s="44">
        <f t="shared" si="0"/>
        <v>125801000</v>
      </c>
      <c r="L9" s="44">
        <f t="shared" si="0"/>
        <v>125801000</v>
      </c>
      <c r="M9" s="44">
        <f t="shared" si="0"/>
        <v>125801000</v>
      </c>
      <c r="N9" s="33"/>
    </row>
    <row r="10" spans="2:14" ht="15" customHeight="1" x14ac:dyDescent="0.25">
      <c r="B10" s="59"/>
      <c r="D10" s="61"/>
      <c r="F10" s="58"/>
      <c r="H10" s="47"/>
      <c r="I10" s="47"/>
      <c r="J10" s="47"/>
      <c r="K10" s="47"/>
      <c r="L10" s="47"/>
      <c r="M10" s="47"/>
    </row>
    <row r="11" spans="2:14" ht="15" customHeight="1" x14ac:dyDescent="0.25">
      <c r="B11" s="59">
        <f>MAX(B$6:B10)+1</f>
        <v>4</v>
      </c>
      <c r="D11" s="62" t="s">
        <v>10</v>
      </c>
      <c r="F11" s="58"/>
      <c r="H11" s="47"/>
      <c r="I11" s="47"/>
      <c r="J11" s="47"/>
      <c r="K11" s="47"/>
      <c r="L11" s="47"/>
      <c r="M11" s="47"/>
    </row>
    <row r="12" spans="2:14" ht="15" customHeight="1" x14ac:dyDescent="0.25">
      <c r="B12" s="59">
        <f>MAX(B$6:B11)+1</f>
        <v>5</v>
      </c>
      <c r="D12" s="47" t="s">
        <v>11</v>
      </c>
      <c r="F12" s="58" t="s">
        <v>6</v>
      </c>
      <c r="H12" s="46">
        <v>0</v>
      </c>
      <c r="I12" s="46">
        <v>0</v>
      </c>
      <c r="J12" s="46">
        <f>-ROUND('Page 2'!G13,0)</f>
        <v>428065</v>
      </c>
      <c r="K12" s="46">
        <f>-ROUND('Page 2'!I13,0)</f>
        <v>10907288</v>
      </c>
      <c r="L12" s="46">
        <f>-'Page 2'!K13</f>
        <v>21386511.416666668</v>
      </c>
      <c r="M12" s="46">
        <f>-'Page 2'!M13</f>
        <v>31865734.716666669</v>
      </c>
      <c r="N12" s="35"/>
    </row>
    <row r="13" spans="2:14" ht="15" customHeight="1" x14ac:dyDescent="0.25">
      <c r="B13" s="59">
        <f>MAX(B$6:B12)+1</f>
        <v>6</v>
      </c>
      <c r="D13" s="47" t="s">
        <v>12</v>
      </c>
      <c r="F13" s="58" t="s">
        <v>6</v>
      </c>
      <c r="H13" s="52">
        <v>0</v>
      </c>
      <c r="I13" s="52">
        <v>0</v>
      </c>
      <c r="J13" s="52">
        <f>-ROUND('Page 2'!G15,0)</f>
        <v>881346</v>
      </c>
      <c r="K13" s="52">
        <f>-ROUND('Page 2'!I15,0)</f>
        <v>569853</v>
      </c>
      <c r="L13" s="52">
        <f>-ROUND('Page 2'!K15,0)</f>
        <v>135970</v>
      </c>
      <c r="M13" s="52">
        <f>-ROUND('Page 2'!M15,0)</f>
        <v>-430221</v>
      </c>
      <c r="N13" s="35"/>
    </row>
    <row r="14" spans="2:14" ht="15" customHeight="1" x14ac:dyDescent="0.25">
      <c r="B14" s="59">
        <f>MAX(B$6:B13)+1</f>
        <v>7</v>
      </c>
      <c r="D14" s="47" t="s">
        <v>13</v>
      </c>
      <c r="F14" s="58"/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36"/>
    </row>
    <row r="15" spans="2:14" ht="15" customHeight="1" x14ac:dyDescent="0.25">
      <c r="B15" s="59">
        <f>MAX(B$6:B14)+1</f>
        <v>8</v>
      </c>
      <c r="D15" s="61" t="s">
        <v>8</v>
      </c>
      <c r="F15" s="58" t="s">
        <v>14</v>
      </c>
      <c r="H15" s="44">
        <f>SUM(H12:H14)</f>
        <v>0</v>
      </c>
      <c r="I15" s="44">
        <f t="shared" ref="I15:M15" si="1">SUM(I12:I14)</f>
        <v>0</v>
      </c>
      <c r="J15" s="44">
        <f t="shared" si="1"/>
        <v>1309411</v>
      </c>
      <c r="K15" s="44">
        <f t="shared" si="1"/>
        <v>11477141</v>
      </c>
      <c r="L15" s="44">
        <f t="shared" si="1"/>
        <v>21522481.416666668</v>
      </c>
      <c r="M15" s="44">
        <f t="shared" si="1"/>
        <v>31435513.716666669</v>
      </c>
      <c r="N15" s="33"/>
    </row>
    <row r="16" spans="2:14" ht="15" customHeight="1" x14ac:dyDescent="0.25">
      <c r="B16" s="59"/>
      <c r="D16" s="61"/>
      <c r="F16" s="58"/>
      <c r="H16" s="47"/>
      <c r="I16" s="47"/>
      <c r="J16" s="47"/>
      <c r="K16" s="47"/>
      <c r="L16" s="47"/>
      <c r="M16" s="47"/>
    </row>
    <row r="17" spans="2:16" ht="15" customHeight="1" x14ac:dyDescent="0.25">
      <c r="B17" s="59">
        <f>MAX(B$6:B16)+1</f>
        <v>9</v>
      </c>
      <c r="D17" s="47" t="s">
        <v>15</v>
      </c>
      <c r="F17" s="59" t="s">
        <v>16</v>
      </c>
      <c r="H17" s="44">
        <f>H9-H15</f>
        <v>0</v>
      </c>
      <c r="I17" s="44">
        <f>I9-I15</f>
        <v>46109000</v>
      </c>
      <c r="J17" s="44">
        <f>J9-J15</f>
        <v>122022589</v>
      </c>
      <c r="K17" s="44">
        <f>K9-K15</f>
        <v>114323859</v>
      </c>
      <c r="L17" s="44">
        <f t="shared" ref="L17:M17" si="2">L9-L15</f>
        <v>104278518.58333333</v>
      </c>
      <c r="M17" s="44">
        <f t="shared" si="2"/>
        <v>94365486.283333331</v>
      </c>
      <c r="N17" s="33"/>
    </row>
    <row r="18" spans="2:16" ht="15" customHeight="1" x14ac:dyDescent="0.25">
      <c r="B18" s="47"/>
      <c r="D18" s="47"/>
      <c r="F18" s="58"/>
      <c r="H18" s="47"/>
      <c r="I18" s="47"/>
      <c r="J18" s="47"/>
      <c r="K18" s="47"/>
      <c r="L18" s="47"/>
      <c r="M18" s="47"/>
    </row>
    <row r="19" spans="2:16" ht="15" customHeight="1" x14ac:dyDescent="0.25">
      <c r="B19" s="59">
        <f>MAX(B$6:B18)+1</f>
        <v>10</v>
      </c>
      <c r="C19" s="30"/>
      <c r="D19" s="47" t="s">
        <v>17</v>
      </c>
      <c r="F19" s="58" t="s">
        <v>50</v>
      </c>
      <c r="G19" s="30"/>
      <c r="H19" s="48">
        <v>8.8220000000000007E-2</v>
      </c>
      <c r="I19" s="48">
        <v>8.8220000000000007E-2</v>
      </c>
      <c r="J19" s="48">
        <v>8.8220000000000007E-2</v>
      </c>
      <c r="K19" s="48">
        <v>8.8220000000000007E-2</v>
      </c>
      <c r="L19" s="49">
        <v>8.8220000000000007E-2</v>
      </c>
      <c r="M19" s="49">
        <v>8.8220000000000007E-2</v>
      </c>
      <c r="N19" s="37"/>
    </row>
    <row r="20" spans="2:16" ht="15" customHeight="1" x14ac:dyDescent="0.25">
      <c r="B20" s="59"/>
      <c r="C20" s="30"/>
      <c r="D20" s="47"/>
      <c r="F20" s="58"/>
      <c r="G20" s="30"/>
      <c r="H20" s="50"/>
      <c r="I20" s="50"/>
      <c r="J20" s="50"/>
      <c r="K20" s="50"/>
      <c r="L20" s="51"/>
      <c r="M20" s="51"/>
      <c r="N20" s="38"/>
    </row>
    <row r="21" spans="2:16" ht="15" customHeight="1" x14ac:dyDescent="0.25">
      <c r="B21" s="59">
        <f>MAX(B$6:B20)+1</f>
        <v>11</v>
      </c>
      <c r="C21" s="30"/>
      <c r="D21" s="47" t="s">
        <v>18</v>
      </c>
      <c r="F21" s="59" t="s">
        <v>19</v>
      </c>
      <c r="G21" s="30"/>
      <c r="H21" s="44">
        <f>ROUND(H17*H19,0)</f>
        <v>0</v>
      </c>
      <c r="I21" s="44">
        <f t="shared" ref="I21:M21" si="3">ROUND(I17*I19,0)</f>
        <v>4067736</v>
      </c>
      <c r="J21" s="44">
        <f t="shared" si="3"/>
        <v>10764833</v>
      </c>
      <c r="K21" s="44">
        <f t="shared" si="3"/>
        <v>10085651</v>
      </c>
      <c r="L21" s="44">
        <f t="shared" si="3"/>
        <v>9199451</v>
      </c>
      <c r="M21" s="44">
        <f t="shared" si="3"/>
        <v>8324923</v>
      </c>
      <c r="N21" s="33"/>
    </row>
    <row r="22" spans="2:16" ht="15" customHeight="1" x14ac:dyDescent="0.25">
      <c r="B22" s="59"/>
      <c r="C22" s="30"/>
      <c r="D22" s="47"/>
      <c r="F22" s="58"/>
      <c r="G22" s="30"/>
      <c r="H22" s="44"/>
      <c r="I22" s="44"/>
      <c r="J22" s="44"/>
      <c r="K22" s="44"/>
      <c r="L22" s="44"/>
      <c r="M22" s="44"/>
      <c r="N22" s="33"/>
    </row>
    <row r="23" spans="2:16" ht="15" customHeight="1" x14ac:dyDescent="0.25">
      <c r="B23" s="59">
        <f>MAX(B$6:B22)+1</f>
        <v>12</v>
      </c>
      <c r="C23" s="30"/>
      <c r="D23" s="63" t="s">
        <v>20</v>
      </c>
      <c r="F23" s="58"/>
      <c r="G23" s="30"/>
      <c r="H23" s="44"/>
      <c r="I23" s="44"/>
      <c r="J23" s="44"/>
      <c r="K23" s="44"/>
      <c r="L23" s="44"/>
      <c r="M23" s="44"/>
      <c r="N23" s="33"/>
    </row>
    <row r="24" spans="2:16" ht="15" customHeight="1" x14ac:dyDescent="0.25">
      <c r="B24" s="59">
        <f>MAX(B$6:B23)+1</f>
        <v>13</v>
      </c>
      <c r="C24" s="30"/>
      <c r="D24" s="47" t="s">
        <v>21</v>
      </c>
      <c r="F24" s="58" t="s">
        <v>6</v>
      </c>
      <c r="G24" s="30"/>
      <c r="H24" s="46">
        <v>0</v>
      </c>
      <c r="I24" s="46">
        <v>0</v>
      </c>
      <c r="J24" s="46">
        <f>'Page 2'!G11</f>
        <v>428064.81666666665</v>
      </c>
      <c r="K24" s="46">
        <f>'Page 2'!I11</f>
        <v>10479223.300000001</v>
      </c>
      <c r="L24" s="46">
        <f>'Page 2'!K11</f>
        <v>10479223.300000001</v>
      </c>
      <c r="M24" s="46">
        <f>'Page 2'!M11</f>
        <v>10479223.300000001</v>
      </c>
      <c r="N24" s="34"/>
    </row>
    <row r="25" spans="2:16" ht="15" customHeight="1" x14ac:dyDescent="0.25">
      <c r="B25" s="59">
        <f>MAX(B$6:B24)+1</f>
        <v>14</v>
      </c>
      <c r="C25" s="30"/>
      <c r="D25" s="47" t="s">
        <v>22</v>
      </c>
      <c r="F25" s="69" t="s">
        <v>58</v>
      </c>
      <c r="G25" s="30"/>
      <c r="H25" s="52">
        <f>ROUND(H9*0.010508,0)</f>
        <v>0</v>
      </c>
      <c r="I25" s="52">
        <f t="shared" ref="I25:M25" si="4">ROUND((I9-I12)*0.0126091,0)</f>
        <v>581393</v>
      </c>
      <c r="J25" s="52">
        <f t="shared" si="4"/>
        <v>1549708</v>
      </c>
      <c r="K25" s="52">
        <f t="shared" si="4"/>
        <v>1448706</v>
      </c>
      <c r="L25" s="52">
        <f t="shared" si="4"/>
        <v>1316573</v>
      </c>
      <c r="M25" s="52">
        <f t="shared" si="4"/>
        <v>1184439</v>
      </c>
      <c r="N25" s="39"/>
    </row>
    <row r="26" spans="2:16" ht="15" customHeight="1" x14ac:dyDescent="0.25">
      <c r="B26" s="59">
        <f>MAX(B$6:B25)+1</f>
        <v>15</v>
      </c>
      <c r="C26" s="30"/>
      <c r="D26" s="64" t="s">
        <v>69</v>
      </c>
      <c r="F26" s="59"/>
      <c r="G26" s="30"/>
      <c r="H26" s="53">
        <v>0</v>
      </c>
      <c r="I26" s="53">
        <v>0</v>
      </c>
      <c r="J26" s="53">
        <v>0</v>
      </c>
      <c r="K26" s="53">
        <v>-12461617</v>
      </c>
      <c r="L26" s="53">
        <v>-13098135</v>
      </c>
      <c r="M26" s="53">
        <v>-11822158</v>
      </c>
      <c r="N26" s="39"/>
      <c r="P26" s="21" t="s">
        <v>0</v>
      </c>
    </row>
    <row r="27" spans="2:16" ht="15" customHeight="1" x14ac:dyDescent="0.25">
      <c r="B27" s="59">
        <f>MAX(B$6:B26)+1</f>
        <v>16</v>
      </c>
      <c r="C27" s="30"/>
      <c r="D27" s="61" t="s">
        <v>8</v>
      </c>
      <c r="F27" s="58" t="s">
        <v>56</v>
      </c>
      <c r="G27" s="30"/>
      <c r="H27" s="44">
        <f t="shared" ref="H27:M27" si="5">SUM(H24:H26)</f>
        <v>0</v>
      </c>
      <c r="I27" s="44">
        <f t="shared" si="5"/>
        <v>581393</v>
      </c>
      <c r="J27" s="44">
        <f t="shared" si="5"/>
        <v>1977772.8166666667</v>
      </c>
      <c r="K27" s="44">
        <f t="shared" si="5"/>
        <v>-533687.69999999925</v>
      </c>
      <c r="L27" s="44">
        <f t="shared" si="5"/>
        <v>-1302338.6999999993</v>
      </c>
      <c r="M27" s="44">
        <f t="shared" si="5"/>
        <v>-158495.69999999925</v>
      </c>
      <c r="N27" s="40"/>
    </row>
    <row r="28" spans="2:16" ht="15" customHeight="1" x14ac:dyDescent="0.25">
      <c r="B28" s="59"/>
      <c r="C28" s="30"/>
      <c r="D28" s="47"/>
      <c r="F28" s="58"/>
      <c r="G28" s="30"/>
      <c r="H28" s="54"/>
      <c r="I28" s="54"/>
      <c r="J28" s="54"/>
      <c r="K28" s="54"/>
      <c r="L28" s="54"/>
      <c r="M28" s="54"/>
      <c r="N28" s="41"/>
    </row>
    <row r="29" spans="2:16" ht="15" customHeight="1" x14ac:dyDescent="0.25">
      <c r="B29" s="59">
        <f>MAX(B$6:B28)+1</f>
        <v>17</v>
      </c>
      <c r="C29" s="30"/>
      <c r="D29" s="65" t="s">
        <v>23</v>
      </c>
      <c r="F29" s="59" t="s">
        <v>57</v>
      </c>
      <c r="G29" s="30"/>
      <c r="H29" s="44">
        <f t="shared" ref="H29:M29" si="6">H21+H27</f>
        <v>0</v>
      </c>
      <c r="I29" s="44">
        <f t="shared" si="6"/>
        <v>4649129</v>
      </c>
      <c r="J29" s="44">
        <f t="shared" si="6"/>
        <v>12742605.816666666</v>
      </c>
      <c r="K29" s="44">
        <f t="shared" si="6"/>
        <v>9551963.3000000007</v>
      </c>
      <c r="L29" s="44">
        <f t="shared" si="6"/>
        <v>7897112.3000000007</v>
      </c>
      <c r="M29" s="44">
        <f t="shared" si="6"/>
        <v>8166427.3000000007</v>
      </c>
      <c r="N29" s="33"/>
    </row>
    <row r="30" spans="2:16" ht="15" customHeight="1" x14ac:dyDescent="0.25">
      <c r="B30" s="47"/>
      <c r="D30" s="47"/>
      <c r="F30" s="58"/>
      <c r="H30" s="47"/>
      <c r="I30" s="47"/>
      <c r="J30" s="47"/>
      <c r="K30" s="47"/>
      <c r="L30" s="47"/>
      <c r="M30" s="47"/>
    </row>
    <row r="31" spans="2:16" ht="15" customHeight="1" x14ac:dyDescent="0.25">
      <c r="B31" s="59">
        <f>MAX(B$6:B30)+1</f>
        <v>18</v>
      </c>
      <c r="C31" s="30"/>
      <c r="D31" s="47" t="s">
        <v>24</v>
      </c>
      <c r="F31" s="58" t="s">
        <v>51</v>
      </c>
      <c r="G31" s="30"/>
      <c r="H31" s="55">
        <v>0.98399999999999999</v>
      </c>
      <c r="I31" s="55">
        <f>H31</f>
        <v>0.98399999999999999</v>
      </c>
      <c r="J31" s="55">
        <f>H31</f>
        <v>0.98399999999999999</v>
      </c>
      <c r="K31" s="55">
        <f>H31</f>
        <v>0.98399999999999999</v>
      </c>
      <c r="L31" s="55">
        <f>I31</f>
        <v>0.98399999999999999</v>
      </c>
      <c r="M31" s="55">
        <f>J31</f>
        <v>0.98399999999999999</v>
      </c>
      <c r="N31" s="42"/>
    </row>
    <row r="32" spans="2:16" ht="15" customHeight="1" x14ac:dyDescent="0.25">
      <c r="B32" s="58"/>
      <c r="C32" s="31"/>
      <c r="D32" s="47"/>
      <c r="F32" s="58"/>
      <c r="H32" s="47"/>
      <c r="I32" s="47"/>
      <c r="J32" s="47"/>
      <c r="K32" s="47"/>
      <c r="L32" s="47"/>
      <c r="M32" s="47"/>
    </row>
    <row r="33" spans="2:14" ht="15" customHeight="1" x14ac:dyDescent="0.25">
      <c r="B33" s="59">
        <f>MAX(B$6:B32)+1</f>
        <v>19</v>
      </c>
      <c r="C33" s="30"/>
      <c r="D33" s="47" t="s">
        <v>25</v>
      </c>
      <c r="F33" s="58" t="s">
        <v>59</v>
      </c>
      <c r="G33" s="30"/>
      <c r="H33" s="44">
        <f>ROUND(H29*H31,0)</f>
        <v>0</v>
      </c>
      <c r="I33" s="44">
        <f t="shared" ref="I33:M33" si="7">ROUND(I29*I31,0)</f>
        <v>4574743</v>
      </c>
      <c r="J33" s="44">
        <f t="shared" si="7"/>
        <v>12538724</v>
      </c>
      <c r="K33" s="44">
        <f t="shared" si="7"/>
        <v>9399132</v>
      </c>
      <c r="L33" s="44">
        <f t="shared" si="7"/>
        <v>7770759</v>
      </c>
      <c r="M33" s="44">
        <f t="shared" si="7"/>
        <v>8035764</v>
      </c>
      <c r="N33" s="33"/>
    </row>
    <row r="34" spans="2:14" ht="15" customHeight="1" x14ac:dyDescent="0.25">
      <c r="B34" s="58"/>
      <c r="C34" s="31"/>
      <c r="D34" s="47"/>
      <c r="F34" s="58"/>
      <c r="H34" s="47"/>
      <c r="I34" s="47"/>
      <c r="J34" s="47"/>
      <c r="K34" s="47"/>
      <c r="L34" s="47"/>
      <c r="M34" s="47"/>
    </row>
    <row r="35" spans="2:14" ht="15" customHeight="1" x14ac:dyDescent="0.25">
      <c r="B35" s="58"/>
      <c r="C35" s="31"/>
      <c r="D35" s="66" t="s">
        <v>63</v>
      </c>
      <c r="F35" s="58"/>
      <c r="H35" s="47"/>
      <c r="I35" s="47"/>
      <c r="J35" s="47"/>
      <c r="K35" s="47"/>
      <c r="L35" s="47"/>
      <c r="M35" s="47"/>
    </row>
    <row r="36" spans="2:14" ht="15" customHeight="1" x14ac:dyDescent="0.25">
      <c r="B36" s="59">
        <f>MAX(B$6:B35)+1</f>
        <v>20</v>
      </c>
      <c r="C36" s="31"/>
      <c r="D36" s="47" t="s">
        <v>26</v>
      </c>
      <c r="F36" s="59" t="s">
        <v>60</v>
      </c>
      <c r="H36" s="44">
        <f>H33</f>
        <v>0</v>
      </c>
      <c r="I36" s="44">
        <f>I33</f>
        <v>4574743</v>
      </c>
      <c r="J36" s="44">
        <f>J33</f>
        <v>12538724</v>
      </c>
      <c r="K36" s="44">
        <f>K33</f>
        <v>9399132</v>
      </c>
      <c r="L36" s="44">
        <f t="shared" ref="L36:M36" si="8">L33</f>
        <v>7770759</v>
      </c>
      <c r="M36" s="44">
        <f t="shared" si="8"/>
        <v>8035764</v>
      </c>
      <c r="N36" s="33"/>
    </row>
    <row r="37" spans="2:14" ht="15" customHeight="1" x14ac:dyDescent="0.25">
      <c r="B37" s="58"/>
      <c r="C37" s="31"/>
      <c r="D37" s="47"/>
      <c r="F37" s="58"/>
      <c r="H37" s="47"/>
      <c r="I37" s="44"/>
      <c r="J37" s="44"/>
      <c r="K37" s="44"/>
      <c r="L37" s="44"/>
      <c r="M37" s="44"/>
      <c r="N37" s="33"/>
    </row>
    <row r="38" spans="2:14" ht="15" customHeight="1" x14ac:dyDescent="0.25">
      <c r="B38" s="59">
        <f>MAX(B$6:B37)+1</f>
        <v>21</v>
      </c>
      <c r="C38" s="31"/>
      <c r="D38" s="47" t="s">
        <v>61</v>
      </c>
      <c r="F38" s="60">
        <v>0.4219</v>
      </c>
      <c r="H38" s="44">
        <f>ROUND(H36*$F$38,0)</f>
        <v>0</v>
      </c>
      <c r="I38" s="44">
        <f>ROUND(I36*$F$38,0)</f>
        <v>1930084</v>
      </c>
      <c r="J38" s="44">
        <f>ROUND(J36*$F$38,0)</f>
        <v>5290088</v>
      </c>
      <c r="K38" s="44">
        <f>ROUND(K36*$F$38,0)</f>
        <v>3965494</v>
      </c>
      <c r="L38" s="44">
        <f t="shared" ref="L38:M38" si="9">ROUND(L36*$F$38,0)</f>
        <v>3278483</v>
      </c>
      <c r="M38" s="44">
        <f t="shared" si="9"/>
        <v>3390289</v>
      </c>
      <c r="N38" s="33"/>
    </row>
    <row r="39" spans="2:14" ht="15" customHeight="1" x14ac:dyDescent="0.25">
      <c r="B39" s="59">
        <f>MAX(B$6:B38)+1</f>
        <v>22</v>
      </c>
      <c r="C39" s="31"/>
      <c r="D39" s="47" t="s">
        <v>62</v>
      </c>
      <c r="F39" s="60">
        <v>0.57809999999999995</v>
      </c>
      <c r="H39" s="44">
        <f>ROUND(H36*$F$39,0)</f>
        <v>0</v>
      </c>
      <c r="I39" s="44">
        <f>ROUND(I36*$F$39,0)</f>
        <v>2644659</v>
      </c>
      <c r="J39" s="44">
        <f>ROUND(J36*$F$39,0)</f>
        <v>7248636</v>
      </c>
      <c r="K39" s="44">
        <f>ROUND(K36*$F$39,0)</f>
        <v>5433638</v>
      </c>
      <c r="L39" s="44">
        <f t="shared" ref="L39:M39" si="10">ROUND(L36*$F$39,0)</f>
        <v>4492276</v>
      </c>
      <c r="M39" s="44">
        <f t="shared" si="10"/>
        <v>4645475</v>
      </c>
      <c r="N39" s="33"/>
    </row>
    <row r="40" spans="2:14" ht="15" customHeight="1" x14ac:dyDescent="0.25">
      <c r="B40" s="58"/>
      <c r="C40" s="31"/>
      <c r="D40" s="47"/>
      <c r="F40" s="58"/>
      <c r="H40" s="47"/>
      <c r="I40" s="47"/>
      <c r="J40" s="47"/>
      <c r="K40" s="47"/>
      <c r="L40" s="47"/>
      <c r="M40" s="47"/>
    </row>
    <row r="41" spans="2:14" ht="15" customHeight="1" x14ac:dyDescent="0.25">
      <c r="B41" s="59"/>
      <c r="C41" s="31"/>
      <c r="D41" s="67" t="s">
        <v>67</v>
      </c>
      <c r="F41" s="58" t="s">
        <v>52</v>
      </c>
      <c r="H41" s="46">
        <f>H42+H43</f>
        <v>321573748</v>
      </c>
      <c r="I41" s="44">
        <f>H41</f>
        <v>321573748</v>
      </c>
      <c r="J41" s="44">
        <f>H41</f>
        <v>321573748</v>
      </c>
      <c r="K41" s="44">
        <f>I41</f>
        <v>321573748</v>
      </c>
      <c r="L41" s="44">
        <f t="shared" ref="L41:M43" si="11">J41</f>
        <v>321573748</v>
      </c>
      <c r="M41" s="44">
        <f t="shared" si="11"/>
        <v>321573748</v>
      </c>
      <c r="N41" s="33"/>
    </row>
    <row r="42" spans="2:14" ht="15" customHeight="1" x14ac:dyDescent="0.25">
      <c r="B42" s="59">
        <f>MAX(B$6:B41)+1</f>
        <v>23</v>
      </c>
      <c r="C42" s="31"/>
      <c r="D42" s="61" t="s">
        <v>27</v>
      </c>
      <c r="F42" s="58" t="s">
        <v>52</v>
      </c>
      <c r="H42" s="45">
        <v>171957620</v>
      </c>
      <c r="I42" s="44">
        <f t="shared" ref="I42:I43" si="12">H42</f>
        <v>171957620</v>
      </c>
      <c r="J42" s="44">
        <f t="shared" ref="J42:K43" si="13">H42</f>
        <v>171957620</v>
      </c>
      <c r="K42" s="44">
        <f t="shared" si="13"/>
        <v>171957620</v>
      </c>
      <c r="L42" s="44">
        <f t="shared" si="11"/>
        <v>171957620</v>
      </c>
      <c r="M42" s="44">
        <f t="shared" si="11"/>
        <v>171957620</v>
      </c>
      <c r="N42" s="33"/>
    </row>
    <row r="43" spans="2:14" ht="15" customHeight="1" x14ac:dyDescent="0.25">
      <c r="B43" s="59">
        <f>MAX(B$6:B42)+1</f>
        <v>24</v>
      </c>
      <c r="C43" s="31"/>
      <c r="D43" s="61" t="s">
        <v>28</v>
      </c>
      <c r="F43" s="58" t="s">
        <v>52</v>
      </c>
      <c r="H43" s="45">
        <v>149616128</v>
      </c>
      <c r="I43" s="44">
        <f t="shared" si="12"/>
        <v>149616128</v>
      </c>
      <c r="J43" s="44">
        <f t="shared" si="13"/>
        <v>149616128</v>
      </c>
      <c r="K43" s="44">
        <f t="shared" si="13"/>
        <v>149616128</v>
      </c>
      <c r="L43" s="44">
        <f t="shared" si="11"/>
        <v>149616128</v>
      </c>
      <c r="M43" s="44">
        <f t="shared" si="11"/>
        <v>149616128</v>
      </c>
      <c r="N43" s="33"/>
    </row>
    <row r="44" spans="2:14" ht="15" customHeight="1" x14ac:dyDescent="0.25">
      <c r="B44" s="58"/>
      <c r="C44" s="31"/>
      <c r="D44" s="47"/>
      <c r="F44" s="58"/>
      <c r="H44" s="47"/>
      <c r="I44" s="47"/>
      <c r="J44" s="47"/>
      <c r="K44" s="47"/>
      <c r="L44" s="47"/>
      <c r="M44" s="47"/>
    </row>
    <row r="45" spans="2:14" ht="15" customHeight="1" x14ac:dyDescent="0.25">
      <c r="B45" s="59"/>
      <c r="C45" s="31"/>
      <c r="D45" s="66" t="s">
        <v>29</v>
      </c>
      <c r="F45" s="58"/>
      <c r="H45" s="47"/>
      <c r="I45" s="47"/>
      <c r="J45" s="47"/>
      <c r="K45" s="47"/>
      <c r="L45" s="47"/>
      <c r="M45" s="47"/>
    </row>
    <row r="46" spans="2:14" ht="15" customHeight="1" x14ac:dyDescent="0.25">
      <c r="B46" s="59">
        <f>MAX(B$6:B45)+1</f>
        <v>25</v>
      </c>
      <c r="C46" s="31"/>
      <c r="D46" s="61" t="s">
        <v>27</v>
      </c>
      <c r="F46" s="59" t="s">
        <v>64</v>
      </c>
      <c r="H46" s="56">
        <f>ROUND(H38/H42,6)</f>
        <v>0</v>
      </c>
      <c r="I46" s="56">
        <f t="shared" ref="I46:M47" si="14">ROUND(I38/I42,6)</f>
        <v>1.1224E-2</v>
      </c>
      <c r="J46" s="56">
        <f t="shared" si="14"/>
        <v>3.0764E-2</v>
      </c>
      <c r="K46" s="56">
        <f t="shared" si="14"/>
        <v>2.3061000000000002E-2</v>
      </c>
      <c r="L46" s="56">
        <f t="shared" si="14"/>
        <v>1.9066E-2</v>
      </c>
      <c r="M46" s="56">
        <f t="shared" si="14"/>
        <v>1.9716000000000001E-2</v>
      </c>
      <c r="N46" s="43"/>
    </row>
    <row r="47" spans="2:14" ht="15" customHeight="1" x14ac:dyDescent="0.25">
      <c r="B47" s="59">
        <f>MAX(B$6:B46)+1</f>
        <v>26</v>
      </c>
      <c r="C47" s="31"/>
      <c r="D47" s="61" t="s">
        <v>28</v>
      </c>
      <c r="F47" s="59" t="s">
        <v>65</v>
      </c>
      <c r="H47" s="56">
        <f>ROUND(H39/H43,6)</f>
        <v>0</v>
      </c>
      <c r="I47" s="56">
        <f t="shared" si="14"/>
        <v>1.7676000000000001E-2</v>
      </c>
      <c r="J47" s="56">
        <f t="shared" si="14"/>
        <v>4.8447999999999998E-2</v>
      </c>
      <c r="K47" s="56">
        <f t="shared" si="14"/>
        <v>3.6317000000000002E-2</v>
      </c>
      <c r="L47" s="56">
        <f t="shared" si="14"/>
        <v>3.0025E-2</v>
      </c>
      <c r="M47" s="56">
        <f t="shared" si="14"/>
        <v>3.1049E-2</v>
      </c>
      <c r="N47" s="43"/>
    </row>
    <row r="48" spans="2:14" ht="15" customHeight="1" x14ac:dyDescent="0.25">
      <c r="B48" s="58"/>
      <c r="C48" s="31"/>
      <c r="D48" s="47"/>
      <c r="F48" s="47"/>
      <c r="H48" s="47"/>
      <c r="I48" s="47"/>
      <c r="J48" s="47"/>
      <c r="K48" s="47"/>
      <c r="L48" s="47"/>
      <c r="M48" s="47"/>
    </row>
    <row r="49" spans="2:13" ht="15" customHeight="1" x14ac:dyDescent="0.25">
      <c r="B49" s="58"/>
      <c r="C49" s="31"/>
      <c r="D49" s="66"/>
      <c r="F49" s="47"/>
      <c r="H49" s="57"/>
      <c r="I49" s="47"/>
      <c r="J49" s="47"/>
      <c r="K49" s="47"/>
      <c r="L49" s="47"/>
      <c r="M49" s="47"/>
    </row>
    <row r="50" spans="2:13" ht="15" customHeight="1" x14ac:dyDescent="0.25">
      <c r="B50" s="47"/>
      <c r="D50" s="68" t="s">
        <v>68</v>
      </c>
      <c r="F50" s="47"/>
      <c r="H50" s="47"/>
      <c r="I50" s="47"/>
      <c r="J50" s="47"/>
      <c r="K50" s="47"/>
      <c r="L50" s="47"/>
      <c r="M50" s="47"/>
    </row>
    <row r="51" spans="2:13" ht="15" customHeight="1" x14ac:dyDescent="0.25">
      <c r="B51" s="47"/>
      <c r="D51" s="47" t="s">
        <v>53</v>
      </c>
      <c r="F51" s="47"/>
      <c r="H51" s="47"/>
      <c r="I51" s="47"/>
      <c r="J51" s="47"/>
      <c r="K51" s="47"/>
      <c r="L51" s="47"/>
      <c r="M51" s="47"/>
    </row>
    <row r="52" spans="2:13" ht="15" customHeight="1" x14ac:dyDescent="0.25">
      <c r="B52" s="47"/>
      <c r="D52" s="47" t="s">
        <v>66</v>
      </c>
      <c r="F52" s="47"/>
      <c r="H52" s="47"/>
      <c r="I52" s="47"/>
      <c r="J52" s="47"/>
      <c r="K52" s="47"/>
      <c r="L52" s="47"/>
      <c r="M52" s="47"/>
    </row>
    <row r="53" spans="2:13" x14ac:dyDescent="0.25">
      <c r="B53" s="47"/>
      <c r="D53" s="47"/>
      <c r="F53" s="47"/>
      <c r="H53" s="47"/>
      <c r="I53" s="47"/>
      <c r="J53" s="47"/>
      <c r="K53" s="47"/>
      <c r="L53" s="47"/>
      <c r="M53" s="47"/>
    </row>
    <row r="54" spans="2:13" x14ac:dyDescent="0.25">
      <c r="D54" s="47"/>
      <c r="F54" s="47"/>
      <c r="H54" s="47"/>
      <c r="I54" s="47"/>
      <c r="J54" s="47"/>
      <c r="K54" s="47"/>
      <c r="L54" s="47"/>
      <c r="M54" s="47"/>
    </row>
    <row r="55" spans="2:13" x14ac:dyDescent="0.25">
      <c r="D55" s="47"/>
    </row>
  </sheetData>
  <printOptions horizontalCentered="1"/>
  <pageMargins left="0.6" right="0.5" top="0.64" bottom="1" header="0.3" footer="0.3"/>
  <pageSetup scale="55" orientation="landscape" r:id="rId1"/>
  <headerFooter>
    <oddHeader xml:space="preserve">&amp;L&amp;"Times New Roman,Regular"&amp;11Duke Energy Kentucky, Inc.
Estimated Revenue Requirement for ESM - Limestone Conversion Project&amp;R&amp;"Times New Roman,Regular"&amp;11KYPSC Case No. 2024-00152
Attachment SEL-1
Page &amp;P of &amp;N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CBE8-D589-4ADF-9CF8-7C81FC35694A}">
  <sheetPr>
    <pageSetUpPr fitToPage="1"/>
  </sheetPr>
  <dimension ref="A1:S55"/>
  <sheetViews>
    <sheetView tabSelected="1" view="pageLayout" zoomScaleNormal="100" workbookViewId="0">
      <selection activeCell="D12" sqref="D12"/>
    </sheetView>
  </sheetViews>
  <sheetFormatPr defaultColWidth="9.33203125" defaultRowHeight="13.8" x14ac:dyDescent="0.25"/>
  <cols>
    <col min="1" max="1" width="35.6640625" style="5" customWidth="1"/>
    <col min="2" max="2" width="3" style="5" bestFit="1" customWidth="1"/>
    <col min="3" max="3" width="15.6640625" style="5" customWidth="1"/>
    <col min="4" max="4" width="1.6640625" style="5" customWidth="1"/>
    <col min="5" max="5" width="15.6640625" style="5" customWidth="1"/>
    <col min="6" max="6" width="1.6640625" style="5" customWidth="1"/>
    <col min="7" max="7" width="15.6640625" style="5" customWidth="1"/>
    <col min="8" max="8" width="1.6640625" style="5" customWidth="1"/>
    <col min="9" max="9" width="15.6640625" style="5" customWidth="1"/>
    <col min="10" max="10" width="1.6640625" style="5" customWidth="1"/>
    <col min="11" max="11" width="15.6640625" style="5" customWidth="1"/>
    <col min="12" max="12" width="1.6640625" style="5" customWidth="1"/>
    <col min="13" max="13" width="15.6640625" style="5" customWidth="1"/>
    <col min="14" max="14" width="1.6640625" style="5" customWidth="1"/>
    <col min="15" max="15" width="15.6640625" style="5" customWidth="1"/>
    <col min="16" max="16" width="1.6640625" style="5" customWidth="1"/>
    <col min="17" max="17" width="15.6640625" style="5" customWidth="1"/>
    <col min="18" max="18" width="1.6640625" style="5" customWidth="1"/>
    <col min="19" max="19" width="15.6640625" style="5" customWidth="1"/>
    <col min="20" max="20" width="1.6640625" style="5" customWidth="1"/>
    <col min="21" max="16384" width="9.33203125" style="5"/>
  </cols>
  <sheetData>
    <row r="1" spans="1:17" x14ac:dyDescent="0.25">
      <c r="A1" s="1"/>
      <c r="Q1" s="2"/>
    </row>
    <row r="2" spans="1:17" x14ac:dyDescent="0.25">
      <c r="A2" s="3"/>
      <c r="Q2" s="2"/>
    </row>
    <row r="3" spans="1:17" ht="14.4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x14ac:dyDescent="0.25">
      <c r="C5" s="82" t="s">
        <v>30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17" x14ac:dyDescent="0.25">
      <c r="A6" s="7" t="s">
        <v>31</v>
      </c>
      <c r="C6" s="8">
        <v>2024</v>
      </c>
      <c r="D6" s="9"/>
      <c r="E6" s="8">
        <f>C6+1</f>
        <v>2025</v>
      </c>
      <c r="F6" s="8"/>
      <c r="G6" s="8">
        <f>E6+1</f>
        <v>2026</v>
      </c>
      <c r="H6" s="8"/>
      <c r="I6" s="8">
        <f>G6+1</f>
        <v>2027</v>
      </c>
      <c r="J6" s="8"/>
      <c r="K6" s="8">
        <f>I6+1</f>
        <v>2028</v>
      </c>
      <c r="L6" s="8"/>
      <c r="M6" s="8">
        <f>K6+1</f>
        <v>2029</v>
      </c>
      <c r="N6" s="8"/>
      <c r="O6" s="8">
        <f>M6+1</f>
        <v>2030</v>
      </c>
      <c r="P6" s="8"/>
      <c r="Q6" s="8">
        <f>O6+1</f>
        <v>2031</v>
      </c>
    </row>
    <row r="8" spans="1:17" x14ac:dyDescent="0.25">
      <c r="A8" s="10" t="s">
        <v>32</v>
      </c>
      <c r="C8" s="70">
        <v>6015000</v>
      </c>
      <c r="D8" s="70"/>
      <c r="E8" s="70">
        <v>40094000</v>
      </c>
      <c r="F8" s="70"/>
      <c r="G8" s="70">
        <v>77223000</v>
      </c>
      <c r="H8" s="70"/>
      <c r="I8" s="70">
        <v>2469000</v>
      </c>
      <c r="J8" s="70"/>
      <c r="K8" s="70">
        <v>0</v>
      </c>
      <c r="L8" s="70"/>
      <c r="M8" s="70">
        <v>0</v>
      </c>
      <c r="N8" s="70"/>
      <c r="O8" s="70">
        <v>0</v>
      </c>
      <c r="P8" s="70"/>
      <c r="Q8" s="70">
        <v>0</v>
      </c>
    </row>
    <row r="9" spans="1:17" x14ac:dyDescent="0.25">
      <c r="A9" s="10" t="s">
        <v>33</v>
      </c>
      <c r="C9" s="71">
        <f>C8</f>
        <v>6015000</v>
      </c>
      <c r="D9" s="72"/>
      <c r="E9" s="71">
        <f>E8+C9</f>
        <v>46109000</v>
      </c>
      <c r="F9" s="72"/>
      <c r="G9" s="71">
        <f>G8+E9</f>
        <v>123332000</v>
      </c>
      <c r="H9" s="72"/>
      <c r="I9" s="71">
        <f>I8+G9</f>
        <v>125801000</v>
      </c>
      <c r="J9" s="72"/>
      <c r="K9" s="71">
        <f>K8+I9</f>
        <v>125801000</v>
      </c>
      <c r="L9" s="72"/>
      <c r="M9" s="71">
        <f>M8+K9</f>
        <v>125801000</v>
      </c>
      <c r="N9" s="72"/>
      <c r="O9" s="71">
        <f>O8+M9</f>
        <v>125801000</v>
      </c>
      <c r="P9" s="72"/>
      <c r="Q9" s="71">
        <f>Q8+O9</f>
        <v>125801000</v>
      </c>
    </row>
    <row r="10" spans="1:17" x14ac:dyDescent="0.25">
      <c r="A10" s="10"/>
    </row>
    <row r="11" spans="1:17" x14ac:dyDescent="0.25">
      <c r="A11" s="10" t="s">
        <v>21</v>
      </c>
      <c r="C11" s="72">
        <f>Q26</f>
        <v>0</v>
      </c>
      <c r="D11" s="72"/>
      <c r="E11" s="72">
        <f>Q27</f>
        <v>0</v>
      </c>
      <c r="F11" s="72"/>
      <c r="G11" s="72">
        <f>Q28</f>
        <v>428064.81666666665</v>
      </c>
      <c r="H11" s="72"/>
      <c r="I11" s="72">
        <f>Q29</f>
        <v>10479223.300000001</v>
      </c>
      <c r="J11" s="72"/>
      <c r="K11" s="72">
        <f>Q30</f>
        <v>10479223.300000001</v>
      </c>
      <c r="L11" s="72"/>
      <c r="M11" s="72">
        <f>Q31</f>
        <v>10479223.300000001</v>
      </c>
      <c r="N11" s="72"/>
      <c r="O11" s="72">
        <f>Q32</f>
        <v>10479223.300000001</v>
      </c>
      <c r="P11" s="72"/>
      <c r="Q11" s="72">
        <f>Q33</f>
        <v>10479223.300000001</v>
      </c>
    </row>
    <row r="12" spans="1:17" x14ac:dyDescent="0.25">
      <c r="A12" s="10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x14ac:dyDescent="0.25">
      <c r="A13" s="10" t="s">
        <v>34</v>
      </c>
      <c r="C13" s="72">
        <f>-C11</f>
        <v>0</v>
      </c>
      <c r="D13" s="72"/>
      <c r="E13" s="72">
        <f>-SUM($C11:E11)</f>
        <v>0</v>
      </c>
      <c r="F13" s="72"/>
      <c r="G13" s="72">
        <f>-SUM($C11:G11)</f>
        <v>-428064.81666666665</v>
      </c>
      <c r="H13" s="72"/>
      <c r="I13" s="72">
        <f>-SUM($C11:I11)</f>
        <v>-10907288.116666667</v>
      </c>
      <c r="J13" s="72"/>
      <c r="K13" s="72">
        <f>-SUM($C11:K11)</f>
        <v>-21386511.416666668</v>
      </c>
      <c r="L13" s="72"/>
      <c r="M13" s="72">
        <f>-SUM($C11:M11)</f>
        <v>-31865734.716666669</v>
      </c>
      <c r="N13" s="72"/>
      <c r="O13" s="72">
        <f>-SUM($C11:O11)</f>
        <v>-42344958.016666666</v>
      </c>
      <c r="P13" s="72"/>
      <c r="Q13" s="72">
        <f>-SUM($C11:Q11)</f>
        <v>-52824181.316666663</v>
      </c>
    </row>
    <row r="14" spans="1:17" x14ac:dyDescent="0.25">
      <c r="A14" s="10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x14ac:dyDescent="0.25">
      <c r="A15" s="10" t="s">
        <v>35</v>
      </c>
      <c r="C15" s="72">
        <f>-+S26</f>
        <v>0</v>
      </c>
      <c r="D15" s="72"/>
      <c r="E15" s="72">
        <f>-S27</f>
        <v>0</v>
      </c>
      <c r="F15" s="72"/>
      <c r="G15" s="72">
        <f>-S28</f>
        <v>-881345.8885</v>
      </c>
      <c r="H15" s="72"/>
      <c r="I15" s="72">
        <f>-S29</f>
        <v>-569853.15729999985</v>
      </c>
      <c r="J15" s="72"/>
      <c r="K15" s="72">
        <f>-S30</f>
        <v>-135970.36179999972</v>
      </c>
      <c r="L15" s="72"/>
      <c r="M15" s="72">
        <f>-S31</f>
        <v>430221.2495000005</v>
      </c>
      <c r="N15" s="72"/>
      <c r="O15" s="72">
        <f>-S32</f>
        <v>1119180.0116000008</v>
      </c>
      <c r="P15" s="72"/>
      <c r="Q15" s="72">
        <f>-S33</f>
        <v>1921395.368900001</v>
      </c>
    </row>
    <row r="16" spans="1:17" x14ac:dyDescent="0.25">
      <c r="A16" s="10"/>
    </row>
    <row r="17" spans="1:19" x14ac:dyDescent="0.25">
      <c r="A17" s="1" t="s">
        <v>49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9" spans="1:19" ht="16.8" x14ac:dyDescent="0.25">
      <c r="C19" s="11" t="s">
        <v>36</v>
      </c>
      <c r="E19" s="11" t="s">
        <v>37</v>
      </c>
    </row>
    <row r="21" spans="1:19" x14ac:dyDescent="0.25">
      <c r="A21" s="5" t="s">
        <v>55</v>
      </c>
      <c r="C21" s="12">
        <f>ROUND(1/12, 4)</f>
        <v>8.3299999999999999E-2</v>
      </c>
      <c r="E21" s="74">
        <v>20</v>
      </c>
      <c r="G21" s="12"/>
      <c r="I21" s="13"/>
    </row>
    <row r="23" spans="1:19" x14ac:dyDescent="0.25">
      <c r="A23" s="14"/>
      <c r="C23" s="73"/>
      <c r="E23" s="82" t="s">
        <v>54</v>
      </c>
      <c r="F23" s="83"/>
      <c r="G23" s="83"/>
      <c r="H23" s="83"/>
      <c r="I23" s="83"/>
      <c r="J23" s="83"/>
      <c r="K23" s="83"/>
      <c r="L23" s="83"/>
      <c r="M23" s="84"/>
      <c r="O23" s="15" t="s">
        <v>38</v>
      </c>
      <c r="Q23" s="15" t="s">
        <v>39</v>
      </c>
    </row>
    <row r="24" spans="1:19" x14ac:dyDescent="0.25">
      <c r="A24" s="14"/>
      <c r="C24" s="11" t="s">
        <v>40</v>
      </c>
      <c r="E24" s="11" t="s">
        <v>41</v>
      </c>
      <c r="G24" s="11" t="s">
        <v>42</v>
      </c>
      <c r="I24" s="11" t="s">
        <v>43</v>
      </c>
      <c r="K24" s="11" t="s">
        <v>44</v>
      </c>
      <c r="M24" s="11" t="s">
        <v>45</v>
      </c>
      <c r="O24" s="8" t="s">
        <v>46</v>
      </c>
      <c r="Q24" s="8" t="s">
        <v>47</v>
      </c>
      <c r="S24" s="11" t="s">
        <v>48</v>
      </c>
    </row>
    <row r="25" spans="1:19" x14ac:dyDescent="0.25">
      <c r="A25" s="14"/>
      <c r="C25" s="73"/>
      <c r="E25" s="16"/>
      <c r="G25" s="16"/>
      <c r="I25" s="16"/>
      <c r="K25" s="16"/>
      <c r="M25" s="16"/>
    </row>
    <row r="26" spans="1:19" x14ac:dyDescent="0.25">
      <c r="A26" s="17">
        <v>2024</v>
      </c>
      <c r="C26" s="75"/>
      <c r="E26" s="73"/>
      <c r="H26" s="73"/>
      <c r="J26" s="73"/>
      <c r="L26" s="73"/>
      <c r="O26" s="18">
        <f>SUM(E26:M26)</f>
        <v>0</v>
      </c>
      <c r="Q26" s="73">
        <v>0</v>
      </c>
      <c r="S26" s="73">
        <f>(O26-Q26)*0.21</f>
        <v>0</v>
      </c>
    </row>
    <row r="27" spans="1:19" x14ac:dyDescent="0.25">
      <c r="A27" s="17">
        <v>2025</v>
      </c>
      <c r="C27" s="75"/>
      <c r="E27" s="73"/>
      <c r="G27" s="73"/>
      <c r="H27" s="73"/>
      <c r="J27" s="73"/>
      <c r="L27" s="73"/>
      <c r="O27" s="18">
        <f t="shared" ref="O27:O53" si="0">SUM(E27:M27)</f>
        <v>0</v>
      </c>
      <c r="Q27" s="73">
        <v>0</v>
      </c>
      <c r="S27" s="73">
        <f t="shared" ref="S27:S53" si="1">(O27-Q27)*0.21+S26</f>
        <v>0</v>
      </c>
    </row>
    <row r="28" spans="1:19" x14ac:dyDescent="0.25">
      <c r="A28" s="17">
        <v>2026</v>
      </c>
      <c r="B28" s="5">
        <v>1</v>
      </c>
      <c r="C28" s="76">
        <v>3.7499999999999999E-2</v>
      </c>
      <c r="E28" s="73"/>
      <c r="G28" s="73"/>
      <c r="H28" s="73"/>
      <c r="I28" s="73">
        <f t="shared" ref="I28:I53" si="2">G$9*C28</f>
        <v>4624950</v>
      </c>
      <c r="J28" s="73"/>
      <c r="L28" s="73"/>
      <c r="O28" s="18">
        <f>SUM(E28:M28)</f>
        <v>4624950</v>
      </c>
      <c r="Q28" s="73">
        <f>($G$9*$C$21)*(0.5/12)</f>
        <v>428064.81666666665</v>
      </c>
      <c r="S28" s="73">
        <f t="shared" si="1"/>
        <v>881345.8885</v>
      </c>
    </row>
    <row r="29" spans="1:19" x14ac:dyDescent="0.25">
      <c r="A29" s="17">
        <f t="shared" ref="A29:B44" si="3">A28+1</f>
        <v>2027</v>
      </c>
      <c r="B29" s="5">
        <v>2</v>
      </c>
      <c r="C29" s="76">
        <v>7.2190000000000004E-2</v>
      </c>
      <c r="E29" s="73"/>
      <c r="G29" s="73"/>
      <c r="H29" s="73"/>
      <c r="I29" s="73">
        <f t="shared" si="2"/>
        <v>8903337.0800000001</v>
      </c>
      <c r="J29" s="73"/>
      <c r="K29" s="73">
        <f>I$8*C28</f>
        <v>92587.5</v>
      </c>
      <c r="L29" s="73"/>
      <c r="O29" s="18">
        <f t="shared" si="0"/>
        <v>8995924.5800000001</v>
      </c>
      <c r="Q29" s="73">
        <f>($I$9*$C$21)</f>
        <v>10479223.300000001</v>
      </c>
      <c r="S29" s="73">
        <f t="shared" si="1"/>
        <v>569853.15729999985</v>
      </c>
    </row>
    <row r="30" spans="1:19" x14ac:dyDescent="0.25">
      <c r="A30" s="17">
        <f t="shared" si="3"/>
        <v>2028</v>
      </c>
      <c r="B30" s="5">
        <f>B29+1</f>
        <v>3</v>
      </c>
      <c r="C30" s="76">
        <v>6.6769999999999996E-2</v>
      </c>
      <c r="E30" s="73"/>
      <c r="G30" s="73"/>
      <c r="H30" s="73"/>
      <c r="I30" s="73">
        <f t="shared" si="2"/>
        <v>8234877.6399999997</v>
      </c>
      <c r="J30" s="73"/>
      <c r="K30" s="73">
        <f>I$8*C29</f>
        <v>178237.11000000002</v>
      </c>
      <c r="L30" s="73"/>
      <c r="M30" s="73">
        <f t="shared" ref="M30:M45" si="4">K$8*C26</f>
        <v>0</v>
      </c>
      <c r="O30" s="18">
        <f t="shared" si="0"/>
        <v>8413114.75</v>
      </c>
      <c r="Q30" s="73">
        <f t="shared" ref="Q30:Q39" si="5">($I$9*$C$21)</f>
        <v>10479223.300000001</v>
      </c>
      <c r="S30" s="73">
        <f t="shared" si="1"/>
        <v>135970.36179999972</v>
      </c>
    </row>
    <row r="31" spans="1:19" x14ac:dyDescent="0.25">
      <c r="A31" s="17">
        <f t="shared" si="3"/>
        <v>2029</v>
      </c>
      <c r="B31" s="5">
        <f t="shared" si="3"/>
        <v>4</v>
      </c>
      <c r="C31" s="76">
        <v>6.1769999999999999E-2</v>
      </c>
      <c r="E31" s="73"/>
      <c r="G31" s="73"/>
      <c r="H31" s="73"/>
      <c r="I31" s="73">
        <f t="shared" si="2"/>
        <v>7618217.6399999997</v>
      </c>
      <c r="J31" s="73"/>
      <c r="K31" s="73">
        <f>I$8*C30</f>
        <v>164855.13</v>
      </c>
      <c r="L31" s="73"/>
      <c r="M31" s="73">
        <f t="shared" si="4"/>
        <v>0</v>
      </c>
      <c r="O31" s="18">
        <f t="shared" si="0"/>
        <v>7783072.7699999996</v>
      </c>
      <c r="Q31" s="73">
        <f t="shared" si="5"/>
        <v>10479223.300000001</v>
      </c>
      <c r="S31" s="73">
        <f t="shared" si="1"/>
        <v>-430221.2495000005</v>
      </c>
    </row>
    <row r="32" spans="1:19" x14ac:dyDescent="0.25">
      <c r="A32" s="17">
        <f t="shared" si="3"/>
        <v>2030</v>
      </c>
      <c r="B32" s="5">
        <f t="shared" si="3"/>
        <v>5</v>
      </c>
      <c r="C32" s="76">
        <v>5.713E-2</v>
      </c>
      <c r="E32" s="73"/>
      <c r="G32" s="73"/>
      <c r="H32" s="73"/>
      <c r="I32" s="73">
        <f t="shared" si="2"/>
        <v>7045957.1600000001</v>
      </c>
      <c r="J32" s="73"/>
      <c r="K32" s="73">
        <f t="shared" ref="K32:K53" si="6">I$8*C31</f>
        <v>152510.13</v>
      </c>
      <c r="L32" s="73"/>
      <c r="M32" s="73">
        <f t="shared" si="4"/>
        <v>0</v>
      </c>
      <c r="O32" s="18">
        <f t="shared" si="0"/>
        <v>7198467.29</v>
      </c>
      <c r="Q32" s="73">
        <f t="shared" si="5"/>
        <v>10479223.300000001</v>
      </c>
      <c r="S32" s="73">
        <f t="shared" si="1"/>
        <v>-1119180.0116000008</v>
      </c>
    </row>
    <row r="33" spans="1:19" x14ac:dyDescent="0.25">
      <c r="A33" s="17">
        <f t="shared" si="3"/>
        <v>2031</v>
      </c>
      <c r="B33" s="5">
        <f t="shared" si="3"/>
        <v>6</v>
      </c>
      <c r="C33" s="76">
        <v>5.2850000000000001E-2</v>
      </c>
      <c r="E33" s="73"/>
      <c r="G33" s="73"/>
      <c r="H33" s="73"/>
      <c r="I33" s="73">
        <f t="shared" si="2"/>
        <v>6518096.2000000002</v>
      </c>
      <c r="J33" s="73"/>
      <c r="K33" s="73">
        <f t="shared" si="6"/>
        <v>141053.97</v>
      </c>
      <c r="L33" s="73"/>
      <c r="M33" s="73">
        <f t="shared" si="4"/>
        <v>0</v>
      </c>
      <c r="O33" s="18">
        <f t="shared" si="0"/>
        <v>6659150.1699999999</v>
      </c>
      <c r="Q33" s="73">
        <f t="shared" si="5"/>
        <v>10479223.300000001</v>
      </c>
      <c r="S33" s="73">
        <f t="shared" si="1"/>
        <v>-1921395.368900001</v>
      </c>
    </row>
    <row r="34" spans="1:19" x14ac:dyDescent="0.25">
      <c r="A34" s="17">
        <f t="shared" si="3"/>
        <v>2032</v>
      </c>
      <c r="B34" s="5">
        <f t="shared" si="3"/>
        <v>7</v>
      </c>
      <c r="C34" s="76">
        <v>4.888E-2</v>
      </c>
      <c r="E34" s="73"/>
      <c r="G34" s="73"/>
      <c r="H34" s="73"/>
      <c r="I34" s="73">
        <f t="shared" si="2"/>
        <v>6028468.1600000001</v>
      </c>
      <c r="J34" s="73"/>
      <c r="K34" s="73">
        <f t="shared" si="6"/>
        <v>130486.65000000001</v>
      </c>
      <c r="L34" s="73"/>
      <c r="M34" s="73">
        <f t="shared" si="4"/>
        <v>0</v>
      </c>
      <c r="O34" s="18">
        <f t="shared" si="0"/>
        <v>6158954.8100000005</v>
      </c>
      <c r="Q34" s="73">
        <f t="shared" si="5"/>
        <v>10479223.300000001</v>
      </c>
      <c r="S34" s="73">
        <f t="shared" si="1"/>
        <v>-2828651.7518000011</v>
      </c>
    </row>
    <row r="35" spans="1:19" x14ac:dyDescent="0.25">
      <c r="A35" s="17">
        <f t="shared" si="3"/>
        <v>2033</v>
      </c>
      <c r="B35" s="5">
        <f t="shared" si="3"/>
        <v>8</v>
      </c>
      <c r="C35" s="76">
        <v>4.5220000000000003E-2</v>
      </c>
      <c r="E35" s="73"/>
      <c r="G35" s="73"/>
      <c r="H35" s="73"/>
      <c r="I35" s="73">
        <f t="shared" si="2"/>
        <v>5577073.04</v>
      </c>
      <c r="J35" s="73"/>
      <c r="K35" s="73">
        <f t="shared" si="6"/>
        <v>120684.72</v>
      </c>
      <c r="L35" s="73"/>
      <c r="M35" s="73">
        <f t="shared" si="4"/>
        <v>0</v>
      </c>
      <c r="O35" s="18">
        <f t="shared" si="0"/>
        <v>5697757.7599999998</v>
      </c>
      <c r="Q35" s="73">
        <f t="shared" si="5"/>
        <v>10479223.300000001</v>
      </c>
      <c r="S35" s="73">
        <f t="shared" si="1"/>
        <v>-3832759.5152000012</v>
      </c>
    </row>
    <row r="36" spans="1:19" x14ac:dyDescent="0.25">
      <c r="A36" s="17">
        <f t="shared" si="3"/>
        <v>2034</v>
      </c>
      <c r="B36" s="5">
        <f t="shared" si="3"/>
        <v>9</v>
      </c>
      <c r="C36" s="76">
        <v>4.462E-2</v>
      </c>
      <c r="E36" s="73"/>
      <c r="G36" s="73"/>
      <c r="H36" s="73"/>
      <c r="I36" s="73">
        <f t="shared" si="2"/>
        <v>5503073.8399999999</v>
      </c>
      <c r="J36" s="73"/>
      <c r="K36" s="73">
        <f t="shared" si="6"/>
        <v>111648.18000000001</v>
      </c>
      <c r="L36" s="73"/>
      <c r="M36" s="73">
        <f t="shared" si="4"/>
        <v>0</v>
      </c>
      <c r="O36" s="18">
        <f t="shared" si="0"/>
        <v>5614722.0199999996</v>
      </c>
      <c r="Q36" s="73">
        <f t="shared" si="5"/>
        <v>10479223.300000001</v>
      </c>
      <c r="S36" s="73">
        <f t="shared" si="1"/>
        <v>-4854304.7840000018</v>
      </c>
    </row>
    <row r="37" spans="1:19" x14ac:dyDescent="0.25">
      <c r="A37" s="17">
        <f t="shared" si="3"/>
        <v>2035</v>
      </c>
      <c r="B37" s="5">
        <f t="shared" si="3"/>
        <v>10</v>
      </c>
      <c r="C37" s="76">
        <v>4.4609999999999997E-2</v>
      </c>
      <c r="E37" s="73"/>
      <c r="G37" s="73"/>
      <c r="H37" s="73"/>
      <c r="I37" s="73">
        <f t="shared" si="2"/>
        <v>5501840.5199999996</v>
      </c>
      <c r="J37" s="73"/>
      <c r="K37" s="73">
        <f t="shared" si="6"/>
        <v>110166.78</v>
      </c>
      <c r="L37" s="73"/>
      <c r="M37" s="73">
        <f t="shared" si="4"/>
        <v>0</v>
      </c>
      <c r="O37" s="18">
        <f t="shared" si="0"/>
        <v>5612007.2999999998</v>
      </c>
      <c r="Q37" s="73">
        <f t="shared" si="5"/>
        <v>10479223.300000001</v>
      </c>
      <c r="S37" s="73">
        <f t="shared" si="1"/>
        <v>-5876420.1440000022</v>
      </c>
    </row>
    <row r="38" spans="1:19" x14ac:dyDescent="0.25">
      <c r="A38" s="17">
        <f t="shared" si="3"/>
        <v>2036</v>
      </c>
      <c r="B38" s="5">
        <f t="shared" si="3"/>
        <v>11</v>
      </c>
      <c r="C38" s="76">
        <v>4.462E-2</v>
      </c>
      <c r="E38" s="73"/>
      <c r="G38" s="73"/>
      <c r="H38" s="73"/>
      <c r="I38" s="73">
        <f t="shared" si="2"/>
        <v>5503073.8399999999</v>
      </c>
      <c r="J38" s="73"/>
      <c r="K38" s="73">
        <f t="shared" si="6"/>
        <v>110142.09</v>
      </c>
      <c r="L38" s="73"/>
      <c r="M38" s="73">
        <f t="shared" si="4"/>
        <v>0</v>
      </c>
      <c r="O38" s="18">
        <f t="shared" si="0"/>
        <v>5613215.9299999997</v>
      </c>
      <c r="Q38" s="73">
        <f t="shared" si="5"/>
        <v>10479223.300000001</v>
      </c>
      <c r="S38" s="73">
        <f t="shared" si="1"/>
        <v>-6898281.6917000022</v>
      </c>
    </row>
    <row r="39" spans="1:19" x14ac:dyDescent="0.25">
      <c r="A39" s="17">
        <f t="shared" si="3"/>
        <v>2037</v>
      </c>
      <c r="B39" s="5">
        <f t="shared" si="3"/>
        <v>12</v>
      </c>
      <c r="C39" s="76">
        <v>4.4609999999999997E-2</v>
      </c>
      <c r="E39" s="73"/>
      <c r="G39" s="73"/>
      <c r="H39" s="73"/>
      <c r="I39" s="73">
        <f t="shared" si="2"/>
        <v>5501840.5199999996</v>
      </c>
      <c r="J39" s="73"/>
      <c r="K39" s="73">
        <f t="shared" si="6"/>
        <v>110166.78</v>
      </c>
      <c r="L39" s="73"/>
      <c r="M39" s="73">
        <f t="shared" si="4"/>
        <v>0</v>
      </c>
      <c r="O39" s="18">
        <f t="shared" si="0"/>
        <v>5612007.2999999998</v>
      </c>
      <c r="Q39" s="73">
        <f t="shared" si="5"/>
        <v>10479223.300000001</v>
      </c>
      <c r="S39" s="73">
        <f t="shared" si="1"/>
        <v>-7920397.0517000025</v>
      </c>
    </row>
    <row r="40" spans="1:19" x14ac:dyDescent="0.25">
      <c r="A40" s="17">
        <f t="shared" si="3"/>
        <v>2038</v>
      </c>
      <c r="B40" s="5">
        <f t="shared" si="3"/>
        <v>13</v>
      </c>
      <c r="C40" s="76">
        <v>4.462E-2</v>
      </c>
      <c r="E40" s="73"/>
      <c r="G40" s="73"/>
      <c r="H40" s="73"/>
      <c r="I40" s="73">
        <f t="shared" si="2"/>
        <v>5503073.8399999999</v>
      </c>
      <c r="J40" s="73"/>
      <c r="K40" s="73">
        <f t="shared" si="6"/>
        <v>110142.09</v>
      </c>
      <c r="L40" s="73"/>
      <c r="M40" s="73">
        <f t="shared" si="4"/>
        <v>0</v>
      </c>
      <c r="O40" s="18">
        <f t="shared" si="0"/>
        <v>5613215.9299999997</v>
      </c>
      <c r="Q40" s="73">
        <f>I9-SUM(Q28:Q39)</f>
        <v>10101478.883333355</v>
      </c>
      <c r="S40" s="73">
        <f t="shared" si="1"/>
        <v>-8862932.2719000075</v>
      </c>
    </row>
    <row r="41" spans="1:19" x14ac:dyDescent="0.25">
      <c r="A41" s="17">
        <f t="shared" si="3"/>
        <v>2039</v>
      </c>
      <c r="B41" s="5">
        <f t="shared" si="3"/>
        <v>14</v>
      </c>
      <c r="C41" s="76">
        <v>4.4609999999999997E-2</v>
      </c>
      <c r="E41" s="73"/>
      <c r="G41" s="73"/>
      <c r="H41" s="73"/>
      <c r="I41" s="73">
        <f t="shared" si="2"/>
        <v>5501840.5199999996</v>
      </c>
      <c r="J41" s="73"/>
      <c r="K41" s="73">
        <f t="shared" si="6"/>
        <v>110166.78</v>
      </c>
      <c r="L41" s="73"/>
      <c r="M41" s="73">
        <f t="shared" si="4"/>
        <v>0</v>
      </c>
      <c r="O41" s="18">
        <f t="shared" si="0"/>
        <v>5612007.2999999998</v>
      </c>
      <c r="Q41" s="73">
        <v>0</v>
      </c>
      <c r="S41" s="73">
        <f t="shared" si="1"/>
        <v>-7684410.7389000077</v>
      </c>
    </row>
    <row r="42" spans="1:19" x14ac:dyDescent="0.25">
      <c r="A42" s="17">
        <f t="shared" si="3"/>
        <v>2040</v>
      </c>
      <c r="B42" s="5">
        <f t="shared" si="3"/>
        <v>15</v>
      </c>
      <c r="C42" s="76">
        <v>4.462E-2</v>
      </c>
      <c r="E42" s="73"/>
      <c r="G42" s="73"/>
      <c r="H42" s="73"/>
      <c r="I42" s="73">
        <f t="shared" si="2"/>
        <v>5503073.8399999999</v>
      </c>
      <c r="J42" s="73"/>
      <c r="K42" s="73">
        <f t="shared" si="6"/>
        <v>110142.09</v>
      </c>
      <c r="L42" s="73"/>
      <c r="M42" s="73">
        <f t="shared" si="4"/>
        <v>0</v>
      </c>
      <c r="O42" s="18">
        <f t="shared" si="0"/>
        <v>5613215.9299999997</v>
      </c>
      <c r="Q42" s="73">
        <v>0</v>
      </c>
      <c r="S42" s="73">
        <f t="shared" si="1"/>
        <v>-6505635.3936000075</v>
      </c>
    </row>
    <row r="43" spans="1:19" x14ac:dyDescent="0.25">
      <c r="A43" s="17">
        <f t="shared" si="3"/>
        <v>2041</v>
      </c>
      <c r="B43" s="5">
        <f t="shared" si="3"/>
        <v>16</v>
      </c>
      <c r="C43" s="76">
        <v>4.4609999999999997E-2</v>
      </c>
      <c r="E43" s="73"/>
      <c r="G43" s="73"/>
      <c r="H43" s="73"/>
      <c r="I43" s="73">
        <f t="shared" si="2"/>
        <v>5501840.5199999996</v>
      </c>
      <c r="J43" s="73"/>
      <c r="K43" s="73">
        <f t="shared" si="6"/>
        <v>110166.78</v>
      </c>
      <c r="L43" s="73"/>
      <c r="M43" s="73">
        <f t="shared" si="4"/>
        <v>0</v>
      </c>
      <c r="O43" s="18">
        <f t="shared" si="0"/>
        <v>5612007.2999999998</v>
      </c>
      <c r="Q43" s="73">
        <v>0</v>
      </c>
      <c r="S43" s="73">
        <f t="shared" si="1"/>
        <v>-5327113.8606000077</v>
      </c>
    </row>
    <row r="44" spans="1:19" x14ac:dyDescent="0.25">
      <c r="A44" s="17">
        <f t="shared" si="3"/>
        <v>2042</v>
      </c>
      <c r="B44" s="5">
        <f t="shared" si="3"/>
        <v>17</v>
      </c>
      <c r="C44" s="76">
        <v>4.462E-2</v>
      </c>
      <c r="E44" s="73"/>
      <c r="G44" s="73"/>
      <c r="H44" s="73"/>
      <c r="I44" s="73">
        <f t="shared" si="2"/>
        <v>5503073.8399999999</v>
      </c>
      <c r="J44" s="73"/>
      <c r="K44" s="73">
        <f t="shared" si="6"/>
        <v>110142.09</v>
      </c>
      <c r="L44" s="73"/>
      <c r="M44" s="73">
        <f t="shared" si="4"/>
        <v>0</v>
      </c>
      <c r="O44" s="18">
        <f t="shared" si="0"/>
        <v>5613215.9299999997</v>
      </c>
      <c r="Q44" s="73">
        <v>0</v>
      </c>
      <c r="S44" s="73">
        <f t="shared" si="1"/>
        <v>-4148338.5153000075</v>
      </c>
    </row>
    <row r="45" spans="1:19" x14ac:dyDescent="0.25">
      <c r="A45" s="17">
        <f t="shared" ref="A45:B53" si="7">A44+1</f>
        <v>2043</v>
      </c>
      <c r="B45" s="5">
        <f t="shared" si="7"/>
        <v>18</v>
      </c>
      <c r="C45" s="76">
        <v>4.4609999999999997E-2</v>
      </c>
      <c r="E45" s="73"/>
      <c r="G45" s="73"/>
      <c r="H45" s="73"/>
      <c r="I45" s="73">
        <f t="shared" si="2"/>
        <v>5501840.5199999996</v>
      </c>
      <c r="J45" s="73"/>
      <c r="K45" s="73">
        <f t="shared" si="6"/>
        <v>110166.78</v>
      </c>
      <c r="L45" s="73"/>
      <c r="M45" s="73">
        <f t="shared" si="4"/>
        <v>0</v>
      </c>
      <c r="O45" s="18">
        <f t="shared" si="0"/>
        <v>5612007.2999999998</v>
      </c>
      <c r="Q45" s="73">
        <v>0</v>
      </c>
      <c r="S45" s="73">
        <f t="shared" si="1"/>
        <v>-2969816.9823000077</v>
      </c>
    </row>
    <row r="46" spans="1:19" x14ac:dyDescent="0.25">
      <c r="A46" s="17">
        <f t="shared" si="7"/>
        <v>2044</v>
      </c>
      <c r="B46" s="5">
        <f t="shared" si="7"/>
        <v>19</v>
      </c>
      <c r="C46" s="76">
        <v>4.462E-2</v>
      </c>
      <c r="E46" s="73"/>
      <c r="G46" s="73"/>
      <c r="H46" s="73"/>
      <c r="I46" s="73">
        <f t="shared" si="2"/>
        <v>5503073.8399999999</v>
      </c>
      <c r="J46" s="73"/>
      <c r="K46" s="73">
        <f t="shared" si="6"/>
        <v>110142.09</v>
      </c>
      <c r="L46" s="73"/>
      <c r="M46" s="73"/>
      <c r="O46" s="18">
        <f t="shared" si="0"/>
        <v>5613215.9299999997</v>
      </c>
      <c r="Q46" s="73">
        <v>0</v>
      </c>
      <c r="S46" s="73">
        <f t="shared" si="1"/>
        <v>-1791041.6370000078</v>
      </c>
    </row>
    <row r="47" spans="1:19" x14ac:dyDescent="0.25">
      <c r="A47" s="17">
        <f t="shared" si="7"/>
        <v>2045</v>
      </c>
      <c r="B47" s="5">
        <f t="shared" si="7"/>
        <v>20</v>
      </c>
      <c r="C47" s="76">
        <v>4.4609999999999997E-2</v>
      </c>
      <c r="I47" s="73">
        <f t="shared" si="2"/>
        <v>5501840.5199999996</v>
      </c>
      <c r="K47" s="73">
        <f t="shared" si="6"/>
        <v>110166.78</v>
      </c>
      <c r="O47" s="18">
        <f t="shared" si="0"/>
        <v>5612007.2999999998</v>
      </c>
      <c r="Q47" s="73">
        <v>0</v>
      </c>
      <c r="S47" s="73">
        <f t="shared" si="1"/>
        <v>-612520.10400000797</v>
      </c>
    </row>
    <row r="48" spans="1:19" x14ac:dyDescent="0.25">
      <c r="A48" s="17">
        <f t="shared" si="7"/>
        <v>2046</v>
      </c>
      <c r="B48" s="5">
        <f t="shared" si="7"/>
        <v>21</v>
      </c>
      <c r="C48" s="76">
        <v>2.231E-2</v>
      </c>
      <c r="I48" s="73">
        <f t="shared" si="2"/>
        <v>2751536.92</v>
      </c>
      <c r="K48" s="73">
        <f t="shared" si="6"/>
        <v>110142.09</v>
      </c>
      <c r="O48" s="18">
        <f t="shared" si="0"/>
        <v>2861679.01</v>
      </c>
      <c r="Q48" s="73">
        <v>0</v>
      </c>
      <c r="S48" s="73">
        <f t="shared" si="1"/>
        <v>-11567.511900008074</v>
      </c>
    </row>
    <row r="49" spans="1:19" x14ac:dyDescent="0.25">
      <c r="A49" s="17">
        <f t="shared" si="7"/>
        <v>2047</v>
      </c>
      <c r="B49" s="5">
        <f t="shared" si="7"/>
        <v>22</v>
      </c>
      <c r="C49" s="77"/>
      <c r="I49" s="73">
        <f t="shared" si="2"/>
        <v>0</v>
      </c>
      <c r="K49" s="73">
        <f t="shared" si="6"/>
        <v>55083.39</v>
      </c>
      <c r="O49" s="18">
        <f t="shared" si="0"/>
        <v>55083.39</v>
      </c>
      <c r="Q49" s="73">
        <v>0</v>
      </c>
      <c r="S49" s="73">
        <f t="shared" si="1"/>
        <v>-8.0744939623400569E-9</v>
      </c>
    </row>
    <row r="50" spans="1:19" x14ac:dyDescent="0.25">
      <c r="A50" s="17">
        <f t="shared" si="7"/>
        <v>2048</v>
      </c>
      <c r="B50" s="5">
        <f t="shared" si="7"/>
        <v>23</v>
      </c>
      <c r="C50" s="77"/>
      <c r="I50" s="73">
        <f t="shared" si="2"/>
        <v>0</v>
      </c>
      <c r="K50" s="73">
        <f t="shared" si="6"/>
        <v>0</v>
      </c>
      <c r="O50" s="18">
        <f t="shared" si="0"/>
        <v>0</v>
      </c>
      <c r="Q50" s="73">
        <v>0</v>
      </c>
      <c r="S50" s="73">
        <f t="shared" si="1"/>
        <v>-8.0744939623400569E-9</v>
      </c>
    </row>
    <row r="51" spans="1:19" x14ac:dyDescent="0.25">
      <c r="A51" s="17">
        <f t="shared" si="7"/>
        <v>2049</v>
      </c>
      <c r="B51" s="5">
        <f t="shared" si="7"/>
        <v>24</v>
      </c>
      <c r="C51" s="77"/>
      <c r="I51" s="73">
        <f t="shared" si="2"/>
        <v>0</v>
      </c>
      <c r="K51" s="73">
        <f t="shared" si="6"/>
        <v>0</v>
      </c>
      <c r="O51" s="18">
        <f t="shared" si="0"/>
        <v>0</v>
      </c>
      <c r="Q51" s="73">
        <v>0</v>
      </c>
      <c r="S51" s="73">
        <f t="shared" si="1"/>
        <v>-8.0744939623400569E-9</v>
      </c>
    </row>
    <row r="52" spans="1:19" x14ac:dyDescent="0.25">
      <c r="A52" s="17">
        <f t="shared" si="7"/>
        <v>2050</v>
      </c>
      <c r="B52" s="5">
        <f t="shared" si="7"/>
        <v>25</v>
      </c>
      <c r="C52" s="77"/>
      <c r="I52" s="73">
        <f t="shared" si="2"/>
        <v>0</v>
      </c>
      <c r="K52" s="73">
        <f t="shared" si="6"/>
        <v>0</v>
      </c>
      <c r="O52" s="18">
        <f t="shared" si="0"/>
        <v>0</v>
      </c>
      <c r="Q52" s="73">
        <v>0</v>
      </c>
      <c r="S52" s="73">
        <f t="shared" si="1"/>
        <v>-8.0744939623400569E-9</v>
      </c>
    </row>
    <row r="53" spans="1:19" x14ac:dyDescent="0.25">
      <c r="A53" s="17">
        <f t="shared" si="7"/>
        <v>2051</v>
      </c>
      <c r="B53" s="5">
        <f t="shared" si="7"/>
        <v>26</v>
      </c>
      <c r="C53" s="77"/>
      <c r="I53" s="73">
        <f t="shared" si="2"/>
        <v>0</v>
      </c>
      <c r="K53" s="73">
        <f t="shared" si="6"/>
        <v>0</v>
      </c>
      <c r="O53" s="18">
        <f t="shared" si="0"/>
        <v>0</v>
      </c>
      <c r="Q53" s="73">
        <v>0</v>
      </c>
      <c r="S53" s="73">
        <f t="shared" si="1"/>
        <v>-8.0744939623400569E-9</v>
      </c>
    </row>
    <row r="54" spans="1:19" x14ac:dyDescent="0.25">
      <c r="A54" s="17"/>
      <c r="I54" s="78">
        <f>SUM(I26:I53)</f>
        <v>123331999.99999999</v>
      </c>
      <c r="J54" s="79"/>
      <c r="K54" s="78">
        <f>SUM(K26:K53)</f>
        <v>2469000</v>
      </c>
      <c r="L54" s="79"/>
      <c r="M54" s="79"/>
      <c r="N54" s="79"/>
      <c r="O54" s="80">
        <f>SUM(O26:O53)</f>
        <v>125800999.99999996</v>
      </c>
      <c r="P54" s="79"/>
      <c r="Q54" s="78">
        <f>SUM(Q26:Q53)</f>
        <v>125801000</v>
      </c>
    </row>
    <row r="55" spans="1:19" ht="16.8" x14ac:dyDescent="0.25">
      <c r="A55" s="81" t="s">
        <v>70</v>
      </c>
    </row>
  </sheetData>
  <mergeCells count="2">
    <mergeCell ref="C5:Q5"/>
    <mergeCell ref="E23:M23"/>
  </mergeCells>
  <pageMargins left="0.7" right="0.7" top="0.75" bottom="0.75" header="0.3" footer="0.3"/>
  <pageSetup scale="64" orientation="landscape" r:id="rId1"/>
  <headerFooter>
    <oddHeader xml:space="preserve">&amp;L&amp;"Times New Roman,Regular"&amp;11Duke Energy Kentucky, Inc.
Estimated Revenue Requirement for ESM - Limestone Conversion Project&amp;R&amp;"Times New Roman,Regular"&amp;11KYPSC Case No. 2024-00152
Attachment SEL-1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Lawler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F6BBC4A1BC24BBEDAF0285F5802C3" ma:contentTypeVersion="4" ma:contentTypeDescription="Create a new document." ma:contentTypeScope="" ma:versionID="6d4362a07ecf59f83568211fb833639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6588B4-ABE9-464E-8023-0A60BE37DA8A}">
  <ds:schemaRefs>
    <ds:schemaRef ds:uri="http://schemas.microsoft.com/office/2006/metadata/properties"/>
    <ds:schemaRef ds:uri="http://purl.org/dc/terms/"/>
    <ds:schemaRef ds:uri="2612a682-5ffb-4b9c-9555-017618935178"/>
    <ds:schemaRef ds:uri="http://purl.org/dc/dcmitype/"/>
    <ds:schemaRef ds:uri="http://schemas.microsoft.com/office/infopath/2007/PartnerControls"/>
    <ds:schemaRef ds:uri="3c9d8c27-8a6d-4d9e-a15e-ef5d28c114af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17079D-C977-48A7-8984-C48613CC5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01A3DF-D93A-427C-BEA5-E70B28105A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Estimated Rev Req for ESM</dc:subject>
  <dc:creator>Steinkuhl, Lisa D</dc:creator>
  <cp:lastModifiedBy>Gates, Debbie</cp:lastModifiedBy>
  <cp:lastPrinted>2024-07-25T14:01:01Z</cp:lastPrinted>
  <dcterms:created xsi:type="dcterms:W3CDTF">2024-06-19T17:56:14Z</dcterms:created>
  <dcterms:modified xsi:type="dcterms:W3CDTF">2024-07-25T14:01:08Z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0x0101008FBF6BBC4A1BC24BBEDAF0285F5802C3</vt:lpwstr>
  </property>
</Properties>
</file>