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msserver2\KPSC Cases\0.0 - BR 2024-00141 - 6 mo. FAC rvw (Nov. 22 - April 23)\4th IRs Prep\Final Draft\"/>
    </mc:Choice>
  </mc:AlternateContent>
  <xr:revisionPtr revIDLastSave="0" documentId="13_ncr:1_{E692F650-C51E-4BA1-A453-9FF6C516CF3C}" xr6:coauthVersionLast="47" xr6:coauthVersionMax="47" xr10:uidLastSave="{00000000-0000-0000-0000-000000000000}"/>
  <bookViews>
    <workbookView xWindow="-120" yWindow="-120" windowWidth="29040" windowHeight="15720" xr2:uid="{9CB5714E-DFF0-4444-ACEA-A8C536F3F41A}"/>
  </bookViews>
  <sheets>
    <sheet name="PSC 4-1 (Revised)" sheetId="1" r:id="rId1"/>
    <sheet name="PSC 4-1 (As Filed)" sheetId="2" r:id="rId2"/>
    <sheet name="PSC 4 (Variances)" sheetId="3" r:id="rId3"/>
    <sheet name="PSC 4-1" sheetId="6" r:id="rId4"/>
  </sheets>
  <definedNames>
    <definedName name="_xlnm.Print_Area" localSheetId="2">'PSC 4 (Variances)'!$A$1:$AK$101</definedName>
    <definedName name="_xlnm.Print_Area" localSheetId="3">'PSC 4-1'!$A$1:$AK$26</definedName>
    <definedName name="_xlnm.Print_Area" localSheetId="1">'PSC 4-1 (As Filed)'!$A$1:$AK$99</definedName>
    <definedName name="_xlnm.Print_Area" localSheetId="0">'PSC 4-1 (Revised)'!$A$1:$AK$99</definedName>
    <definedName name="_xlnm.Print_Titles" localSheetId="2">'PSC 4 (Variances)'!$1:$7</definedName>
    <definedName name="_xlnm.Print_Titles" localSheetId="3">'PSC 4-1'!$1:$7</definedName>
    <definedName name="_xlnm.Print_Titles" localSheetId="1">'PSC 4-1 (As Filed)'!$1:$7</definedName>
    <definedName name="_xlnm.Print_Titles" localSheetId="0">'PSC 4-1 (Revised)'!$1:$7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6" l="1"/>
  <c r="O21" i="6"/>
  <c r="O22" i="6" l="1"/>
  <c r="AI23" i="6" l="1"/>
  <c r="AI22" i="6"/>
  <c r="AI21" i="6"/>
  <c r="AH21" i="6"/>
  <c r="AH23" i="6"/>
  <c r="AH22" i="6"/>
  <c r="AG23" i="6"/>
  <c r="AG22" i="6"/>
  <c r="AG21" i="6"/>
  <c r="AF22" i="6"/>
  <c r="AF21" i="6"/>
  <c r="AE22" i="6"/>
  <c r="AE21" i="6"/>
  <c r="AD21" i="6"/>
  <c r="AD22" i="6"/>
  <c r="AC21" i="6"/>
  <c r="AC22" i="6"/>
  <c r="AB22" i="6" l="1"/>
  <c r="AB21" i="6"/>
  <c r="AA22" i="6"/>
  <c r="AA21" i="6"/>
  <c r="Z22" i="6"/>
  <c r="Z21" i="6"/>
  <c r="Y22" i="6" l="1"/>
  <c r="Y21" i="6"/>
  <c r="X21" i="6"/>
  <c r="X22" i="6"/>
  <c r="W22" i="6"/>
  <c r="W21" i="6"/>
  <c r="U21" i="6" l="1"/>
  <c r="U22" i="6"/>
  <c r="V22" i="6" l="1"/>
  <c r="V21" i="6"/>
  <c r="T22" i="6" l="1"/>
  <c r="T21" i="6"/>
  <c r="S22" i="6" l="1"/>
  <c r="S21" i="6"/>
  <c r="R21" i="6" l="1"/>
  <c r="R22" i="6"/>
  <c r="P22" i="6" l="1"/>
  <c r="P21" i="6"/>
  <c r="N22" i="6"/>
  <c r="N21" i="6"/>
  <c r="M22" i="6"/>
  <c r="M21" i="6"/>
  <c r="L22" i="6"/>
  <c r="L21" i="6"/>
  <c r="K22" i="6"/>
  <c r="K21" i="6"/>
  <c r="J22" i="6"/>
  <c r="J21" i="6"/>
  <c r="I21" i="6"/>
  <c r="I22" i="6"/>
  <c r="H23" i="6"/>
  <c r="H21" i="6"/>
  <c r="H22" i="6"/>
  <c r="G21" i="6"/>
  <c r="G23" i="6"/>
  <c r="G22" i="6"/>
  <c r="F22" i="6"/>
  <c r="F21" i="6"/>
  <c r="E18" i="6" l="1"/>
  <c r="I71" i="1" l="1"/>
  <c r="J71" i="1"/>
  <c r="K71" i="1"/>
  <c r="K71" i="3" s="1"/>
  <c r="L71" i="1"/>
  <c r="L71" i="3" s="1"/>
  <c r="M71" i="1"/>
  <c r="M71" i="3" s="1"/>
  <c r="N71" i="1"/>
  <c r="O71" i="1"/>
  <c r="P71" i="1"/>
  <c r="P71" i="3" s="1"/>
  <c r="Q71" i="1"/>
  <c r="Q71" i="3" s="1"/>
  <c r="R71" i="1"/>
  <c r="R71" i="3" s="1"/>
  <c r="S71" i="1"/>
  <c r="S71" i="3" s="1"/>
  <c r="T71" i="1"/>
  <c r="T71" i="3" s="1"/>
  <c r="U71" i="1"/>
  <c r="U71" i="3" s="1"/>
  <c r="V71" i="1"/>
  <c r="W71" i="1"/>
  <c r="X71" i="1"/>
  <c r="X71" i="3" s="1"/>
  <c r="Y71" i="1"/>
  <c r="Y71" i="3" s="1"/>
  <c r="Z71" i="1"/>
  <c r="Z71" i="3" s="1"/>
  <c r="AA71" i="1"/>
  <c r="AA71" i="3" s="1"/>
  <c r="AB71" i="1"/>
  <c r="AB71" i="3" s="1"/>
  <c r="AC71" i="1"/>
  <c r="AC71" i="3" s="1"/>
  <c r="AD71" i="1"/>
  <c r="AE71" i="1"/>
  <c r="AF71" i="1"/>
  <c r="AF71" i="3" s="1"/>
  <c r="AG71" i="1"/>
  <c r="AG71" i="3" s="1"/>
  <c r="AH71" i="1"/>
  <c r="AH71" i="3" s="1"/>
  <c r="AI71" i="1"/>
  <c r="AI71" i="3" s="1"/>
  <c r="F71" i="1"/>
  <c r="G71" i="1"/>
  <c r="H71" i="1"/>
  <c r="E71" i="1"/>
  <c r="F71" i="2"/>
  <c r="N71" i="3"/>
  <c r="O71" i="3"/>
  <c r="V71" i="3"/>
  <c r="W71" i="3"/>
  <c r="AD71" i="3"/>
  <c r="AE71" i="3"/>
  <c r="G71" i="3"/>
  <c r="H71" i="3"/>
  <c r="I71" i="3"/>
  <c r="J71" i="3"/>
  <c r="F71" i="3"/>
  <c r="E71" i="3"/>
  <c r="AK22" i="6" l="1"/>
  <c r="AK21" i="6"/>
  <c r="AK23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E25" i="6"/>
  <c r="Q23" i="6" l="1"/>
  <c r="Q22" i="6"/>
  <c r="Q21" i="6"/>
  <c r="E23" i="6" l="1"/>
  <c r="E22" i="6"/>
  <c r="E21" i="6"/>
  <c r="D79" i="1" l="1"/>
  <c r="D8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E68" i="1"/>
  <c r="D68" i="1" l="1"/>
  <c r="AI16" i="6" l="1"/>
  <c r="AI85" i="3" l="1"/>
  <c r="AI83" i="3"/>
  <c r="AI81" i="3"/>
  <c r="AI68" i="3"/>
  <c r="AI59" i="3"/>
  <c r="AI58" i="3"/>
  <c r="AI57" i="3"/>
  <c r="AI56" i="3"/>
  <c r="AI55" i="3"/>
  <c r="AI60" i="3" s="1"/>
  <c r="AI51" i="3"/>
  <c r="AI50" i="3"/>
  <c r="AI52" i="3" s="1"/>
  <c r="AI63" i="3" s="1"/>
  <c r="AI10" i="3" s="1"/>
  <c r="AI41" i="3"/>
  <c r="AI38" i="3"/>
  <c r="AI37" i="3"/>
  <c r="AI36" i="3"/>
  <c r="AI35" i="3"/>
  <c r="AI34" i="3"/>
  <c r="AI33" i="3"/>
  <c r="AI32" i="3"/>
  <c r="AI31" i="3"/>
  <c r="AI28" i="3"/>
  <c r="AI27" i="3"/>
  <c r="AI26" i="3"/>
  <c r="AI25" i="3"/>
  <c r="AI24" i="3"/>
  <c r="AI23" i="3"/>
  <c r="AI22" i="3"/>
  <c r="AI21" i="3"/>
  <c r="AI20" i="3"/>
  <c r="AI19" i="3"/>
  <c r="AI18" i="3"/>
  <c r="AI13" i="3"/>
  <c r="AI12" i="2"/>
  <c r="AI14" i="2" s="1"/>
  <c r="AI10" i="2"/>
  <c r="AI9" i="2"/>
  <c r="AI60" i="2"/>
  <c r="AI52" i="2"/>
  <c r="AI38" i="2"/>
  <c r="AI28" i="2"/>
  <c r="AI63" i="2" l="1"/>
  <c r="AI68" i="2" s="1"/>
  <c r="AI81" i="2"/>
  <c r="AI83" i="2" l="1"/>
  <c r="AI85" i="2" s="1"/>
  <c r="AI60" i="1" l="1"/>
  <c r="AI52" i="1"/>
  <c r="AI38" i="1"/>
  <c r="AI28" i="1"/>
  <c r="AI63" i="1" l="1"/>
  <c r="AI81" i="1"/>
  <c r="AI10" i="1" l="1"/>
  <c r="AI83" i="1"/>
  <c r="AI85" i="1" s="1"/>
  <c r="AH59" i="3" l="1"/>
  <c r="AH58" i="3"/>
  <c r="AH57" i="3"/>
  <c r="AH56" i="3"/>
  <c r="AH55" i="3"/>
  <c r="AH50" i="3"/>
  <c r="AH37" i="3"/>
  <c r="AH36" i="3"/>
  <c r="AH35" i="3"/>
  <c r="AH34" i="3"/>
  <c r="AH33" i="3"/>
  <c r="AH32" i="3"/>
  <c r="AH31" i="3"/>
  <c r="AH27" i="3"/>
  <c r="AH26" i="3"/>
  <c r="AH25" i="3"/>
  <c r="AH24" i="3"/>
  <c r="AH23" i="3"/>
  <c r="AH22" i="3"/>
  <c r="AH21" i="3"/>
  <c r="AH20" i="3"/>
  <c r="AH19" i="3"/>
  <c r="AH18" i="3"/>
  <c r="AH13" i="3"/>
  <c r="AG59" i="3"/>
  <c r="AG58" i="3"/>
  <c r="AG57" i="3"/>
  <c r="AG56" i="3"/>
  <c r="AG55" i="3"/>
  <c r="AG50" i="3"/>
  <c r="AG37" i="3"/>
  <c r="AG36" i="3"/>
  <c r="AG35" i="3"/>
  <c r="AG34" i="3"/>
  <c r="AG33" i="3"/>
  <c r="AG32" i="3"/>
  <c r="AG31" i="3"/>
  <c r="AG27" i="3"/>
  <c r="AG26" i="3"/>
  <c r="AG25" i="3"/>
  <c r="AG24" i="3"/>
  <c r="AG23" i="3"/>
  <c r="AG22" i="3"/>
  <c r="AG21" i="3"/>
  <c r="AG20" i="3"/>
  <c r="AG19" i="3"/>
  <c r="AG18" i="3"/>
  <c r="AG13" i="3"/>
  <c r="AF59" i="3"/>
  <c r="AF58" i="3"/>
  <c r="AF57" i="3"/>
  <c r="AF56" i="3"/>
  <c r="AF55" i="3"/>
  <c r="AF50" i="3"/>
  <c r="AF37" i="3"/>
  <c r="AF36" i="3"/>
  <c r="AF35" i="3"/>
  <c r="AF34" i="3"/>
  <c r="AF33" i="3"/>
  <c r="AF32" i="3"/>
  <c r="AF31" i="3"/>
  <c r="AF27" i="3"/>
  <c r="AF26" i="3"/>
  <c r="AF25" i="3"/>
  <c r="AF24" i="3"/>
  <c r="AF23" i="3"/>
  <c r="AF22" i="3"/>
  <c r="AF21" i="3"/>
  <c r="AF20" i="3"/>
  <c r="AF19" i="3"/>
  <c r="AF18" i="3"/>
  <c r="AF13" i="3"/>
  <c r="AH60" i="3" l="1"/>
  <c r="AH38" i="3"/>
  <c r="AG38" i="3"/>
  <c r="AH28" i="3"/>
  <c r="AG60" i="3"/>
  <c r="AG28" i="3"/>
  <c r="AF60" i="3"/>
  <c r="AF28" i="3"/>
  <c r="AF38" i="3"/>
  <c r="AH60" i="1"/>
  <c r="AH52" i="1"/>
  <c r="AH38" i="1"/>
  <c r="AH28" i="1"/>
  <c r="AG60" i="1"/>
  <c r="AG52" i="1"/>
  <c r="AG38" i="1"/>
  <c r="AG28" i="1"/>
  <c r="AF60" i="1"/>
  <c r="AF52" i="1"/>
  <c r="AF38" i="1"/>
  <c r="AF28" i="1"/>
  <c r="AH51" i="2"/>
  <c r="AH51" i="3" s="1"/>
  <c r="AH52" i="3" s="1"/>
  <c r="AH63" i="3" s="1"/>
  <c r="AG51" i="2"/>
  <c r="AF51" i="2"/>
  <c r="AH41" i="2"/>
  <c r="AH41" i="3" s="1"/>
  <c r="AG41" i="2"/>
  <c r="AG41" i="3" s="1"/>
  <c r="AF41" i="2"/>
  <c r="AF41" i="3" s="1"/>
  <c r="AG14" i="2"/>
  <c r="AH14" i="2"/>
  <c r="AF14" i="2"/>
  <c r="AH60" i="2"/>
  <c r="AH52" i="2"/>
  <c r="AH38" i="2"/>
  <c r="AH28" i="2"/>
  <c r="AG67" i="2"/>
  <c r="AG60" i="2"/>
  <c r="AG38" i="2"/>
  <c r="AG28" i="2"/>
  <c r="AF67" i="2"/>
  <c r="AF60" i="2"/>
  <c r="AF38" i="2"/>
  <c r="AF28" i="2"/>
  <c r="AH10" i="3" l="1"/>
  <c r="AI73" i="3"/>
  <c r="AH67" i="2"/>
  <c r="AF52" i="2"/>
  <c r="AF63" i="2" s="1"/>
  <c r="AF51" i="3"/>
  <c r="AF52" i="3" s="1"/>
  <c r="AF63" i="3" s="1"/>
  <c r="AF10" i="3" s="1"/>
  <c r="AG52" i="2"/>
  <c r="AG63" i="2" s="1"/>
  <c r="AH71" i="2" s="1"/>
  <c r="AH73" i="2" s="1"/>
  <c r="AH77" i="2" s="1"/>
  <c r="AG51" i="3"/>
  <c r="AG52" i="3" s="1"/>
  <c r="AG63" i="3" s="1"/>
  <c r="AG10" i="3" s="1"/>
  <c r="AI67" i="2"/>
  <c r="AH63" i="1"/>
  <c r="AI73" i="1" s="1"/>
  <c r="AF63" i="1"/>
  <c r="AG73" i="1" s="1"/>
  <c r="AG63" i="1"/>
  <c r="AH73" i="1" s="1"/>
  <c r="AH63" i="2"/>
  <c r="AG71" i="2" l="1"/>
  <c r="AG73" i="2" s="1"/>
  <c r="AG77" i="2" s="1"/>
  <c r="AF68" i="2"/>
  <c r="AF69" i="2" s="1"/>
  <c r="AF16" i="6" s="1"/>
  <c r="AH81" i="2"/>
  <c r="AI71" i="2"/>
  <c r="AI73" i="2" s="1"/>
  <c r="AG73" i="3"/>
  <c r="AH73" i="3"/>
  <c r="AI69" i="2"/>
  <c r="AI79" i="2" s="1"/>
  <c r="AI87" i="2" s="1"/>
  <c r="AI43" i="2" s="1"/>
  <c r="AI45" i="2" s="1"/>
  <c r="AI77" i="2"/>
  <c r="AF81" i="1"/>
  <c r="AF68" i="3"/>
  <c r="AH81" i="1"/>
  <c r="AH81" i="3" s="1"/>
  <c r="AH10" i="1"/>
  <c r="AG68" i="3"/>
  <c r="AG81" i="1"/>
  <c r="AG10" i="1"/>
  <c r="AG81" i="2"/>
  <c r="AG83" i="2" s="1"/>
  <c r="AG85" i="2" s="1"/>
  <c r="AH68" i="2"/>
  <c r="AH69" i="2" s="1"/>
  <c r="AG68" i="2"/>
  <c r="AG69" i="2" s="1"/>
  <c r="AF81" i="2"/>
  <c r="AF83" i="2" s="1"/>
  <c r="AF85" i="2" s="1"/>
  <c r="AH83" i="2"/>
  <c r="AH85" i="2" s="1"/>
  <c r="AH68" i="3" l="1"/>
  <c r="AG79" i="2"/>
  <c r="AG16" i="6"/>
  <c r="AH79" i="2"/>
  <c r="AH16" i="6"/>
  <c r="AG83" i="1"/>
  <c r="AG81" i="3"/>
  <c r="AF83" i="1"/>
  <c r="AF81" i="3"/>
  <c r="AH83" i="1"/>
  <c r="AG87" i="2"/>
  <c r="AG43" i="2" s="1"/>
  <c r="AG45" i="2" s="1"/>
  <c r="AH87" i="2"/>
  <c r="AH43" i="2" s="1"/>
  <c r="AH45" i="2" s="1"/>
  <c r="AH85" i="1" l="1"/>
  <c r="AH85" i="3" s="1"/>
  <c r="AH83" i="3"/>
  <c r="AF85" i="1"/>
  <c r="AF85" i="3" s="1"/>
  <c r="AF83" i="3"/>
  <c r="AG85" i="1"/>
  <c r="AG85" i="3" s="1"/>
  <c r="AG83" i="3"/>
  <c r="AE58" i="1" l="1"/>
  <c r="AD58" i="1"/>
  <c r="AD58" i="3" s="1"/>
  <c r="AC58" i="1"/>
  <c r="AC58" i="3" s="1"/>
  <c r="AB58" i="1"/>
  <c r="AB58" i="3" s="1"/>
  <c r="AA58" i="1"/>
  <c r="AA58" i="3" s="1"/>
  <c r="Z58" i="1"/>
  <c r="Z58" i="3" s="1"/>
  <c r="Y58" i="1"/>
  <c r="Y58" i="3" s="1"/>
  <c r="X58" i="1"/>
  <c r="X58" i="3" s="1"/>
  <c r="W58" i="1"/>
  <c r="W60" i="1" s="1"/>
  <c r="V58" i="1"/>
  <c r="V58" i="3" s="1"/>
  <c r="U58" i="1"/>
  <c r="U60" i="1" s="1"/>
  <c r="T58" i="1"/>
  <c r="T60" i="1" s="1"/>
  <c r="S58" i="1"/>
  <c r="S60" i="1" s="1"/>
  <c r="R58" i="1"/>
  <c r="R60" i="1" s="1"/>
  <c r="Q58" i="1"/>
  <c r="Q60" i="1" s="1"/>
  <c r="AE59" i="3"/>
  <c r="AE58" i="3"/>
  <c r="AE57" i="3"/>
  <c r="AE56" i="3"/>
  <c r="AE55" i="3"/>
  <c r="AE50" i="3"/>
  <c r="AE41" i="3"/>
  <c r="AE37" i="3"/>
  <c r="AE36" i="3"/>
  <c r="AE35" i="3"/>
  <c r="AE34" i="3"/>
  <c r="AE33" i="3"/>
  <c r="AE32" i="3"/>
  <c r="AE31" i="3"/>
  <c r="AE27" i="3"/>
  <c r="AE26" i="3"/>
  <c r="AE25" i="3"/>
  <c r="AE24" i="3"/>
  <c r="AE23" i="3"/>
  <c r="AE22" i="3"/>
  <c r="AE21" i="3"/>
  <c r="AE20" i="3"/>
  <c r="AE19" i="3"/>
  <c r="AE18" i="3"/>
  <c r="AE13" i="3"/>
  <c r="AD59" i="3"/>
  <c r="AD57" i="3"/>
  <c r="AD56" i="3"/>
  <c r="AD55" i="3"/>
  <c r="AD50" i="3"/>
  <c r="AD41" i="3"/>
  <c r="AD37" i="3"/>
  <c r="AD36" i="3"/>
  <c r="AD35" i="3"/>
  <c r="AD34" i="3"/>
  <c r="AD33" i="3"/>
  <c r="AD32" i="3"/>
  <c r="AD31" i="3"/>
  <c r="AD27" i="3"/>
  <c r="AD26" i="3"/>
  <c r="AD25" i="3"/>
  <c r="AD24" i="3"/>
  <c r="AD23" i="3"/>
  <c r="AD22" i="3"/>
  <c r="AD21" i="3"/>
  <c r="AD20" i="3"/>
  <c r="AD19" i="3"/>
  <c r="AD18" i="3"/>
  <c r="AD13" i="3"/>
  <c r="AC59" i="3"/>
  <c r="AC57" i="3"/>
  <c r="AC56" i="3"/>
  <c r="AC55" i="3"/>
  <c r="AC50" i="3"/>
  <c r="AC41" i="3"/>
  <c r="AC37" i="3"/>
  <c r="AC36" i="3"/>
  <c r="AC35" i="3"/>
  <c r="AC34" i="3"/>
  <c r="AC33" i="3"/>
  <c r="AC32" i="3"/>
  <c r="AC31" i="3"/>
  <c r="AC27" i="3"/>
  <c r="AC26" i="3"/>
  <c r="AC25" i="3"/>
  <c r="AC24" i="3"/>
  <c r="AC23" i="3"/>
  <c r="AC22" i="3"/>
  <c r="AC21" i="3"/>
  <c r="AC20" i="3"/>
  <c r="AC19" i="3"/>
  <c r="AC18" i="3"/>
  <c r="AC13" i="3"/>
  <c r="AB59" i="3"/>
  <c r="AB57" i="3"/>
  <c r="AB56" i="3"/>
  <c r="AB55" i="3"/>
  <c r="AB50" i="3"/>
  <c r="AB41" i="3"/>
  <c r="AB37" i="3"/>
  <c r="AB36" i="3"/>
  <c r="AB35" i="3"/>
  <c r="AB34" i="3"/>
  <c r="AB33" i="3"/>
  <c r="AB32" i="3"/>
  <c r="AB31" i="3"/>
  <c r="AB27" i="3"/>
  <c r="AB26" i="3"/>
  <c r="AB25" i="3"/>
  <c r="AB24" i="3"/>
  <c r="AB23" i="3"/>
  <c r="AB22" i="3"/>
  <c r="AB21" i="3"/>
  <c r="AB20" i="3"/>
  <c r="AB19" i="3"/>
  <c r="AB18" i="3"/>
  <c r="AB13" i="3"/>
  <c r="AA59" i="3"/>
  <c r="AA57" i="3"/>
  <c r="AA56" i="3"/>
  <c r="AA55" i="3"/>
  <c r="AA50" i="3"/>
  <c r="AA41" i="3"/>
  <c r="AA37" i="3"/>
  <c r="AA36" i="3"/>
  <c r="AA35" i="3"/>
  <c r="AA34" i="3"/>
  <c r="AA33" i="3"/>
  <c r="AA32" i="3"/>
  <c r="AA31" i="3"/>
  <c r="AA27" i="3"/>
  <c r="AA26" i="3"/>
  <c r="AA25" i="3"/>
  <c r="AA24" i="3"/>
  <c r="AA23" i="3"/>
  <c r="AA22" i="3"/>
  <c r="AA21" i="3"/>
  <c r="AA20" i="3"/>
  <c r="AA19" i="3"/>
  <c r="AA18" i="3"/>
  <c r="AA13" i="3"/>
  <c r="Z59" i="3"/>
  <c r="Z57" i="3"/>
  <c r="Z56" i="3"/>
  <c r="Z55" i="3"/>
  <c r="Z50" i="3"/>
  <c r="Z41" i="3"/>
  <c r="Z37" i="3"/>
  <c r="Z36" i="3"/>
  <c r="Z35" i="3"/>
  <c r="Z34" i="3"/>
  <c r="Z33" i="3"/>
  <c r="Z32" i="3"/>
  <c r="Z31" i="3"/>
  <c r="Z27" i="3"/>
  <c r="Z26" i="3"/>
  <c r="Z25" i="3"/>
  <c r="Z24" i="3"/>
  <c r="Z23" i="3"/>
  <c r="Z22" i="3"/>
  <c r="Z21" i="3"/>
  <c r="Z20" i="3"/>
  <c r="Z19" i="3"/>
  <c r="Z18" i="3"/>
  <c r="Z13" i="3"/>
  <c r="Y59" i="3"/>
  <c r="Y57" i="3"/>
  <c r="Y56" i="3"/>
  <c r="Y55" i="3"/>
  <c r="Y50" i="3"/>
  <c r="Y41" i="3"/>
  <c r="Y37" i="3"/>
  <c r="Y36" i="3"/>
  <c r="Y35" i="3"/>
  <c r="Y34" i="3"/>
  <c r="Y33" i="3"/>
  <c r="Y32" i="3"/>
  <c r="Y31" i="3"/>
  <c r="Y27" i="3"/>
  <c r="Y26" i="3"/>
  <c r="Y25" i="3"/>
  <c r="Y24" i="3"/>
  <c r="Y23" i="3"/>
  <c r="Y22" i="3"/>
  <c r="Y21" i="3"/>
  <c r="Y20" i="3"/>
  <c r="Y19" i="3"/>
  <c r="Y18" i="3"/>
  <c r="Y13" i="3"/>
  <c r="X59" i="3"/>
  <c r="X57" i="3"/>
  <c r="X56" i="3"/>
  <c r="X55" i="3"/>
  <c r="X50" i="3"/>
  <c r="X41" i="3"/>
  <c r="X37" i="3"/>
  <c r="X36" i="3"/>
  <c r="X35" i="3"/>
  <c r="X34" i="3"/>
  <c r="X33" i="3"/>
  <c r="X32" i="3"/>
  <c r="X31" i="3"/>
  <c r="X27" i="3"/>
  <c r="X26" i="3"/>
  <c r="X25" i="3"/>
  <c r="X24" i="3"/>
  <c r="X23" i="3"/>
  <c r="X22" i="3"/>
  <c r="X21" i="3"/>
  <c r="X20" i="3"/>
  <c r="X19" i="3"/>
  <c r="X18" i="3"/>
  <c r="X13" i="3"/>
  <c r="W59" i="3"/>
  <c r="W57" i="3"/>
  <c r="W56" i="3"/>
  <c r="W55" i="3"/>
  <c r="W50" i="3"/>
  <c r="W41" i="3"/>
  <c r="W37" i="3"/>
  <c r="W36" i="3"/>
  <c r="W35" i="3"/>
  <c r="W34" i="3"/>
  <c r="W33" i="3"/>
  <c r="W32" i="3"/>
  <c r="W31" i="3"/>
  <c r="W27" i="3"/>
  <c r="W26" i="3"/>
  <c r="W25" i="3"/>
  <c r="W24" i="3"/>
  <c r="W23" i="3"/>
  <c r="W22" i="3"/>
  <c r="W21" i="3"/>
  <c r="W20" i="3"/>
  <c r="W19" i="3"/>
  <c r="W18" i="3"/>
  <c r="W13" i="3"/>
  <c r="V59" i="3"/>
  <c r="V57" i="3"/>
  <c r="V56" i="3"/>
  <c r="V55" i="3"/>
  <c r="V50" i="3"/>
  <c r="V41" i="3"/>
  <c r="V37" i="3"/>
  <c r="V36" i="3"/>
  <c r="V35" i="3"/>
  <c r="V34" i="3"/>
  <c r="V33" i="3"/>
  <c r="V32" i="3"/>
  <c r="V31" i="3"/>
  <c r="V27" i="3"/>
  <c r="V26" i="3"/>
  <c r="V25" i="3"/>
  <c r="V24" i="3"/>
  <c r="V23" i="3"/>
  <c r="V22" i="3"/>
  <c r="V21" i="3"/>
  <c r="V20" i="3"/>
  <c r="V19" i="3"/>
  <c r="V18" i="3"/>
  <c r="V13" i="3"/>
  <c r="U59" i="3"/>
  <c r="U57" i="3"/>
  <c r="U56" i="3"/>
  <c r="U55" i="3"/>
  <c r="U50" i="3"/>
  <c r="U41" i="3"/>
  <c r="U37" i="3"/>
  <c r="U36" i="3"/>
  <c r="U35" i="3"/>
  <c r="U34" i="3"/>
  <c r="U33" i="3"/>
  <c r="U32" i="3"/>
  <c r="U31" i="3"/>
  <c r="U27" i="3"/>
  <c r="U26" i="3"/>
  <c r="U25" i="3"/>
  <c r="U24" i="3"/>
  <c r="U23" i="3"/>
  <c r="U22" i="3"/>
  <c r="U21" i="3"/>
  <c r="U20" i="3"/>
  <c r="U19" i="3"/>
  <c r="U18" i="3"/>
  <c r="U13" i="3"/>
  <c r="T59" i="3"/>
  <c r="T58" i="3"/>
  <c r="T57" i="3"/>
  <c r="T56" i="3"/>
  <c r="T55" i="3"/>
  <c r="T50" i="3"/>
  <c r="T41" i="3"/>
  <c r="T37" i="3"/>
  <c r="T36" i="3"/>
  <c r="T35" i="3"/>
  <c r="T34" i="3"/>
  <c r="T33" i="3"/>
  <c r="T32" i="3"/>
  <c r="T31" i="3"/>
  <c r="T27" i="3"/>
  <c r="T26" i="3"/>
  <c r="T25" i="3"/>
  <c r="T24" i="3"/>
  <c r="T23" i="3"/>
  <c r="T22" i="3"/>
  <c r="T21" i="3"/>
  <c r="T20" i="3"/>
  <c r="T19" i="3"/>
  <c r="T18" i="3"/>
  <c r="T13" i="3"/>
  <c r="S59" i="3"/>
  <c r="S57" i="3"/>
  <c r="S56" i="3"/>
  <c r="S55" i="3"/>
  <c r="S50" i="3"/>
  <c r="S41" i="3"/>
  <c r="S37" i="3"/>
  <c r="S36" i="3"/>
  <c r="S35" i="3"/>
  <c r="S34" i="3"/>
  <c r="S33" i="3"/>
  <c r="S32" i="3"/>
  <c r="S31" i="3"/>
  <c r="S27" i="3"/>
  <c r="S26" i="3"/>
  <c r="S25" i="3"/>
  <c r="S24" i="3"/>
  <c r="S23" i="3"/>
  <c r="S22" i="3"/>
  <c r="S21" i="3"/>
  <c r="S20" i="3"/>
  <c r="S19" i="3"/>
  <c r="S18" i="3"/>
  <c r="S13" i="3"/>
  <c r="R59" i="3"/>
  <c r="R57" i="3"/>
  <c r="R56" i="3"/>
  <c r="R55" i="3"/>
  <c r="R50" i="3"/>
  <c r="R41" i="3"/>
  <c r="R37" i="3"/>
  <c r="R36" i="3"/>
  <c r="R35" i="3"/>
  <c r="R34" i="3"/>
  <c r="R33" i="3"/>
  <c r="R32" i="3"/>
  <c r="R31" i="3"/>
  <c r="R27" i="3"/>
  <c r="R26" i="3"/>
  <c r="R25" i="3"/>
  <c r="R24" i="3"/>
  <c r="R23" i="3"/>
  <c r="R22" i="3"/>
  <c r="R21" i="3"/>
  <c r="R20" i="3"/>
  <c r="R19" i="3"/>
  <c r="R18" i="3"/>
  <c r="R13" i="3"/>
  <c r="Q59" i="3"/>
  <c r="Q57" i="3"/>
  <c r="Q56" i="3"/>
  <c r="Q55" i="3"/>
  <c r="Q50" i="3"/>
  <c r="Q41" i="3"/>
  <c r="Q37" i="3"/>
  <c r="Q36" i="3"/>
  <c r="Q35" i="3"/>
  <c r="Q34" i="3"/>
  <c r="Q33" i="3"/>
  <c r="Q32" i="3"/>
  <c r="Q31" i="3"/>
  <c r="Q27" i="3"/>
  <c r="Q26" i="3"/>
  <c r="Q25" i="3"/>
  <c r="Q24" i="3"/>
  <c r="Q23" i="3"/>
  <c r="Q22" i="3"/>
  <c r="Q21" i="3"/>
  <c r="Q20" i="3"/>
  <c r="Q19" i="3"/>
  <c r="Q18" i="3"/>
  <c r="Q13" i="3"/>
  <c r="P59" i="3"/>
  <c r="P58" i="3"/>
  <c r="P57" i="3"/>
  <c r="P56" i="3"/>
  <c r="P55" i="3"/>
  <c r="P50" i="3"/>
  <c r="P41" i="3"/>
  <c r="P37" i="3"/>
  <c r="P36" i="3"/>
  <c r="P35" i="3"/>
  <c r="P34" i="3"/>
  <c r="P33" i="3"/>
  <c r="P32" i="3"/>
  <c r="P31" i="3"/>
  <c r="P27" i="3"/>
  <c r="P26" i="3"/>
  <c r="P25" i="3"/>
  <c r="P24" i="3"/>
  <c r="P23" i="3"/>
  <c r="P22" i="3"/>
  <c r="P21" i="3"/>
  <c r="P20" i="3"/>
  <c r="P19" i="3"/>
  <c r="P18" i="3"/>
  <c r="P13" i="3"/>
  <c r="O59" i="3"/>
  <c r="O58" i="3"/>
  <c r="O57" i="3"/>
  <c r="O56" i="3"/>
  <c r="O55" i="3"/>
  <c r="O50" i="3"/>
  <c r="O41" i="3"/>
  <c r="O37" i="3"/>
  <c r="O36" i="3"/>
  <c r="O35" i="3"/>
  <c r="O34" i="3"/>
  <c r="O33" i="3"/>
  <c r="O32" i="3"/>
  <c r="O31" i="3"/>
  <c r="O27" i="3"/>
  <c r="O26" i="3"/>
  <c r="O25" i="3"/>
  <c r="O24" i="3"/>
  <c r="O23" i="3"/>
  <c r="O22" i="3"/>
  <c r="O21" i="3"/>
  <c r="O20" i="3"/>
  <c r="O19" i="3"/>
  <c r="O18" i="3"/>
  <c r="O13" i="3"/>
  <c r="AE60" i="1"/>
  <c r="AD60" i="1"/>
  <c r="AC60" i="1"/>
  <c r="AB60" i="1"/>
  <c r="X60" i="1"/>
  <c r="P60" i="1"/>
  <c r="O60" i="1"/>
  <c r="AE51" i="1"/>
  <c r="AE52" i="1" s="1"/>
  <c r="AD51" i="1"/>
  <c r="AD52" i="1" s="1"/>
  <c r="AC51" i="1"/>
  <c r="AC52" i="1" s="1"/>
  <c r="AB51" i="1"/>
  <c r="AB52" i="1" s="1"/>
  <c r="AA51" i="1"/>
  <c r="AA52" i="1" s="1"/>
  <c r="Z51" i="1"/>
  <c r="Z52" i="1" s="1"/>
  <c r="Y51" i="1"/>
  <c r="Y52" i="1" s="1"/>
  <c r="X51" i="1"/>
  <c r="X52" i="1" s="1"/>
  <c r="W51" i="1"/>
  <c r="W52" i="1" s="1"/>
  <c r="V51" i="1"/>
  <c r="V52" i="1" s="1"/>
  <c r="U51" i="1"/>
  <c r="U52" i="1" s="1"/>
  <c r="T51" i="1"/>
  <c r="T52" i="1" s="1"/>
  <c r="S51" i="1"/>
  <c r="S52" i="1" s="1"/>
  <c r="R51" i="1"/>
  <c r="R52" i="1" s="1"/>
  <c r="Q51" i="1"/>
  <c r="Q52" i="1" s="1"/>
  <c r="P51" i="1"/>
  <c r="P52" i="1" s="1"/>
  <c r="O51" i="1"/>
  <c r="O52" i="1" s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AA60" i="1" l="1"/>
  <c r="Z60" i="1"/>
  <c r="Q63" i="1"/>
  <c r="Q10" i="1" s="1"/>
  <c r="Q58" i="3"/>
  <c r="P63" i="1"/>
  <c r="P10" i="1" s="1"/>
  <c r="R58" i="3"/>
  <c r="W63" i="1"/>
  <c r="R63" i="1"/>
  <c r="R10" i="1" s="1"/>
  <c r="X63" i="1"/>
  <c r="X10" i="1" s="1"/>
  <c r="T63" i="1"/>
  <c r="T10" i="1" s="1"/>
  <c r="AE28" i="3"/>
  <c r="AE38" i="3"/>
  <c r="AE60" i="3"/>
  <c r="AE63" i="1"/>
  <c r="AD60" i="3"/>
  <c r="AD63" i="1"/>
  <c r="AD10" i="1" s="1"/>
  <c r="AC63" i="1"/>
  <c r="AD73" i="1" s="1"/>
  <c r="AB63" i="1"/>
  <c r="AA63" i="1"/>
  <c r="Y60" i="1"/>
  <c r="Y63" i="1" s="1"/>
  <c r="Y10" i="1" s="1"/>
  <c r="W58" i="3"/>
  <c r="V60" i="1"/>
  <c r="V63" i="1" s="1"/>
  <c r="V10" i="1" s="1"/>
  <c r="U63" i="1"/>
  <c r="U10" i="1" s="1"/>
  <c r="U58" i="3"/>
  <c r="S63" i="1"/>
  <c r="S10" i="1" s="1"/>
  <c r="S58" i="3"/>
  <c r="AC28" i="3"/>
  <c r="AD38" i="3"/>
  <c r="AC38" i="3"/>
  <c r="AD28" i="3"/>
  <c r="AC60" i="3"/>
  <c r="AB60" i="3"/>
  <c r="AA38" i="3"/>
  <c r="AB38" i="3"/>
  <c r="AB28" i="3"/>
  <c r="AA60" i="3"/>
  <c r="AA28" i="3"/>
  <c r="X38" i="3"/>
  <c r="Z60" i="3"/>
  <c r="Z28" i="3"/>
  <c r="Z38" i="3"/>
  <c r="Y28" i="3"/>
  <c r="Y38" i="3"/>
  <c r="Y60" i="3"/>
  <c r="W28" i="3"/>
  <c r="X60" i="3"/>
  <c r="X28" i="3"/>
  <c r="W38" i="3"/>
  <c r="V28" i="3"/>
  <c r="V38" i="3"/>
  <c r="V60" i="3"/>
  <c r="R38" i="3"/>
  <c r="U38" i="3"/>
  <c r="U28" i="3"/>
  <c r="T38" i="3"/>
  <c r="S28" i="3"/>
  <c r="T60" i="3"/>
  <c r="T28" i="3"/>
  <c r="R28" i="3"/>
  <c r="S38" i="3"/>
  <c r="Q28" i="3"/>
  <c r="Q38" i="3"/>
  <c r="Q60" i="3"/>
  <c r="P38" i="3"/>
  <c r="P60" i="3"/>
  <c r="O38" i="3"/>
  <c r="P28" i="3"/>
  <c r="O60" i="3"/>
  <c r="O28" i="3"/>
  <c r="O63" i="1"/>
  <c r="T73" i="1"/>
  <c r="Z63" i="1"/>
  <c r="Z10" i="1" s="1"/>
  <c r="W81" i="1"/>
  <c r="R73" i="1"/>
  <c r="Q81" i="1"/>
  <c r="R60" i="3" l="1"/>
  <c r="U81" i="1"/>
  <c r="V73" i="1"/>
  <c r="AE81" i="1"/>
  <c r="Y73" i="1"/>
  <c r="P81" i="1"/>
  <c r="AC73" i="1"/>
  <c r="AB10" i="1"/>
  <c r="U73" i="1"/>
  <c r="P73" i="1"/>
  <c r="O10" i="1"/>
  <c r="AF73" i="1"/>
  <c r="AE10" i="1"/>
  <c r="S73" i="1"/>
  <c r="AC10" i="1"/>
  <c r="S81" i="1"/>
  <c r="S83" i="1" s="1"/>
  <c r="X73" i="1"/>
  <c r="W10" i="1"/>
  <c r="T81" i="1"/>
  <c r="T83" i="1" s="1"/>
  <c r="O81" i="1"/>
  <c r="O83" i="1" s="1"/>
  <c r="O85" i="1" s="1"/>
  <c r="X81" i="1"/>
  <c r="X83" i="1" s="1"/>
  <c r="AE73" i="1"/>
  <c r="Q73" i="1"/>
  <c r="AC81" i="1"/>
  <c r="AC83" i="1" s="1"/>
  <c r="AD81" i="1"/>
  <c r="R81" i="1"/>
  <c r="AA10" i="1"/>
  <c r="U60" i="3"/>
  <c r="W60" i="3"/>
  <c r="S60" i="3"/>
  <c r="AB81" i="1"/>
  <c r="AB83" i="1" s="1"/>
  <c r="AA81" i="1"/>
  <c r="AB73" i="1"/>
  <c r="Z73" i="1"/>
  <c r="Y81" i="1"/>
  <c r="Y83" i="1" s="1"/>
  <c r="V81" i="1"/>
  <c r="V83" i="1" s="1"/>
  <c r="W73" i="1"/>
  <c r="P83" i="1"/>
  <c r="P85" i="1" s="1"/>
  <c r="U83" i="1"/>
  <c r="U85" i="1"/>
  <c r="Z81" i="1"/>
  <c r="AA73" i="1"/>
  <c r="AE83" i="1"/>
  <c r="Q83" i="1"/>
  <c r="AD83" i="1"/>
  <c r="W83" i="1"/>
  <c r="R83" i="1" l="1"/>
  <c r="R85" i="1" s="1"/>
  <c r="AC85" i="1"/>
  <c r="AE85" i="1"/>
  <c r="AD85" i="1"/>
  <c r="AB85" i="1"/>
  <c r="AA83" i="1"/>
  <c r="Y85" i="1"/>
  <c r="X85" i="1"/>
  <c r="W85" i="1"/>
  <c r="V85" i="1"/>
  <c r="T85" i="1"/>
  <c r="S85" i="1"/>
  <c r="Q85" i="1"/>
  <c r="Z83" i="1"/>
  <c r="AA85" i="1" l="1"/>
  <c r="Z85" i="1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P52" i="2" l="1"/>
  <c r="P63" i="2" s="1"/>
  <c r="P51" i="3"/>
  <c r="P52" i="3" s="1"/>
  <c r="P63" i="3" s="1"/>
  <c r="X52" i="2"/>
  <c r="X63" i="2" s="1"/>
  <c r="X81" i="2" s="1"/>
  <c r="X81" i="3" s="1"/>
  <c r="X51" i="3"/>
  <c r="X52" i="3" s="1"/>
  <c r="X63" i="3" s="1"/>
  <c r="Q52" i="2"/>
  <c r="Q63" i="2" s="1"/>
  <c r="R71" i="2" s="1"/>
  <c r="R73" i="2" s="1"/>
  <c r="R77" i="2" s="1"/>
  <c r="Q51" i="3"/>
  <c r="Q52" i="3" s="1"/>
  <c r="Q63" i="3" s="1"/>
  <c r="Y52" i="2"/>
  <c r="Y63" i="2" s="1"/>
  <c r="Z71" i="2" s="1"/>
  <c r="Z73" i="2" s="1"/>
  <c r="Z77" i="2" s="1"/>
  <c r="Y51" i="3"/>
  <c r="Y52" i="3" s="1"/>
  <c r="Y63" i="3" s="1"/>
  <c r="O52" i="2"/>
  <c r="O63" i="2" s="1"/>
  <c r="O51" i="3"/>
  <c r="O52" i="3" s="1"/>
  <c r="O63" i="3" s="1"/>
  <c r="R52" i="2"/>
  <c r="R63" i="2" s="1"/>
  <c r="S71" i="2" s="1"/>
  <c r="S73" i="2" s="1"/>
  <c r="S77" i="2" s="1"/>
  <c r="R51" i="3"/>
  <c r="R52" i="3" s="1"/>
  <c r="R63" i="3" s="1"/>
  <c r="Z52" i="2"/>
  <c r="Z63" i="2" s="1"/>
  <c r="Z81" i="2" s="1"/>
  <c r="Z81" i="3" s="1"/>
  <c r="Z51" i="3"/>
  <c r="Z52" i="3" s="1"/>
  <c r="Z63" i="3" s="1"/>
  <c r="AE52" i="2"/>
  <c r="AE63" i="2" s="1"/>
  <c r="AF71" i="2" s="1"/>
  <c r="AF73" i="2" s="1"/>
  <c r="AF77" i="2" s="1"/>
  <c r="AF79" i="2" s="1"/>
  <c r="AF87" i="2" s="1"/>
  <c r="AF43" i="2" s="1"/>
  <c r="AF45" i="2" s="1"/>
  <c r="AE51" i="3"/>
  <c r="AE52" i="3" s="1"/>
  <c r="AE63" i="3" s="1"/>
  <c r="S52" i="2"/>
  <c r="S63" i="2" s="1"/>
  <c r="S51" i="3"/>
  <c r="S52" i="3" s="1"/>
  <c r="S63" i="3" s="1"/>
  <c r="AA52" i="2"/>
  <c r="AA63" i="2" s="1"/>
  <c r="AA68" i="2" s="1"/>
  <c r="AA51" i="3"/>
  <c r="AA52" i="3" s="1"/>
  <c r="AA63" i="3" s="1"/>
  <c r="W52" i="2"/>
  <c r="W63" i="2" s="1"/>
  <c r="W51" i="3"/>
  <c r="W52" i="3" s="1"/>
  <c r="W63" i="3" s="1"/>
  <c r="AB52" i="2"/>
  <c r="AB63" i="2" s="1"/>
  <c r="AB81" i="2" s="1"/>
  <c r="AB81" i="3" s="1"/>
  <c r="AB51" i="3"/>
  <c r="AB52" i="3" s="1"/>
  <c r="AB63" i="3" s="1"/>
  <c r="T52" i="2"/>
  <c r="T63" i="2" s="1"/>
  <c r="T51" i="3"/>
  <c r="T52" i="3" s="1"/>
  <c r="T63" i="3" s="1"/>
  <c r="U52" i="2"/>
  <c r="U63" i="2" s="1"/>
  <c r="U81" i="2" s="1"/>
  <c r="U81" i="3" s="1"/>
  <c r="U51" i="3"/>
  <c r="U52" i="3" s="1"/>
  <c r="U63" i="3" s="1"/>
  <c r="AC52" i="2"/>
  <c r="AC63" i="2" s="1"/>
  <c r="AD71" i="2" s="1"/>
  <c r="AD73" i="2" s="1"/>
  <c r="AD77" i="2" s="1"/>
  <c r="AC51" i="3"/>
  <c r="AC52" i="3" s="1"/>
  <c r="AC63" i="3" s="1"/>
  <c r="V52" i="2"/>
  <c r="V63" i="2" s="1"/>
  <c r="V68" i="2" s="1"/>
  <c r="V51" i="3"/>
  <c r="V52" i="3" s="1"/>
  <c r="V63" i="3" s="1"/>
  <c r="AD52" i="2"/>
  <c r="AD63" i="2" s="1"/>
  <c r="AD51" i="3"/>
  <c r="AD52" i="3" s="1"/>
  <c r="AD63" i="3" s="1"/>
  <c r="X68" i="2"/>
  <c r="X68" i="3" s="1"/>
  <c r="Q81" i="2"/>
  <c r="Q81" i="3" s="1"/>
  <c r="Q68" i="2"/>
  <c r="Q68" i="3" s="1"/>
  <c r="R81" i="2"/>
  <c r="R81" i="3" s="1"/>
  <c r="AA71" i="2"/>
  <c r="AA73" i="2" s="1"/>
  <c r="AA77" i="2" s="1"/>
  <c r="Z68" i="2"/>
  <c r="P68" i="2"/>
  <c r="P68" i="3" s="1"/>
  <c r="P81" i="2"/>
  <c r="P81" i="3" s="1"/>
  <c r="Q71" i="2"/>
  <c r="Q73" i="2" s="1"/>
  <c r="Q77" i="2" s="1"/>
  <c r="T71" i="2"/>
  <c r="T73" i="2" s="1"/>
  <c r="T77" i="2" s="1"/>
  <c r="S68" i="2"/>
  <c r="S68" i="3" s="1"/>
  <c r="S81" i="2"/>
  <c r="S81" i="3" s="1"/>
  <c r="U71" i="2"/>
  <c r="U73" i="2" s="1"/>
  <c r="U77" i="2" s="1"/>
  <c r="T68" i="2"/>
  <c r="T81" i="2"/>
  <c r="T81" i="3" s="1"/>
  <c r="V71" i="2"/>
  <c r="V73" i="2" s="1"/>
  <c r="V77" i="2" s="1"/>
  <c r="U68" i="2"/>
  <c r="AB71" i="2"/>
  <c r="AB73" i="2" s="1"/>
  <c r="AB77" i="2" s="1"/>
  <c r="S69" i="2"/>
  <c r="AD68" i="2"/>
  <c r="AD81" i="2"/>
  <c r="AD81" i="3" s="1"/>
  <c r="AE71" i="2"/>
  <c r="AE73" i="2" s="1"/>
  <c r="AE77" i="2" s="1"/>
  <c r="O68" i="2"/>
  <c r="O68" i="3" s="1"/>
  <c r="O81" i="2"/>
  <c r="O81" i="3" s="1"/>
  <c r="P71" i="2"/>
  <c r="P73" i="2" s="1"/>
  <c r="P77" i="2" s="1"/>
  <c r="W68" i="2"/>
  <c r="W81" i="2"/>
  <c r="W81" i="3" s="1"/>
  <c r="X71" i="2"/>
  <c r="X73" i="2" s="1"/>
  <c r="X77" i="2" s="1"/>
  <c r="X69" i="2"/>
  <c r="Y71" i="2" l="1"/>
  <c r="Y73" i="2" s="1"/>
  <c r="Y77" i="2" s="1"/>
  <c r="AA81" i="2"/>
  <c r="AA81" i="3" s="1"/>
  <c r="R68" i="2"/>
  <c r="AE10" i="3"/>
  <c r="AF73" i="3"/>
  <c r="AC81" i="2"/>
  <c r="AC81" i="3" s="1"/>
  <c r="Y81" i="2"/>
  <c r="Y81" i="3" s="1"/>
  <c r="Q69" i="2"/>
  <c r="Q16" i="6" s="1"/>
  <c r="Y68" i="2"/>
  <c r="AE68" i="2"/>
  <c r="AB68" i="2"/>
  <c r="AB68" i="3" s="1"/>
  <c r="V69" i="2"/>
  <c r="V16" i="6" s="1"/>
  <c r="V68" i="3"/>
  <c r="AD73" i="3"/>
  <c r="AC10" i="3"/>
  <c r="X73" i="3"/>
  <c r="W10" i="3"/>
  <c r="AE69" i="2"/>
  <c r="AE16" i="6" s="1"/>
  <c r="AE68" i="3"/>
  <c r="AB69" i="2"/>
  <c r="Z10" i="3"/>
  <c r="AA73" i="3"/>
  <c r="Q10" i="3"/>
  <c r="R73" i="3"/>
  <c r="V73" i="3"/>
  <c r="U10" i="3"/>
  <c r="AC71" i="2"/>
  <c r="AC73" i="2" s="1"/>
  <c r="AC77" i="2" s="1"/>
  <c r="U69" i="2"/>
  <c r="U68" i="3"/>
  <c r="AD69" i="2"/>
  <c r="AD68" i="3"/>
  <c r="W69" i="2"/>
  <c r="W16" i="6" s="1"/>
  <c r="W68" i="3"/>
  <c r="W71" i="2"/>
  <c r="W73" i="2" s="1"/>
  <c r="W77" i="2" s="1"/>
  <c r="AA69" i="2"/>
  <c r="AA68" i="3"/>
  <c r="P69" i="2"/>
  <c r="P16" i="6" s="1"/>
  <c r="AA10" i="3"/>
  <c r="AB73" i="3"/>
  <c r="R10" i="3"/>
  <c r="S73" i="3"/>
  <c r="X10" i="3"/>
  <c r="Y73" i="3"/>
  <c r="V81" i="2"/>
  <c r="V81" i="3" s="1"/>
  <c r="AD10" i="3"/>
  <c r="AE73" i="3"/>
  <c r="U73" i="3"/>
  <c r="T10" i="3"/>
  <c r="Y10" i="3"/>
  <c r="Z73" i="3"/>
  <c r="X79" i="2"/>
  <c r="X16" i="6"/>
  <c r="Z69" i="2"/>
  <c r="Z68" i="3"/>
  <c r="S79" i="2"/>
  <c r="S16" i="6"/>
  <c r="S10" i="3"/>
  <c r="T73" i="3"/>
  <c r="O10" i="3"/>
  <c r="P73" i="3"/>
  <c r="P10" i="3"/>
  <c r="Q73" i="3"/>
  <c r="T69" i="2"/>
  <c r="T68" i="3"/>
  <c r="AC68" i="2"/>
  <c r="AE81" i="2"/>
  <c r="AE81" i="3" s="1"/>
  <c r="R69" i="2"/>
  <c r="R68" i="3"/>
  <c r="V10" i="3"/>
  <c r="W73" i="3"/>
  <c r="AC73" i="3"/>
  <c r="AB10" i="3"/>
  <c r="S83" i="2"/>
  <c r="O83" i="2"/>
  <c r="AD83" i="2"/>
  <c r="AB83" i="2"/>
  <c r="Z83" i="2"/>
  <c r="T83" i="2"/>
  <c r="T83" i="3" s="1"/>
  <c r="AC83" i="2"/>
  <c r="P83" i="2"/>
  <c r="P83" i="3" s="1"/>
  <c r="R83" i="2"/>
  <c r="X83" i="2"/>
  <c r="W83" i="2"/>
  <c r="W83" i="3" s="1"/>
  <c r="AA83" i="2"/>
  <c r="U83" i="2"/>
  <c r="Q83" i="2"/>
  <c r="Q79" i="2" l="1"/>
  <c r="Y83" i="2"/>
  <c r="Y83" i="3" s="1"/>
  <c r="W79" i="2"/>
  <c r="AE83" i="2"/>
  <c r="Y68" i="3"/>
  <c r="Y69" i="2"/>
  <c r="V83" i="2"/>
  <c r="V83" i="3" s="1"/>
  <c r="V79" i="2"/>
  <c r="AD85" i="2"/>
  <c r="AD83" i="3"/>
  <c r="Q85" i="2"/>
  <c r="Q85" i="3" s="1"/>
  <c r="Q83" i="3"/>
  <c r="O85" i="2"/>
  <c r="O85" i="3" s="1"/>
  <c r="O83" i="3"/>
  <c r="AA85" i="2"/>
  <c r="AA83" i="3"/>
  <c r="X85" i="2"/>
  <c r="X83" i="3"/>
  <c r="AE85" i="2"/>
  <c r="AE85" i="3" s="1"/>
  <c r="AE83" i="3"/>
  <c r="AC69" i="2"/>
  <c r="AC68" i="3"/>
  <c r="W85" i="2"/>
  <c r="W85" i="3" s="1"/>
  <c r="T85" i="2"/>
  <c r="Z85" i="2"/>
  <c r="Z83" i="3"/>
  <c r="T79" i="2"/>
  <c r="T16" i="6"/>
  <c r="R85" i="2"/>
  <c r="R83" i="3"/>
  <c r="AB85" i="2"/>
  <c r="AB83" i="3"/>
  <c r="AD79" i="2"/>
  <c r="AD16" i="6"/>
  <c r="Z79" i="2"/>
  <c r="Z16" i="6"/>
  <c r="S85" i="2"/>
  <c r="S83" i="3"/>
  <c r="P85" i="2"/>
  <c r="P85" i="3" s="1"/>
  <c r="U79" i="2"/>
  <c r="U16" i="6"/>
  <c r="U85" i="2"/>
  <c r="U83" i="3"/>
  <c r="AE79" i="2"/>
  <c r="AE87" i="2" s="1"/>
  <c r="AE43" i="2" s="1"/>
  <c r="AE45" i="2" s="1"/>
  <c r="AC85" i="2"/>
  <c r="AC85" i="3" s="1"/>
  <c r="AC83" i="3"/>
  <c r="P79" i="2"/>
  <c r="P87" i="2" s="1"/>
  <c r="P43" i="2" s="1"/>
  <c r="P45" i="2" s="1"/>
  <c r="R79" i="2"/>
  <c r="R16" i="6"/>
  <c r="AA79" i="2"/>
  <c r="AA16" i="6"/>
  <c r="AB79" i="2"/>
  <c r="AB16" i="6"/>
  <c r="Q87" i="2"/>
  <c r="Q43" i="2" s="1"/>
  <c r="Q45" i="2" s="1"/>
  <c r="Y85" i="2" l="1"/>
  <c r="Y85" i="3" s="1"/>
  <c r="V85" i="2"/>
  <c r="V85" i="3" s="1"/>
  <c r="W87" i="2"/>
  <c r="W43" i="2" s="1"/>
  <c r="W45" i="2" s="1"/>
  <c r="Y16" i="6"/>
  <c r="Y79" i="2"/>
  <c r="Y87" i="2" s="1"/>
  <c r="Y43" i="2" s="1"/>
  <c r="Y45" i="2" s="1"/>
  <c r="AC16" i="6"/>
  <c r="AC79" i="2"/>
  <c r="AC87" i="2" s="1"/>
  <c r="AC43" i="2" s="1"/>
  <c r="AC45" i="2" s="1"/>
  <c r="S87" i="2"/>
  <c r="S43" i="2" s="1"/>
  <c r="S45" i="2" s="1"/>
  <c r="S85" i="3"/>
  <c r="Z87" i="2"/>
  <c r="Z43" i="2" s="1"/>
  <c r="Z45" i="2" s="1"/>
  <c r="Z85" i="3"/>
  <c r="AD87" i="2"/>
  <c r="AD43" i="2" s="1"/>
  <c r="AD45" i="2" s="1"/>
  <c r="AD85" i="3"/>
  <c r="R87" i="2"/>
  <c r="R43" i="2" s="1"/>
  <c r="R45" i="2" s="1"/>
  <c r="R85" i="3"/>
  <c r="U87" i="2"/>
  <c r="U43" i="2" s="1"/>
  <c r="U45" i="2" s="1"/>
  <c r="U85" i="3"/>
  <c r="AB87" i="2"/>
  <c r="AB43" i="2" s="1"/>
  <c r="AB45" i="2" s="1"/>
  <c r="AB85" i="3"/>
  <c r="T87" i="2"/>
  <c r="T43" i="2" s="1"/>
  <c r="T45" i="2" s="1"/>
  <c r="T85" i="3"/>
  <c r="X87" i="2"/>
  <c r="X43" i="2" s="1"/>
  <c r="X45" i="2" s="1"/>
  <c r="X85" i="3"/>
  <c r="AA87" i="2"/>
  <c r="AA43" i="2" s="1"/>
  <c r="AA45" i="2" s="1"/>
  <c r="AA85" i="3"/>
  <c r="D25" i="6"/>
  <c r="D12" i="6"/>
  <c r="E6" i="6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AI6" i="6" s="1"/>
  <c r="F28" i="6" l="1"/>
  <c r="F27" i="6"/>
  <c r="V87" i="2"/>
  <c r="V43" i="2" s="1"/>
  <c r="V45" i="2" s="1"/>
  <c r="E13" i="3"/>
  <c r="F13" i="3"/>
  <c r="G13" i="3"/>
  <c r="H13" i="3"/>
  <c r="I13" i="3"/>
  <c r="J13" i="3"/>
  <c r="K13" i="3"/>
  <c r="L13" i="3"/>
  <c r="M13" i="3"/>
  <c r="N13" i="3"/>
  <c r="D13" i="3"/>
  <c r="D71" i="3"/>
  <c r="D55" i="3" l="1"/>
  <c r="E55" i="3"/>
  <c r="F55" i="3"/>
  <c r="G55" i="3"/>
  <c r="H55" i="3"/>
  <c r="I55" i="3"/>
  <c r="J55" i="3"/>
  <c r="K55" i="3"/>
  <c r="L55" i="3"/>
  <c r="M55" i="3"/>
  <c r="N55" i="3"/>
  <c r="D56" i="3"/>
  <c r="E56" i="3"/>
  <c r="F56" i="3"/>
  <c r="G56" i="3"/>
  <c r="H56" i="3"/>
  <c r="I56" i="3"/>
  <c r="J56" i="3"/>
  <c r="K56" i="3"/>
  <c r="L56" i="3"/>
  <c r="M56" i="3"/>
  <c r="N56" i="3"/>
  <c r="D57" i="3"/>
  <c r="E57" i="3"/>
  <c r="F57" i="3"/>
  <c r="G57" i="3"/>
  <c r="H57" i="3"/>
  <c r="I57" i="3"/>
  <c r="J57" i="3"/>
  <c r="K57" i="3"/>
  <c r="L57" i="3"/>
  <c r="M57" i="3"/>
  <c r="N57" i="3"/>
  <c r="D58" i="3"/>
  <c r="E58" i="3"/>
  <c r="F58" i="3"/>
  <c r="G58" i="3"/>
  <c r="H58" i="3"/>
  <c r="I58" i="3"/>
  <c r="J58" i="3"/>
  <c r="K58" i="3"/>
  <c r="L58" i="3"/>
  <c r="M58" i="3"/>
  <c r="N58" i="3"/>
  <c r="D59" i="3"/>
  <c r="E59" i="3"/>
  <c r="F59" i="3"/>
  <c r="G59" i="3"/>
  <c r="H59" i="3"/>
  <c r="I59" i="3"/>
  <c r="J59" i="3"/>
  <c r="K59" i="3"/>
  <c r="L59" i="3"/>
  <c r="M59" i="3"/>
  <c r="N59" i="3"/>
  <c r="D50" i="3"/>
  <c r="E50" i="3"/>
  <c r="F50" i="3"/>
  <c r="G50" i="3"/>
  <c r="H50" i="3"/>
  <c r="I50" i="3"/>
  <c r="J50" i="3"/>
  <c r="K50" i="3"/>
  <c r="L50" i="3"/>
  <c r="M50" i="3"/>
  <c r="N50" i="3"/>
  <c r="E51" i="3"/>
  <c r="F51" i="3"/>
  <c r="G51" i="3"/>
  <c r="H51" i="3"/>
  <c r="I51" i="3"/>
  <c r="J51" i="3"/>
  <c r="K51" i="3"/>
  <c r="L51" i="3"/>
  <c r="M51" i="3"/>
  <c r="N51" i="3"/>
  <c r="D41" i="3"/>
  <c r="E41" i="3"/>
  <c r="F41" i="3"/>
  <c r="G41" i="3"/>
  <c r="H41" i="3"/>
  <c r="I41" i="3"/>
  <c r="J41" i="3"/>
  <c r="K41" i="3"/>
  <c r="L41" i="3"/>
  <c r="M41" i="3"/>
  <c r="N41" i="3"/>
  <c r="D31" i="3"/>
  <c r="E31" i="3"/>
  <c r="F31" i="3"/>
  <c r="G31" i="3"/>
  <c r="H31" i="3"/>
  <c r="I31" i="3"/>
  <c r="J31" i="3"/>
  <c r="K31" i="3"/>
  <c r="L31" i="3"/>
  <c r="M31" i="3"/>
  <c r="N31" i="3"/>
  <c r="D32" i="3"/>
  <c r="E32" i="3"/>
  <c r="F32" i="3"/>
  <c r="G32" i="3"/>
  <c r="H32" i="3"/>
  <c r="I32" i="3"/>
  <c r="J32" i="3"/>
  <c r="K32" i="3"/>
  <c r="L32" i="3"/>
  <c r="M32" i="3"/>
  <c r="N32" i="3"/>
  <c r="D33" i="3"/>
  <c r="E33" i="3"/>
  <c r="F33" i="3"/>
  <c r="G33" i="3"/>
  <c r="H33" i="3"/>
  <c r="I33" i="3"/>
  <c r="J33" i="3"/>
  <c r="K33" i="3"/>
  <c r="L33" i="3"/>
  <c r="M33" i="3"/>
  <c r="N33" i="3"/>
  <c r="D34" i="3"/>
  <c r="E34" i="3"/>
  <c r="F34" i="3"/>
  <c r="G34" i="3"/>
  <c r="H34" i="3"/>
  <c r="I34" i="3"/>
  <c r="J34" i="3"/>
  <c r="K34" i="3"/>
  <c r="L34" i="3"/>
  <c r="M34" i="3"/>
  <c r="N34" i="3"/>
  <c r="D35" i="3"/>
  <c r="E35" i="3"/>
  <c r="F35" i="3"/>
  <c r="G35" i="3"/>
  <c r="H35" i="3"/>
  <c r="I35" i="3"/>
  <c r="J35" i="3"/>
  <c r="K35" i="3"/>
  <c r="L35" i="3"/>
  <c r="M35" i="3"/>
  <c r="N35" i="3"/>
  <c r="D36" i="3"/>
  <c r="E36" i="3"/>
  <c r="F36" i="3"/>
  <c r="G36" i="3"/>
  <c r="H36" i="3"/>
  <c r="I36" i="3"/>
  <c r="J36" i="3"/>
  <c r="K36" i="3"/>
  <c r="L36" i="3"/>
  <c r="M36" i="3"/>
  <c r="N36" i="3"/>
  <c r="D37" i="3"/>
  <c r="E37" i="3"/>
  <c r="F37" i="3"/>
  <c r="G37" i="3"/>
  <c r="H37" i="3"/>
  <c r="I37" i="3"/>
  <c r="J37" i="3"/>
  <c r="K37" i="3"/>
  <c r="L37" i="3"/>
  <c r="M37" i="3"/>
  <c r="N3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D21" i="3"/>
  <c r="E21" i="3"/>
  <c r="F21" i="3"/>
  <c r="G21" i="3"/>
  <c r="H21" i="3"/>
  <c r="I21" i="3"/>
  <c r="J21" i="3"/>
  <c r="K21" i="3"/>
  <c r="L21" i="3"/>
  <c r="M21" i="3"/>
  <c r="N21" i="3"/>
  <c r="D22" i="3"/>
  <c r="E22" i="3"/>
  <c r="F22" i="3"/>
  <c r="G22" i="3"/>
  <c r="H22" i="3"/>
  <c r="I22" i="3"/>
  <c r="J22" i="3"/>
  <c r="K22" i="3"/>
  <c r="L22" i="3"/>
  <c r="M22" i="3"/>
  <c r="N22" i="3"/>
  <c r="D23" i="3"/>
  <c r="E23" i="3"/>
  <c r="F23" i="3"/>
  <c r="G23" i="3"/>
  <c r="H23" i="3"/>
  <c r="I23" i="3"/>
  <c r="J23" i="3"/>
  <c r="K23" i="3"/>
  <c r="L23" i="3"/>
  <c r="M23" i="3"/>
  <c r="N23" i="3"/>
  <c r="D24" i="3"/>
  <c r="E24" i="3"/>
  <c r="F24" i="3"/>
  <c r="G24" i="3"/>
  <c r="H24" i="3"/>
  <c r="I24" i="3"/>
  <c r="J24" i="3"/>
  <c r="K24" i="3"/>
  <c r="L24" i="3"/>
  <c r="M24" i="3"/>
  <c r="N24" i="3"/>
  <c r="D25" i="3"/>
  <c r="E25" i="3"/>
  <c r="F25" i="3"/>
  <c r="G25" i="3"/>
  <c r="H25" i="3"/>
  <c r="I25" i="3"/>
  <c r="J25" i="3"/>
  <c r="K25" i="3"/>
  <c r="L25" i="3"/>
  <c r="M25" i="3"/>
  <c r="N25" i="3"/>
  <c r="D26" i="3"/>
  <c r="E26" i="3"/>
  <c r="F26" i="3"/>
  <c r="G26" i="3"/>
  <c r="H26" i="3"/>
  <c r="I26" i="3"/>
  <c r="J26" i="3"/>
  <c r="K26" i="3"/>
  <c r="L26" i="3"/>
  <c r="M26" i="3"/>
  <c r="N26" i="3"/>
  <c r="D27" i="3"/>
  <c r="E27" i="3"/>
  <c r="F27" i="3"/>
  <c r="G27" i="3"/>
  <c r="H27" i="3"/>
  <c r="I27" i="3"/>
  <c r="J27" i="3"/>
  <c r="K27" i="3"/>
  <c r="L27" i="3"/>
  <c r="M27" i="3"/>
  <c r="N27" i="3"/>
  <c r="E6" i="3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I52" i="3" l="1"/>
  <c r="F60" i="3"/>
  <c r="N38" i="3"/>
  <c r="K52" i="3"/>
  <c r="J52" i="3"/>
  <c r="H52" i="3"/>
  <c r="D38" i="3"/>
  <c r="G52" i="3"/>
  <c r="I60" i="3"/>
  <c r="I63" i="3" s="1"/>
  <c r="J73" i="3" s="1"/>
  <c r="H60" i="3"/>
  <c r="G60" i="3"/>
  <c r="N28" i="3"/>
  <c r="F52" i="3"/>
  <c r="E52" i="3"/>
  <c r="E28" i="3"/>
  <c r="D60" i="3"/>
  <c r="G28" i="3"/>
  <c r="M28" i="3"/>
  <c r="M38" i="3"/>
  <c r="N52" i="3"/>
  <c r="M52" i="3"/>
  <c r="N60" i="3"/>
  <c r="M60" i="3"/>
  <c r="H38" i="3"/>
  <c r="L28" i="3"/>
  <c r="L38" i="3"/>
  <c r="L52" i="3"/>
  <c r="L60" i="3"/>
  <c r="K28" i="3"/>
  <c r="E60" i="3"/>
  <c r="E38" i="3"/>
  <c r="K38" i="3"/>
  <c r="K60" i="3"/>
  <c r="G38" i="3"/>
  <c r="F38" i="3"/>
  <c r="J28" i="3"/>
  <c r="J38" i="3"/>
  <c r="J60" i="3"/>
  <c r="H28" i="3"/>
  <c r="I38" i="3"/>
  <c r="D28" i="3"/>
  <c r="F28" i="3"/>
  <c r="I28" i="3"/>
  <c r="J63" i="3" l="1"/>
  <c r="J10" i="3" s="1"/>
  <c r="K63" i="3"/>
  <c r="L73" i="3" s="1"/>
  <c r="N63" i="3"/>
  <c r="O73" i="3" s="1"/>
  <c r="F63" i="3"/>
  <c r="F10" i="3" s="1"/>
  <c r="M63" i="3"/>
  <c r="M10" i="3" s="1"/>
  <c r="H63" i="3"/>
  <c r="I73" i="3" s="1"/>
  <c r="E63" i="3"/>
  <c r="E10" i="3" s="1"/>
  <c r="G63" i="3"/>
  <c r="H73" i="3" s="1"/>
  <c r="L63" i="3"/>
  <c r="M73" i="3" s="1"/>
  <c r="D73" i="3"/>
  <c r="I10" i="3"/>
  <c r="G73" i="3"/>
  <c r="K73" i="3" l="1"/>
  <c r="K10" i="3"/>
  <c r="N10" i="3"/>
  <c r="G10" i="3"/>
  <c r="H10" i="3"/>
  <c r="N73" i="3"/>
  <c r="L10" i="3"/>
  <c r="F73" i="3"/>
  <c r="N60" i="2"/>
  <c r="M60" i="2"/>
  <c r="L60" i="2"/>
  <c r="K60" i="2"/>
  <c r="J60" i="2"/>
  <c r="I60" i="2"/>
  <c r="H60" i="2"/>
  <c r="G60" i="2"/>
  <c r="F60" i="2"/>
  <c r="E60" i="2"/>
  <c r="D60" i="2"/>
  <c r="N52" i="2"/>
  <c r="M52" i="2"/>
  <c r="L52" i="2"/>
  <c r="K52" i="2"/>
  <c r="K63" i="2" s="1"/>
  <c r="J52" i="2"/>
  <c r="I52" i="2"/>
  <c r="H52" i="2"/>
  <c r="G52" i="2"/>
  <c r="F52" i="2"/>
  <c r="E52" i="2"/>
  <c r="D51" i="2"/>
  <c r="D52" i="2" s="1"/>
  <c r="N38" i="2"/>
  <c r="M38" i="2"/>
  <c r="L38" i="2"/>
  <c r="K38" i="2"/>
  <c r="J38" i="2"/>
  <c r="I38" i="2"/>
  <c r="H38" i="2"/>
  <c r="G38" i="2"/>
  <c r="F38" i="2"/>
  <c r="E38" i="2"/>
  <c r="D38" i="2"/>
  <c r="N28" i="2"/>
  <c r="M28" i="2"/>
  <c r="L28" i="2"/>
  <c r="K28" i="2"/>
  <c r="J28" i="2"/>
  <c r="I28" i="2"/>
  <c r="H28" i="2"/>
  <c r="G28" i="2"/>
  <c r="F28" i="2"/>
  <c r="E28" i="2"/>
  <c r="D28" i="2"/>
  <c r="E6" i="2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E63" i="2" l="1"/>
  <c r="E10" i="2" s="1"/>
  <c r="F63" i="2"/>
  <c r="F10" i="2" s="1"/>
  <c r="G63" i="2"/>
  <c r="G81" i="2" s="1"/>
  <c r="H63" i="2"/>
  <c r="H81" i="2" s="1"/>
  <c r="I63" i="2"/>
  <c r="I81" i="2" s="1"/>
  <c r="D63" i="2"/>
  <c r="E71" i="2" s="1"/>
  <c r="E73" i="2" s="1"/>
  <c r="L63" i="2"/>
  <c r="M71" i="2" s="1"/>
  <c r="M73" i="2" s="1"/>
  <c r="J63" i="2"/>
  <c r="J68" i="2" s="1"/>
  <c r="N63" i="2"/>
  <c r="O71" i="2" s="1"/>
  <c r="O73" i="2" s="1"/>
  <c r="M63" i="2"/>
  <c r="M81" i="2" s="1"/>
  <c r="H71" i="2"/>
  <c r="H73" i="2" s="1"/>
  <c r="G71" i="2"/>
  <c r="G73" i="2" s="1"/>
  <c r="F81" i="2"/>
  <c r="F68" i="2"/>
  <c r="H68" i="2"/>
  <c r="I68" i="2"/>
  <c r="L71" i="2"/>
  <c r="L73" i="2" s="1"/>
  <c r="K68" i="2"/>
  <c r="K81" i="2"/>
  <c r="K10" i="2"/>
  <c r="D73" i="2"/>
  <c r="D77" i="2" s="1"/>
  <c r="N71" i="2"/>
  <c r="N73" i="2" s="1"/>
  <c r="J71" i="2" l="1"/>
  <c r="J73" i="2" s="1"/>
  <c r="E81" i="2"/>
  <c r="I10" i="2"/>
  <c r="E68" i="2"/>
  <c r="F73" i="2"/>
  <c r="L10" i="2"/>
  <c r="G68" i="2"/>
  <c r="L81" i="2"/>
  <c r="J81" i="2"/>
  <c r="J83" i="2" s="1"/>
  <c r="J85" i="2" s="1"/>
  <c r="L68" i="2"/>
  <c r="D10" i="2"/>
  <c r="I71" i="2"/>
  <c r="I73" i="2" s="1"/>
  <c r="D68" i="2"/>
  <c r="H10" i="2"/>
  <c r="D81" i="2"/>
  <c r="D83" i="2" s="1"/>
  <c r="D85" i="2" s="1"/>
  <c r="J10" i="2"/>
  <c r="K71" i="2"/>
  <c r="K73" i="2" s="1"/>
  <c r="G10" i="2"/>
  <c r="N68" i="2"/>
  <c r="M10" i="2"/>
  <c r="M68" i="2"/>
  <c r="N10" i="2"/>
  <c r="N81" i="2"/>
  <c r="N83" i="2" s="1"/>
  <c r="N85" i="2" s="1"/>
  <c r="K83" i="2"/>
  <c r="K85" i="2" s="1"/>
  <c r="M83" i="2"/>
  <c r="M85" i="2" s="1"/>
  <c r="H83" i="2"/>
  <c r="H85" i="2"/>
  <c r="G83" i="2"/>
  <c r="G85" i="2" s="1"/>
  <c r="F83" i="2"/>
  <c r="F85" i="2"/>
  <c r="E83" i="2"/>
  <c r="E85" i="2" s="1"/>
  <c r="L83" i="2"/>
  <c r="L85" i="2" s="1"/>
  <c r="I83" i="2"/>
  <c r="I85" i="2" s="1"/>
  <c r="D69" i="2" l="1"/>
  <c r="D79" i="2" l="1"/>
  <c r="D87" i="2" s="1"/>
  <c r="D43" i="2" s="1"/>
  <c r="D45" i="2" s="1"/>
  <c r="D9" i="2" s="1"/>
  <c r="D12" i="2" s="1"/>
  <c r="D14" i="2" s="1"/>
  <c r="E67" i="2" s="1"/>
  <c r="D16" i="6"/>
  <c r="E77" i="2" l="1"/>
  <c r="E69" i="2"/>
  <c r="E16" i="6" s="1"/>
  <c r="E79" i="2" l="1"/>
  <c r="E87" i="2" s="1"/>
  <c r="E43" i="2" s="1"/>
  <c r="E45" i="2" s="1"/>
  <c r="E9" i="2" s="1"/>
  <c r="E12" i="2" s="1"/>
  <c r="E14" i="2" s="1"/>
  <c r="F67" i="2" s="1"/>
  <c r="F77" i="2" s="1"/>
  <c r="F69" i="2" l="1"/>
  <c r="F79" i="2"/>
  <c r="F87" i="2" s="1"/>
  <c r="F43" i="2" s="1"/>
  <c r="F45" i="2" s="1"/>
  <c r="F9" i="2" s="1"/>
  <c r="F12" i="2" s="1"/>
  <c r="F14" i="2" s="1"/>
  <c r="G67" i="2" s="1"/>
  <c r="F16" i="6"/>
  <c r="G77" i="2" l="1"/>
  <c r="G69" i="2"/>
  <c r="G79" i="2" l="1"/>
  <c r="G87" i="2" s="1"/>
  <c r="G43" i="2" s="1"/>
  <c r="G45" i="2" s="1"/>
  <c r="G9" i="2" s="1"/>
  <c r="G12" i="2" s="1"/>
  <c r="G14" i="2" s="1"/>
  <c r="H67" i="2" s="1"/>
  <c r="G16" i="6"/>
  <c r="H69" i="2" l="1"/>
  <c r="H16" i="6" s="1"/>
  <c r="H77" i="2"/>
  <c r="H79" i="2" l="1"/>
  <c r="H87" i="2" s="1"/>
  <c r="H43" i="2" s="1"/>
  <c r="H45" i="2" s="1"/>
  <c r="H9" i="2" s="1"/>
  <c r="H12" i="2" s="1"/>
  <c r="H14" i="2" s="1"/>
  <c r="I67" i="2" l="1"/>
  <c r="I77" i="2" l="1"/>
  <c r="I69" i="2"/>
  <c r="I79" i="2" l="1"/>
  <c r="I87" i="2" s="1"/>
  <c r="I43" i="2" s="1"/>
  <c r="I45" i="2" s="1"/>
  <c r="I9" i="2" s="1"/>
  <c r="I12" i="2" s="1"/>
  <c r="I14" i="2" s="1"/>
  <c r="J67" i="2" s="1"/>
  <c r="I16" i="6"/>
  <c r="J77" i="2" l="1"/>
  <c r="J69" i="2"/>
  <c r="J79" i="2" l="1"/>
  <c r="J87" i="2" s="1"/>
  <c r="J43" i="2" s="1"/>
  <c r="J45" i="2" s="1"/>
  <c r="J9" i="2" s="1"/>
  <c r="J12" i="2" s="1"/>
  <c r="J14" i="2" s="1"/>
  <c r="K67" i="2" s="1"/>
  <c r="J16" i="6"/>
  <c r="K69" i="2" l="1"/>
  <c r="K16" i="6" s="1"/>
  <c r="K77" i="2"/>
  <c r="K79" i="2" l="1"/>
  <c r="K87" i="2" s="1"/>
  <c r="K43" i="2" s="1"/>
  <c r="K45" i="2" s="1"/>
  <c r="K9" i="2" s="1"/>
  <c r="K12" i="2" s="1"/>
  <c r="K14" i="2" s="1"/>
  <c r="L67" i="2" l="1"/>
  <c r="L69" i="2" l="1"/>
  <c r="L16" i="6" s="1"/>
  <c r="L77" i="2"/>
  <c r="L79" i="2" l="1"/>
  <c r="L87" i="2" s="1"/>
  <c r="L43" i="2" s="1"/>
  <c r="L45" i="2" s="1"/>
  <c r="L9" i="2" s="1"/>
  <c r="L12" i="2" s="1"/>
  <c r="L14" i="2" s="1"/>
  <c r="M67" i="2" l="1"/>
  <c r="M69" i="2" l="1"/>
  <c r="M16" i="6" s="1"/>
  <c r="M77" i="2"/>
  <c r="M79" i="2" l="1"/>
  <c r="M87" i="2" s="1"/>
  <c r="M43" i="2" s="1"/>
  <c r="M45" i="2" s="1"/>
  <c r="M9" i="2" s="1"/>
  <c r="M12" i="2" s="1"/>
  <c r="M14" i="2" s="1"/>
  <c r="N67" i="2" l="1"/>
  <c r="N77" i="2" s="1"/>
  <c r="N69" i="2" l="1"/>
  <c r="N16" i="6" s="1"/>
  <c r="N79" i="2" l="1"/>
  <c r="N87" i="2" s="1"/>
  <c r="N43" i="2" l="1"/>
  <c r="N45" i="2" s="1"/>
  <c r="N9" i="2" s="1"/>
  <c r="N12" i="2" s="1"/>
  <c r="N14" i="2" s="1"/>
  <c r="O67" i="2" l="1"/>
  <c r="D67" i="3"/>
  <c r="D51" i="1"/>
  <c r="D51" i="3" s="1"/>
  <c r="D52" i="3" s="1"/>
  <c r="D63" i="3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O69" i="2" l="1"/>
  <c r="O16" i="6" s="1"/>
  <c r="O77" i="2"/>
  <c r="D10" i="3"/>
  <c r="E73" i="3"/>
  <c r="E60" i="1"/>
  <c r="E52" i="1"/>
  <c r="E38" i="1"/>
  <c r="E28" i="1"/>
  <c r="F60" i="1"/>
  <c r="F52" i="1"/>
  <c r="F38" i="1"/>
  <c r="F28" i="1"/>
  <c r="D73" i="1"/>
  <c r="D77" i="1" s="1"/>
  <c r="D77" i="3" s="1"/>
  <c r="D60" i="1"/>
  <c r="D52" i="1"/>
  <c r="D38" i="1"/>
  <c r="D28" i="1"/>
  <c r="G60" i="1"/>
  <c r="G52" i="1"/>
  <c r="G38" i="1"/>
  <c r="G28" i="1"/>
  <c r="H60" i="1"/>
  <c r="H52" i="1"/>
  <c r="H38" i="1"/>
  <c r="H28" i="1"/>
  <c r="I60" i="1"/>
  <c r="I52" i="1"/>
  <c r="I38" i="1"/>
  <c r="I28" i="1"/>
  <c r="J60" i="1"/>
  <c r="J52" i="1"/>
  <c r="J38" i="1"/>
  <c r="J28" i="1"/>
  <c r="K60" i="1"/>
  <c r="K52" i="1"/>
  <c r="K38" i="1"/>
  <c r="K28" i="1"/>
  <c r="L60" i="1"/>
  <c r="L52" i="1"/>
  <c r="L38" i="1"/>
  <c r="L28" i="1"/>
  <c r="M60" i="1"/>
  <c r="M52" i="1"/>
  <c r="M38" i="1"/>
  <c r="M28" i="1"/>
  <c r="N60" i="1"/>
  <c r="N52" i="1"/>
  <c r="N38" i="1"/>
  <c r="N28" i="1"/>
  <c r="O79" i="2" l="1"/>
  <c r="O87" i="2" s="1"/>
  <c r="O43" i="2" s="1"/>
  <c r="O45" i="2" s="1"/>
  <c r="L63" i="1"/>
  <c r="L68" i="3" s="1"/>
  <c r="J63" i="1"/>
  <c r="F63" i="1"/>
  <c r="I63" i="1"/>
  <c r="E63" i="1"/>
  <c r="D63" i="1"/>
  <c r="G63" i="1"/>
  <c r="H63" i="1"/>
  <c r="K63" i="1"/>
  <c r="M63" i="1"/>
  <c r="N63" i="1"/>
  <c r="L10" i="1" l="1"/>
  <c r="J10" i="1"/>
  <c r="K73" i="1"/>
  <c r="F81" i="1"/>
  <c r="F81" i="3" s="1"/>
  <c r="E81" i="1"/>
  <c r="E81" i="3" s="1"/>
  <c r="L81" i="1"/>
  <c r="L81" i="3" s="1"/>
  <c r="M73" i="1"/>
  <c r="N68" i="3"/>
  <c r="O73" i="1"/>
  <c r="E68" i="3"/>
  <c r="F73" i="1"/>
  <c r="E10" i="1"/>
  <c r="J81" i="1"/>
  <c r="J68" i="3"/>
  <c r="M81" i="1"/>
  <c r="N73" i="1"/>
  <c r="M68" i="3"/>
  <c r="K81" i="1"/>
  <c r="L73" i="1"/>
  <c r="K68" i="3"/>
  <c r="D81" i="1"/>
  <c r="E73" i="1"/>
  <c r="I81" i="1"/>
  <c r="I81" i="3" s="1"/>
  <c r="J73" i="1"/>
  <c r="I68" i="3"/>
  <c r="F68" i="3"/>
  <c r="G73" i="1"/>
  <c r="I10" i="1"/>
  <c r="I73" i="1"/>
  <c r="H68" i="3"/>
  <c r="G81" i="1"/>
  <c r="G68" i="3"/>
  <c r="H73" i="1"/>
  <c r="F10" i="1"/>
  <c r="D10" i="1"/>
  <c r="G10" i="1"/>
  <c r="H81" i="1"/>
  <c r="H10" i="1"/>
  <c r="K10" i="1"/>
  <c r="M10" i="1"/>
  <c r="N10" i="1"/>
  <c r="N81" i="1"/>
  <c r="F83" i="1" l="1"/>
  <c r="F85" i="1" s="1"/>
  <c r="F85" i="3" s="1"/>
  <c r="L83" i="1"/>
  <c r="L83" i="3" s="1"/>
  <c r="E83" i="1"/>
  <c r="E85" i="1" s="1"/>
  <c r="E85" i="3" s="1"/>
  <c r="J83" i="1"/>
  <c r="J81" i="3"/>
  <c r="H83" i="1"/>
  <c r="H81" i="3"/>
  <c r="M83" i="1"/>
  <c r="M81" i="3"/>
  <c r="D83" i="1"/>
  <c r="D81" i="3"/>
  <c r="E83" i="3"/>
  <c r="I83" i="1"/>
  <c r="G83" i="1"/>
  <c r="G81" i="3"/>
  <c r="N83" i="1"/>
  <c r="N81" i="3"/>
  <c r="K83" i="1"/>
  <c r="K81" i="3"/>
  <c r="D69" i="1"/>
  <c r="D15" i="6" s="1"/>
  <c r="D18" i="6" s="1"/>
  <c r="D68" i="3"/>
  <c r="F83" i="3" l="1"/>
  <c r="L85" i="1"/>
  <c r="L85" i="3" s="1"/>
  <c r="K85" i="1"/>
  <c r="K85" i="3" s="1"/>
  <c r="K83" i="3"/>
  <c r="H85" i="1"/>
  <c r="H85" i="3" s="1"/>
  <c r="H83" i="3"/>
  <c r="D85" i="1"/>
  <c r="D85" i="3" s="1"/>
  <c r="D83" i="3"/>
  <c r="N85" i="1"/>
  <c r="N85" i="3" s="1"/>
  <c r="N83" i="3"/>
  <c r="M85" i="1"/>
  <c r="M85" i="3" s="1"/>
  <c r="M83" i="3"/>
  <c r="G85" i="1"/>
  <c r="G85" i="3" s="1"/>
  <c r="G83" i="3"/>
  <c r="I85" i="1"/>
  <c r="I85" i="3" s="1"/>
  <c r="I83" i="3"/>
  <c r="J85" i="1"/>
  <c r="J85" i="3" s="1"/>
  <c r="J83" i="3"/>
  <c r="D69" i="3"/>
  <c r="D43" i="1" l="1"/>
  <c r="D45" i="1" s="1"/>
  <c r="D9" i="1" s="1"/>
  <c r="D12" i="1" s="1"/>
  <c r="D14" i="1" s="1"/>
  <c r="D79" i="3"/>
  <c r="D87" i="3" l="1"/>
  <c r="D43" i="3" s="1"/>
  <c r="D45" i="3" s="1"/>
  <c r="D9" i="3" s="1"/>
  <c r="D12" i="3" s="1"/>
  <c r="E67" i="1"/>
  <c r="E69" i="1" s="1"/>
  <c r="E15" i="6" s="1"/>
  <c r="D14" i="3"/>
  <c r="E10" i="6"/>
  <c r="E12" i="6" s="1"/>
  <c r="E67" i="3"/>
  <c r="E77" i="1"/>
  <c r="E77" i="3" s="1"/>
  <c r="E79" i="1" l="1"/>
  <c r="E87" i="1" s="1"/>
  <c r="E69" i="3"/>
  <c r="E43" i="1" l="1"/>
  <c r="E45" i="1" s="1"/>
  <c r="E9" i="1" s="1"/>
  <c r="E12" i="1" s="1"/>
  <c r="E14" i="1" s="1"/>
  <c r="E87" i="3"/>
  <c r="E43" i="3" s="1"/>
  <c r="E45" i="3" s="1"/>
  <c r="E9" i="3" s="1"/>
  <c r="E12" i="3" s="1"/>
  <c r="E79" i="3"/>
  <c r="F67" i="1" l="1"/>
  <c r="F77" i="1" s="1"/>
  <c r="F77" i="3" s="1"/>
  <c r="E14" i="3"/>
  <c r="F10" i="6"/>
  <c r="F12" i="6" s="1"/>
  <c r="F67" i="3"/>
  <c r="F69" i="1"/>
  <c r="F15" i="6" s="1"/>
  <c r="F18" i="6" s="1"/>
  <c r="F79" i="1" l="1"/>
  <c r="F87" i="1" s="1"/>
  <c r="F69" i="3"/>
  <c r="F79" i="3" l="1"/>
  <c r="F43" i="1"/>
  <c r="F45" i="1" s="1"/>
  <c r="F9" i="1" s="1"/>
  <c r="F12" i="1" s="1"/>
  <c r="F14" i="1" s="1"/>
  <c r="F87" i="3"/>
  <c r="F43" i="3" s="1"/>
  <c r="F45" i="3" s="1"/>
  <c r="F9" i="3" s="1"/>
  <c r="F12" i="3" s="1"/>
  <c r="G67" i="1" l="1"/>
  <c r="G77" i="1" s="1"/>
  <c r="G77" i="3" s="1"/>
  <c r="F14" i="3"/>
  <c r="G10" i="6"/>
  <c r="G12" i="6" s="1"/>
  <c r="G69" i="1" l="1"/>
  <c r="G15" i="6" s="1"/>
  <c r="G18" i="6" s="1"/>
  <c r="G67" i="3"/>
  <c r="G69" i="3" l="1"/>
  <c r="G79" i="3" s="1"/>
  <c r="G79" i="1"/>
  <c r="G87" i="1" s="1"/>
  <c r="G43" i="1" s="1"/>
  <c r="G45" i="1" s="1"/>
  <c r="G9" i="1" s="1"/>
  <c r="G12" i="1" s="1"/>
  <c r="G14" i="1" s="1"/>
  <c r="G87" i="3" l="1"/>
  <c r="G43" i="3" s="1"/>
  <c r="G45" i="3" s="1"/>
  <c r="G9" i="3" s="1"/>
  <c r="G12" i="3" s="1"/>
  <c r="H67" i="1"/>
  <c r="H67" i="3" s="1"/>
  <c r="G14" i="3"/>
  <c r="H10" i="6"/>
  <c r="H12" i="6" s="1"/>
  <c r="H77" i="1" l="1"/>
  <c r="H77" i="3" s="1"/>
  <c r="H69" i="1"/>
  <c r="H15" i="6" s="1"/>
  <c r="H18" i="6" s="1"/>
  <c r="H69" i="3" l="1"/>
  <c r="H79" i="3" s="1"/>
  <c r="H79" i="1"/>
  <c r="H87" i="1" s="1"/>
  <c r="H43" i="1" s="1"/>
  <c r="H45" i="1" s="1"/>
  <c r="H9" i="1" s="1"/>
  <c r="H12" i="1" s="1"/>
  <c r="H14" i="1" s="1"/>
  <c r="H87" i="3" l="1"/>
  <c r="H43" i="3" s="1"/>
  <c r="H45" i="3" s="1"/>
  <c r="H9" i="3" s="1"/>
  <c r="H12" i="3" s="1"/>
  <c r="I67" i="1"/>
  <c r="I67" i="3" s="1"/>
  <c r="H14" i="3"/>
  <c r="I10" i="6"/>
  <c r="I12" i="6" s="1"/>
  <c r="I69" i="1" l="1"/>
  <c r="I15" i="6" s="1"/>
  <c r="I18" i="6" s="1"/>
  <c r="I77" i="1"/>
  <c r="I77" i="3" s="1"/>
  <c r="I69" i="3" l="1"/>
  <c r="I79" i="3" s="1"/>
  <c r="I79" i="1"/>
  <c r="I87" i="1" s="1"/>
  <c r="I43" i="1" s="1"/>
  <c r="I45" i="1" s="1"/>
  <c r="I9" i="1" s="1"/>
  <c r="I12" i="1" s="1"/>
  <c r="I14" i="1" s="1"/>
  <c r="J67" i="1" l="1"/>
  <c r="J77" i="1" s="1"/>
  <c r="J77" i="3" s="1"/>
  <c r="I87" i="3"/>
  <c r="I43" i="3" s="1"/>
  <c r="I45" i="3" s="1"/>
  <c r="I9" i="3" s="1"/>
  <c r="I12" i="3" s="1"/>
  <c r="I14" i="3"/>
  <c r="J10" i="6"/>
  <c r="J12" i="6" s="1"/>
  <c r="J67" i="3"/>
  <c r="J69" i="1"/>
  <c r="J15" i="6" s="1"/>
  <c r="J18" i="6" s="1"/>
  <c r="J69" i="3" l="1"/>
  <c r="J79" i="1"/>
  <c r="J87" i="1" s="1"/>
  <c r="J79" i="3" l="1"/>
  <c r="J43" i="1"/>
  <c r="J45" i="1" s="1"/>
  <c r="J9" i="1" s="1"/>
  <c r="J12" i="1" s="1"/>
  <c r="J14" i="1" s="1"/>
  <c r="J87" i="3"/>
  <c r="J43" i="3" s="1"/>
  <c r="J45" i="3" s="1"/>
  <c r="J9" i="3" s="1"/>
  <c r="J12" i="3" s="1"/>
  <c r="K67" i="1" l="1"/>
  <c r="K77" i="1" s="1"/>
  <c r="K77" i="3" s="1"/>
  <c r="J14" i="3"/>
  <c r="K10" i="6"/>
  <c r="K12" i="6" s="1"/>
  <c r="K67" i="3" l="1"/>
  <c r="K69" i="1"/>
  <c r="K15" i="6" s="1"/>
  <c r="K18" i="6" s="1"/>
  <c r="K69" i="3" l="1"/>
  <c r="K79" i="1"/>
  <c r="K87" i="1" s="1"/>
  <c r="K43" i="1" s="1"/>
  <c r="K45" i="1" s="1"/>
  <c r="K9" i="1" s="1"/>
  <c r="K12" i="1" s="1"/>
  <c r="K14" i="1" s="1"/>
  <c r="K87" i="3" l="1"/>
  <c r="K43" i="3" s="1"/>
  <c r="K45" i="3" s="1"/>
  <c r="K9" i="3" s="1"/>
  <c r="K12" i="3" s="1"/>
  <c r="K79" i="3"/>
  <c r="L67" i="1"/>
  <c r="L67" i="3" s="1"/>
  <c r="K14" i="3"/>
  <c r="L10" i="6"/>
  <c r="L12" i="6" s="1"/>
  <c r="L69" i="1"/>
  <c r="L15" i="6" s="1"/>
  <c r="L18" i="6" s="1"/>
  <c r="L77" i="1"/>
  <c r="L77" i="3" s="1"/>
  <c r="L79" i="1" l="1"/>
  <c r="L87" i="1" s="1"/>
  <c r="L69" i="3"/>
  <c r="L43" i="1" l="1"/>
  <c r="L45" i="1" s="1"/>
  <c r="L9" i="1" s="1"/>
  <c r="L12" i="1" s="1"/>
  <c r="L14" i="1" s="1"/>
  <c r="L87" i="3"/>
  <c r="L43" i="3" s="1"/>
  <c r="L45" i="3" s="1"/>
  <c r="L9" i="3" s="1"/>
  <c r="L12" i="3" s="1"/>
  <c r="L79" i="3"/>
  <c r="M67" i="1" l="1"/>
  <c r="M77" i="1" s="1"/>
  <c r="M77" i="3" s="1"/>
  <c r="L14" i="3"/>
  <c r="M10" i="6"/>
  <c r="M12" i="6" s="1"/>
  <c r="M69" i="1" l="1"/>
  <c r="M15" i="6" s="1"/>
  <c r="M18" i="6" s="1"/>
  <c r="M67" i="3"/>
  <c r="M79" i="1" l="1"/>
  <c r="M87" i="1" s="1"/>
  <c r="M43" i="1" s="1"/>
  <c r="M45" i="1" s="1"/>
  <c r="M9" i="1" s="1"/>
  <c r="M12" i="1" s="1"/>
  <c r="M14" i="1" s="1"/>
  <c r="N67" i="1" s="1"/>
  <c r="M69" i="3"/>
  <c r="M79" i="3" s="1"/>
  <c r="M87" i="3" l="1"/>
  <c r="M43" i="3" s="1"/>
  <c r="M45" i="3" s="1"/>
  <c r="M9" i="3" s="1"/>
  <c r="M12" i="3" s="1"/>
  <c r="M14" i="3"/>
  <c r="N10" i="6"/>
  <c r="N12" i="6" s="1"/>
  <c r="N67" i="3"/>
  <c r="N77" i="1"/>
  <c r="N77" i="3" s="1"/>
  <c r="N69" i="1"/>
  <c r="N15" i="6" s="1"/>
  <c r="N18" i="6" s="1"/>
  <c r="N79" i="1" l="1"/>
  <c r="N87" i="1" s="1"/>
  <c r="N69" i="3"/>
  <c r="N79" i="3" l="1"/>
  <c r="N43" i="1"/>
  <c r="N45" i="1" s="1"/>
  <c r="N9" i="1" s="1"/>
  <c r="N87" i="3"/>
  <c r="N43" i="3" s="1"/>
  <c r="N45" i="3" s="1"/>
  <c r="N9" i="3" s="1"/>
  <c r="N12" i="3" s="1"/>
  <c r="N12" i="1" l="1"/>
  <c r="N14" i="1" s="1"/>
  <c r="O10" i="6" l="1"/>
  <c r="O12" i="6" s="1"/>
  <c r="O67" i="1"/>
  <c r="O67" i="3" s="1"/>
  <c r="N14" i="3"/>
  <c r="O77" i="1"/>
  <c r="O77" i="3" s="1"/>
  <c r="O69" i="1" l="1"/>
  <c r="O15" i="6" s="1"/>
  <c r="O18" i="6" s="1"/>
  <c r="O79" i="1" l="1"/>
  <c r="O87" i="1" s="1"/>
  <c r="O87" i="3" s="1"/>
  <c r="O43" i="3" s="1"/>
  <c r="O45" i="3" s="1"/>
  <c r="O9" i="3" s="1"/>
  <c r="O12" i="3" s="1"/>
  <c r="O69" i="3"/>
  <c r="O45" i="1"/>
  <c r="O9" i="1" s="1"/>
  <c r="O12" i="1" s="1"/>
  <c r="O14" i="1" s="1"/>
  <c r="O79" i="3"/>
  <c r="O14" i="3" l="1"/>
  <c r="P10" i="6"/>
  <c r="P12" i="6" s="1"/>
  <c r="P67" i="1"/>
  <c r="P67" i="3" l="1"/>
  <c r="P77" i="1"/>
  <c r="P77" i="3" s="1"/>
  <c r="P69" i="1"/>
  <c r="P79" i="1" l="1"/>
  <c r="P87" i="1" s="1"/>
  <c r="P69" i="3"/>
  <c r="P15" i="6"/>
  <c r="P18" i="6" s="1"/>
  <c r="P79" i="3" l="1"/>
  <c r="P45" i="1"/>
  <c r="P9" i="1" s="1"/>
  <c r="P12" i="1" s="1"/>
  <c r="P14" i="1" s="1"/>
  <c r="P87" i="3"/>
  <c r="P43" i="3" s="1"/>
  <c r="P45" i="3" s="1"/>
  <c r="P9" i="3" s="1"/>
  <c r="P12" i="3" s="1"/>
  <c r="Q10" i="6" l="1"/>
  <c r="Q12" i="6" s="1"/>
  <c r="P14" i="3"/>
  <c r="Q67" i="1"/>
  <c r="Q67" i="3" l="1"/>
  <c r="Q77" i="1"/>
  <c r="Q77" i="3" s="1"/>
  <c r="Q69" i="1"/>
  <c r="Q69" i="3" l="1"/>
  <c r="Q15" i="6"/>
  <c r="Q18" i="6" s="1"/>
  <c r="Q79" i="1"/>
  <c r="Q87" i="1" s="1"/>
  <c r="Q87" i="3" l="1"/>
  <c r="Q43" i="3" s="1"/>
  <c r="Q45" i="3" s="1"/>
  <c r="Q9" i="3" s="1"/>
  <c r="Q12" i="3" s="1"/>
  <c r="Q43" i="1"/>
  <c r="Q45" i="1" s="1"/>
  <c r="Q9" i="1" s="1"/>
  <c r="Q12" i="1" s="1"/>
  <c r="Q14" i="1" s="1"/>
  <c r="Q79" i="3"/>
  <c r="R10" i="6" l="1"/>
  <c r="R12" i="6" s="1"/>
  <c r="R67" i="1"/>
  <c r="Q14" i="3"/>
  <c r="R67" i="3" l="1"/>
  <c r="R69" i="1"/>
  <c r="R77" i="1"/>
  <c r="R77" i="3" s="1"/>
  <c r="R79" i="1" l="1"/>
  <c r="R87" i="1" s="1"/>
  <c r="R69" i="3"/>
  <c r="R15" i="6"/>
  <c r="R18" i="6" s="1"/>
  <c r="R79" i="3" l="1"/>
  <c r="R87" i="3"/>
  <c r="R43" i="3" s="1"/>
  <c r="R45" i="3" s="1"/>
  <c r="R9" i="3" s="1"/>
  <c r="R12" i="3" s="1"/>
  <c r="R43" i="1"/>
  <c r="R45" i="1" s="1"/>
  <c r="R9" i="1" s="1"/>
  <c r="R12" i="1" s="1"/>
  <c r="R14" i="1" s="1"/>
  <c r="S10" i="6" l="1"/>
  <c r="S12" i="6" s="1"/>
  <c r="S67" i="1"/>
  <c r="R14" i="3"/>
  <c r="S67" i="3" l="1"/>
  <c r="S69" i="1"/>
  <c r="S77" i="1"/>
  <c r="S77" i="3" s="1"/>
  <c r="S79" i="1" l="1"/>
  <c r="S87" i="1" s="1"/>
  <c r="S15" i="6"/>
  <c r="S18" i="6" s="1"/>
  <c r="S69" i="3"/>
  <c r="S79" i="3" l="1"/>
  <c r="S43" i="1"/>
  <c r="S45" i="1" s="1"/>
  <c r="S9" i="1" s="1"/>
  <c r="S12" i="1" s="1"/>
  <c r="S14" i="1" s="1"/>
  <c r="S87" i="3"/>
  <c r="S43" i="3" s="1"/>
  <c r="S45" i="3" s="1"/>
  <c r="S9" i="3" s="1"/>
  <c r="S12" i="3" s="1"/>
  <c r="T10" i="6" l="1"/>
  <c r="T12" i="6" s="1"/>
  <c r="S14" i="3"/>
  <c r="T67" i="1"/>
  <c r="T67" i="3" l="1"/>
  <c r="T77" i="1"/>
  <c r="T77" i="3" s="1"/>
  <c r="T69" i="1"/>
  <c r="T79" i="1" l="1"/>
  <c r="T87" i="1" s="1"/>
  <c r="T69" i="3"/>
  <c r="T15" i="6"/>
  <c r="T18" i="6" s="1"/>
  <c r="T79" i="3" l="1"/>
  <c r="T43" i="1"/>
  <c r="T45" i="1" s="1"/>
  <c r="T9" i="1" s="1"/>
  <c r="T12" i="1" s="1"/>
  <c r="T14" i="1" s="1"/>
  <c r="T87" i="3"/>
  <c r="T43" i="3" s="1"/>
  <c r="T45" i="3" s="1"/>
  <c r="T9" i="3" s="1"/>
  <c r="T12" i="3" s="1"/>
  <c r="U10" i="6" l="1"/>
  <c r="U12" i="6" s="1"/>
  <c r="T14" i="3"/>
  <c r="U67" i="1"/>
  <c r="U67" i="3" l="1"/>
  <c r="U77" i="1"/>
  <c r="U77" i="3" s="1"/>
  <c r="U69" i="1"/>
  <c r="U69" i="3" l="1"/>
  <c r="U15" i="6"/>
  <c r="U18" i="6" s="1"/>
  <c r="U79" i="1"/>
  <c r="U87" i="1" s="1"/>
  <c r="U87" i="3" l="1"/>
  <c r="U43" i="3" s="1"/>
  <c r="U45" i="3" s="1"/>
  <c r="U9" i="3" s="1"/>
  <c r="U12" i="3" s="1"/>
  <c r="U43" i="1"/>
  <c r="U45" i="1" s="1"/>
  <c r="U9" i="1" s="1"/>
  <c r="U12" i="1" s="1"/>
  <c r="U14" i="1" s="1"/>
  <c r="U79" i="3"/>
  <c r="V10" i="6" l="1"/>
  <c r="V12" i="6" s="1"/>
  <c r="U14" i="3"/>
  <c r="V67" i="1"/>
  <c r="V67" i="3" l="1"/>
  <c r="V77" i="1"/>
  <c r="V77" i="3" s="1"/>
  <c r="V69" i="1"/>
  <c r="V15" i="6" l="1"/>
  <c r="V18" i="6" s="1"/>
  <c r="V69" i="3"/>
  <c r="V79" i="1"/>
  <c r="V87" i="1" s="1"/>
  <c r="V87" i="3" l="1"/>
  <c r="V43" i="3" s="1"/>
  <c r="V45" i="3" s="1"/>
  <c r="V9" i="3" s="1"/>
  <c r="V12" i="3" s="1"/>
  <c r="V43" i="1"/>
  <c r="V45" i="1" s="1"/>
  <c r="V9" i="1" s="1"/>
  <c r="V12" i="1" s="1"/>
  <c r="V14" i="1" s="1"/>
  <c r="V79" i="3"/>
  <c r="W10" i="6" l="1"/>
  <c r="W12" i="6" s="1"/>
  <c r="V14" i="3"/>
  <c r="W67" i="1"/>
  <c r="W67" i="3" l="1"/>
  <c r="W69" i="1"/>
  <c r="W77" i="1"/>
  <c r="W77" i="3" s="1"/>
  <c r="W69" i="3" l="1"/>
  <c r="W79" i="1"/>
  <c r="W87" i="1" s="1"/>
  <c r="W15" i="6"/>
  <c r="W18" i="6" s="1"/>
  <c r="W43" i="1" l="1"/>
  <c r="W45" i="1" s="1"/>
  <c r="W9" i="1" s="1"/>
  <c r="W12" i="1" s="1"/>
  <c r="W14" i="1" s="1"/>
  <c r="W87" i="3"/>
  <c r="W43" i="3" s="1"/>
  <c r="W45" i="3" s="1"/>
  <c r="W9" i="3" s="1"/>
  <c r="W12" i="3" s="1"/>
  <c r="W79" i="3"/>
  <c r="X10" i="6" l="1"/>
  <c r="X12" i="6" s="1"/>
  <c r="W14" i="3"/>
  <c r="X67" i="1"/>
  <c r="X67" i="3" l="1"/>
  <c r="X77" i="1"/>
  <c r="X77" i="3" s="1"/>
  <c r="X69" i="1"/>
  <c r="X79" i="1" l="1"/>
  <c r="X87" i="1" s="1"/>
  <c r="X15" i="6"/>
  <c r="X18" i="6" s="1"/>
  <c r="X69" i="3"/>
  <c r="X79" i="3" l="1"/>
  <c r="X87" i="3"/>
  <c r="X43" i="3" s="1"/>
  <c r="X45" i="3" s="1"/>
  <c r="X9" i="3" s="1"/>
  <c r="X12" i="3" s="1"/>
  <c r="X43" i="1"/>
  <c r="X45" i="1" s="1"/>
  <c r="X9" i="1" s="1"/>
  <c r="X12" i="1" s="1"/>
  <c r="X14" i="1" s="1"/>
  <c r="Y10" i="6" l="1"/>
  <c r="Y12" i="6" s="1"/>
  <c r="X14" i="3"/>
  <c r="Y67" i="1"/>
  <c r="Y67" i="3" l="1"/>
  <c r="Y77" i="1"/>
  <c r="Y77" i="3" s="1"/>
  <c r="Y69" i="1"/>
  <c r="Y15" i="6" l="1"/>
  <c r="Y18" i="6" s="1"/>
  <c r="Y69" i="3"/>
  <c r="Y79" i="1"/>
  <c r="Y87" i="1" s="1"/>
  <c r="Y43" i="1" l="1"/>
  <c r="Y45" i="1" s="1"/>
  <c r="Y9" i="1" s="1"/>
  <c r="Y12" i="1" s="1"/>
  <c r="Y14" i="1" s="1"/>
  <c r="Y87" i="3"/>
  <c r="Y43" i="3" s="1"/>
  <c r="Y45" i="3" s="1"/>
  <c r="Y9" i="3" s="1"/>
  <c r="Y12" i="3" s="1"/>
  <c r="Y79" i="3"/>
  <c r="Z10" i="6" l="1"/>
  <c r="Z12" i="6" s="1"/>
  <c r="Z67" i="1"/>
  <c r="Y14" i="3"/>
  <c r="Z67" i="3" l="1"/>
  <c r="Z77" i="1"/>
  <c r="Z77" i="3" s="1"/>
  <c r="Z69" i="1"/>
  <c r="Z69" i="3" l="1"/>
  <c r="Z15" i="6"/>
  <c r="Z18" i="6" s="1"/>
  <c r="Z79" i="1"/>
  <c r="Z87" i="1" s="1"/>
  <c r="Z43" i="1" l="1"/>
  <c r="Z45" i="1" s="1"/>
  <c r="Z9" i="1" s="1"/>
  <c r="Z12" i="1" s="1"/>
  <c r="Z14" i="1" s="1"/>
  <c r="Z87" i="3"/>
  <c r="Z43" i="3" s="1"/>
  <c r="Z45" i="3" s="1"/>
  <c r="Z9" i="3" s="1"/>
  <c r="Z12" i="3" s="1"/>
  <c r="Z79" i="3"/>
  <c r="AA10" i="6" l="1"/>
  <c r="AA12" i="6" s="1"/>
  <c r="Z14" i="3"/>
  <c r="AA67" i="1"/>
  <c r="AA67" i="3" l="1"/>
  <c r="AA69" i="1"/>
  <c r="AA77" i="1"/>
  <c r="AA77" i="3" s="1"/>
  <c r="AA79" i="1" l="1"/>
  <c r="AA87" i="1" s="1"/>
  <c r="AA69" i="3"/>
  <c r="AA15" i="6"/>
  <c r="AA18" i="6" s="1"/>
  <c r="AA79" i="3" l="1"/>
  <c r="AA87" i="3"/>
  <c r="AA43" i="3" s="1"/>
  <c r="AA45" i="3" s="1"/>
  <c r="AA9" i="3" s="1"/>
  <c r="AA12" i="3" s="1"/>
  <c r="AA43" i="1"/>
  <c r="AA45" i="1" s="1"/>
  <c r="AA9" i="1" s="1"/>
  <c r="AA12" i="1" s="1"/>
  <c r="AA14" i="1" s="1"/>
  <c r="AB10" i="6" l="1"/>
  <c r="AB12" i="6" s="1"/>
  <c r="AB67" i="1"/>
  <c r="AA14" i="3"/>
  <c r="AB67" i="3" l="1"/>
  <c r="AB69" i="1"/>
  <c r="AB77" i="1"/>
  <c r="AB77" i="3" s="1"/>
  <c r="AB15" i="6" l="1"/>
  <c r="AB18" i="6" s="1"/>
  <c r="AB79" i="1"/>
  <c r="AB87" i="1" s="1"/>
  <c r="AB69" i="3"/>
  <c r="AB79" i="3" l="1"/>
  <c r="AB87" i="3"/>
  <c r="AB43" i="3" s="1"/>
  <c r="AB45" i="3" s="1"/>
  <c r="AB9" i="3" s="1"/>
  <c r="AB12" i="3" s="1"/>
  <c r="AB43" i="1"/>
  <c r="AB45" i="1" s="1"/>
  <c r="AB9" i="1" s="1"/>
  <c r="AB12" i="1" s="1"/>
  <c r="AB14" i="1" s="1"/>
  <c r="AC10" i="6" l="1"/>
  <c r="AC12" i="6" s="1"/>
  <c r="AB14" i="3"/>
  <c r="AC67" i="1"/>
  <c r="AC67" i="3" l="1"/>
  <c r="AC77" i="1"/>
  <c r="AC77" i="3" s="1"/>
  <c r="AC69" i="1"/>
  <c r="AC15" i="6" l="1"/>
  <c r="AC18" i="6" s="1"/>
  <c r="AC79" i="1"/>
  <c r="AC87" i="1" s="1"/>
  <c r="AC69" i="3"/>
  <c r="AC87" i="3" l="1"/>
  <c r="AC43" i="3" s="1"/>
  <c r="AC45" i="3" s="1"/>
  <c r="AC9" i="3" s="1"/>
  <c r="AC12" i="3" s="1"/>
  <c r="AC43" i="1"/>
  <c r="AC45" i="1" s="1"/>
  <c r="AC9" i="1" s="1"/>
  <c r="AC12" i="1" s="1"/>
  <c r="AC14" i="1" s="1"/>
  <c r="AC79" i="3"/>
  <c r="AD10" i="6" l="1"/>
  <c r="AD12" i="6" s="1"/>
  <c r="AD67" i="1"/>
  <c r="AC14" i="3"/>
  <c r="AD67" i="3" l="1"/>
  <c r="AD77" i="1"/>
  <c r="AD77" i="3" s="1"/>
  <c r="AD69" i="1"/>
  <c r="AD15" i="6" l="1"/>
  <c r="AD18" i="6" s="1"/>
  <c r="AD69" i="3"/>
  <c r="AD79" i="1"/>
  <c r="AD87" i="1" s="1"/>
  <c r="AD43" i="1" l="1"/>
  <c r="AD45" i="1" s="1"/>
  <c r="AD9" i="1" s="1"/>
  <c r="AD12" i="1" s="1"/>
  <c r="AD14" i="1" s="1"/>
  <c r="AD87" i="3"/>
  <c r="AD43" i="3" s="1"/>
  <c r="AD45" i="3" s="1"/>
  <c r="AD9" i="3" s="1"/>
  <c r="AD12" i="3" s="1"/>
  <c r="AD79" i="3"/>
  <c r="AE10" i="6" l="1"/>
  <c r="AE12" i="6" s="1"/>
  <c r="AE67" i="1"/>
  <c r="AD14" i="3"/>
  <c r="AE67" i="3" l="1"/>
  <c r="AE69" i="1"/>
  <c r="AE77" i="1"/>
  <c r="AE77" i="3" s="1"/>
  <c r="AE69" i="3" l="1"/>
  <c r="AE15" i="6"/>
  <c r="AE18" i="6" s="1"/>
  <c r="AE79" i="1"/>
  <c r="AE87" i="1" s="1"/>
  <c r="AE87" i="3" l="1"/>
  <c r="AE43" i="3" s="1"/>
  <c r="AE45" i="3" s="1"/>
  <c r="AE9" i="3" s="1"/>
  <c r="AE12" i="3" s="1"/>
  <c r="AE43" i="1"/>
  <c r="AE45" i="1" s="1"/>
  <c r="AE9" i="1" s="1"/>
  <c r="AE12" i="1" s="1"/>
  <c r="AE14" i="1" s="1"/>
  <c r="AE79" i="3"/>
  <c r="AF67" i="1" l="1"/>
  <c r="AF67" i="3" s="1"/>
  <c r="AF10" i="6"/>
  <c r="AF12" i="6" s="1"/>
  <c r="AF69" i="1"/>
  <c r="AF77" i="1"/>
  <c r="AF77" i="3" s="1"/>
  <c r="AE14" i="3"/>
  <c r="AF15" i="6" l="1"/>
  <c r="AF18" i="6" s="1"/>
  <c r="AF69" i="3"/>
  <c r="AF79" i="1"/>
  <c r="AF87" i="1" s="1"/>
  <c r="AF43" i="1" l="1"/>
  <c r="AF45" i="1" s="1"/>
  <c r="AF12" i="1" s="1"/>
  <c r="AF14" i="1" s="1"/>
  <c r="AF87" i="3"/>
  <c r="AF43" i="3" s="1"/>
  <c r="AF45" i="3" s="1"/>
  <c r="AF9" i="3" s="1"/>
  <c r="AF12" i="3" s="1"/>
  <c r="AF79" i="3"/>
  <c r="AG67" i="1" l="1"/>
  <c r="AG10" i="6"/>
  <c r="AG12" i="6" s="1"/>
  <c r="AF14" i="3"/>
  <c r="AG67" i="3" l="1"/>
  <c r="AG77" i="1"/>
  <c r="AG77" i="3" s="1"/>
  <c r="AG69" i="1"/>
  <c r="AG79" i="1" l="1"/>
  <c r="AG87" i="1" s="1"/>
  <c r="AG15" i="6"/>
  <c r="AG18" i="6" s="1"/>
  <c r="AG69" i="3"/>
  <c r="AG79" i="3" l="1"/>
  <c r="AG43" i="1"/>
  <c r="AG45" i="1" s="1"/>
  <c r="AG9" i="1" s="1"/>
  <c r="AG12" i="1" s="1"/>
  <c r="AG14" i="1" s="1"/>
  <c r="AG87" i="3"/>
  <c r="AG43" i="3" s="1"/>
  <c r="AG45" i="3" s="1"/>
  <c r="AG9" i="3" s="1"/>
  <c r="AG12" i="3" s="1"/>
  <c r="AH67" i="1" l="1"/>
  <c r="AH10" i="6"/>
  <c r="AH12" i="6" s="1"/>
  <c r="AG14" i="3"/>
  <c r="AH67" i="3" l="1"/>
  <c r="AH69" i="1"/>
  <c r="AH77" i="1"/>
  <c r="AH77" i="3" s="1"/>
  <c r="AH15" i="6" l="1"/>
  <c r="AH18" i="6" s="1"/>
  <c r="AH69" i="3"/>
  <c r="AH79" i="1"/>
  <c r="AH87" i="1" s="1"/>
  <c r="AH43" i="1" l="1"/>
  <c r="AH45" i="1" s="1"/>
  <c r="AH9" i="1" s="1"/>
  <c r="AH12" i="1" s="1"/>
  <c r="AH14" i="1" s="1"/>
  <c r="AI10" i="6" s="1"/>
  <c r="AI12" i="6" s="1"/>
  <c r="AH87" i="3"/>
  <c r="AH43" i="3" s="1"/>
  <c r="AH45" i="3" s="1"/>
  <c r="AH9" i="3" s="1"/>
  <c r="AH12" i="3" s="1"/>
  <c r="AH79" i="3"/>
  <c r="AK25" i="6" l="1"/>
  <c r="F32" i="6"/>
  <c r="AI67" i="1"/>
  <c r="AI67" i="3" s="1"/>
  <c r="AH14" i="3"/>
  <c r="AI69" i="1" l="1"/>
  <c r="AI77" i="1"/>
  <c r="AI77" i="3" s="1"/>
  <c r="AI15" i="6" l="1"/>
  <c r="AI18" i="6" s="1"/>
  <c r="AK18" i="6" s="1"/>
  <c r="AI69" i="3"/>
  <c r="AI79" i="1"/>
  <c r="AI87" i="1" s="1"/>
  <c r="AI79" i="3" l="1"/>
  <c r="AI43" i="1"/>
  <c r="AI45" i="1" s="1"/>
  <c r="AI9" i="1" s="1"/>
  <c r="AI12" i="1" s="1"/>
  <c r="AI14" i="1" s="1"/>
  <c r="AI87" i="3"/>
  <c r="AI43" i="3" s="1"/>
  <c r="AI45" i="3" s="1"/>
  <c r="AI9" i="3" s="1"/>
  <c r="AI12" i="3" s="1"/>
  <c r="AI14" i="3" l="1"/>
</calcChain>
</file>

<file path=xl/sharedStrings.xml><?xml version="1.0" encoding="utf-8"?>
<sst xmlns="http://schemas.openxmlformats.org/spreadsheetml/2006/main" count="381" uniqueCount="110">
  <si>
    <t xml:space="preserve">Big Rivers Electric Corporation </t>
  </si>
  <si>
    <t>(See Footnotes for explanation of changes)</t>
  </si>
  <si>
    <t>Expense Month:</t>
  </si>
  <si>
    <r>
      <rPr>
        <b/>
        <u/>
        <sz val="12"/>
        <rFont val="Times New Roman"/>
        <family val="1"/>
      </rPr>
      <t>Page 1</t>
    </r>
    <r>
      <rPr>
        <b/>
        <sz val="12"/>
        <rFont val="Times New Roman"/>
        <family val="1"/>
      </rPr>
      <t>:</t>
    </r>
  </si>
  <si>
    <t>Fuel  "Fm" (Fuel Cost Schedule)</t>
  </si>
  <si>
    <t>(p. 2)</t>
  </si>
  <si>
    <t>(1)</t>
  </si>
  <si>
    <t>Sales "Sm" (Sales Schedule)</t>
  </si>
  <si>
    <t>(p. 3)</t>
  </si>
  <si>
    <t>Total Fuel Cost per kWh (F(m) / S(m))</t>
  </si>
  <si>
    <t>Base Fuel Factor</t>
  </si>
  <si>
    <t xml:space="preserve">     FAC Factor</t>
  </si>
  <si>
    <r>
      <rPr>
        <b/>
        <u/>
        <sz val="12"/>
        <rFont val="Times New Roman"/>
        <family val="1"/>
      </rPr>
      <t>Page 2</t>
    </r>
    <r>
      <rPr>
        <b/>
        <sz val="12"/>
        <rFont val="Times New Roman"/>
        <family val="1"/>
      </rPr>
      <t>:</t>
    </r>
  </si>
  <si>
    <t>Company Generation:</t>
  </si>
  <si>
    <t>(+)</t>
  </si>
  <si>
    <t>Coal Burned</t>
  </si>
  <si>
    <t>Pet Coke Burned</t>
  </si>
  <si>
    <t>Oil Burned</t>
  </si>
  <si>
    <t>Gas Burned</t>
  </si>
  <si>
    <t>Propane Burned</t>
  </si>
  <si>
    <t>(-)</t>
  </si>
  <si>
    <t>MISO Make Whole Payments</t>
  </si>
  <si>
    <t>Fuel (Assigned Cost During F.O.)</t>
  </si>
  <si>
    <t xml:space="preserve">Fuel (Substitute Cost During F.O.) </t>
  </si>
  <si>
    <t xml:space="preserve"> </t>
  </si>
  <si>
    <t>Fuel (Supplemental &amp; Back-Up Energy to Smelters)</t>
  </si>
  <si>
    <t>Fuel (Domtar Back-Up/ Imbalance Generation)</t>
  </si>
  <si>
    <t>(A)</t>
  </si>
  <si>
    <t xml:space="preserve">     SUB-TOTAL Generation</t>
  </si>
  <si>
    <t>Purchases:</t>
  </si>
  <si>
    <t>Net energy cost - economy purchases</t>
  </si>
  <si>
    <t>Identifiable fuel cost - other purchases</t>
  </si>
  <si>
    <t>Identifiable fuel cost - Forced Outage purchases</t>
  </si>
  <si>
    <t>Identifiable fuel cost (substitute for Forced Outage)</t>
  </si>
  <si>
    <t>Less Purchases for Supplemental and Back-Up to Smelters</t>
  </si>
  <si>
    <t>Less Purchases for Domtar back up</t>
  </si>
  <si>
    <t>Less Purchases Above Highest Cost Units</t>
  </si>
  <si>
    <t>(B)</t>
  </si>
  <si>
    <t xml:space="preserve">     SUB-TOTAL Purchases</t>
  </si>
  <si>
    <t>Intersystem Sales</t>
  </si>
  <si>
    <t>(C)</t>
  </si>
  <si>
    <t>Including Interchange-out</t>
  </si>
  <si>
    <t>(D)</t>
  </si>
  <si>
    <t xml:space="preserve">Over/(Under) Recovery </t>
  </si>
  <si>
    <t>(p. 4)</t>
  </si>
  <si>
    <t>Total Fuel Cost [(A) + (B) - (C) - (D)]</t>
  </si>
  <si>
    <r>
      <rPr>
        <b/>
        <u/>
        <sz val="12"/>
        <rFont val="Times New Roman"/>
        <family val="1"/>
      </rPr>
      <t>Page 3</t>
    </r>
    <r>
      <rPr>
        <b/>
        <sz val="12"/>
        <rFont val="Times New Roman"/>
        <family val="1"/>
      </rPr>
      <t>:</t>
    </r>
  </si>
  <si>
    <t xml:space="preserve">  Generation (Net)</t>
  </si>
  <si>
    <t xml:space="preserve">  Purchases including interchange-in</t>
  </si>
  <si>
    <t xml:space="preserve">         SUB-TOTAL (Generation &amp; Purchases)</t>
  </si>
  <si>
    <t xml:space="preserve"> Inter-system Sales including interchange-out</t>
  </si>
  <si>
    <t xml:space="preserve"> Supplemental Sales to Smelters</t>
  </si>
  <si>
    <t xml:space="preserve"> Backup Sales to Smelters</t>
  </si>
  <si>
    <t xml:space="preserve"> System Losses</t>
  </si>
  <si>
    <t xml:space="preserve">         SUB-TOTAL (OSS &amp; Losses)</t>
  </si>
  <si>
    <t>Total Sales ((A) - (B))</t>
  </si>
  <si>
    <r>
      <rPr>
        <b/>
        <u/>
        <sz val="12"/>
        <rFont val="Times New Roman"/>
        <family val="1"/>
      </rPr>
      <t>Page 4</t>
    </r>
    <r>
      <rPr>
        <b/>
        <sz val="12"/>
        <rFont val="Times New Roman"/>
        <family val="1"/>
      </rPr>
      <t>:</t>
    </r>
  </si>
  <si>
    <t>1.</t>
  </si>
  <si>
    <t>Last FAC Rate Billed</t>
  </si>
  <si>
    <t>2.</t>
  </si>
  <si>
    <t>kWh Billed at Above Rate</t>
  </si>
  <si>
    <t>3.</t>
  </si>
  <si>
    <t xml:space="preserve">FAC Revenue/(Refund) </t>
  </si>
  <si>
    <t>(Line 1 x Line 2)</t>
  </si>
  <si>
    <t>4.</t>
  </si>
  <si>
    <t>kWh Used to Determine Last FAC Rate</t>
  </si>
  <si>
    <t>5.</t>
  </si>
  <si>
    <t>Non-Jurisdictional kWh (Included in Line 4)</t>
  </si>
  <si>
    <t>6.</t>
  </si>
  <si>
    <t xml:space="preserve">Kentucky Jurisdictional kWh </t>
  </si>
  <si>
    <t>(Line 4 - Line 5)</t>
  </si>
  <si>
    <t>7.</t>
  </si>
  <si>
    <t xml:space="preserve">Revised FAC Rate, if prior period adjustment is needed </t>
  </si>
  <si>
    <t>8.</t>
  </si>
  <si>
    <t>Recoverable FAC Revenue/(Refund)</t>
  </si>
  <si>
    <t xml:space="preserve"> (Line 1 x Line 6) </t>
  </si>
  <si>
    <t>9.</t>
  </si>
  <si>
    <t>Over or (Under) Recovery</t>
  </si>
  <si>
    <t>(Line 3 - Line 8)</t>
  </si>
  <si>
    <t>10.</t>
  </si>
  <si>
    <t xml:space="preserve">Total Sales "Sm" </t>
  </si>
  <si>
    <t>(Page 3)</t>
  </si>
  <si>
    <t>11.</t>
  </si>
  <si>
    <t>Kentucky Jurisdictional Sales</t>
  </si>
  <si>
    <t>12.</t>
  </si>
  <si>
    <t xml:space="preserve">Total Sales Divided by KY Juris. Sales </t>
  </si>
  <si>
    <t>(Line 10 / Line 11)</t>
  </si>
  <si>
    <t>13.</t>
  </si>
  <si>
    <t xml:space="preserve">Total Co. Over or (Under) Recovery </t>
  </si>
  <si>
    <t>(Line 9 x Line 12)</t>
  </si>
  <si>
    <t>Footnotes:</t>
  </si>
  <si>
    <t>Non-Tariff Market Rate Sales to Members</t>
  </si>
  <si>
    <t>Nucor Sales Volumes</t>
  </si>
  <si>
    <t>(2)</t>
  </si>
  <si>
    <t>Represents energy consumed by Nucor during the previous month, which was omitted from the monthly Form A filing calculations.</t>
  </si>
  <si>
    <t>Represents energy consumed by Nucor, which was omitted from the monthly Form A filing calculations.</t>
  </si>
  <si>
    <t>Variance</t>
  </si>
  <si>
    <t>Kenergy Corporation</t>
  </si>
  <si>
    <t>Jackson Purchase Energy</t>
  </si>
  <si>
    <t>Meade County RECC</t>
  </si>
  <si>
    <t>Total Billing Variance Calculated Above</t>
  </si>
  <si>
    <t>Nucor FAC Revenue Not Billed</t>
  </si>
  <si>
    <t>`</t>
  </si>
  <si>
    <t>Revised Billing Amount for all customers (provided in Revised PSC 4-2)</t>
  </si>
  <si>
    <t>Amount Actually Billed (provided in As Filed)</t>
  </si>
  <si>
    <t>May 24 - July 25 Variance</t>
  </si>
  <si>
    <t>Case 2024-00149 May 23 - Oct 23 Variance</t>
  </si>
  <si>
    <t>Case 2024-00141 Nov 22 - April 23 Variance</t>
  </si>
  <si>
    <t>Total Nov 22 thru July 25 Variance</t>
  </si>
  <si>
    <t xml:space="preserve">Revised FAC Factor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</si>
</sst>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00_);_(&quot;$&quot;* \(#,##0.000000\);_(&quot;$&quot;* &quot;-&quot;??_);_(@_)"/>
    <numFmt numFmtId="167" formatCode="_(* #,##0.0000000_);_(* \(#,##0.0000000\);_(* &quot;-&quot;??_);_(@_)"/>
    <numFmt numFmtId="168" formatCode="_(&quot;$&quot;* #,##0.00000_);_(&quot;$&quot;* \(#,##0.00000\);_(&quot;$&quot;* &quot;-&quot;??_);_(@_)"/>
  </numFmts>
  <fonts count="1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1"/>
      <color indexed="8"/>
      <name val="Calibri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2" applyNumberFormat="1" applyFont="1" applyFill="1" applyBorder="1"/>
    <xf numFmtId="49" fontId="7" fillId="2" borderId="0" xfId="0" quotePrefix="1" applyNumberFormat="1" applyFont="1" applyFill="1" applyAlignment="1">
      <alignment horizontal="left" vertical="top"/>
    </xf>
    <xf numFmtId="165" fontId="1" fillId="2" borderId="5" xfId="0" applyNumberFormat="1" applyFont="1" applyFill="1" applyBorder="1"/>
    <xf numFmtId="165" fontId="1" fillId="2" borderId="4" xfId="0" applyNumberFormat="1" applyFont="1" applyFill="1" applyBorder="1"/>
    <xf numFmtId="0" fontId="1" fillId="2" borderId="5" xfId="0" applyFont="1" applyFill="1" applyBorder="1"/>
    <xf numFmtId="166" fontId="1" fillId="2" borderId="0" xfId="2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right"/>
    </xf>
    <xf numFmtId="166" fontId="1" fillId="2" borderId="8" xfId="2" applyNumberFormat="1" applyFont="1" applyFill="1" applyBorder="1"/>
    <xf numFmtId="166" fontId="1" fillId="2" borderId="4" xfId="2" applyNumberFormat="1" applyFont="1" applyFill="1" applyBorder="1"/>
    <xf numFmtId="166" fontId="2" fillId="2" borderId="4" xfId="0" applyNumberFormat="1" applyFont="1" applyFill="1" applyBorder="1"/>
    <xf numFmtId="164" fontId="1" fillId="2" borderId="4" xfId="2" quotePrefix="1" applyNumberFormat="1" applyFont="1" applyFill="1" applyBorder="1" applyAlignment="1">
      <alignment horizontal="right"/>
    </xf>
    <xf numFmtId="164" fontId="1" fillId="2" borderId="0" xfId="2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164" fontId="1" fillId="2" borderId="5" xfId="2" applyNumberFormat="1" applyFont="1" applyFill="1" applyBorder="1"/>
    <xf numFmtId="165" fontId="1" fillId="2" borderId="5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164" fontId="1" fillId="2" borderId="6" xfId="2" applyNumberFormat="1" applyFont="1" applyFill="1" applyBorder="1"/>
    <xf numFmtId="164" fontId="4" fillId="2" borderId="7" xfId="2" applyNumberFormat="1" applyFont="1" applyFill="1" applyBorder="1" applyAlignment="1">
      <alignment horizontal="right"/>
    </xf>
    <xf numFmtId="165" fontId="1" fillId="2" borderId="8" xfId="1" applyNumberFormat="1" applyFont="1" applyFill="1" applyBorder="1"/>
    <xf numFmtId="164" fontId="1" fillId="2" borderId="3" xfId="2" applyNumberFormat="1" applyFont="1" applyFill="1" applyBorder="1"/>
    <xf numFmtId="164" fontId="4" fillId="2" borderId="0" xfId="2" applyNumberFormat="1" applyFont="1" applyFill="1" applyBorder="1"/>
    <xf numFmtId="0" fontId="7" fillId="2" borderId="0" xfId="0" quotePrefix="1" applyFont="1" applyFill="1"/>
    <xf numFmtId="164" fontId="2" fillId="2" borderId="4" xfId="2" applyNumberFormat="1" applyFont="1" applyFill="1" applyBorder="1"/>
    <xf numFmtId="164" fontId="2" fillId="2" borderId="0" xfId="2" applyNumberFormat="1" applyFont="1" applyFill="1" applyBorder="1"/>
    <xf numFmtId="165" fontId="1" fillId="2" borderId="4" xfId="1" applyNumberFormat="1" applyFont="1" applyFill="1" applyBorder="1"/>
    <xf numFmtId="165" fontId="1" fillId="2" borderId="5" xfId="3" applyNumberFormat="1" applyFont="1" applyFill="1" applyBorder="1"/>
    <xf numFmtId="165" fontId="1" fillId="2" borderId="0" xfId="1" applyNumberFormat="1" applyFont="1" applyFill="1" applyBorder="1"/>
    <xf numFmtId="165" fontId="1" fillId="2" borderId="8" xfId="3" applyNumberFormat="1" applyFont="1" applyFill="1" applyBorder="1"/>
    <xf numFmtId="165" fontId="2" fillId="2" borderId="4" xfId="0" applyNumberFormat="1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right"/>
    </xf>
    <xf numFmtId="165" fontId="2" fillId="2" borderId="8" xfId="0" applyNumberFormat="1" applyFont="1" applyFill="1" applyBorder="1"/>
    <xf numFmtId="165" fontId="2" fillId="2" borderId="0" xfId="0" applyNumberFormat="1" applyFont="1" applyFill="1"/>
    <xf numFmtId="49" fontId="1" fillId="2" borderId="4" xfId="0" quotePrefix="1" applyNumberFormat="1" applyFont="1" applyFill="1" applyBorder="1" applyAlignment="1">
      <alignment horizontal="center"/>
    </xf>
    <xf numFmtId="166" fontId="1" fillId="2" borderId="5" xfId="2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165" fontId="1" fillId="2" borderId="4" xfId="3" applyNumberFormat="1" applyFont="1" applyFill="1" applyBorder="1"/>
    <xf numFmtId="0" fontId="9" fillId="2" borderId="7" xfId="0" applyFont="1" applyFill="1" applyBorder="1" applyAlignment="1">
      <alignment horizontal="right"/>
    </xf>
    <xf numFmtId="165" fontId="1" fillId="2" borderId="0" xfId="0" applyNumberFormat="1" applyFont="1" applyFill="1"/>
    <xf numFmtId="165" fontId="1" fillId="2" borderId="8" xfId="0" applyNumberFormat="1" applyFont="1" applyFill="1" applyBorder="1"/>
    <xf numFmtId="167" fontId="1" fillId="2" borderId="4" xfId="1" applyNumberFormat="1" applyFont="1" applyFill="1" applyBorder="1"/>
    <xf numFmtId="167" fontId="1" fillId="2" borderId="5" xfId="3" applyNumberFormat="1" applyFont="1" applyFill="1" applyBorder="1"/>
    <xf numFmtId="168" fontId="4" fillId="2" borderId="4" xfId="2" applyNumberFormat="1" applyFont="1" applyFill="1" applyBorder="1"/>
    <xf numFmtId="168" fontId="4" fillId="2" borderId="8" xfId="2" applyNumberFormat="1" applyFont="1" applyFill="1" applyBorder="1"/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164" fontId="1" fillId="2" borderId="8" xfId="0" applyNumberFormat="1" applyFont="1" applyFill="1" applyBorder="1"/>
    <xf numFmtId="164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left"/>
    </xf>
    <xf numFmtId="49" fontId="7" fillId="2" borderId="0" xfId="0" quotePrefix="1" applyNumberFormat="1" applyFont="1" applyFill="1" applyAlignment="1">
      <alignment horizontal="right" vertical="top"/>
    </xf>
    <xf numFmtId="166" fontId="2" fillId="2" borderId="8" xfId="0" applyNumberFormat="1" applyFont="1" applyFill="1" applyBorder="1"/>
    <xf numFmtId="0" fontId="1" fillId="2" borderId="0" xfId="2" applyNumberFormat="1" applyFont="1" applyFill="1" applyBorder="1"/>
    <xf numFmtId="164" fontId="2" fillId="2" borderId="9" xfId="2" quotePrefix="1" applyNumberFormat="1" applyFont="1" applyFill="1" applyBorder="1" applyAlignment="1">
      <alignment horizontal="right"/>
    </xf>
    <xf numFmtId="164" fontId="2" fillId="2" borderId="6" xfId="2" applyNumberFormat="1" applyFont="1" applyFill="1" applyBorder="1"/>
    <xf numFmtId="164" fontId="2" fillId="2" borderId="6" xfId="2" applyNumberFormat="1" applyFont="1" applyFill="1" applyBorder="1" applyAlignment="1">
      <alignment horizontal="right"/>
    </xf>
    <xf numFmtId="164" fontId="2" fillId="2" borderId="8" xfId="2" applyNumberFormat="1" applyFont="1" applyFill="1" applyBorder="1"/>
    <xf numFmtId="17" fontId="10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1" fillId="0" borderId="0" xfId="0" applyFont="1"/>
    <xf numFmtId="0" fontId="3" fillId="2" borderId="0" xfId="0" applyFont="1" applyFill="1"/>
    <xf numFmtId="0" fontId="7" fillId="2" borderId="4" xfId="0" quotePrefix="1" applyFont="1" applyFill="1" applyBorder="1"/>
    <xf numFmtId="165" fontId="7" fillId="2" borderId="4" xfId="0" quotePrefix="1" applyNumberFormat="1" applyFont="1" applyFill="1" applyBorder="1"/>
    <xf numFmtId="164" fontId="2" fillId="2" borderId="8" xfId="0" applyNumberFormat="1" applyFont="1" applyFill="1" applyBorder="1"/>
    <xf numFmtId="164" fontId="1" fillId="2" borderId="8" xfId="2" applyNumberFormat="1" applyFont="1" applyFill="1" applyBorder="1"/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165" fontId="2" fillId="2" borderId="0" xfId="0" applyNumberFormat="1" applyFont="1" applyFill="1" applyAlignment="1">
      <alignment horizontal="center"/>
    </xf>
    <xf numFmtId="165" fontId="7" fillId="2" borderId="0" xfId="0" quotePrefix="1" applyNumberFormat="1" applyFont="1" applyFill="1"/>
    <xf numFmtId="165" fontId="1" fillId="0" borderId="5" xfId="3" applyNumberFormat="1" applyFont="1" applyFill="1" applyBorder="1"/>
    <xf numFmtId="165" fontId="1" fillId="0" borderId="8" xfId="3" applyNumberFormat="1" applyFont="1" applyFill="1" applyBorder="1"/>
    <xf numFmtId="165" fontId="1" fillId="2" borderId="0" xfId="0" quotePrefix="1" applyNumberFormat="1" applyFont="1" applyFill="1"/>
    <xf numFmtId="0" fontId="5" fillId="2" borderId="0" xfId="0" applyFont="1" applyFill="1"/>
    <xf numFmtId="0" fontId="9" fillId="2" borderId="0" xfId="0" applyFont="1" applyFill="1"/>
    <xf numFmtId="165" fontId="5" fillId="2" borderId="0" xfId="0" applyNumberFormat="1" applyFont="1" applyFill="1"/>
    <xf numFmtId="49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5" fontId="1" fillId="0" borderId="4" xfId="3" applyNumberFormat="1" applyFont="1" applyFill="1" applyBorder="1"/>
    <xf numFmtId="165" fontId="1" fillId="0" borderId="0" xfId="1" applyNumberFormat="1" applyFont="1" applyFill="1" applyBorder="1"/>
    <xf numFmtId="17" fontId="10" fillId="0" borderId="0" xfId="0" applyNumberFormat="1" applyFont="1" applyAlignment="1">
      <alignment horizontal="center"/>
    </xf>
    <xf numFmtId="165" fontId="2" fillId="0" borderId="8" xfId="0" applyNumberFormat="1" applyFont="1" applyBorder="1"/>
    <xf numFmtId="164" fontId="1" fillId="3" borderId="4" xfId="2" quotePrefix="1" applyNumberFormat="1" applyFont="1" applyFill="1" applyBorder="1" applyAlignment="1">
      <alignment horizontal="right"/>
    </xf>
    <xf numFmtId="164" fontId="1" fillId="3" borderId="0" xfId="2" applyNumberFormat="1" applyFont="1" applyFill="1" applyBorder="1"/>
    <xf numFmtId="164" fontId="1" fillId="3" borderId="0" xfId="2" applyNumberFormat="1" applyFont="1" applyFill="1" applyBorder="1" applyAlignment="1">
      <alignment horizontal="right"/>
    </xf>
    <xf numFmtId="164" fontId="1" fillId="3" borderId="5" xfId="2" applyNumberFormat="1" applyFont="1" applyFill="1" applyBorder="1"/>
    <xf numFmtId="164" fontId="1" fillId="3" borderId="4" xfId="2" applyNumberFormat="1" applyFont="1" applyFill="1" applyBorder="1"/>
    <xf numFmtId="0" fontId="7" fillId="3" borderId="0" xfId="0" quotePrefix="1" applyFont="1" applyFill="1"/>
    <xf numFmtId="0" fontId="1" fillId="3" borderId="0" xfId="0" applyFont="1" applyFill="1"/>
    <xf numFmtId="0" fontId="1" fillId="3" borderId="4" xfId="0" applyFont="1" applyFill="1" applyBorder="1"/>
    <xf numFmtId="164" fontId="4" fillId="3" borderId="0" xfId="2" applyNumberFormat="1" applyFont="1" applyFill="1" applyBorder="1" applyAlignment="1">
      <alignment horizontal="right"/>
    </xf>
    <xf numFmtId="165" fontId="1" fillId="3" borderId="5" xfId="3" applyNumberFormat="1" applyFont="1" applyFill="1" applyBorder="1"/>
    <xf numFmtId="165" fontId="1" fillId="3" borderId="0" xfId="1" applyNumberFormat="1" applyFont="1" applyFill="1" applyBorder="1"/>
    <xf numFmtId="49" fontId="1" fillId="3" borderId="4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1" fillId="3" borderId="7" xfId="0" applyFont="1" applyFill="1" applyBorder="1" applyAlignment="1">
      <alignment horizontal="right"/>
    </xf>
    <xf numFmtId="165" fontId="1" fillId="3" borderId="8" xfId="3" applyNumberFormat="1" applyFont="1" applyFill="1" applyBorder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</cellXfs>
  <cellStyles count="4">
    <cellStyle name="Comma" xfId="1" builtinId="3"/>
    <cellStyle name="Comma 10" xfId="3" xr:uid="{0A2A736A-CAC8-41C3-B196-EE558E949585}"/>
    <cellStyle name="Currency 2" xfId="2" xr:uid="{17716B2D-8AEC-4BF7-ABE0-0A2383BB2D4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69FF-B124-43EC-9EC6-E5D6F00A04F6}">
  <sheetPr codeName="Sheet1"/>
  <dimension ref="A2:AK99"/>
  <sheetViews>
    <sheetView tabSelected="1" zoomScaleNormal="100" workbookViewId="0">
      <pane xSplit="3" ySplit="6" topLeftCell="D59" activePane="bottomRight" state="frozen"/>
      <selection activeCell="N8" sqref="N8"/>
      <selection pane="topRight" activeCell="N8" sqref="N8"/>
      <selection pane="bottomLeft" activeCell="N8" sqref="N8"/>
      <selection pane="bottomRight" activeCell="D43" sqref="D43"/>
    </sheetView>
  </sheetViews>
  <sheetFormatPr defaultColWidth="9.125" defaultRowHeight="15.75"/>
  <cols>
    <col min="1" max="1" width="8" style="1" customWidth="1"/>
    <col min="2" max="2" width="53" style="1" customWidth="1"/>
    <col min="3" max="3" width="18.125" style="2" customWidth="1"/>
    <col min="4" max="35" width="25.75" style="1" customWidth="1"/>
    <col min="36" max="36" width="1.125" style="1" customWidth="1"/>
    <col min="37" max="16384" width="9.125" style="1"/>
  </cols>
  <sheetData>
    <row r="2" spans="1:37" ht="14.45" customHeight="1">
      <c r="A2" s="4" t="s">
        <v>0</v>
      </c>
    </row>
    <row r="3" spans="1:37" ht="14.45" customHeight="1">
      <c r="A3" s="78"/>
      <c r="B3" s="4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5"/>
    </row>
    <row r="4" spans="1:37">
      <c r="A4" s="6"/>
      <c r="B4" s="4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8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7">
      <c r="A5" s="4"/>
      <c r="B5" s="4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7">
      <c r="A6" s="4"/>
      <c r="B6" s="4"/>
      <c r="C6" s="7" t="s">
        <v>2</v>
      </c>
      <c r="D6" s="74">
        <v>44896</v>
      </c>
      <c r="E6" s="74">
        <f t="shared" ref="E6:AI6" si="0">EOMONTH(D6,1)</f>
        <v>44957</v>
      </c>
      <c r="F6" s="74">
        <f t="shared" si="0"/>
        <v>44985</v>
      </c>
      <c r="G6" s="74">
        <f t="shared" si="0"/>
        <v>45016</v>
      </c>
      <c r="H6" s="74">
        <f t="shared" si="0"/>
        <v>45046</v>
      </c>
      <c r="I6" s="74">
        <f t="shared" si="0"/>
        <v>45077</v>
      </c>
      <c r="J6" s="74">
        <f t="shared" si="0"/>
        <v>45107</v>
      </c>
      <c r="K6" s="74">
        <f t="shared" si="0"/>
        <v>45138</v>
      </c>
      <c r="L6" s="74">
        <f t="shared" si="0"/>
        <v>45169</v>
      </c>
      <c r="M6" s="74">
        <f t="shared" si="0"/>
        <v>45199</v>
      </c>
      <c r="N6" s="74">
        <f t="shared" si="0"/>
        <v>45230</v>
      </c>
      <c r="O6" s="74">
        <f t="shared" si="0"/>
        <v>45260</v>
      </c>
      <c r="P6" s="74">
        <f t="shared" si="0"/>
        <v>45291</v>
      </c>
      <c r="Q6" s="74">
        <f t="shared" si="0"/>
        <v>45322</v>
      </c>
      <c r="R6" s="74">
        <f t="shared" si="0"/>
        <v>45351</v>
      </c>
      <c r="S6" s="74">
        <f t="shared" si="0"/>
        <v>45382</v>
      </c>
      <c r="T6" s="74">
        <f t="shared" si="0"/>
        <v>45412</v>
      </c>
      <c r="U6" s="74">
        <f t="shared" si="0"/>
        <v>45443</v>
      </c>
      <c r="V6" s="74">
        <f t="shared" si="0"/>
        <v>45473</v>
      </c>
      <c r="W6" s="74">
        <f t="shared" si="0"/>
        <v>45504</v>
      </c>
      <c r="X6" s="74">
        <f t="shared" si="0"/>
        <v>45535</v>
      </c>
      <c r="Y6" s="74">
        <f t="shared" si="0"/>
        <v>45565</v>
      </c>
      <c r="Z6" s="74">
        <f t="shared" si="0"/>
        <v>45596</v>
      </c>
      <c r="AA6" s="74">
        <f t="shared" si="0"/>
        <v>45626</v>
      </c>
      <c r="AB6" s="74">
        <f t="shared" si="0"/>
        <v>45657</v>
      </c>
      <c r="AC6" s="74">
        <f t="shared" si="0"/>
        <v>45688</v>
      </c>
      <c r="AD6" s="74">
        <f t="shared" si="0"/>
        <v>45716</v>
      </c>
      <c r="AE6" s="74">
        <f t="shared" si="0"/>
        <v>45747</v>
      </c>
      <c r="AF6" s="74">
        <f t="shared" si="0"/>
        <v>45777</v>
      </c>
      <c r="AG6" s="74">
        <f t="shared" si="0"/>
        <v>45808</v>
      </c>
      <c r="AH6" s="74">
        <f t="shared" si="0"/>
        <v>45838</v>
      </c>
      <c r="AI6" s="74">
        <f t="shared" si="0"/>
        <v>45869</v>
      </c>
      <c r="AJ6" s="5"/>
    </row>
    <row r="7" spans="1:37" ht="5.25" customHeight="1">
      <c r="A7" s="4"/>
      <c r="B7" s="4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7">
      <c r="A8" s="8" t="s">
        <v>3</v>
      </c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2"/>
    </row>
    <row r="9" spans="1:37">
      <c r="A9" s="12"/>
      <c r="B9" s="1" t="s">
        <v>4</v>
      </c>
      <c r="C9" s="2" t="s">
        <v>5</v>
      </c>
      <c r="D9" s="27">
        <f t="shared" ref="D9:AE9" si="1">D45</f>
        <v>10234423</v>
      </c>
      <c r="E9" s="27">
        <f t="shared" si="1"/>
        <v>7790465</v>
      </c>
      <c r="F9" s="27">
        <f t="shared" si="1"/>
        <v>5057989</v>
      </c>
      <c r="G9" s="27">
        <f t="shared" si="1"/>
        <v>5947402.839999998</v>
      </c>
      <c r="H9" s="27">
        <f t="shared" si="1"/>
        <v>5270153.4499999993</v>
      </c>
      <c r="I9" s="27">
        <f t="shared" si="1"/>
        <v>6137524.04</v>
      </c>
      <c r="J9" s="27">
        <f t="shared" si="1"/>
        <v>7698466.04</v>
      </c>
      <c r="K9" s="27">
        <f t="shared" si="1"/>
        <v>8585755.5899999999</v>
      </c>
      <c r="L9" s="27">
        <f t="shared" si="1"/>
        <v>8731552.0999999996</v>
      </c>
      <c r="M9" s="27">
        <f t="shared" si="1"/>
        <v>7206103.3399999999</v>
      </c>
      <c r="N9" s="27">
        <f t="shared" si="1"/>
        <v>8082035.4699999997</v>
      </c>
      <c r="O9" s="27">
        <f t="shared" si="1"/>
        <v>8297094.4100000001</v>
      </c>
      <c r="P9" s="27">
        <f t="shared" si="1"/>
        <v>8953262.6099999994</v>
      </c>
      <c r="Q9" s="27">
        <f t="shared" si="1"/>
        <v>9785453.1600000001</v>
      </c>
      <c r="R9" s="27">
        <f t="shared" si="1"/>
        <v>9873523.7300000004</v>
      </c>
      <c r="S9" s="27">
        <f t="shared" si="1"/>
        <v>8609456.1400000006</v>
      </c>
      <c r="T9" s="27">
        <f t="shared" si="1"/>
        <v>6600470</v>
      </c>
      <c r="U9" s="27">
        <f t="shared" si="1"/>
        <v>7067656.9100000001</v>
      </c>
      <c r="V9" s="27">
        <f t="shared" si="1"/>
        <v>8592772.5700000003</v>
      </c>
      <c r="W9" s="27">
        <f t="shared" si="1"/>
        <v>10094853.700000001</v>
      </c>
      <c r="X9" s="27">
        <f t="shared" si="1"/>
        <v>11528899.549999999</v>
      </c>
      <c r="Y9" s="27">
        <f t="shared" si="1"/>
        <v>10403254.190000001</v>
      </c>
      <c r="Z9" s="27">
        <f t="shared" si="1"/>
        <v>9366951.1500000004</v>
      </c>
      <c r="AA9" s="27">
        <f t="shared" si="1"/>
        <v>9064519.5</v>
      </c>
      <c r="AB9" s="27">
        <f t="shared" si="1"/>
        <v>9486720</v>
      </c>
      <c r="AC9" s="27">
        <f t="shared" si="1"/>
        <v>15017733.09</v>
      </c>
      <c r="AD9" s="27">
        <f t="shared" si="1"/>
        <v>10145331.110000005</v>
      </c>
      <c r="AE9" s="27">
        <f t="shared" si="1"/>
        <v>11312395</v>
      </c>
      <c r="AF9" s="27">
        <v>10584489</v>
      </c>
      <c r="AG9" s="27">
        <f t="shared" ref="AG9" si="2">AG45</f>
        <v>9891326</v>
      </c>
      <c r="AH9" s="27">
        <f t="shared" ref="AH9:AI9" si="3">AH45</f>
        <v>10687864</v>
      </c>
      <c r="AI9" s="27">
        <f t="shared" si="3"/>
        <v>14653264</v>
      </c>
      <c r="AJ9" s="13"/>
      <c r="AK9" s="14"/>
    </row>
    <row r="10" spans="1:37">
      <c r="A10" s="12"/>
      <c r="B10" s="1" t="s">
        <v>7</v>
      </c>
      <c r="C10" s="2" t="s">
        <v>8</v>
      </c>
      <c r="D10" s="15">
        <f t="shared" ref="D10:AE10" si="4">D63</f>
        <v>293636063</v>
      </c>
      <c r="E10" s="15">
        <f t="shared" si="4"/>
        <v>272537373</v>
      </c>
      <c r="F10" s="15">
        <f t="shared" si="4"/>
        <v>229579228</v>
      </c>
      <c r="G10" s="15">
        <f t="shared" si="4"/>
        <v>251254669</v>
      </c>
      <c r="H10" s="15">
        <f t="shared" si="4"/>
        <v>224907435</v>
      </c>
      <c r="I10" s="15">
        <f t="shared" si="4"/>
        <v>248441020</v>
      </c>
      <c r="J10" s="15">
        <f t="shared" si="4"/>
        <v>280275831</v>
      </c>
      <c r="K10" s="15">
        <f t="shared" si="4"/>
        <v>326215291</v>
      </c>
      <c r="L10" s="15">
        <f t="shared" si="4"/>
        <v>316993082</v>
      </c>
      <c r="M10" s="15">
        <f t="shared" si="4"/>
        <v>281105067</v>
      </c>
      <c r="N10" s="15">
        <f t="shared" si="4"/>
        <v>253139868</v>
      </c>
      <c r="O10" s="15">
        <f t="shared" si="4"/>
        <v>270680490</v>
      </c>
      <c r="P10" s="15">
        <f t="shared" si="4"/>
        <v>309236823</v>
      </c>
      <c r="Q10" s="15">
        <f t="shared" si="4"/>
        <v>368541364</v>
      </c>
      <c r="R10" s="15">
        <f t="shared" si="4"/>
        <v>291072354</v>
      </c>
      <c r="S10" s="15">
        <f t="shared" si="4"/>
        <v>286987548</v>
      </c>
      <c r="T10" s="15">
        <f t="shared" si="4"/>
        <v>270380699</v>
      </c>
      <c r="U10" s="15">
        <f t="shared" si="4"/>
        <v>294620434</v>
      </c>
      <c r="V10" s="15">
        <f t="shared" si="4"/>
        <v>331279515</v>
      </c>
      <c r="W10" s="15">
        <f t="shared" si="4"/>
        <v>353446957</v>
      </c>
      <c r="X10" s="15">
        <f t="shared" si="4"/>
        <v>362116973</v>
      </c>
      <c r="Y10" s="15">
        <f t="shared" si="4"/>
        <v>311114434</v>
      </c>
      <c r="Z10" s="15">
        <f t="shared" si="4"/>
        <v>295527815</v>
      </c>
      <c r="AA10" s="15">
        <f t="shared" si="4"/>
        <v>292540531</v>
      </c>
      <c r="AB10" s="15">
        <f t="shared" si="4"/>
        <v>344704038</v>
      </c>
      <c r="AC10" s="15">
        <f t="shared" si="4"/>
        <v>395730349</v>
      </c>
      <c r="AD10" s="15">
        <f t="shared" si="4"/>
        <v>337174166</v>
      </c>
      <c r="AE10" s="15">
        <f t="shared" si="4"/>
        <v>297708623</v>
      </c>
      <c r="AF10" s="15">
        <v>290855880</v>
      </c>
      <c r="AG10" s="15">
        <f t="shared" ref="AG10" si="5">AG63</f>
        <v>304041987</v>
      </c>
      <c r="AH10" s="15">
        <f t="shared" ref="AH10:AI10" si="6">AH63</f>
        <v>365479699</v>
      </c>
      <c r="AI10" s="15">
        <f t="shared" si="6"/>
        <v>408859743</v>
      </c>
      <c r="AJ10" s="16"/>
    </row>
    <row r="11" spans="1:37">
      <c r="A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2"/>
    </row>
    <row r="12" spans="1:37">
      <c r="A12" s="12"/>
      <c r="B12" s="1" t="s">
        <v>9</v>
      </c>
      <c r="D12" s="49">
        <f t="shared" ref="D12:AE12" si="7">ROUND(D9/D10,6)</f>
        <v>3.4854000000000003E-2</v>
      </c>
      <c r="E12" s="49">
        <f t="shared" si="7"/>
        <v>2.8584999999999999E-2</v>
      </c>
      <c r="F12" s="49">
        <f t="shared" si="7"/>
        <v>2.2032E-2</v>
      </c>
      <c r="G12" s="49">
        <f t="shared" si="7"/>
        <v>2.3671000000000001E-2</v>
      </c>
      <c r="H12" s="49">
        <f t="shared" si="7"/>
        <v>2.3432999999999999E-2</v>
      </c>
      <c r="I12" s="49">
        <f t="shared" si="7"/>
        <v>2.4704E-2</v>
      </c>
      <c r="J12" s="49">
        <f t="shared" si="7"/>
        <v>2.7466999999999998E-2</v>
      </c>
      <c r="K12" s="49">
        <f t="shared" si="7"/>
        <v>2.6318999999999999E-2</v>
      </c>
      <c r="L12" s="49">
        <f t="shared" si="7"/>
        <v>2.7545E-2</v>
      </c>
      <c r="M12" s="49">
        <f t="shared" si="7"/>
        <v>2.5635000000000002E-2</v>
      </c>
      <c r="N12" s="49">
        <f>ROUND(N9/N10,6)</f>
        <v>3.1926999999999997E-2</v>
      </c>
      <c r="O12" s="49">
        <f t="shared" si="7"/>
        <v>3.0653E-2</v>
      </c>
      <c r="P12" s="49">
        <f t="shared" si="7"/>
        <v>2.8953E-2</v>
      </c>
      <c r="Q12" s="49">
        <f t="shared" si="7"/>
        <v>2.6551999999999999E-2</v>
      </c>
      <c r="R12" s="49">
        <f t="shared" si="7"/>
        <v>3.3921E-2</v>
      </c>
      <c r="S12" s="49">
        <f t="shared" si="7"/>
        <v>2.9999000000000001E-2</v>
      </c>
      <c r="T12" s="49">
        <f t="shared" si="7"/>
        <v>2.4412E-2</v>
      </c>
      <c r="U12" s="49">
        <f t="shared" si="7"/>
        <v>2.3989E-2</v>
      </c>
      <c r="V12" s="49">
        <f t="shared" si="7"/>
        <v>2.5937999999999999E-2</v>
      </c>
      <c r="W12" s="49">
        <f t="shared" si="7"/>
        <v>2.8561E-2</v>
      </c>
      <c r="X12" s="49">
        <f t="shared" si="7"/>
        <v>3.1837999999999998E-2</v>
      </c>
      <c r="Y12" s="49">
        <f t="shared" si="7"/>
        <v>3.3439000000000003E-2</v>
      </c>
      <c r="Z12" s="49">
        <f t="shared" si="7"/>
        <v>3.1696000000000002E-2</v>
      </c>
      <c r="AA12" s="49">
        <f t="shared" si="7"/>
        <v>3.0986E-2</v>
      </c>
      <c r="AB12" s="49">
        <f t="shared" si="7"/>
        <v>2.7521E-2</v>
      </c>
      <c r="AC12" s="49">
        <f t="shared" si="7"/>
        <v>3.7948999999999997E-2</v>
      </c>
      <c r="AD12" s="49">
        <f t="shared" si="7"/>
        <v>3.0089000000000001E-2</v>
      </c>
      <c r="AE12" s="49">
        <f t="shared" si="7"/>
        <v>3.7997999999999997E-2</v>
      </c>
      <c r="AF12" s="49">
        <f t="shared" ref="AF12:AG12" si="8">ROUND(AF9/AF10,6)</f>
        <v>3.6391E-2</v>
      </c>
      <c r="AG12" s="49">
        <f t="shared" si="8"/>
        <v>3.2532999999999999E-2</v>
      </c>
      <c r="AH12" s="49">
        <f t="shared" ref="AH12:AI12" si="9">ROUND(AH9/AH10,6)</f>
        <v>2.9243000000000002E-2</v>
      </c>
      <c r="AI12" s="49">
        <f t="shared" si="9"/>
        <v>3.5839000000000003E-2</v>
      </c>
      <c r="AJ12" s="18"/>
    </row>
    <row r="13" spans="1:37">
      <c r="A13" s="12"/>
      <c r="B13" s="19" t="s">
        <v>10</v>
      </c>
      <c r="C13" s="20"/>
      <c r="D13" s="21">
        <v>2.0931999999999999E-2</v>
      </c>
      <c r="E13" s="21">
        <v>2.0931999999999999E-2</v>
      </c>
      <c r="F13" s="21">
        <v>2.0931999999999999E-2</v>
      </c>
      <c r="G13" s="21">
        <v>2.0931999999999999E-2</v>
      </c>
      <c r="H13" s="21">
        <v>2.0931999999999999E-2</v>
      </c>
      <c r="I13" s="21">
        <v>2.0931999999999999E-2</v>
      </c>
      <c r="J13" s="21">
        <v>2.0931999999999999E-2</v>
      </c>
      <c r="K13" s="21">
        <v>2.0931999999999999E-2</v>
      </c>
      <c r="L13" s="21">
        <v>2.0931999999999999E-2</v>
      </c>
      <c r="M13" s="21">
        <v>2.0931999999999999E-2</v>
      </c>
      <c r="N13" s="21">
        <v>2.0931999999999999E-2</v>
      </c>
      <c r="O13" s="21">
        <v>2.0931999999999999E-2</v>
      </c>
      <c r="P13" s="21">
        <v>2.0931999999999999E-2</v>
      </c>
      <c r="Q13" s="21">
        <v>2.0931999999999999E-2</v>
      </c>
      <c r="R13" s="21">
        <v>2.0931999999999999E-2</v>
      </c>
      <c r="S13" s="21">
        <v>2.0931999999999999E-2</v>
      </c>
      <c r="T13" s="21">
        <v>2.0931999999999999E-2</v>
      </c>
      <c r="U13" s="21">
        <v>2.0931999999999999E-2</v>
      </c>
      <c r="V13" s="21">
        <v>2.0931999999999999E-2</v>
      </c>
      <c r="W13" s="21">
        <v>2.0931999999999999E-2</v>
      </c>
      <c r="X13" s="21">
        <v>2.0931999999999999E-2</v>
      </c>
      <c r="Y13" s="21">
        <v>2.0931999999999999E-2</v>
      </c>
      <c r="Z13" s="21">
        <v>2.0931999999999999E-2</v>
      </c>
      <c r="AA13" s="21">
        <v>2.0931999999999999E-2</v>
      </c>
      <c r="AB13" s="21">
        <v>2.0931999999999999E-2</v>
      </c>
      <c r="AC13" s="21">
        <v>2.0931999999999999E-2</v>
      </c>
      <c r="AD13" s="21">
        <v>2.0931999999999999E-2</v>
      </c>
      <c r="AE13" s="21">
        <v>2.0931999999999999E-2</v>
      </c>
      <c r="AF13" s="21">
        <v>2.0931999999999999E-2</v>
      </c>
      <c r="AG13" s="21">
        <v>2.0931999999999999E-2</v>
      </c>
      <c r="AH13" s="21">
        <v>2.0931999999999999E-2</v>
      </c>
      <c r="AI13" s="21">
        <v>2.0931999999999999E-2</v>
      </c>
      <c r="AJ13" s="22"/>
    </row>
    <row r="14" spans="1:37">
      <c r="A14" s="43"/>
      <c r="B14" s="44" t="s">
        <v>11</v>
      </c>
      <c r="C14" s="45"/>
      <c r="D14" s="68">
        <f t="shared" ref="D14:AE14" si="10">D12-D13</f>
        <v>1.3922000000000004E-2</v>
      </c>
      <c r="E14" s="68">
        <f t="shared" si="10"/>
        <v>7.6530000000000001E-3</v>
      </c>
      <c r="F14" s="68">
        <f t="shared" si="10"/>
        <v>1.1000000000000003E-3</v>
      </c>
      <c r="G14" s="68">
        <f t="shared" si="10"/>
        <v>2.7390000000000018E-3</v>
      </c>
      <c r="H14" s="68">
        <f t="shared" si="10"/>
        <v>2.5009999999999998E-3</v>
      </c>
      <c r="I14" s="68">
        <f t="shared" si="10"/>
        <v>3.772000000000001E-3</v>
      </c>
      <c r="J14" s="68">
        <f t="shared" si="10"/>
        <v>6.5349999999999991E-3</v>
      </c>
      <c r="K14" s="68">
        <f t="shared" si="10"/>
        <v>5.3869999999999994E-3</v>
      </c>
      <c r="L14" s="68">
        <f t="shared" si="10"/>
        <v>6.6130000000000008E-3</v>
      </c>
      <c r="M14" s="68">
        <f t="shared" si="10"/>
        <v>4.7030000000000023E-3</v>
      </c>
      <c r="N14" s="68">
        <f t="shared" si="10"/>
        <v>1.0994999999999998E-2</v>
      </c>
      <c r="O14" s="68">
        <f t="shared" si="10"/>
        <v>9.7210000000000005E-3</v>
      </c>
      <c r="P14" s="68">
        <f t="shared" si="10"/>
        <v>8.0210000000000004E-3</v>
      </c>
      <c r="Q14" s="68">
        <f t="shared" si="10"/>
        <v>5.62E-3</v>
      </c>
      <c r="R14" s="68">
        <f t="shared" si="10"/>
        <v>1.2989000000000001E-2</v>
      </c>
      <c r="S14" s="68">
        <f t="shared" si="10"/>
        <v>9.0670000000000021E-3</v>
      </c>
      <c r="T14" s="68">
        <f t="shared" si="10"/>
        <v>3.4800000000000005E-3</v>
      </c>
      <c r="U14" s="68">
        <f t="shared" si="10"/>
        <v>3.0570000000000007E-3</v>
      </c>
      <c r="V14" s="68">
        <f t="shared" si="10"/>
        <v>5.006E-3</v>
      </c>
      <c r="W14" s="68">
        <f t="shared" si="10"/>
        <v>7.6290000000000004E-3</v>
      </c>
      <c r="X14" s="68">
        <f t="shared" si="10"/>
        <v>1.0905999999999999E-2</v>
      </c>
      <c r="Y14" s="68">
        <f t="shared" si="10"/>
        <v>1.2507000000000004E-2</v>
      </c>
      <c r="Z14" s="68">
        <f t="shared" si="10"/>
        <v>1.0764000000000003E-2</v>
      </c>
      <c r="AA14" s="68">
        <f t="shared" si="10"/>
        <v>1.0054E-2</v>
      </c>
      <c r="AB14" s="68">
        <f t="shared" si="10"/>
        <v>6.5890000000000011E-3</v>
      </c>
      <c r="AC14" s="68">
        <f t="shared" si="10"/>
        <v>1.7016999999999997E-2</v>
      </c>
      <c r="AD14" s="68">
        <f t="shared" si="10"/>
        <v>9.1570000000000019E-3</v>
      </c>
      <c r="AE14" s="68">
        <f t="shared" si="10"/>
        <v>1.7065999999999998E-2</v>
      </c>
      <c r="AF14" s="68">
        <f t="shared" ref="AF14:AG14" si="11">AF12-AF13</f>
        <v>1.5459000000000001E-2</v>
      </c>
      <c r="AG14" s="68">
        <f t="shared" si="11"/>
        <v>1.1601E-2</v>
      </c>
      <c r="AH14" s="68">
        <f t="shared" ref="AH14:AI14" si="12">AH12-AH13</f>
        <v>8.3110000000000024E-3</v>
      </c>
      <c r="AI14" s="68">
        <f t="shared" si="12"/>
        <v>1.4907000000000004E-2</v>
      </c>
      <c r="AJ14" s="23"/>
    </row>
    <row r="15" spans="1:37" ht="35.1" customHeight="1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7">
      <c r="A16" s="8" t="s">
        <v>12</v>
      </c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2"/>
    </row>
    <row r="17" spans="1:37">
      <c r="A17" s="12" t="s">
        <v>13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2"/>
    </row>
    <row r="18" spans="1:37">
      <c r="A18" s="24" t="s">
        <v>14</v>
      </c>
      <c r="B18" s="25" t="s">
        <v>15</v>
      </c>
      <c r="C18" s="26"/>
      <c r="D18" s="27">
        <v>4863230</v>
      </c>
      <c r="E18" s="27">
        <v>5389338</v>
      </c>
      <c r="F18" s="27">
        <v>5513977</v>
      </c>
      <c r="G18" s="27">
        <v>5165582.2</v>
      </c>
      <c r="H18" s="27">
        <v>5466181.2999999998</v>
      </c>
      <c r="I18" s="27">
        <v>5370369</v>
      </c>
      <c r="J18" s="27">
        <v>3794587.83</v>
      </c>
      <c r="K18" s="27">
        <v>6229251</v>
      </c>
      <c r="L18" s="27">
        <v>5953354</v>
      </c>
      <c r="M18" s="27">
        <v>2465867</v>
      </c>
      <c r="N18" s="27">
        <v>6572353</v>
      </c>
      <c r="O18" s="27">
        <v>5262483</v>
      </c>
      <c r="P18" s="27">
        <v>5638402</v>
      </c>
      <c r="Q18" s="27">
        <v>6360156</v>
      </c>
      <c r="R18" s="27">
        <v>4984690</v>
      </c>
      <c r="S18" s="27">
        <v>1985256</v>
      </c>
      <c r="T18" s="27">
        <v>3143356</v>
      </c>
      <c r="U18" s="27">
        <v>6006451</v>
      </c>
      <c r="V18" s="27">
        <v>5536049</v>
      </c>
      <c r="W18" s="27">
        <v>6277662.8799999999</v>
      </c>
      <c r="X18" s="27">
        <v>5753647.0300000003</v>
      </c>
      <c r="Y18" s="27">
        <v>5691977</v>
      </c>
      <c r="Z18" s="27">
        <v>5358048</v>
      </c>
      <c r="AA18" s="27">
        <v>5905047</v>
      </c>
      <c r="AB18" s="27">
        <v>1450620</v>
      </c>
      <c r="AC18" s="27">
        <v>5768334.9500000002</v>
      </c>
      <c r="AD18" s="27">
        <v>5543969.6500000004</v>
      </c>
      <c r="AE18" s="27">
        <v>5558171</v>
      </c>
      <c r="AF18" s="27">
        <v>3845009</v>
      </c>
      <c r="AG18" s="27">
        <v>7356608</v>
      </c>
      <c r="AH18" s="27">
        <v>4914520</v>
      </c>
      <c r="AI18" s="27">
        <v>5195107</v>
      </c>
      <c r="AJ18" s="25"/>
    </row>
    <row r="19" spans="1:37">
      <c r="A19" s="24" t="s">
        <v>14</v>
      </c>
      <c r="B19" s="25" t="s">
        <v>16</v>
      </c>
      <c r="C19" s="26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5"/>
    </row>
    <row r="20" spans="1:37">
      <c r="A20" s="24" t="s">
        <v>14</v>
      </c>
      <c r="B20" s="25" t="s">
        <v>17</v>
      </c>
      <c r="C20" s="26"/>
      <c r="D20" s="28">
        <v>308132</v>
      </c>
      <c r="E20" s="28">
        <v>343986</v>
      </c>
      <c r="F20" s="28">
        <v>113812</v>
      </c>
      <c r="G20" s="28">
        <v>307576</v>
      </c>
      <c r="H20" s="28">
        <v>196873.37</v>
      </c>
      <c r="I20" s="28">
        <v>120284</v>
      </c>
      <c r="J20" s="28">
        <v>92657.37</v>
      </c>
      <c r="K20" s="28">
        <v>29645</v>
      </c>
      <c r="L20" s="28">
        <v>350291</v>
      </c>
      <c r="M20" s="28">
        <v>294899</v>
      </c>
      <c r="N20" s="28">
        <v>63851</v>
      </c>
      <c r="O20" s="28">
        <v>338519</v>
      </c>
      <c r="P20" s="28">
        <v>151355</v>
      </c>
      <c r="Q20" s="28">
        <v>167558</v>
      </c>
      <c r="R20" s="28">
        <v>210871</v>
      </c>
      <c r="S20" s="28">
        <v>57373</v>
      </c>
      <c r="T20" s="28">
        <v>422627</v>
      </c>
      <c r="U20" s="28">
        <v>245183</v>
      </c>
      <c r="V20" s="28">
        <v>153004</v>
      </c>
      <c r="W20" s="28">
        <v>169170.51</v>
      </c>
      <c r="X20" s="28">
        <v>96021.47</v>
      </c>
      <c r="Y20" s="28">
        <v>257800</v>
      </c>
      <c r="Z20" s="28">
        <v>118038</v>
      </c>
      <c r="AA20" s="28">
        <v>231312</v>
      </c>
      <c r="AB20" s="28">
        <v>321131</v>
      </c>
      <c r="AC20" s="28">
        <v>220392.72</v>
      </c>
      <c r="AD20" s="28">
        <v>569676.48</v>
      </c>
      <c r="AE20" s="28">
        <v>3155</v>
      </c>
      <c r="AF20" s="28">
        <v>274416</v>
      </c>
      <c r="AG20" s="28">
        <v>29098</v>
      </c>
      <c r="AH20" s="28">
        <v>213023</v>
      </c>
      <c r="AI20" s="28">
        <v>283030</v>
      </c>
      <c r="AJ20" s="25"/>
    </row>
    <row r="21" spans="1:37">
      <c r="A21" s="24" t="s">
        <v>14</v>
      </c>
      <c r="B21" s="25" t="s">
        <v>18</v>
      </c>
      <c r="C21" s="29"/>
      <c r="D21" s="28">
        <v>5635107</v>
      </c>
      <c r="E21" s="28">
        <v>13920</v>
      </c>
      <c r="F21" s="28">
        <v>0</v>
      </c>
      <c r="G21" s="28">
        <v>111054.31</v>
      </c>
      <c r="H21" s="28">
        <v>239140.94</v>
      </c>
      <c r="I21" s="28">
        <v>987021</v>
      </c>
      <c r="J21" s="28">
        <v>599590.23</v>
      </c>
      <c r="K21" s="28">
        <v>1598530</v>
      </c>
      <c r="L21" s="28">
        <v>1510270</v>
      </c>
      <c r="M21" s="28">
        <v>448079</v>
      </c>
      <c r="N21" s="28">
        <v>199824</v>
      </c>
      <c r="O21" s="28">
        <v>289870</v>
      </c>
      <c r="P21" s="28">
        <v>259495</v>
      </c>
      <c r="Q21" s="28">
        <v>416254</v>
      </c>
      <c r="R21" s="28">
        <v>859162</v>
      </c>
      <c r="S21" s="28">
        <v>1412743</v>
      </c>
      <c r="T21" s="28">
        <v>2461901</v>
      </c>
      <c r="U21" s="28">
        <v>4087677</v>
      </c>
      <c r="V21" s="28">
        <v>2085128</v>
      </c>
      <c r="W21" s="28">
        <v>2463050.84</v>
      </c>
      <c r="X21" s="28">
        <v>2749786.35</v>
      </c>
      <c r="Y21" s="28">
        <v>2558604</v>
      </c>
      <c r="Z21" s="28">
        <v>1475848</v>
      </c>
      <c r="AA21" s="28">
        <v>486731</v>
      </c>
      <c r="AB21" s="28">
        <v>1767439</v>
      </c>
      <c r="AC21" s="28">
        <v>1752873.59</v>
      </c>
      <c r="AD21" s="28">
        <v>0</v>
      </c>
      <c r="AE21" s="28">
        <v>471165</v>
      </c>
      <c r="AF21" s="28">
        <v>5418572</v>
      </c>
      <c r="AG21" s="28">
        <v>4350091</v>
      </c>
      <c r="AH21" s="28">
        <v>4115109</v>
      </c>
      <c r="AI21" s="28">
        <v>6866994</v>
      </c>
      <c r="AJ21" s="25"/>
    </row>
    <row r="22" spans="1:37">
      <c r="A22" s="24" t="s">
        <v>14</v>
      </c>
      <c r="B22" s="25" t="s">
        <v>19</v>
      </c>
      <c r="C22" s="26"/>
      <c r="D22" s="28">
        <v>0</v>
      </c>
      <c r="E22" s="28">
        <v>0</v>
      </c>
      <c r="F22" s="28"/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5"/>
    </row>
    <row r="23" spans="1:37">
      <c r="A23" s="24" t="s">
        <v>20</v>
      </c>
      <c r="B23" s="25" t="s">
        <v>21</v>
      </c>
      <c r="C23" s="26"/>
      <c r="D23" s="28">
        <v>95001</v>
      </c>
      <c r="E23" s="28">
        <v>6523</v>
      </c>
      <c r="F23" s="28">
        <v>0</v>
      </c>
      <c r="G23" s="28">
        <v>19730.23</v>
      </c>
      <c r="H23" s="28">
        <v>15506.18</v>
      </c>
      <c r="I23" s="28">
        <v>6159</v>
      </c>
      <c r="J23" s="28">
        <v>3032.2</v>
      </c>
      <c r="K23" s="28">
        <v>32741.15</v>
      </c>
      <c r="L23" s="28">
        <v>6399</v>
      </c>
      <c r="M23" s="28">
        <v>7583</v>
      </c>
      <c r="N23" s="28">
        <v>4845</v>
      </c>
      <c r="O23" s="28">
        <v>4871</v>
      </c>
      <c r="P23" s="28">
        <v>30672</v>
      </c>
      <c r="Q23" s="28">
        <v>0</v>
      </c>
      <c r="R23" s="28">
        <v>14455</v>
      </c>
      <c r="S23" s="28">
        <v>21108</v>
      </c>
      <c r="T23" s="28">
        <v>3154</v>
      </c>
      <c r="U23" s="28">
        <v>438</v>
      </c>
      <c r="V23" s="28">
        <v>601</v>
      </c>
      <c r="W23" s="28">
        <v>1582.99</v>
      </c>
      <c r="X23" s="28">
        <v>0</v>
      </c>
      <c r="Y23" s="28">
        <v>0</v>
      </c>
      <c r="Z23" s="28">
        <v>19539</v>
      </c>
      <c r="AA23" s="28">
        <v>17066</v>
      </c>
      <c r="AB23" s="28">
        <v>39354</v>
      </c>
      <c r="AC23" s="28">
        <v>35958.300000000003</v>
      </c>
      <c r="AD23" s="28">
        <v>0</v>
      </c>
      <c r="AE23" s="28">
        <v>0</v>
      </c>
      <c r="AF23" s="28">
        <v>45479</v>
      </c>
      <c r="AG23" s="28">
        <v>47701</v>
      </c>
      <c r="AH23" s="28">
        <v>0</v>
      </c>
      <c r="AI23" s="28">
        <v>0</v>
      </c>
      <c r="AJ23" s="25"/>
    </row>
    <row r="24" spans="1:37">
      <c r="A24" s="24" t="s">
        <v>14</v>
      </c>
      <c r="B24" s="25" t="s">
        <v>22</v>
      </c>
      <c r="C24" s="26"/>
      <c r="D24" s="28">
        <v>113442</v>
      </c>
      <c r="E24" s="28">
        <v>764327</v>
      </c>
      <c r="F24" s="28">
        <v>76575</v>
      </c>
      <c r="G24" s="28">
        <v>102283.09</v>
      </c>
      <c r="H24" s="28">
        <v>0</v>
      </c>
      <c r="I24" s="28">
        <v>916088</v>
      </c>
      <c r="J24" s="28">
        <v>789527.03</v>
      </c>
      <c r="K24" s="28">
        <v>915901.16</v>
      </c>
      <c r="L24" s="28">
        <v>0</v>
      </c>
      <c r="M24" s="28">
        <v>851895</v>
      </c>
      <c r="N24" s="28">
        <v>0</v>
      </c>
      <c r="O24" s="28">
        <v>640622</v>
      </c>
      <c r="P24" s="28">
        <v>740084</v>
      </c>
      <c r="Q24" s="28">
        <v>1466471</v>
      </c>
      <c r="R24" s="28">
        <v>627269</v>
      </c>
      <c r="S24" s="28">
        <v>30680</v>
      </c>
      <c r="T24" s="28">
        <v>52731</v>
      </c>
      <c r="U24" s="28">
        <v>515936</v>
      </c>
      <c r="V24" s="28">
        <v>940894</v>
      </c>
      <c r="W24" s="28">
        <v>85422.53</v>
      </c>
      <c r="X24" s="28">
        <v>290353.34999999998</v>
      </c>
      <c r="Y24" s="28">
        <v>119538</v>
      </c>
      <c r="Z24" s="28">
        <v>871491</v>
      </c>
      <c r="AA24" s="28"/>
      <c r="AB24" s="28">
        <v>6674905</v>
      </c>
      <c r="AC24" s="28">
        <v>880924.46</v>
      </c>
      <c r="AD24" s="28">
        <v>1316015.8999999999</v>
      </c>
      <c r="AE24" s="28">
        <v>215824</v>
      </c>
      <c r="AF24" s="28">
        <v>226538</v>
      </c>
      <c r="AG24" s="28">
        <v>0</v>
      </c>
      <c r="AH24" s="28">
        <v>1943307</v>
      </c>
      <c r="AI24" s="28">
        <v>1704687</v>
      </c>
      <c r="AJ24" s="25"/>
    </row>
    <row r="25" spans="1:37">
      <c r="A25" s="24" t="s">
        <v>20</v>
      </c>
      <c r="B25" s="25" t="s">
        <v>23</v>
      </c>
      <c r="C25" s="29" t="s">
        <v>24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53476.41</v>
      </c>
      <c r="K25" s="28">
        <v>39937.480000000003</v>
      </c>
      <c r="L25" s="28">
        <v>0</v>
      </c>
      <c r="M25" s="28">
        <v>3935</v>
      </c>
      <c r="N25" s="28">
        <v>0</v>
      </c>
      <c r="O25" s="28">
        <v>0</v>
      </c>
      <c r="P25" s="28">
        <v>0</v>
      </c>
      <c r="Q25" s="28">
        <v>573209</v>
      </c>
      <c r="R25" s="28">
        <v>1897</v>
      </c>
      <c r="S25" s="28">
        <v>19462</v>
      </c>
      <c r="T25" s="28">
        <v>5713</v>
      </c>
      <c r="U25" s="28">
        <v>0</v>
      </c>
      <c r="V25" s="28">
        <v>356229</v>
      </c>
      <c r="W25" s="28">
        <v>0</v>
      </c>
      <c r="X25" s="28">
        <v>0</v>
      </c>
      <c r="Y25" s="28"/>
      <c r="Z25" s="28"/>
      <c r="AA25" s="28"/>
      <c r="AB25" s="28"/>
      <c r="AC25" s="28">
        <v>19058.75</v>
      </c>
      <c r="AD25" s="28">
        <v>0</v>
      </c>
      <c r="AE25" s="28">
        <v>67110</v>
      </c>
      <c r="AF25" s="28"/>
      <c r="AG25" s="28">
        <v>0</v>
      </c>
      <c r="AH25" s="28">
        <v>0</v>
      </c>
      <c r="AI25" s="28">
        <v>839500</v>
      </c>
      <c r="AJ25" s="25"/>
    </row>
    <row r="26" spans="1:37">
      <c r="A26" s="24" t="s">
        <v>20</v>
      </c>
      <c r="B26" s="25" t="s">
        <v>25</v>
      </c>
      <c r="C26" s="26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5"/>
    </row>
    <row r="27" spans="1:37">
      <c r="A27" s="24" t="s">
        <v>20</v>
      </c>
      <c r="B27" s="30" t="s">
        <v>26</v>
      </c>
      <c r="C27" s="31" t="s">
        <v>24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13"/>
    </row>
    <row r="28" spans="1:37">
      <c r="A28" s="24" t="s">
        <v>27</v>
      </c>
      <c r="B28" s="25" t="s">
        <v>28</v>
      </c>
      <c r="C28" s="26"/>
      <c r="D28" s="33">
        <f t="shared" ref="D28:AE28" si="13">D18+D19+D20+D21+D22-D23+D24-D25-D26-D27</f>
        <v>10824910</v>
      </c>
      <c r="E28" s="33">
        <f t="shared" si="13"/>
        <v>6505048</v>
      </c>
      <c r="F28" s="33">
        <f t="shared" si="13"/>
        <v>5704364</v>
      </c>
      <c r="G28" s="33">
        <f t="shared" si="13"/>
        <v>5666765.3699999992</v>
      </c>
      <c r="H28" s="33">
        <f t="shared" si="13"/>
        <v>5886689.4300000006</v>
      </c>
      <c r="I28" s="33">
        <f t="shared" si="13"/>
        <v>7387603</v>
      </c>
      <c r="J28" s="33">
        <f t="shared" si="13"/>
        <v>5219853.8499999996</v>
      </c>
      <c r="K28" s="33">
        <f t="shared" si="13"/>
        <v>8700648.5299999993</v>
      </c>
      <c r="L28" s="33">
        <f t="shared" si="13"/>
        <v>7807516</v>
      </c>
      <c r="M28" s="33">
        <f t="shared" si="13"/>
        <v>4049222</v>
      </c>
      <c r="N28" s="33">
        <f t="shared" si="13"/>
        <v>6831183</v>
      </c>
      <c r="O28" s="33">
        <f t="shared" si="13"/>
        <v>6526623</v>
      </c>
      <c r="P28" s="33">
        <f t="shared" si="13"/>
        <v>6758664</v>
      </c>
      <c r="Q28" s="33">
        <f t="shared" si="13"/>
        <v>7837230</v>
      </c>
      <c r="R28" s="33">
        <f t="shared" si="13"/>
        <v>6665640</v>
      </c>
      <c r="S28" s="33">
        <f t="shared" si="13"/>
        <v>3445482</v>
      </c>
      <c r="T28" s="33">
        <f t="shared" si="13"/>
        <v>6071748</v>
      </c>
      <c r="U28" s="33">
        <f t="shared" si="13"/>
        <v>10854809</v>
      </c>
      <c r="V28" s="33">
        <f t="shared" si="13"/>
        <v>8358245</v>
      </c>
      <c r="W28" s="33">
        <f t="shared" si="13"/>
        <v>8993723.7699999996</v>
      </c>
      <c r="X28" s="33">
        <f t="shared" si="13"/>
        <v>8889808.1999999993</v>
      </c>
      <c r="Y28" s="33">
        <f t="shared" si="13"/>
        <v>8627919</v>
      </c>
      <c r="Z28" s="33">
        <f t="shared" si="13"/>
        <v>7803886</v>
      </c>
      <c r="AA28" s="33">
        <f t="shared" si="13"/>
        <v>6606024</v>
      </c>
      <c r="AB28" s="33">
        <f t="shared" si="13"/>
        <v>10174741</v>
      </c>
      <c r="AC28" s="33">
        <f t="shared" si="13"/>
        <v>8567508.6699999999</v>
      </c>
      <c r="AD28" s="33">
        <f t="shared" si="13"/>
        <v>7429662.0300000012</v>
      </c>
      <c r="AE28" s="33">
        <f t="shared" si="13"/>
        <v>6181205</v>
      </c>
      <c r="AF28" s="33">
        <f t="shared" ref="AF28:AG28" si="14">AF18+AF19+AF20+AF21+AF22-AF23+AF24-AF25-AF26-AF27</f>
        <v>9719056</v>
      </c>
      <c r="AG28" s="33">
        <f t="shared" si="14"/>
        <v>11688096</v>
      </c>
      <c r="AH28" s="33">
        <f t="shared" ref="AH28:AI28" si="15">AH18+AH19+AH20+AH21+AH22-AH23+AH24-AH25-AH26-AH27</f>
        <v>11185959</v>
      </c>
      <c r="AI28" s="33">
        <f t="shared" si="15"/>
        <v>13210318</v>
      </c>
      <c r="AJ28" s="13"/>
    </row>
    <row r="29" spans="1:37">
      <c r="A29" s="13"/>
      <c r="B29" s="25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13"/>
    </row>
    <row r="30" spans="1:37">
      <c r="A30" s="13" t="s">
        <v>29</v>
      </c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13"/>
    </row>
    <row r="31" spans="1:37">
      <c r="A31" s="24" t="s">
        <v>14</v>
      </c>
      <c r="B31" s="69" t="s">
        <v>30</v>
      </c>
      <c r="C31" s="29" t="s">
        <v>24</v>
      </c>
      <c r="D31" s="27">
        <v>-822680</v>
      </c>
      <c r="E31" s="27">
        <v>695544</v>
      </c>
      <c r="F31" s="27">
        <v>462915</v>
      </c>
      <c r="G31" s="27">
        <v>635075.98</v>
      </c>
      <c r="H31" s="27">
        <v>675833.54</v>
      </c>
      <c r="I31" s="27">
        <v>951531</v>
      </c>
      <c r="J31" s="27">
        <v>4883658.92</v>
      </c>
      <c r="K31" s="27">
        <v>3630241</v>
      </c>
      <c r="L31" s="27">
        <v>4712638</v>
      </c>
      <c r="M31" s="27">
        <v>4780003</v>
      </c>
      <c r="N31" s="27">
        <v>3932402</v>
      </c>
      <c r="O31" s="27">
        <v>5319835</v>
      </c>
      <c r="P31" s="27">
        <v>5297304</v>
      </c>
      <c r="Q31" s="27">
        <v>6465275</v>
      </c>
      <c r="R31" s="27">
        <v>5529064</v>
      </c>
      <c r="S31" s="27">
        <v>3196978</v>
      </c>
      <c r="T31" s="27">
        <v>1324598</v>
      </c>
      <c r="U31" s="27">
        <v>2472722</v>
      </c>
      <c r="V31" s="27">
        <v>4301574</v>
      </c>
      <c r="W31" s="27">
        <v>4226712.67</v>
      </c>
      <c r="X31" s="27">
        <v>6492631.7999999998</v>
      </c>
      <c r="Y31" s="27">
        <v>3631894</v>
      </c>
      <c r="Z31" s="27">
        <v>3619753</v>
      </c>
      <c r="AA31" s="27">
        <v>4633947</v>
      </c>
      <c r="AB31" s="27">
        <v>5793704</v>
      </c>
      <c r="AC31" s="27">
        <v>9461411.75</v>
      </c>
      <c r="AD31" s="27">
        <v>1460732.92</v>
      </c>
      <c r="AE31" s="27">
        <v>6262070</v>
      </c>
      <c r="AF31" s="27">
        <v>6398593</v>
      </c>
      <c r="AG31" s="27">
        <v>3105821</v>
      </c>
      <c r="AH31" s="27">
        <v>4257005</v>
      </c>
      <c r="AI31" s="27">
        <v>4137560</v>
      </c>
      <c r="AJ31" s="34"/>
      <c r="AK31" s="14"/>
    </row>
    <row r="32" spans="1:37">
      <c r="A32" s="24" t="s">
        <v>14</v>
      </c>
      <c r="B32" s="25" t="s">
        <v>31</v>
      </c>
      <c r="C32" s="29"/>
      <c r="D32" s="28">
        <v>13597586</v>
      </c>
      <c r="E32" s="28">
        <v>5022867</v>
      </c>
      <c r="F32" s="28">
        <v>1622860</v>
      </c>
      <c r="G32" s="28">
        <v>4050413.67</v>
      </c>
      <c r="H32" s="28">
        <v>2824186.96</v>
      </c>
      <c r="I32" s="28">
        <v>2897872</v>
      </c>
      <c r="J32" s="28">
        <v>1635067.9</v>
      </c>
      <c r="K32" s="28">
        <v>1801568.45</v>
      </c>
      <c r="L32" s="28">
        <v>1266744</v>
      </c>
      <c r="M32" s="28">
        <v>1021088</v>
      </c>
      <c r="N32" s="28">
        <v>1234768</v>
      </c>
      <c r="O32" s="28">
        <v>1171370</v>
      </c>
      <c r="P32" s="28">
        <v>1070389</v>
      </c>
      <c r="Q32" s="28">
        <v>5367559</v>
      </c>
      <c r="R32" s="28">
        <v>752595</v>
      </c>
      <c r="S32" s="28">
        <v>5188122</v>
      </c>
      <c r="T32" s="28">
        <v>4173226</v>
      </c>
      <c r="U32" s="28">
        <v>1908581</v>
      </c>
      <c r="V32" s="28">
        <v>1165805</v>
      </c>
      <c r="W32" s="28">
        <v>2123244.58</v>
      </c>
      <c r="X32" s="28">
        <v>567399.99</v>
      </c>
      <c r="Y32" s="28">
        <v>3644854</v>
      </c>
      <c r="Z32" s="28">
        <v>2444095</v>
      </c>
      <c r="AA32" s="28">
        <v>1946972</v>
      </c>
      <c r="AB32" s="28">
        <v>1937021</v>
      </c>
      <c r="AC32" s="28">
        <v>6871757.5099999998</v>
      </c>
      <c r="AD32" s="28">
        <v>12166415.300000001</v>
      </c>
      <c r="AE32" s="28">
        <v>3753173</v>
      </c>
      <c r="AF32" s="28">
        <v>2734356</v>
      </c>
      <c r="AG32" s="28">
        <v>1149878</v>
      </c>
      <c r="AH32" s="28">
        <v>1953345</v>
      </c>
      <c r="AI32" s="28">
        <v>7022239</v>
      </c>
      <c r="AJ32" s="25"/>
    </row>
    <row r="33" spans="1:37">
      <c r="A33" s="24" t="s">
        <v>14</v>
      </c>
      <c r="B33" s="25" t="s">
        <v>32</v>
      </c>
      <c r="C33" s="29" t="s">
        <v>24</v>
      </c>
      <c r="D33" s="28">
        <v>462021</v>
      </c>
      <c r="E33" s="28">
        <v>1240074</v>
      </c>
      <c r="F33" s="28">
        <v>122515</v>
      </c>
      <c r="G33" s="28">
        <v>151696.89000000001</v>
      </c>
      <c r="H33" s="28">
        <v>0</v>
      </c>
      <c r="I33" s="28">
        <v>290729</v>
      </c>
      <c r="J33" s="28">
        <v>670379</v>
      </c>
      <c r="K33" s="28">
        <v>672891</v>
      </c>
      <c r="L33" s="28">
        <v>224500</v>
      </c>
      <c r="M33" s="28">
        <v>1847235</v>
      </c>
      <c r="N33" s="28">
        <v>0</v>
      </c>
      <c r="O33" s="28">
        <v>1088514</v>
      </c>
      <c r="P33" s="28">
        <v>836526</v>
      </c>
      <c r="Q33" s="28">
        <v>203745</v>
      </c>
      <c r="R33" s="28">
        <v>766710</v>
      </c>
      <c r="S33" s="28">
        <v>3811</v>
      </c>
      <c r="T33" s="28">
        <v>36240</v>
      </c>
      <c r="U33" s="28">
        <v>537272</v>
      </c>
      <c r="V33" s="28">
        <v>829040</v>
      </c>
      <c r="W33" s="28">
        <v>192408.59</v>
      </c>
      <c r="X33" s="28">
        <v>660418.56999999995</v>
      </c>
      <c r="Y33" s="28">
        <v>225982</v>
      </c>
      <c r="Z33" s="28">
        <v>1119536</v>
      </c>
      <c r="AA33" s="28"/>
      <c r="AB33" s="28">
        <v>8038248</v>
      </c>
      <c r="AC33" s="28">
        <v>1328570.95</v>
      </c>
      <c r="AD33" s="28">
        <v>3004758.04</v>
      </c>
      <c r="AE33" s="28">
        <v>26566</v>
      </c>
      <c r="AF33" s="28">
        <v>211812</v>
      </c>
      <c r="AG33" s="28">
        <v>0</v>
      </c>
      <c r="AH33" s="28">
        <v>5683083</v>
      </c>
      <c r="AI33" s="28">
        <v>776346</v>
      </c>
      <c r="AJ33" s="25"/>
    </row>
    <row r="34" spans="1:37">
      <c r="A34" s="24" t="s">
        <v>20</v>
      </c>
      <c r="B34" s="25" t="s">
        <v>33</v>
      </c>
      <c r="C34" s="29" t="s">
        <v>24</v>
      </c>
      <c r="D34" s="28">
        <v>462021</v>
      </c>
      <c r="E34" s="28">
        <v>1240074</v>
      </c>
      <c r="F34" s="28">
        <v>122515</v>
      </c>
      <c r="G34" s="28">
        <v>151696.89000000001</v>
      </c>
      <c r="H34" s="28">
        <v>0</v>
      </c>
      <c r="I34" s="28">
        <v>916088</v>
      </c>
      <c r="J34" s="28">
        <v>736051</v>
      </c>
      <c r="K34" s="28">
        <v>875964</v>
      </c>
      <c r="L34" s="28">
        <v>224500</v>
      </c>
      <c r="M34" s="28">
        <v>1847235</v>
      </c>
      <c r="N34" s="28">
        <v>0</v>
      </c>
      <c r="O34" s="28">
        <v>1088514</v>
      </c>
      <c r="P34" s="28">
        <v>836526</v>
      </c>
      <c r="Q34" s="28">
        <v>893262</v>
      </c>
      <c r="R34" s="28">
        <v>766710</v>
      </c>
      <c r="S34" s="28">
        <v>11218</v>
      </c>
      <c r="T34" s="28">
        <v>47018</v>
      </c>
      <c r="U34" s="28">
        <v>537272</v>
      </c>
      <c r="V34" s="28">
        <v>829040</v>
      </c>
      <c r="W34" s="28">
        <v>192408.59</v>
      </c>
      <c r="X34" s="28">
        <v>660418.56999999995</v>
      </c>
      <c r="Y34" s="28">
        <v>225982</v>
      </c>
      <c r="Z34" s="28">
        <v>1119536</v>
      </c>
      <c r="AA34" s="28">
        <v>0</v>
      </c>
      <c r="AB34" s="28">
        <v>8038248</v>
      </c>
      <c r="AC34" s="28">
        <v>1328570.95</v>
      </c>
      <c r="AD34" s="28">
        <v>3004758.04</v>
      </c>
      <c r="AE34" s="28">
        <v>148714</v>
      </c>
      <c r="AF34" s="28">
        <v>226538</v>
      </c>
      <c r="AG34" s="28">
        <v>0</v>
      </c>
      <c r="AH34" s="28">
        <v>5683083</v>
      </c>
      <c r="AI34" s="28">
        <v>865187</v>
      </c>
      <c r="AJ34" s="25"/>
    </row>
    <row r="35" spans="1:37">
      <c r="A35" s="24" t="s">
        <v>20</v>
      </c>
      <c r="B35" s="25" t="s">
        <v>34</v>
      </c>
      <c r="C35" s="26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/>
      <c r="Y35" s="28"/>
      <c r="Z35" s="28"/>
      <c r="AA35" s="28"/>
      <c r="AB35" s="28"/>
      <c r="AC35" s="28"/>
      <c r="AD35" s="28"/>
      <c r="AE35" s="28"/>
      <c r="AF35" s="28"/>
      <c r="AG35" s="28">
        <v>0</v>
      </c>
      <c r="AH35" s="28"/>
      <c r="AI35" s="28"/>
      <c r="AJ35" s="25"/>
    </row>
    <row r="36" spans="1:37">
      <c r="A36" s="24" t="s">
        <v>20</v>
      </c>
      <c r="B36" s="25" t="s">
        <v>35</v>
      </c>
      <c r="C36" s="29" t="s">
        <v>24</v>
      </c>
      <c r="D36" s="28">
        <v>877203</v>
      </c>
      <c r="E36" s="28">
        <v>838422</v>
      </c>
      <c r="F36" s="28">
        <v>368869</v>
      </c>
      <c r="G36" s="28">
        <v>506202.78</v>
      </c>
      <c r="H36" s="28">
        <v>534622.52</v>
      </c>
      <c r="I36" s="28">
        <v>499702</v>
      </c>
      <c r="J36" s="28">
        <v>501647</v>
      </c>
      <c r="K36" s="28">
        <v>604940</v>
      </c>
      <c r="L36" s="28">
        <v>390238</v>
      </c>
      <c r="M36" s="28">
        <v>528017</v>
      </c>
      <c r="N36" s="28">
        <v>566442</v>
      </c>
      <c r="O36" s="28">
        <v>564264</v>
      </c>
      <c r="P36" s="28">
        <v>507868</v>
      </c>
      <c r="Q36" s="28">
        <v>483079</v>
      </c>
      <c r="R36" s="28">
        <v>412172</v>
      </c>
      <c r="S36" s="28">
        <v>389820</v>
      </c>
      <c r="T36" s="28">
        <v>473531</v>
      </c>
      <c r="U36" s="28">
        <v>490041</v>
      </c>
      <c r="V36" s="28">
        <v>439638</v>
      </c>
      <c r="W36" s="28">
        <v>438897.27</v>
      </c>
      <c r="X36" s="28">
        <v>562517.06999999995</v>
      </c>
      <c r="Y36" s="28">
        <v>443276</v>
      </c>
      <c r="Z36" s="28">
        <v>466321</v>
      </c>
      <c r="AA36" s="28">
        <v>537461</v>
      </c>
      <c r="AB36" s="28">
        <v>736293</v>
      </c>
      <c r="AC36" s="28">
        <v>645026</v>
      </c>
      <c r="AD36" s="28">
        <v>533918.5</v>
      </c>
      <c r="AE36" s="28">
        <v>617031</v>
      </c>
      <c r="AF36" s="28">
        <v>527990</v>
      </c>
      <c r="AG36" s="28">
        <v>502332</v>
      </c>
      <c r="AH36" s="28">
        <v>351040</v>
      </c>
      <c r="AI36" s="28">
        <v>399532</v>
      </c>
      <c r="AJ36" s="25"/>
    </row>
    <row r="37" spans="1:37">
      <c r="A37" s="24" t="s">
        <v>20</v>
      </c>
      <c r="B37" s="30" t="s">
        <v>36</v>
      </c>
      <c r="C37" s="31"/>
      <c r="D37" s="32">
        <v>3972625</v>
      </c>
      <c r="E37" s="32">
        <v>1975</v>
      </c>
      <c r="F37" s="32">
        <v>154627</v>
      </c>
      <c r="G37" s="32">
        <v>0</v>
      </c>
      <c r="H37" s="32">
        <v>431.99</v>
      </c>
      <c r="I37" s="32">
        <v>14037</v>
      </c>
      <c r="J37" s="32">
        <v>214190</v>
      </c>
      <c r="K37" s="32">
        <v>111035</v>
      </c>
      <c r="L37" s="32">
        <v>148961</v>
      </c>
      <c r="M37" s="32">
        <v>53164</v>
      </c>
      <c r="N37" s="32">
        <v>10716</v>
      </c>
      <c r="O37" s="32">
        <v>1263</v>
      </c>
      <c r="P37" s="32">
        <v>57348</v>
      </c>
      <c r="Q37" s="32">
        <v>4434071</v>
      </c>
      <c r="R37" s="32">
        <v>99154</v>
      </c>
      <c r="S37" s="32">
        <v>173646</v>
      </c>
      <c r="T37" s="32">
        <v>209243</v>
      </c>
      <c r="U37" s="32">
        <v>568989</v>
      </c>
      <c r="V37" s="32">
        <v>287016</v>
      </c>
      <c r="W37" s="32">
        <v>440922.68</v>
      </c>
      <c r="X37" s="32">
        <v>2452.94</v>
      </c>
      <c r="Y37" s="32">
        <v>518545</v>
      </c>
      <c r="Z37" s="32">
        <v>278731</v>
      </c>
      <c r="AA37" s="32">
        <v>78144</v>
      </c>
      <c r="AB37" s="32">
        <v>173017</v>
      </c>
      <c r="AC37" s="32">
        <v>2368706.3199999998</v>
      </c>
      <c r="AD37" s="32">
        <v>7123726.4699999997</v>
      </c>
      <c r="AE37" s="32">
        <v>133713</v>
      </c>
      <c r="AF37" s="32">
        <v>322953</v>
      </c>
      <c r="AG37" s="32">
        <v>88748</v>
      </c>
      <c r="AH37" s="32">
        <v>648971</v>
      </c>
      <c r="AI37" s="32">
        <v>2023739</v>
      </c>
      <c r="AJ37" s="13"/>
    </row>
    <row r="38" spans="1:37">
      <c r="A38" s="24" t="s">
        <v>37</v>
      </c>
      <c r="B38" s="25" t="s">
        <v>38</v>
      </c>
      <c r="C38" s="26"/>
      <c r="D38" s="33">
        <f t="shared" ref="D38:AE38" si="16">D31+D32+D33-D34-D35-D36-D37</f>
        <v>7925078</v>
      </c>
      <c r="E38" s="33">
        <f t="shared" si="16"/>
        <v>4878014</v>
      </c>
      <c r="F38" s="33">
        <f t="shared" si="16"/>
        <v>1562279</v>
      </c>
      <c r="G38" s="33">
        <f t="shared" si="16"/>
        <v>4179286.87</v>
      </c>
      <c r="H38" s="33">
        <f t="shared" si="16"/>
        <v>2964965.9899999998</v>
      </c>
      <c r="I38" s="33">
        <f t="shared" si="16"/>
        <v>2710305</v>
      </c>
      <c r="J38" s="33">
        <f t="shared" si="16"/>
        <v>5737217.8200000003</v>
      </c>
      <c r="K38" s="33">
        <f t="shared" si="16"/>
        <v>4512761.45</v>
      </c>
      <c r="L38" s="33">
        <f t="shared" si="16"/>
        <v>5440183</v>
      </c>
      <c r="M38" s="33">
        <f t="shared" si="16"/>
        <v>5219910</v>
      </c>
      <c r="N38" s="33">
        <f t="shared" si="16"/>
        <v>4590012</v>
      </c>
      <c r="O38" s="33">
        <f t="shared" si="16"/>
        <v>5925678</v>
      </c>
      <c r="P38" s="33">
        <f t="shared" si="16"/>
        <v>5802477</v>
      </c>
      <c r="Q38" s="33">
        <f t="shared" si="16"/>
        <v>6226167</v>
      </c>
      <c r="R38" s="33">
        <f t="shared" si="16"/>
        <v>5770333</v>
      </c>
      <c r="S38" s="33">
        <f t="shared" si="16"/>
        <v>7814227</v>
      </c>
      <c r="T38" s="33">
        <f t="shared" si="16"/>
        <v>4804272</v>
      </c>
      <c r="U38" s="33">
        <f t="shared" si="16"/>
        <v>3322273</v>
      </c>
      <c r="V38" s="33">
        <f t="shared" si="16"/>
        <v>4740725</v>
      </c>
      <c r="W38" s="33">
        <f t="shared" si="16"/>
        <v>5470137.3000000007</v>
      </c>
      <c r="X38" s="33">
        <f t="shared" si="16"/>
        <v>6495061.7799999993</v>
      </c>
      <c r="Y38" s="33">
        <f t="shared" si="16"/>
        <v>6314927</v>
      </c>
      <c r="Z38" s="33">
        <f t="shared" si="16"/>
        <v>5318796</v>
      </c>
      <c r="AA38" s="33">
        <f t="shared" si="16"/>
        <v>5965314</v>
      </c>
      <c r="AB38" s="33">
        <f t="shared" si="16"/>
        <v>6821415</v>
      </c>
      <c r="AC38" s="33">
        <f t="shared" si="16"/>
        <v>13319436.940000001</v>
      </c>
      <c r="AD38" s="33">
        <f t="shared" si="16"/>
        <v>5969503.2500000028</v>
      </c>
      <c r="AE38" s="33">
        <f t="shared" si="16"/>
        <v>9142351</v>
      </c>
      <c r="AF38" s="33">
        <f t="shared" ref="AF38:AG38" si="17">AF31+AF32+AF33-AF34-AF35-AF36-AF37</f>
        <v>8267280</v>
      </c>
      <c r="AG38" s="33">
        <f t="shared" si="17"/>
        <v>3664619</v>
      </c>
      <c r="AH38" s="33">
        <f t="shared" ref="AH38:AI38" si="18">AH31+AH32+AH33-AH34-AH35-AH36-AH37</f>
        <v>5210339</v>
      </c>
      <c r="AI38" s="33">
        <f t="shared" si="18"/>
        <v>8647687</v>
      </c>
      <c r="AJ38" s="13"/>
      <c r="AK38" s="14"/>
    </row>
    <row r="39" spans="1:37">
      <c r="A39" s="13"/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13"/>
    </row>
    <row r="40" spans="1:37">
      <c r="A40" s="13" t="s">
        <v>39</v>
      </c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13"/>
    </row>
    <row r="41" spans="1:37">
      <c r="A41" s="24" t="s">
        <v>40</v>
      </c>
      <c r="B41" s="25" t="s">
        <v>41</v>
      </c>
      <c r="C41" s="29"/>
      <c r="D41" s="27">
        <v>7467190</v>
      </c>
      <c r="E41" s="27">
        <v>3935925</v>
      </c>
      <c r="F41" s="27">
        <v>2562036</v>
      </c>
      <c r="G41" s="27">
        <v>3888766.4</v>
      </c>
      <c r="H41" s="27">
        <v>3713553.97</v>
      </c>
      <c r="I41" s="27">
        <v>3965100.96</v>
      </c>
      <c r="J41" s="27">
        <v>3364318.63</v>
      </c>
      <c r="K41" s="27">
        <v>4559384.3899999997</v>
      </c>
      <c r="L41" s="27">
        <v>4754567.9000000004</v>
      </c>
      <c r="M41" s="27">
        <v>2548418.6599999997</v>
      </c>
      <c r="N41" s="27">
        <v>3624123.5300000003</v>
      </c>
      <c r="O41" s="27">
        <v>3974836.59</v>
      </c>
      <c r="P41" s="27">
        <v>3233072.39</v>
      </c>
      <c r="Q41" s="27">
        <v>4113466.84</v>
      </c>
      <c r="R41" s="27">
        <v>3214914.27</v>
      </c>
      <c r="S41" s="27">
        <v>3214263.86</v>
      </c>
      <c r="T41" s="27">
        <v>4788605</v>
      </c>
      <c r="U41" s="27">
        <v>7169364.0899999999</v>
      </c>
      <c r="V41" s="27">
        <v>4513226.43</v>
      </c>
      <c r="W41" s="27">
        <v>4467369.3699999992</v>
      </c>
      <c r="X41" s="27">
        <v>4150503.43</v>
      </c>
      <c r="Y41" s="27">
        <v>5596154.8099999996</v>
      </c>
      <c r="Z41" s="27">
        <v>4611934.8499999996</v>
      </c>
      <c r="AA41" s="27">
        <v>4074889.5</v>
      </c>
      <c r="AB41" s="27">
        <v>7518705</v>
      </c>
      <c r="AC41" s="27">
        <v>6885197.5199999996</v>
      </c>
      <c r="AD41" s="27">
        <v>5202313.17</v>
      </c>
      <c r="AE41" s="27">
        <v>4773070</v>
      </c>
      <c r="AF41" s="27">
        <v>7506899</v>
      </c>
      <c r="AG41" s="27">
        <v>6142405</v>
      </c>
      <c r="AH41" s="27">
        <v>5761912</v>
      </c>
      <c r="AI41" s="27">
        <v>7372461</v>
      </c>
      <c r="AJ41" s="25"/>
      <c r="AK41" s="35"/>
    </row>
    <row r="42" spans="1:37">
      <c r="A42" s="13"/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13"/>
    </row>
    <row r="43" spans="1:37" s="105" customFormat="1">
      <c r="A43" s="99" t="s">
        <v>42</v>
      </c>
      <c r="B43" s="100" t="s">
        <v>43</v>
      </c>
      <c r="C43" s="101" t="s">
        <v>44</v>
      </c>
      <c r="D43" s="102">
        <f>D87</f>
        <v>1048375</v>
      </c>
      <c r="E43" s="102">
        <f t="shared" ref="E43:AE43" si="19">E87</f>
        <v>-343328</v>
      </c>
      <c r="F43" s="102">
        <f t="shared" si="19"/>
        <v>-353382</v>
      </c>
      <c r="G43" s="102">
        <f t="shared" si="19"/>
        <v>9883</v>
      </c>
      <c r="H43" s="102">
        <f t="shared" si="19"/>
        <v>-132052</v>
      </c>
      <c r="I43" s="102">
        <f t="shared" si="19"/>
        <v>-4717</v>
      </c>
      <c r="J43" s="102">
        <f t="shared" si="19"/>
        <v>-105713</v>
      </c>
      <c r="K43" s="102">
        <f t="shared" si="19"/>
        <v>68270</v>
      </c>
      <c r="L43" s="102">
        <f t="shared" si="19"/>
        <v>-238421</v>
      </c>
      <c r="M43" s="102">
        <f t="shared" si="19"/>
        <v>-485390</v>
      </c>
      <c r="N43" s="102">
        <f t="shared" si="19"/>
        <v>-284964</v>
      </c>
      <c r="O43" s="102">
        <v>180370</v>
      </c>
      <c r="P43" s="102">
        <v>374806</v>
      </c>
      <c r="Q43" s="102">
        <f t="shared" si="19"/>
        <v>164477</v>
      </c>
      <c r="R43" s="102">
        <f t="shared" si="19"/>
        <v>-652465</v>
      </c>
      <c r="S43" s="102">
        <f t="shared" si="19"/>
        <v>-564011</v>
      </c>
      <c r="T43" s="102">
        <f t="shared" si="19"/>
        <v>-513055</v>
      </c>
      <c r="U43" s="102">
        <f t="shared" si="19"/>
        <v>-59939</v>
      </c>
      <c r="V43" s="102">
        <f t="shared" si="19"/>
        <v>-7029</v>
      </c>
      <c r="W43" s="102">
        <f t="shared" si="19"/>
        <v>-98362</v>
      </c>
      <c r="X43" s="102">
        <f t="shared" si="19"/>
        <v>-294533</v>
      </c>
      <c r="Y43" s="102">
        <f t="shared" si="19"/>
        <v>-1056563</v>
      </c>
      <c r="Z43" s="102">
        <f t="shared" si="19"/>
        <v>-856204</v>
      </c>
      <c r="AA43" s="102">
        <f t="shared" si="19"/>
        <v>-568071</v>
      </c>
      <c r="AB43" s="102">
        <f t="shared" si="19"/>
        <v>-9269</v>
      </c>
      <c r="AC43" s="102">
        <f t="shared" si="19"/>
        <v>-15985</v>
      </c>
      <c r="AD43" s="102">
        <f t="shared" si="19"/>
        <v>-1948479</v>
      </c>
      <c r="AE43" s="102">
        <f t="shared" si="19"/>
        <v>-761909</v>
      </c>
      <c r="AF43" s="102">
        <f t="shared" ref="AF43:AG43" si="20">AF87</f>
        <v>-1092274</v>
      </c>
      <c r="AG43" s="102">
        <f t="shared" si="20"/>
        <v>-681016</v>
      </c>
      <c r="AH43" s="102">
        <f t="shared" ref="AH43:AI43" si="21">AH87</f>
        <v>-53478</v>
      </c>
      <c r="AI43" s="102">
        <f t="shared" si="21"/>
        <v>-167720</v>
      </c>
      <c r="AJ43" s="103"/>
      <c r="AK43" s="104"/>
    </row>
    <row r="44" spans="1:37">
      <c r="A44" s="24"/>
      <c r="B44" s="25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13"/>
    </row>
    <row r="45" spans="1:37" s="4" customFormat="1">
      <c r="A45" s="70"/>
      <c r="B45" s="71" t="s">
        <v>45</v>
      </c>
      <c r="C45" s="72"/>
      <c r="D45" s="73">
        <f t="shared" ref="D45:AE45" si="22">D28+D38-D41-D43</f>
        <v>10234423</v>
      </c>
      <c r="E45" s="73">
        <f t="shared" si="22"/>
        <v>7790465</v>
      </c>
      <c r="F45" s="73">
        <f t="shared" si="22"/>
        <v>5057989</v>
      </c>
      <c r="G45" s="73">
        <f t="shared" si="22"/>
        <v>5947402.839999998</v>
      </c>
      <c r="H45" s="73">
        <f t="shared" si="22"/>
        <v>5270153.4499999993</v>
      </c>
      <c r="I45" s="73">
        <f t="shared" si="22"/>
        <v>6137524.04</v>
      </c>
      <c r="J45" s="73">
        <f t="shared" si="22"/>
        <v>7698466.04</v>
      </c>
      <c r="K45" s="73">
        <f t="shared" si="22"/>
        <v>8585755.5899999999</v>
      </c>
      <c r="L45" s="73">
        <f t="shared" si="22"/>
        <v>8731552.0999999996</v>
      </c>
      <c r="M45" s="73">
        <f t="shared" si="22"/>
        <v>7206103.3399999999</v>
      </c>
      <c r="N45" s="73">
        <f t="shared" si="22"/>
        <v>8082035.4699999997</v>
      </c>
      <c r="O45" s="73">
        <f t="shared" si="22"/>
        <v>8297094.4100000001</v>
      </c>
      <c r="P45" s="73">
        <f t="shared" si="22"/>
        <v>8953262.6099999994</v>
      </c>
      <c r="Q45" s="73">
        <f t="shared" si="22"/>
        <v>9785453.1600000001</v>
      </c>
      <c r="R45" s="73">
        <f t="shared" si="22"/>
        <v>9873523.7300000004</v>
      </c>
      <c r="S45" s="73">
        <f t="shared" si="22"/>
        <v>8609456.1400000006</v>
      </c>
      <c r="T45" s="73">
        <f t="shared" si="22"/>
        <v>6600470</v>
      </c>
      <c r="U45" s="73">
        <f t="shared" si="22"/>
        <v>7067656.9100000001</v>
      </c>
      <c r="V45" s="73">
        <f t="shared" si="22"/>
        <v>8592772.5700000003</v>
      </c>
      <c r="W45" s="73">
        <f t="shared" si="22"/>
        <v>10094853.700000001</v>
      </c>
      <c r="X45" s="73">
        <f t="shared" si="22"/>
        <v>11528899.549999999</v>
      </c>
      <c r="Y45" s="73">
        <f t="shared" si="22"/>
        <v>10403254.190000001</v>
      </c>
      <c r="Z45" s="73">
        <f t="shared" si="22"/>
        <v>9366951.1500000004</v>
      </c>
      <c r="AA45" s="73">
        <f t="shared" si="22"/>
        <v>9064519.5</v>
      </c>
      <c r="AB45" s="73">
        <f t="shared" si="22"/>
        <v>9486720</v>
      </c>
      <c r="AC45" s="73">
        <f t="shared" si="22"/>
        <v>15017733.09</v>
      </c>
      <c r="AD45" s="73">
        <f t="shared" si="22"/>
        <v>10145331.110000005</v>
      </c>
      <c r="AE45" s="73">
        <f t="shared" si="22"/>
        <v>11312395</v>
      </c>
      <c r="AF45" s="73">
        <f t="shared" ref="AF45:AG45" si="23">AF28+AF38-AF41-AF43</f>
        <v>11571711</v>
      </c>
      <c r="AG45" s="73">
        <f t="shared" si="23"/>
        <v>9891326</v>
      </c>
      <c r="AH45" s="73">
        <f t="shared" ref="AH45:AI45" si="24">AH28+AH38-AH41-AH43</f>
        <v>10687864</v>
      </c>
      <c r="AI45" s="73">
        <f t="shared" si="24"/>
        <v>14653264</v>
      </c>
      <c r="AJ45" s="36"/>
      <c r="AK45" s="14"/>
    </row>
    <row r="46" spans="1:37">
      <c r="A46" s="4"/>
      <c r="B46" s="4"/>
      <c r="C46" s="3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</row>
    <row r="47" spans="1:37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37"/>
    </row>
    <row r="48" spans="1:37">
      <c r="A48" s="4"/>
      <c r="B48" s="4"/>
      <c r="C48" s="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7">
      <c r="A49" s="8" t="s">
        <v>46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38"/>
    </row>
    <row r="50" spans="1:37" ht="18" customHeight="1">
      <c r="A50" s="12"/>
      <c r="B50" s="1" t="s">
        <v>47</v>
      </c>
      <c r="D50" s="39">
        <v>271604247</v>
      </c>
      <c r="E50" s="39">
        <v>234705549</v>
      </c>
      <c r="F50" s="39">
        <v>243274114</v>
      </c>
      <c r="G50" s="39">
        <v>226993777</v>
      </c>
      <c r="H50" s="39">
        <v>250414741</v>
      </c>
      <c r="I50" s="39">
        <v>270410247</v>
      </c>
      <c r="J50" s="39">
        <v>181934894</v>
      </c>
      <c r="K50" s="39">
        <v>321609568</v>
      </c>
      <c r="L50" s="39">
        <v>309962323</v>
      </c>
      <c r="M50" s="39">
        <v>203469034</v>
      </c>
      <c r="N50" s="39">
        <v>301373213</v>
      </c>
      <c r="O50" s="39">
        <v>243816406</v>
      </c>
      <c r="P50" s="39">
        <v>261819498</v>
      </c>
      <c r="Q50" s="39">
        <v>281271581</v>
      </c>
      <c r="R50" s="39">
        <v>243290475</v>
      </c>
      <c r="S50" s="39">
        <v>132224284</v>
      </c>
      <c r="T50" s="39">
        <v>233179781</v>
      </c>
      <c r="U50" s="39">
        <v>397586959</v>
      </c>
      <c r="V50" s="39">
        <v>296652684</v>
      </c>
      <c r="W50" s="39">
        <v>356007496</v>
      </c>
      <c r="X50" s="39">
        <v>345320450</v>
      </c>
      <c r="Y50" s="39">
        <v>277775311</v>
      </c>
      <c r="Z50" s="39">
        <v>269322734</v>
      </c>
      <c r="AA50" s="39">
        <v>270726538</v>
      </c>
      <c r="AB50" s="39">
        <v>91569814</v>
      </c>
      <c r="AC50" s="39">
        <v>262268021</v>
      </c>
      <c r="AD50" s="39">
        <v>216283831</v>
      </c>
      <c r="AE50" s="39">
        <v>229739084</v>
      </c>
      <c r="AF50" s="39">
        <v>256125652</v>
      </c>
      <c r="AG50" s="39">
        <v>381749953</v>
      </c>
      <c r="AH50" s="39">
        <v>280759756</v>
      </c>
      <c r="AI50" s="39">
        <v>354120097</v>
      </c>
      <c r="AJ50" s="40"/>
    </row>
    <row r="51" spans="1:37" ht="18" customHeight="1">
      <c r="A51" s="12"/>
      <c r="B51" s="19" t="s">
        <v>48</v>
      </c>
      <c r="C51" s="31" t="s">
        <v>24</v>
      </c>
      <c r="D51" s="41">
        <f>222125645+486552816</f>
        <v>708678461</v>
      </c>
      <c r="E51" s="41">
        <v>673136449</v>
      </c>
      <c r="F51" s="41">
        <v>503865783</v>
      </c>
      <c r="G51" s="41">
        <v>604746714</v>
      </c>
      <c r="H51" s="41">
        <v>529540560</v>
      </c>
      <c r="I51" s="41">
        <v>548707244</v>
      </c>
      <c r="J51" s="41">
        <v>600629492</v>
      </c>
      <c r="K51" s="41">
        <v>631205325</v>
      </c>
      <c r="L51" s="41">
        <v>621337945</v>
      </c>
      <c r="M51" s="41">
        <v>624769677</v>
      </c>
      <c r="N51" s="41">
        <v>553533174</v>
      </c>
      <c r="O51" s="41">
        <f>206746519+418333162</f>
        <v>625079681</v>
      </c>
      <c r="P51" s="41">
        <f>204197771+421385454</f>
        <v>625583225</v>
      </c>
      <c r="Q51" s="41">
        <f>264058106+600814988</f>
        <v>864873094</v>
      </c>
      <c r="R51" s="41">
        <f>191758331+380584913</f>
        <v>572343244</v>
      </c>
      <c r="S51" s="41">
        <f>289596462+387478345</f>
        <v>677074807</v>
      </c>
      <c r="T51" s="41">
        <f>234840204+428135132</f>
        <v>662975336</v>
      </c>
      <c r="U51" s="41">
        <f>186523684+387854026</f>
        <v>574377710</v>
      </c>
      <c r="V51" s="41">
        <f>220435007+432865718</f>
        <v>653300725</v>
      </c>
      <c r="W51" s="41">
        <f>188850027+477651564</f>
        <v>666501591</v>
      </c>
      <c r="X51" s="41">
        <f>202863846+495777047</f>
        <v>698640893</v>
      </c>
      <c r="Y51" s="41">
        <f>229383996+435483119</f>
        <v>664867115</v>
      </c>
      <c r="Z51" s="41">
        <f>221134428+436297496</f>
        <v>657431924</v>
      </c>
      <c r="AA51" s="41">
        <f>203521174+467380307</f>
        <v>670901481</v>
      </c>
      <c r="AB51" s="41">
        <f>450237520+478989839</f>
        <v>929227359</v>
      </c>
      <c r="AC51" s="41">
        <f>373960785+630256779</f>
        <v>1004217564</v>
      </c>
      <c r="AD51" s="41">
        <f>313308575+509712476</f>
        <v>823021051</v>
      </c>
      <c r="AE51" s="41">
        <f>257462075+506043913</f>
        <v>763505988</v>
      </c>
      <c r="AF51" s="41">
        <v>704962059</v>
      </c>
      <c r="AG51" s="41">
        <v>528300324</v>
      </c>
      <c r="AH51" s="41">
        <v>681675687</v>
      </c>
      <c r="AI51" s="41">
        <v>728827250</v>
      </c>
      <c r="AJ51" s="38"/>
      <c r="AK51" s="35"/>
    </row>
    <row r="52" spans="1:37">
      <c r="A52" s="12" t="s">
        <v>27</v>
      </c>
      <c r="B52" s="1" t="s">
        <v>49</v>
      </c>
      <c r="D52" s="39">
        <f t="shared" ref="D52:N52" si="25">SUM(D50:D51)</f>
        <v>980282708</v>
      </c>
      <c r="E52" s="39">
        <f t="shared" si="25"/>
        <v>907841998</v>
      </c>
      <c r="F52" s="39">
        <f t="shared" si="25"/>
        <v>747139897</v>
      </c>
      <c r="G52" s="39">
        <f t="shared" si="25"/>
        <v>831740491</v>
      </c>
      <c r="H52" s="39">
        <f t="shared" si="25"/>
        <v>779955301</v>
      </c>
      <c r="I52" s="39">
        <f t="shared" si="25"/>
        <v>819117491</v>
      </c>
      <c r="J52" s="39">
        <f t="shared" si="25"/>
        <v>782564386</v>
      </c>
      <c r="K52" s="39">
        <f t="shared" si="25"/>
        <v>952814893</v>
      </c>
      <c r="L52" s="39">
        <f t="shared" si="25"/>
        <v>931300268</v>
      </c>
      <c r="M52" s="39">
        <f t="shared" si="25"/>
        <v>828238711</v>
      </c>
      <c r="N52" s="39">
        <f t="shared" si="25"/>
        <v>854906387</v>
      </c>
      <c r="O52" s="39">
        <f t="shared" ref="O52:AE52" si="26">SUM(O50:O51)</f>
        <v>868896087</v>
      </c>
      <c r="P52" s="39">
        <f t="shared" si="26"/>
        <v>887402723</v>
      </c>
      <c r="Q52" s="39">
        <f t="shared" si="26"/>
        <v>1146144675</v>
      </c>
      <c r="R52" s="39">
        <f t="shared" si="26"/>
        <v>815633719</v>
      </c>
      <c r="S52" s="39">
        <f t="shared" si="26"/>
        <v>809299091</v>
      </c>
      <c r="T52" s="39">
        <f t="shared" si="26"/>
        <v>896155117</v>
      </c>
      <c r="U52" s="39">
        <f t="shared" si="26"/>
        <v>971964669</v>
      </c>
      <c r="V52" s="39">
        <f t="shared" si="26"/>
        <v>949953409</v>
      </c>
      <c r="W52" s="39">
        <f t="shared" si="26"/>
        <v>1022509087</v>
      </c>
      <c r="X52" s="39">
        <f t="shared" si="26"/>
        <v>1043961343</v>
      </c>
      <c r="Y52" s="39">
        <f t="shared" si="26"/>
        <v>942642426</v>
      </c>
      <c r="Z52" s="39">
        <f t="shared" si="26"/>
        <v>926754658</v>
      </c>
      <c r="AA52" s="39">
        <f t="shared" si="26"/>
        <v>941628019</v>
      </c>
      <c r="AB52" s="39">
        <f t="shared" si="26"/>
        <v>1020797173</v>
      </c>
      <c r="AC52" s="39">
        <f t="shared" si="26"/>
        <v>1266485585</v>
      </c>
      <c r="AD52" s="39">
        <f t="shared" si="26"/>
        <v>1039304882</v>
      </c>
      <c r="AE52" s="39">
        <f t="shared" si="26"/>
        <v>993245072</v>
      </c>
      <c r="AF52" s="39">
        <f t="shared" ref="AF52:AG52" si="27">SUM(AF50:AF51)</f>
        <v>961087711</v>
      </c>
      <c r="AG52" s="39">
        <f t="shared" si="27"/>
        <v>910050277</v>
      </c>
      <c r="AH52" s="39">
        <f t="shared" ref="AH52:AI52" si="28">SUM(AH50:AH51)</f>
        <v>962435443</v>
      </c>
      <c r="AI52" s="39">
        <f t="shared" si="28"/>
        <v>1082947347</v>
      </c>
      <c r="AJ52" s="38"/>
    </row>
    <row r="53" spans="1:37">
      <c r="A53" s="12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8"/>
    </row>
    <row r="54" spans="1:37">
      <c r="A54" s="1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8"/>
    </row>
    <row r="55" spans="1:37" ht="18" customHeight="1">
      <c r="A55" s="12"/>
      <c r="B55" s="1" t="s">
        <v>50</v>
      </c>
      <c r="C55" s="29" t="s">
        <v>24</v>
      </c>
      <c r="D55" s="39">
        <v>659498767</v>
      </c>
      <c r="E55" s="39">
        <v>595975476</v>
      </c>
      <c r="F55" s="39">
        <v>495460023</v>
      </c>
      <c r="G55" s="39">
        <v>552884763</v>
      </c>
      <c r="H55" s="39">
        <v>526709769</v>
      </c>
      <c r="I55" s="39">
        <v>542379427</v>
      </c>
      <c r="J55" s="39">
        <v>476235494</v>
      </c>
      <c r="K55" s="39">
        <v>595052671</v>
      </c>
      <c r="L55" s="39">
        <v>590455689</v>
      </c>
      <c r="M55" s="39">
        <v>519686257</v>
      </c>
      <c r="N55" s="39">
        <v>574047099</v>
      </c>
      <c r="O55" s="39">
        <v>570268791</v>
      </c>
      <c r="P55" s="39">
        <v>547787521</v>
      </c>
      <c r="Q55" s="39">
        <v>747076517</v>
      </c>
      <c r="R55" s="39">
        <v>496176131</v>
      </c>
      <c r="S55" s="39">
        <v>493416394</v>
      </c>
      <c r="T55" s="39">
        <v>598436784</v>
      </c>
      <c r="U55" s="39">
        <v>647419487</v>
      </c>
      <c r="V55" s="39">
        <v>592509163</v>
      </c>
      <c r="W55" s="39">
        <v>641886533</v>
      </c>
      <c r="X55" s="39">
        <v>648691170</v>
      </c>
      <c r="Y55" s="39">
        <v>603239628</v>
      </c>
      <c r="Z55" s="39">
        <v>604497115</v>
      </c>
      <c r="AA55" s="39">
        <v>620593030</v>
      </c>
      <c r="AB55" s="39">
        <v>642021065</v>
      </c>
      <c r="AC55" s="39">
        <v>841789579</v>
      </c>
      <c r="AD55" s="39">
        <v>675960312</v>
      </c>
      <c r="AE55" s="39">
        <v>669290561</v>
      </c>
      <c r="AF55" s="39">
        <v>644861866</v>
      </c>
      <c r="AG55" s="39">
        <v>580339447</v>
      </c>
      <c r="AH55" s="39">
        <v>575689956</v>
      </c>
      <c r="AI55" s="39">
        <v>652755566</v>
      </c>
      <c r="AJ55" s="40"/>
      <c r="AK55" s="35"/>
    </row>
    <row r="56" spans="1:37" ht="18" customHeight="1">
      <c r="A56" s="12"/>
      <c r="B56" s="1" t="s">
        <v>51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40"/>
    </row>
    <row r="57" spans="1:37" ht="18" customHeight="1">
      <c r="A57" s="12"/>
      <c r="B57" s="1" t="s">
        <v>52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40"/>
    </row>
    <row r="58" spans="1:37" s="105" customFormat="1" ht="18" customHeight="1">
      <c r="A58" s="106"/>
      <c r="B58" s="105" t="s">
        <v>91</v>
      </c>
      <c r="C58" s="107" t="s">
        <v>24</v>
      </c>
      <c r="D58" s="108">
        <v>17138292</v>
      </c>
      <c r="E58" s="108">
        <v>24203905</v>
      </c>
      <c r="F58" s="108">
        <v>13374579</v>
      </c>
      <c r="G58" s="108">
        <v>17595518</v>
      </c>
      <c r="H58" s="108">
        <v>18451986</v>
      </c>
      <c r="I58" s="108">
        <v>17343511</v>
      </c>
      <c r="J58" s="108">
        <v>17420819</v>
      </c>
      <c r="K58" s="108">
        <v>19647802</v>
      </c>
      <c r="L58" s="108">
        <v>13264503</v>
      </c>
      <c r="M58" s="108">
        <v>17600855</v>
      </c>
      <c r="N58" s="108">
        <v>17602721</v>
      </c>
      <c r="O58" s="108">
        <v>17518964</v>
      </c>
      <c r="P58" s="108">
        <v>18290294</v>
      </c>
      <c r="Q58" s="108">
        <f>54784358-38798680</f>
        <v>15985678</v>
      </c>
      <c r="R58" s="108">
        <f>52674433-38627982</f>
        <v>14046451</v>
      </c>
      <c r="S58" s="108">
        <f>57171933-39337385</f>
        <v>17834548</v>
      </c>
      <c r="T58" s="108">
        <f>57115030-39978052</f>
        <v>17136978</v>
      </c>
      <c r="U58" s="108">
        <f>58620651-41463665</f>
        <v>17156986</v>
      </c>
      <c r="V58" s="108">
        <f>54778081-38958228</f>
        <v>15819853</v>
      </c>
      <c r="W58" s="108">
        <f>57076679-41816277</f>
        <v>15260402</v>
      </c>
      <c r="X58" s="108">
        <f>68389162-47277067</f>
        <v>21112095</v>
      </c>
      <c r="Y58" s="108">
        <f>62465621-45876468</f>
        <v>16589153</v>
      </c>
      <c r="Z58" s="108">
        <f>68177927-52871410</f>
        <v>15306517</v>
      </c>
      <c r="AA58" s="108">
        <f>68959290-49787853</f>
        <v>19171437</v>
      </c>
      <c r="AB58" s="108">
        <f>76349384-53085489</f>
        <v>23263895</v>
      </c>
      <c r="AC58" s="108">
        <f>69536496-53452251</f>
        <v>16084245</v>
      </c>
      <c r="AD58" s="108">
        <f>71016722-55945762</f>
        <v>15070960</v>
      </c>
      <c r="AE58" s="108">
        <f>61285740-43739560</f>
        <v>17546180</v>
      </c>
      <c r="AF58" s="108">
        <v>15155213</v>
      </c>
      <c r="AG58" s="108">
        <v>16209975</v>
      </c>
      <c r="AH58" s="108">
        <v>11048270</v>
      </c>
      <c r="AI58" s="108">
        <v>10131481</v>
      </c>
      <c r="AJ58" s="109"/>
    </row>
    <row r="59" spans="1:37" ht="18" customHeight="1">
      <c r="A59" s="12"/>
      <c r="B59" s="19" t="s">
        <v>53</v>
      </c>
      <c r="C59" s="31" t="s">
        <v>24</v>
      </c>
      <c r="D59" s="41">
        <v>10009586</v>
      </c>
      <c r="E59" s="41">
        <v>15125244</v>
      </c>
      <c r="F59" s="41">
        <v>8726067</v>
      </c>
      <c r="G59" s="41">
        <v>10005541</v>
      </c>
      <c r="H59" s="41">
        <v>9886111</v>
      </c>
      <c r="I59" s="41">
        <v>10953533</v>
      </c>
      <c r="J59" s="41">
        <v>8632242</v>
      </c>
      <c r="K59" s="41">
        <v>11899129</v>
      </c>
      <c r="L59" s="41">
        <v>10586994</v>
      </c>
      <c r="M59" s="41">
        <v>9846532</v>
      </c>
      <c r="N59" s="41">
        <v>10116699</v>
      </c>
      <c r="O59" s="41">
        <v>10427842</v>
      </c>
      <c r="P59" s="41">
        <v>12088085</v>
      </c>
      <c r="Q59" s="41">
        <v>14541116</v>
      </c>
      <c r="R59" s="41">
        <v>14338783</v>
      </c>
      <c r="S59" s="41">
        <v>11060601</v>
      </c>
      <c r="T59" s="41">
        <v>10200656</v>
      </c>
      <c r="U59" s="41">
        <v>12767762</v>
      </c>
      <c r="V59" s="41">
        <v>10344878</v>
      </c>
      <c r="W59" s="41">
        <v>11915195</v>
      </c>
      <c r="X59" s="41">
        <v>12041105</v>
      </c>
      <c r="Y59" s="41">
        <v>11699211</v>
      </c>
      <c r="Z59" s="41">
        <v>11423211</v>
      </c>
      <c r="AA59" s="41">
        <v>9323021</v>
      </c>
      <c r="AB59" s="41">
        <v>10808175</v>
      </c>
      <c r="AC59" s="41">
        <v>12881412</v>
      </c>
      <c r="AD59" s="41">
        <v>11099444</v>
      </c>
      <c r="AE59" s="41">
        <v>8699708</v>
      </c>
      <c r="AF59" s="41">
        <v>10214752</v>
      </c>
      <c r="AG59" s="41">
        <v>9458868</v>
      </c>
      <c r="AH59" s="41">
        <v>10217518</v>
      </c>
      <c r="AI59" s="41">
        <v>11200557</v>
      </c>
      <c r="AJ59" s="16"/>
      <c r="AK59" s="35"/>
    </row>
    <row r="60" spans="1:37" ht="18" customHeight="1">
      <c r="A60" s="12" t="s">
        <v>37</v>
      </c>
      <c r="B60" s="1" t="s">
        <v>54</v>
      </c>
      <c r="D60" s="15">
        <f t="shared" ref="D60:AE60" si="29">SUM(D55:D59)</f>
        <v>686646645</v>
      </c>
      <c r="E60" s="15">
        <f t="shared" si="29"/>
        <v>635304625</v>
      </c>
      <c r="F60" s="15">
        <f t="shared" si="29"/>
        <v>517560669</v>
      </c>
      <c r="G60" s="15">
        <f t="shared" si="29"/>
        <v>580485822</v>
      </c>
      <c r="H60" s="15">
        <f t="shared" si="29"/>
        <v>555047866</v>
      </c>
      <c r="I60" s="15">
        <f t="shared" si="29"/>
        <v>570676471</v>
      </c>
      <c r="J60" s="15">
        <f t="shared" si="29"/>
        <v>502288555</v>
      </c>
      <c r="K60" s="15">
        <f t="shared" si="29"/>
        <v>626599602</v>
      </c>
      <c r="L60" s="15">
        <f t="shared" si="29"/>
        <v>614307186</v>
      </c>
      <c r="M60" s="15">
        <f t="shared" si="29"/>
        <v>547133644</v>
      </c>
      <c r="N60" s="15">
        <f t="shared" si="29"/>
        <v>601766519</v>
      </c>
      <c r="O60" s="15">
        <f t="shared" si="29"/>
        <v>598215597</v>
      </c>
      <c r="P60" s="15">
        <f t="shared" si="29"/>
        <v>578165900</v>
      </c>
      <c r="Q60" s="15">
        <f t="shared" si="29"/>
        <v>777603311</v>
      </c>
      <c r="R60" s="15">
        <f t="shared" si="29"/>
        <v>524561365</v>
      </c>
      <c r="S60" s="15">
        <f t="shared" si="29"/>
        <v>522311543</v>
      </c>
      <c r="T60" s="15">
        <f t="shared" si="29"/>
        <v>625774418</v>
      </c>
      <c r="U60" s="15">
        <f t="shared" si="29"/>
        <v>677344235</v>
      </c>
      <c r="V60" s="15">
        <f t="shared" si="29"/>
        <v>618673894</v>
      </c>
      <c r="W60" s="15">
        <f t="shared" si="29"/>
        <v>669062130</v>
      </c>
      <c r="X60" s="15">
        <f t="shared" si="29"/>
        <v>681844370</v>
      </c>
      <c r="Y60" s="15">
        <f t="shared" si="29"/>
        <v>631527992</v>
      </c>
      <c r="Z60" s="15">
        <f t="shared" si="29"/>
        <v>631226843</v>
      </c>
      <c r="AA60" s="15">
        <f t="shared" si="29"/>
        <v>649087488</v>
      </c>
      <c r="AB60" s="15">
        <f t="shared" si="29"/>
        <v>676093135</v>
      </c>
      <c r="AC60" s="15">
        <f t="shared" si="29"/>
        <v>870755236</v>
      </c>
      <c r="AD60" s="15">
        <f t="shared" si="29"/>
        <v>702130716</v>
      </c>
      <c r="AE60" s="15">
        <f t="shared" si="29"/>
        <v>695536449</v>
      </c>
      <c r="AF60" s="15">
        <f t="shared" ref="AF60:AG60" si="30">SUM(AF55:AF59)</f>
        <v>670231831</v>
      </c>
      <c r="AG60" s="15">
        <f t="shared" si="30"/>
        <v>606008290</v>
      </c>
      <c r="AH60" s="15">
        <f t="shared" ref="AH60:AI60" si="31">SUM(AH55:AH59)</f>
        <v>596955744</v>
      </c>
      <c r="AI60" s="15">
        <f t="shared" si="31"/>
        <v>674087604</v>
      </c>
      <c r="AJ60" s="16"/>
    </row>
    <row r="61" spans="1:37">
      <c r="A61" s="12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  <row r="62" spans="1:37">
      <c r="A62" s="12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42"/>
    </row>
    <row r="63" spans="1:37">
      <c r="A63" s="43"/>
      <c r="B63" s="44" t="s">
        <v>55</v>
      </c>
      <c r="C63" s="45"/>
      <c r="D63" s="46">
        <f t="shared" ref="D63:AE63" si="32">D52-D60</f>
        <v>293636063</v>
      </c>
      <c r="E63" s="46">
        <f t="shared" si="32"/>
        <v>272537373</v>
      </c>
      <c r="F63" s="46">
        <f t="shared" si="32"/>
        <v>229579228</v>
      </c>
      <c r="G63" s="46">
        <f t="shared" si="32"/>
        <v>251254669</v>
      </c>
      <c r="H63" s="46">
        <f t="shared" si="32"/>
        <v>224907435</v>
      </c>
      <c r="I63" s="46">
        <f t="shared" si="32"/>
        <v>248441020</v>
      </c>
      <c r="J63" s="46">
        <f t="shared" si="32"/>
        <v>280275831</v>
      </c>
      <c r="K63" s="46">
        <f t="shared" si="32"/>
        <v>326215291</v>
      </c>
      <c r="L63" s="46">
        <f t="shared" si="32"/>
        <v>316993082</v>
      </c>
      <c r="M63" s="46">
        <f t="shared" si="32"/>
        <v>281105067</v>
      </c>
      <c r="N63" s="46">
        <f t="shared" si="32"/>
        <v>253139868</v>
      </c>
      <c r="O63" s="46">
        <f t="shared" si="32"/>
        <v>270680490</v>
      </c>
      <c r="P63" s="46">
        <f t="shared" si="32"/>
        <v>309236823</v>
      </c>
      <c r="Q63" s="46">
        <f t="shared" si="32"/>
        <v>368541364</v>
      </c>
      <c r="R63" s="46">
        <f t="shared" si="32"/>
        <v>291072354</v>
      </c>
      <c r="S63" s="46">
        <f t="shared" si="32"/>
        <v>286987548</v>
      </c>
      <c r="T63" s="46">
        <f t="shared" si="32"/>
        <v>270380699</v>
      </c>
      <c r="U63" s="46">
        <f t="shared" si="32"/>
        <v>294620434</v>
      </c>
      <c r="V63" s="46">
        <f t="shared" si="32"/>
        <v>331279515</v>
      </c>
      <c r="W63" s="46">
        <f t="shared" si="32"/>
        <v>353446957</v>
      </c>
      <c r="X63" s="46">
        <f t="shared" si="32"/>
        <v>362116973</v>
      </c>
      <c r="Y63" s="46">
        <f t="shared" si="32"/>
        <v>311114434</v>
      </c>
      <c r="Z63" s="46">
        <f t="shared" si="32"/>
        <v>295527815</v>
      </c>
      <c r="AA63" s="46">
        <f t="shared" si="32"/>
        <v>292540531</v>
      </c>
      <c r="AB63" s="46">
        <f t="shared" si="32"/>
        <v>344704038</v>
      </c>
      <c r="AC63" s="46">
        <f t="shared" si="32"/>
        <v>395730349</v>
      </c>
      <c r="AD63" s="46">
        <f t="shared" si="32"/>
        <v>337174166</v>
      </c>
      <c r="AE63" s="46">
        <f t="shared" si="32"/>
        <v>297708623</v>
      </c>
      <c r="AF63" s="46">
        <f t="shared" ref="AF63:AG63" si="33">AF52-AF60</f>
        <v>290855880</v>
      </c>
      <c r="AG63" s="46">
        <f t="shared" si="33"/>
        <v>304041987</v>
      </c>
      <c r="AH63" s="46">
        <f t="shared" ref="AH63:AI63" si="34">AH52-AH60</f>
        <v>365479699</v>
      </c>
      <c r="AI63" s="46">
        <f t="shared" si="34"/>
        <v>408859743</v>
      </c>
      <c r="AJ63" s="12"/>
    </row>
    <row r="64" spans="1:37" ht="35.1" customHeight="1">
      <c r="A64" s="4"/>
      <c r="B64" s="4"/>
      <c r="C64" s="3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7" ht="9.75" customHeight="1">
      <c r="A65" s="4"/>
      <c r="B65" s="4"/>
      <c r="C65" s="3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7">
      <c r="A66" s="8" t="s">
        <v>56</v>
      </c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2"/>
    </row>
    <row r="67" spans="1:37">
      <c r="A67" s="48" t="s">
        <v>57</v>
      </c>
      <c r="B67" s="1" t="s">
        <v>58</v>
      </c>
      <c r="D67" s="49">
        <v>2.0031E-2</v>
      </c>
      <c r="E67" s="49">
        <f t="shared" ref="E67:AI67" si="35">D14</f>
        <v>1.3922000000000004E-2</v>
      </c>
      <c r="F67" s="49">
        <f t="shared" si="35"/>
        <v>7.6530000000000001E-3</v>
      </c>
      <c r="G67" s="49">
        <f t="shared" si="35"/>
        <v>1.1000000000000003E-3</v>
      </c>
      <c r="H67" s="49">
        <f t="shared" si="35"/>
        <v>2.7390000000000018E-3</v>
      </c>
      <c r="I67" s="49">
        <f t="shared" si="35"/>
        <v>2.5009999999999998E-3</v>
      </c>
      <c r="J67" s="49">
        <f t="shared" si="35"/>
        <v>3.772000000000001E-3</v>
      </c>
      <c r="K67" s="49">
        <f t="shared" si="35"/>
        <v>6.5349999999999991E-3</v>
      </c>
      <c r="L67" s="49">
        <f t="shared" si="35"/>
        <v>5.3869999999999994E-3</v>
      </c>
      <c r="M67" s="49">
        <f t="shared" si="35"/>
        <v>6.6130000000000008E-3</v>
      </c>
      <c r="N67" s="49">
        <f t="shared" si="35"/>
        <v>4.7030000000000023E-3</v>
      </c>
      <c r="O67" s="49">
        <f t="shared" si="35"/>
        <v>1.0994999999999998E-2</v>
      </c>
      <c r="P67" s="49">
        <f t="shared" si="35"/>
        <v>9.7210000000000005E-3</v>
      </c>
      <c r="Q67" s="49">
        <f t="shared" si="35"/>
        <v>8.0210000000000004E-3</v>
      </c>
      <c r="R67" s="49">
        <f t="shared" si="35"/>
        <v>5.62E-3</v>
      </c>
      <c r="S67" s="49">
        <f t="shared" si="35"/>
        <v>1.2989000000000001E-2</v>
      </c>
      <c r="T67" s="49">
        <f t="shared" si="35"/>
        <v>9.0670000000000021E-3</v>
      </c>
      <c r="U67" s="49">
        <f t="shared" si="35"/>
        <v>3.4800000000000005E-3</v>
      </c>
      <c r="V67" s="49">
        <f t="shared" si="35"/>
        <v>3.0570000000000007E-3</v>
      </c>
      <c r="W67" s="49">
        <f t="shared" si="35"/>
        <v>5.006E-3</v>
      </c>
      <c r="X67" s="49">
        <f t="shared" si="35"/>
        <v>7.6290000000000004E-3</v>
      </c>
      <c r="Y67" s="49">
        <f t="shared" si="35"/>
        <v>1.0905999999999999E-2</v>
      </c>
      <c r="Z67" s="49">
        <f t="shared" si="35"/>
        <v>1.2507000000000004E-2</v>
      </c>
      <c r="AA67" s="49">
        <f t="shared" si="35"/>
        <v>1.0764000000000003E-2</v>
      </c>
      <c r="AB67" s="49">
        <f t="shared" si="35"/>
        <v>1.0054E-2</v>
      </c>
      <c r="AC67" s="49">
        <f t="shared" si="35"/>
        <v>6.5890000000000011E-3</v>
      </c>
      <c r="AD67" s="49">
        <f t="shared" si="35"/>
        <v>1.7016999999999997E-2</v>
      </c>
      <c r="AE67" s="49">
        <f t="shared" si="35"/>
        <v>9.1570000000000019E-3</v>
      </c>
      <c r="AF67" s="49">
        <f t="shared" si="35"/>
        <v>1.7065999999999998E-2</v>
      </c>
      <c r="AG67" s="49">
        <f t="shared" si="35"/>
        <v>1.5459000000000001E-2</v>
      </c>
      <c r="AH67" s="49">
        <f t="shared" si="35"/>
        <v>1.1601E-2</v>
      </c>
      <c r="AI67" s="49">
        <f t="shared" si="35"/>
        <v>8.3110000000000024E-3</v>
      </c>
      <c r="AJ67" s="38"/>
    </row>
    <row r="68" spans="1:37" s="105" customFormat="1">
      <c r="A68" s="110" t="s">
        <v>59</v>
      </c>
      <c r="B68" s="111" t="s">
        <v>60</v>
      </c>
      <c r="C68" s="112"/>
      <c r="D68" s="113">
        <f>'PSC 4-1 (As Filed)'!D68</f>
        <v>288963977</v>
      </c>
      <c r="E68" s="113">
        <f>'PSC 4-1 (As Filed)'!E68</f>
        <v>268975185</v>
      </c>
      <c r="F68" s="113">
        <f>'PSC 4-1 (As Filed)'!F68</f>
        <v>226361819</v>
      </c>
      <c r="G68" s="113">
        <f>'PSC 4-1 (As Filed)'!G68</f>
        <v>238563758</v>
      </c>
      <c r="H68" s="113">
        <f>'PSC 4-1 (As Filed)'!H68</f>
        <v>203043069</v>
      </c>
      <c r="I68" s="113">
        <f>'PSC 4-1 (As Filed)'!I68</f>
        <v>223021314</v>
      </c>
      <c r="J68" s="113">
        <f>'PSC 4-1 (As Filed)'!J68</f>
        <v>251624018</v>
      </c>
      <c r="K68" s="113">
        <f>'PSC 4-1 (As Filed)'!K68</f>
        <v>290722673</v>
      </c>
      <c r="L68" s="113">
        <f>'PSC 4-1 (As Filed)'!L68</f>
        <v>281956720</v>
      </c>
      <c r="M68" s="113">
        <f>'PSC 4-1 (As Filed)'!M68</f>
        <v>243593748</v>
      </c>
      <c r="N68" s="113">
        <f>'PSC 4-1 (As Filed)'!N68</f>
        <v>220513061</v>
      </c>
      <c r="O68" s="113">
        <f>'PSC 4-1 (As Filed)'!O68</f>
        <v>234629321</v>
      </c>
      <c r="P68" s="113">
        <f>'PSC 4-1 (As Filed)'!P68</f>
        <v>270705103</v>
      </c>
      <c r="Q68" s="113">
        <f>'PSC 4-1 (As Filed)'!Q68</f>
        <v>329742684</v>
      </c>
      <c r="R68" s="113">
        <f>'PSC 4-1 (As Filed)'!R68</f>
        <v>252444372</v>
      </c>
      <c r="S68" s="113">
        <f>'PSC 4-1 (As Filed)'!S68</f>
        <v>247650163</v>
      </c>
      <c r="T68" s="113">
        <f>'PSC 4-1 (As Filed)'!T68</f>
        <v>230402647</v>
      </c>
      <c r="U68" s="113">
        <f>'PSC 4-1 (As Filed)'!U68</f>
        <v>253156769</v>
      </c>
      <c r="V68" s="113">
        <f>'PSC 4-1 (As Filed)'!V68</f>
        <v>292321287</v>
      </c>
      <c r="W68" s="113">
        <f>'PSC 4-1 (As Filed)'!W68</f>
        <v>311630680</v>
      </c>
      <c r="X68" s="113">
        <f>'PSC 4-1 (As Filed)'!X68</f>
        <v>314839906</v>
      </c>
      <c r="Y68" s="113">
        <f>'PSC 4-1 (As Filed)'!Y68</f>
        <v>265237966</v>
      </c>
      <c r="Z68" s="113">
        <f>'PSC 4-1 (As Filed)'!Z68</f>
        <v>242656405</v>
      </c>
      <c r="AA68" s="113">
        <f>'PSC 4-1 (As Filed)'!AA68</f>
        <v>242752678</v>
      </c>
      <c r="AB68" s="113">
        <f>'PSC 4-1 (As Filed)'!AB68</f>
        <v>291618549</v>
      </c>
      <c r="AC68" s="113">
        <f>'PSC 4-1 (As Filed)'!AC68</f>
        <v>342278098</v>
      </c>
      <c r="AD68" s="113">
        <f>'PSC 4-1 (As Filed)'!AD68</f>
        <v>281228404</v>
      </c>
      <c r="AE68" s="113">
        <f>'PSC 4-1 (As Filed)'!AE68</f>
        <v>253969063</v>
      </c>
      <c r="AF68" s="113">
        <f>'PSC 4-1 (As Filed)'!AF68</f>
        <v>233705649</v>
      </c>
      <c r="AG68" s="113">
        <f>'PSC 4-1 (As Filed)'!AG68</f>
        <v>246802832</v>
      </c>
      <c r="AH68" s="113">
        <f>'PSC 4-1 (As Filed)'!AH68</f>
        <v>299432228</v>
      </c>
      <c r="AI68" s="113">
        <f>'PSC 4-1 (As Filed)'!AI68</f>
        <v>345299259</v>
      </c>
      <c r="AJ68" s="103"/>
      <c r="AK68" s="104"/>
    </row>
    <row r="69" spans="1:37">
      <c r="A69" s="50" t="s">
        <v>61</v>
      </c>
      <c r="B69" s="1" t="s">
        <v>62</v>
      </c>
      <c r="C69" s="2" t="s">
        <v>63</v>
      </c>
      <c r="D69" s="27">
        <f t="shared" ref="D69:AE69" si="36">ROUND(D67*D68,0)</f>
        <v>5788237</v>
      </c>
      <c r="E69" s="27">
        <f t="shared" si="36"/>
        <v>3744673</v>
      </c>
      <c r="F69" s="27">
        <f t="shared" si="36"/>
        <v>1732347</v>
      </c>
      <c r="G69" s="27">
        <f t="shared" si="36"/>
        <v>262420</v>
      </c>
      <c r="H69" s="27">
        <f t="shared" si="36"/>
        <v>556135</v>
      </c>
      <c r="I69" s="27">
        <f t="shared" si="36"/>
        <v>557776</v>
      </c>
      <c r="J69" s="27">
        <f>ROUND(J67*J68,0)-117719</f>
        <v>831407</v>
      </c>
      <c r="K69" s="27">
        <f t="shared" si="36"/>
        <v>1899873</v>
      </c>
      <c r="L69" s="27">
        <f t="shared" si="36"/>
        <v>1518901</v>
      </c>
      <c r="M69" s="27">
        <f t="shared" si="36"/>
        <v>1610885</v>
      </c>
      <c r="N69" s="27">
        <f t="shared" si="36"/>
        <v>1037073</v>
      </c>
      <c r="O69" s="27">
        <f t="shared" si="36"/>
        <v>2579749</v>
      </c>
      <c r="P69" s="27">
        <f t="shared" si="36"/>
        <v>2631524</v>
      </c>
      <c r="Q69" s="27">
        <f t="shared" si="36"/>
        <v>2644866</v>
      </c>
      <c r="R69" s="27">
        <f t="shared" si="36"/>
        <v>1418737</v>
      </c>
      <c r="S69" s="27">
        <f t="shared" si="36"/>
        <v>3216728</v>
      </c>
      <c r="T69" s="27">
        <f t="shared" si="36"/>
        <v>2089061</v>
      </c>
      <c r="U69" s="27">
        <f t="shared" si="36"/>
        <v>880986</v>
      </c>
      <c r="V69" s="27">
        <f t="shared" si="36"/>
        <v>893626</v>
      </c>
      <c r="W69" s="27">
        <f t="shared" si="36"/>
        <v>1560023</v>
      </c>
      <c r="X69" s="27">
        <f t="shared" si="36"/>
        <v>2401914</v>
      </c>
      <c r="Y69" s="27">
        <f t="shared" si="36"/>
        <v>2892685</v>
      </c>
      <c r="Z69" s="27">
        <f t="shared" si="36"/>
        <v>3034904</v>
      </c>
      <c r="AA69" s="27">
        <f t="shared" si="36"/>
        <v>2612990</v>
      </c>
      <c r="AB69" s="27">
        <f t="shared" si="36"/>
        <v>2931933</v>
      </c>
      <c r="AC69" s="27">
        <f t="shared" si="36"/>
        <v>2255270</v>
      </c>
      <c r="AD69" s="27">
        <f t="shared" si="36"/>
        <v>4785664</v>
      </c>
      <c r="AE69" s="27">
        <f t="shared" si="36"/>
        <v>2325595</v>
      </c>
      <c r="AF69" s="27">
        <f t="shared" ref="AF69:AG69" si="37">ROUND(AF67*AF68,0)</f>
        <v>3988421</v>
      </c>
      <c r="AG69" s="27">
        <f t="shared" si="37"/>
        <v>3815325</v>
      </c>
      <c r="AH69" s="27">
        <f t="shared" ref="AH69:AI69" si="38">ROUND(AH67*AH68,0)</f>
        <v>3473713</v>
      </c>
      <c r="AI69" s="27">
        <f t="shared" si="38"/>
        <v>2869782</v>
      </c>
      <c r="AJ69" s="38"/>
    </row>
    <row r="70" spans="1:37">
      <c r="A70" s="50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8"/>
    </row>
    <row r="71" spans="1:37" s="77" customFormat="1">
      <c r="A71" s="93" t="s">
        <v>64</v>
      </c>
      <c r="B71" s="77" t="s">
        <v>65</v>
      </c>
      <c r="C71" s="94"/>
      <c r="D71" s="95">
        <v>236626324</v>
      </c>
      <c r="E71" s="95">
        <f>D63</f>
        <v>293636063</v>
      </c>
      <c r="F71" s="95">
        <f t="shared" ref="F71:AI71" si="39">E63</f>
        <v>272537373</v>
      </c>
      <c r="G71" s="95">
        <f t="shared" si="39"/>
        <v>229579228</v>
      </c>
      <c r="H71" s="95">
        <f t="shared" si="39"/>
        <v>251254669</v>
      </c>
      <c r="I71" s="95">
        <f t="shared" si="39"/>
        <v>224907435</v>
      </c>
      <c r="J71" s="95">
        <f t="shared" si="39"/>
        <v>248441020</v>
      </c>
      <c r="K71" s="95">
        <f t="shared" si="39"/>
        <v>280275831</v>
      </c>
      <c r="L71" s="95">
        <f t="shared" si="39"/>
        <v>326215291</v>
      </c>
      <c r="M71" s="95">
        <f t="shared" si="39"/>
        <v>316993082</v>
      </c>
      <c r="N71" s="95">
        <f t="shared" si="39"/>
        <v>281105067</v>
      </c>
      <c r="O71" s="95">
        <f t="shared" si="39"/>
        <v>253139868</v>
      </c>
      <c r="P71" s="95">
        <f t="shared" si="39"/>
        <v>270680490</v>
      </c>
      <c r="Q71" s="95">
        <f t="shared" si="39"/>
        <v>309236823</v>
      </c>
      <c r="R71" s="95">
        <f t="shared" si="39"/>
        <v>368541364</v>
      </c>
      <c r="S71" s="95">
        <f t="shared" si="39"/>
        <v>291072354</v>
      </c>
      <c r="T71" s="95">
        <f t="shared" si="39"/>
        <v>286987548</v>
      </c>
      <c r="U71" s="95">
        <f t="shared" si="39"/>
        <v>270380699</v>
      </c>
      <c r="V71" s="95">
        <f t="shared" si="39"/>
        <v>294620434</v>
      </c>
      <c r="W71" s="95">
        <f t="shared" si="39"/>
        <v>331279515</v>
      </c>
      <c r="X71" s="95">
        <f t="shared" si="39"/>
        <v>353446957</v>
      </c>
      <c r="Y71" s="95">
        <f t="shared" si="39"/>
        <v>362116973</v>
      </c>
      <c r="Z71" s="95">
        <f t="shared" si="39"/>
        <v>311114434</v>
      </c>
      <c r="AA71" s="95">
        <f t="shared" si="39"/>
        <v>295527815</v>
      </c>
      <c r="AB71" s="95">
        <f t="shared" si="39"/>
        <v>292540531</v>
      </c>
      <c r="AC71" s="95">
        <f t="shared" si="39"/>
        <v>344704038</v>
      </c>
      <c r="AD71" s="95">
        <f t="shared" si="39"/>
        <v>395730349</v>
      </c>
      <c r="AE71" s="95">
        <f t="shared" si="39"/>
        <v>337174166</v>
      </c>
      <c r="AF71" s="95">
        <f t="shared" si="39"/>
        <v>297708623</v>
      </c>
      <c r="AG71" s="95">
        <f t="shared" si="39"/>
        <v>290855880</v>
      </c>
      <c r="AH71" s="95">
        <f t="shared" si="39"/>
        <v>304041987</v>
      </c>
      <c r="AI71" s="95">
        <f t="shared" si="39"/>
        <v>365479699</v>
      </c>
      <c r="AJ71" s="96"/>
    </row>
    <row r="72" spans="1:37">
      <c r="A72" s="50" t="s">
        <v>66</v>
      </c>
      <c r="B72" s="19" t="s">
        <v>67</v>
      </c>
      <c r="C72" s="52"/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38"/>
    </row>
    <row r="73" spans="1:37">
      <c r="A73" s="50" t="s">
        <v>68</v>
      </c>
      <c r="B73" s="1" t="s">
        <v>69</v>
      </c>
      <c r="C73" s="2" t="s">
        <v>70</v>
      </c>
      <c r="D73" s="39">
        <f t="shared" ref="D73:AE73" si="40">D71-D72</f>
        <v>236626324</v>
      </c>
      <c r="E73" s="39">
        <f t="shared" si="40"/>
        <v>293636063</v>
      </c>
      <c r="F73" s="39">
        <f t="shared" si="40"/>
        <v>272537373</v>
      </c>
      <c r="G73" s="39">
        <f t="shared" si="40"/>
        <v>229579228</v>
      </c>
      <c r="H73" s="39">
        <f t="shared" si="40"/>
        <v>251254669</v>
      </c>
      <c r="I73" s="39">
        <f t="shared" si="40"/>
        <v>224907435</v>
      </c>
      <c r="J73" s="39">
        <f t="shared" si="40"/>
        <v>248441020</v>
      </c>
      <c r="K73" s="39">
        <f t="shared" si="40"/>
        <v>280275831</v>
      </c>
      <c r="L73" s="39">
        <f t="shared" si="40"/>
        <v>326215291</v>
      </c>
      <c r="M73" s="39">
        <f t="shared" si="40"/>
        <v>316993082</v>
      </c>
      <c r="N73" s="39">
        <f t="shared" si="40"/>
        <v>281105067</v>
      </c>
      <c r="O73" s="39">
        <f t="shared" si="40"/>
        <v>253139868</v>
      </c>
      <c r="P73" s="39">
        <f t="shared" si="40"/>
        <v>270680490</v>
      </c>
      <c r="Q73" s="39">
        <f t="shared" si="40"/>
        <v>309236823</v>
      </c>
      <c r="R73" s="39">
        <f t="shared" si="40"/>
        <v>368541364</v>
      </c>
      <c r="S73" s="39">
        <f t="shared" si="40"/>
        <v>291072354</v>
      </c>
      <c r="T73" s="39">
        <f t="shared" si="40"/>
        <v>286987548</v>
      </c>
      <c r="U73" s="39">
        <f t="shared" si="40"/>
        <v>270380699</v>
      </c>
      <c r="V73" s="39">
        <f t="shared" si="40"/>
        <v>294620434</v>
      </c>
      <c r="W73" s="39">
        <f t="shared" si="40"/>
        <v>331279515</v>
      </c>
      <c r="X73" s="39">
        <f t="shared" si="40"/>
        <v>353446957</v>
      </c>
      <c r="Y73" s="39">
        <f t="shared" si="40"/>
        <v>362116973</v>
      </c>
      <c r="Z73" s="39">
        <f t="shared" si="40"/>
        <v>311114434</v>
      </c>
      <c r="AA73" s="39">
        <f t="shared" si="40"/>
        <v>295527815</v>
      </c>
      <c r="AB73" s="39">
        <f t="shared" si="40"/>
        <v>292540531</v>
      </c>
      <c r="AC73" s="39">
        <f t="shared" si="40"/>
        <v>344704038</v>
      </c>
      <c r="AD73" s="39">
        <f t="shared" si="40"/>
        <v>395730349</v>
      </c>
      <c r="AE73" s="39">
        <f t="shared" si="40"/>
        <v>337174166</v>
      </c>
      <c r="AF73" s="39">
        <f t="shared" ref="AF73:AG73" si="41">AF71-AF72</f>
        <v>297708623</v>
      </c>
      <c r="AG73" s="39">
        <f t="shared" si="41"/>
        <v>290855880</v>
      </c>
      <c r="AH73" s="39">
        <f t="shared" ref="AH73" si="42">AH71-AH72</f>
        <v>304041987</v>
      </c>
      <c r="AI73" s="39">
        <f t="shared" ref="AI73" si="43">AI71-AI72</f>
        <v>365479699</v>
      </c>
      <c r="AJ73" s="38"/>
    </row>
    <row r="74" spans="1:37">
      <c r="A74" s="50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22"/>
    </row>
    <row r="75" spans="1:37">
      <c r="A75" s="50" t="s">
        <v>71</v>
      </c>
      <c r="B75" s="1" t="s">
        <v>72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49">
        <v>0</v>
      </c>
      <c r="AJ75" s="53"/>
    </row>
    <row r="76" spans="1:37">
      <c r="A76" s="50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3"/>
    </row>
    <row r="77" spans="1:37">
      <c r="A77" s="50" t="s">
        <v>73</v>
      </c>
      <c r="B77" s="1" t="s">
        <v>74</v>
      </c>
      <c r="C77" s="2" t="s">
        <v>75</v>
      </c>
      <c r="D77" s="27">
        <f>D67*D73</f>
        <v>4739861.8960440001</v>
      </c>
      <c r="E77" s="27">
        <f t="shared" ref="E77:AE77" si="44">E67*E73</f>
        <v>4088001.269086001</v>
      </c>
      <c r="F77" s="27">
        <f t="shared" si="44"/>
        <v>2085728.515569</v>
      </c>
      <c r="G77" s="27">
        <f t="shared" si="44"/>
        <v>252537.15080000006</v>
      </c>
      <c r="H77" s="27">
        <f t="shared" si="44"/>
        <v>688186.53839100047</v>
      </c>
      <c r="I77" s="27">
        <f t="shared" si="44"/>
        <v>562493.49493499997</v>
      </c>
      <c r="J77" s="27">
        <f t="shared" si="44"/>
        <v>937119.52744000021</v>
      </c>
      <c r="K77" s="27">
        <f t="shared" si="44"/>
        <v>1831602.5555849997</v>
      </c>
      <c r="L77" s="27">
        <f t="shared" si="44"/>
        <v>1757321.7726169999</v>
      </c>
      <c r="M77" s="27">
        <f t="shared" si="44"/>
        <v>2096275.2512660003</v>
      </c>
      <c r="N77" s="27">
        <f t="shared" si="44"/>
        <v>1322037.1301010007</v>
      </c>
      <c r="O77" s="27">
        <f t="shared" si="44"/>
        <v>2783272.8486599997</v>
      </c>
      <c r="P77" s="27">
        <f t="shared" si="44"/>
        <v>2631285.0432899999</v>
      </c>
      <c r="Q77" s="27">
        <f t="shared" si="44"/>
        <v>2480388.5572830001</v>
      </c>
      <c r="R77" s="27">
        <f t="shared" si="44"/>
        <v>2071202.4656799999</v>
      </c>
      <c r="S77" s="27">
        <f t="shared" si="44"/>
        <v>3780738.8061060002</v>
      </c>
      <c r="T77" s="27">
        <f t="shared" si="44"/>
        <v>2602116.0977160004</v>
      </c>
      <c r="U77" s="27">
        <f t="shared" si="44"/>
        <v>940924.83252000017</v>
      </c>
      <c r="V77" s="27">
        <f t="shared" si="44"/>
        <v>900654.66673800023</v>
      </c>
      <c r="W77" s="27">
        <f t="shared" si="44"/>
        <v>1658385.2520900001</v>
      </c>
      <c r="X77" s="27">
        <f t="shared" si="44"/>
        <v>2696446.8349530003</v>
      </c>
      <c r="Y77" s="27">
        <f t="shared" si="44"/>
        <v>3949247.7075379998</v>
      </c>
      <c r="Z77" s="27">
        <f t="shared" si="44"/>
        <v>3891108.2260380015</v>
      </c>
      <c r="AA77" s="27">
        <f t="shared" si="44"/>
        <v>3181061.4006600007</v>
      </c>
      <c r="AB77" s="27">
        <f t="shared" si="44"/>
        <v>2941202.4986740001</v>
      </c>
      <c r="AC77" s="27">
        <f t="shared" si="44"/>
        <v>2271254.9063820005</v>
      </c>
      <c r="AD77" s="27">
        <f t="shared" si="44"/>
        <v>6734143.3489329992</v>
      </c>
      <c r="AE77" s="27">
        <f t="shared" si="44"/>
        <v>3087503.8380620005</v>
      </c>
      <c r="AF77" s="27">
        <f t="shared" ref="AF77:AG77" si="45">AF67*AF73</f>
        <v>5080695.3601179989</v>
      </c>
      <c r="AG77" s="27">
        <f t="shared" si="45"/>
        <v>4496341.04892</v>
      </c>
      <c r="AH77" s="27">
        <f t="shared" ref="AH77" si="46">AH67*AH73</f>
        <v>3527191.0911870003</v>
      </c>
      <c r="AI77" s="27">
        <f t="shared" ref="AI77" si="47">AI67*AI73</f>
        <v>3037501.7783890008</v>
      </c>
      <c r="AJ77" s="16"/>
    </row>
    <row r="78" spans="1:37">
      <c r="A78" s="50"/>
      <c r="B78" s="19"/>
      <c r="C78" s="20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3"/>
    </row>
    <row r="79" spans="1:37">
      <c r="A79" s="50" t="s">
        <v>76</v>
      </c>
      <c r="B79" s="1" t="s">
        <v>77</v>
      </c>
      <c r="C79" s="2" t="s">
        <v>78</v>
      </c>
      <c r="D79" s="27">
        <f>D69-D77</f>
        <v>1048375.1039559999</v>
      </c>
      <c r="E79" s="27">
        <f t="shared" ref="E79:AE79" si="48">E69-E77</f>
        <v>-343328.26908600098</v>
      </c>
      <c r="F79" s="27">
        <f t="shared" si="48"/>
        <v>-353381.51556900004</v>
      </c>
      <c r="G79" s="27">
        <f t="shared" si="48"/>
        <v>9882.8491999999387</v>
      </c>
      <c r="H79" s="27">
        <f t="shared" si="48"/>
        <v>-132051.53839100047</v>
      </c>
      <c r="I79" s="27">
        <f t="shared" si="48"/>
        <v>-4717.4949349999661</v>
      </c>
      <c r="J79" s="27">
        <f t="shared" si="48"/>
        <v>-105712.52744000021</v>
      </c>
      <c r="K79" s="27">
        <f t="shared" si="48"/>
        <v>68270.444415000267</v>
      </c>
      <c r="L79" s="27">
        <f t="shared" si="48"/>
        <v>-238420.77261699992</v>
      </c>
      <c r="M79" s="27">
        <f t="shared" si="48"/>
        <v>-485390.25126600033</v>
      </c>
      <c r="N79" s="27">
        <f t="shared" si="48"/>
        <v>-284964.13010100066</v>
      </c>
      <c r="O79" s="27">
        <f t="shared" si="48"/>
        <v>-203523.84865999967</v>
      </c>
      <c r="P79" s="27">
        <f t="shared" si="48"/>
        <v>238.95671000005677</v>
      </c>
      <c r="Q79" s="27">
        <f t="shared" si="48"/>
        <v>164477.44271699991</v>
      </c>
      <c r="R79" s="27">
        <f t="shared" si="48"/>
        <v>-652465.46567999991</v>
      </c>
      <c r="S79" s="27">
        <f t="shared" si="48"/>
        <v>-564010.80610600021</v>
      </c>
      <c r="T79" s="27">
        <f t="shared" si="48"/>
        <v>-513055.0977160004</v>
      </c>
      <c r="U79" s="27">
        <f t="shared" si="48"/>
        <v>-59938.832520000171</v>
      </c>
      <c r="V79" s="27">
        <f t="shared" si="48"/>
        <v>-7028.6667380002327</v>
      </c>
      <c r="W79" s="27">
        <f t="shared" si="48"/>
        <v>-98362.252090000082</v>
      </c>
      <c r="X79" s="27">
        <f t="shared" si="48"/>
        <v>-294532.8349530003</v>
      </c>
      <c r="Y79" s="27">
        <f t="shared" si="48"/>
        <v>-1056562.7075379998</v>
      </c>
      <c r="Z79" s="27">
        <f t="shared" si="48"/>
        <v>-856204.22603800148</v>
      </c>
      <c r="AA79" s="27">
        <f t="shared" si="48"/>
        <v>-568071.40066000074</v>
      </c>
      <c r="AB79" s="27">
        <f t="shared" si="48"/>
        <v>-9269.4986740001477</v>
      </c>
      <c r="AC79" s="27">
        <f t="shared" si="48"/>
        <v>-15984.906382000539</v>
      </c>
      <c r="AD79" s="27">
        <f t="shared" si="48"/>
        <v>-1948479.3489329992</v>
      </c>
      <c r="AE79" s="27">
        <f t="shared" si="48"/>
        <v>-761908.83806200046</v>
      </c>
      <c r="AF79" s="27">
        <f t="shared" ref="AF79:AG79" si="49">AF69-AF77</f>
        <v>-1092274.3601179989</v>
      </c>
      <c r="AG79" s="27">
        <f t="shared" si="49"/>
        <v>-681016.04891999997</v>
      </c>
      <c r="AH79" s="27">
        <f t="shared" ref="AH79" si="50">AH69-AH77</f>
        <v>-53478.091187000275</v>
      </c>
      <c r="AI79" s="27">
        <f t="shared" ref="AI79" si="51">AI69-AI77</f>
        <v>-167719.7783890008</v>
      </c>
      <c r="AJ79" s="16"/>
    </row>
    <row r="80" spans="1:37">
      <c r="A80" s="50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</row>
    <row r="81" spans="1:37">
      <c r="A81" s="50" t="s">
        <v>79</v>
      </c>
      <c r="B81" s="1" t="s">
        <v>80</v>
      </c>
      <c r="C81" s="2" t="s">
        <v>81</v>
      </c>
      <c r="D81" s="15">
        <f t="shared" ref="D81:AE81" si="52">D63</f>
        <v>293636063</v>
      </c>
      <c r="E81" s="15">
        <f t="shared" si="52"/>
        <v>272537373</v>
      </c>
      <c r="F81" s="15">
        <f t="shared" si="52"/>
        <v>229579228</v>
      </c>
      <c r="G81" s="15">
        <f t="shared" si="52"/>
        <v>251254669</v>
      </c>
      <c r="H81" s="15">
        <f t="shared" si="52"/>
        <v>224907435</v>
      </c>
      <c r="I81" s="15">
        <f t="shared" si="52"/>
        <v>248441020</v>
      </c>
      <c r="J81" s="15">
        <f t="shared" si="52"/>
        <v>280275831</v>
      </c>
      <c r="K81" s="15">
        <f t="shared" si="52"/>
        <v>326215291</v>
      </c>
      <c r="L81" s="15">
        <f t="shared" si="52"/>
        <v>316993082</v>
      </c>
      <c r="M81" s="15">
        <f t="shared" si="52"/>
        <v>281105067</v>
      </c>
      <c r="N81" s="15">
        <f t="shared" si="52"/>
        <v>253139868</v>
      </c>
      <c r="O81" s="15">
        <f t="shared" si="52"/>
        <v>270680490</v>
      </c>
      <c r="P81" s="15">
        <f t="shared" si="52"/>
        <v>309236823</v>
      </c>
      <c r="Q81" s="15">
        <f t="shared" si="52"/>
        <v>368541364</v>
      </c>
      <c r="R81" s="15">
        <f t="shared" si="52"/>
        <v>291072354</v>
      </c>
      <c r="S81" s="15">
        <f t="shared" si="52"/>
        <v>286987548</v>
      </c>
      <c r="T81" s="15">
        <f t="shared" si="52"/>
        <v>270380699</v>
      </c>
      <c r="U81" s="15">
        <f t="shared" si="52"/>
        <v>294620434</v>
      </c>
      <c r="V81" s="15">
        <f t="shared" si="52"/>
        <v>331279515</v>
      </c>
      <c r="W81" s="15">
        <f t="shared" si="52"/>
        <v>353446957</v>
      </c>
      <c r="X81" s="15">
        <f t="shared" si="52"/>
        <v>362116973</v>
      </c>
      <c r="Y81" s="15">
        <f t="shared" si="52"/>
        <v>311114434</v>
      </c>
      <c r="Z81" s="15">
        <f t="shared" si="52"/>
        <v>295527815</v>
      </c>
      <c r="AA81" s="15">
        <f t="shared" si="52"/>
        <v>292540531</v>
      </c>
      <c r="AB81" s="15">
        <f t="shared" si="52"/>
        <v>344704038</v>
      </c>
      <c r="AC81" s="15">
        <f t="shared" si="52"/>
        <v>395730349</v>
      </c>
      <c r="AD81" s="15">
        <f t="shared" si="52"/>
        <v>337174166</v>
      </c>
      <c r="AE81" s="15">
        <f t="shared" si="52"/>
        <v>297708623</v>
      </c>
      <c r="AF81" s="15">
        <f t="shared" ref="AF81:AG81" si="53">AF63</f>
        <v>290855880</v>
      </c>
      <c r="AG81" s="15">
        <f t="shared" si="53"/>
        <v>304041987</v>
      </c>
      <c r="AH81" s="15">
        <f t="shared" ref="AH81" si="54">AH63</f>
        <v>365479699</v>
      </c>
      <c r="AI81" s="15">
        <f t="shared" ref="AI81" si="55">AI63</f>
        <v>408859743</v>
      </c>
      <c r="AJ81" s="16"/>
      <c r="AK81" s="35"/>
    </row>
    <row r="82" spans="1:37" ht="3.75" customHeight="1">
      <c r="A82" s="50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</row>
    <row r="83" spans="1:37">
      <c r="A83" s="50" t="s">
        <v>82</v>
      </c>
      <c r="B83" s="1" t="s">
        <v>83</v>
      </c>
      <c r="D83" s="15">
        <f t="shared" ref="D83:AE83" si="56">D81</f>
        <v>293636063</v>
      </c>
      <c r="E83" s="15">
        <f t="shared" si="56"/>
        <v>272537373</v>
      </c>
      <c r="F83" s="15">
        <f t="shared" si="56"/>
        <v>229579228</v>
      </c>
      <c r="G83" s="15">
        <f t="shared" si="56"/>
        <v>251254669</v>
      </c>
      <c r="H83" s="15">
        <f t="shared" si="56"/>
        <v>224907435</v>
      </c>
      <c r="I83" s="15">
        <f t="shared" si="56"/>
        <v>248441020</v>
      </c>
      <c r="J83" s="15">
        <f t="shared" si="56"/>
        <v>280275831</v>
      </c>
      <c r="K83" s="15">
        <f t="shared" si="56"/>
        <v>326215291</v>
      </c>
      <c r="L83" s="15">
        <f t="shared" si="56"/>
        <v>316993082</v>
      </c>
      <c r="M83" s="15">
        <f t="shared" si="56"/>
        <v>281105067</v>
      </c>
      <c r="N83" s="15">
        <f t="shared" si="56"/>
        <v>253139868</v>
      </c>
      <c r="O83" s="15">
        <f t="shared" si="56"/>
        <v>270680490</v>
      </c>
      <c r="P83" s="15">
        <f t="shared" si="56"/>
        <v>309236823</v>
      </c>
      <c r="Q83" s="15">
        <f t="shared" si="56"/>
        <v>368541364</v>
      </c>
      <c r="R83" s="15">
        <f t="shared" si="56"/>
        <v>291072354</v>
      </c>
      <c r="S83" s="15">
        <f t="shared" si="56"/>
        <v>286987548</v>
      </c>
      <c r="T83" s="15">
        <f t="shared" si="56"/>
        <v>270380699</v>
      </c>
      <c r="U83" s="15">
        <f t="shared" si="56"/>
        <v>294620434</v>
      </c>
      <c r="V83" s="15">
        <f t="shared" si="56"/>
        <v>331279515</v>
      </c>
      <c r="W83" s="15">
        <f t="shared" si="56"/>
        <v>353446957</v>
      </c>
      <c r="X83" s="15">
        <f t="shared" si="56"/>
        <v>362116973</v>
      </c>
      <c r="Y83" s="15">
        <f t="shared" si="56"/>
        <v>311114434</v>
      </c>
      <c r="Z83" s="15">
        <f t="shared" si="56"/>
        <v>295527815</v>
      </c>
      <c r="AA83" s="15">
        <f t="shared" si="56"/>
        <v>292540531</v>
      </c>
      <c r="AB83" s="15">
        <f t="shared" si="56"/>
        <v>344704038</v>
      </c>
      <c r="AC83" s="15">
        <f t="shared" si="56"/>
        <v>395730349</v>
      </c>
      <c r="AD83" s="15">
        <f t="shared" si="56"/>
        <v>337174166</v>
      </c>
      <c r="AE83" s="15">
        <f t="shared" si="56"/>
        <v>297708623</v>
      </c>
      <c r="AF83" s="15">
        <f t="shared" ref="AF83:AG83" si="57">AF81</f>
        <v>290855880</v>
      </c>
      <c r="AG83" s="15">
        <f t="shared" si="57"/>
        <v>304041987</v>
      </c>
      <c r="AH83" s="15">
        <f t="shared" ref="AH83" si="58">AH81</f>
        <v>365479699</v>
      </c>
      <c r="AI83" s="15">
        <f t="shared" ref="AI83" si="59">AI81</f>
        <v>408859743</v>
      </c>
      <c r="AJ83" s="16"/>
      <c r="AK83" s="35"/>
    </row>
    <row r="84" spans="1:37" ht="3.75" customHeight="1">
      <c r="A84" s="50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55"/>
    </row>
    <row r="85" spans="1:37">
      <c r="A85" s="50" t="s">
        <v>84</v>
      </c>
      <c r="B85" s="1" t="s">
        <v>85</v>
      </c>
      <c r="C85" s="2" t="s">
        <v>86</v>
      </c>
      <c r="D85" s="56">
        <f t="shared" ref="D85:AE85" si="60">D81/D83</f>
        <v>1</v>
      </c>
      <c r="E85" s="56">
        <f t="shared" si="60"/>
        <v>1</v>
      </c>
      <c r="F85" s="56">
        <f t="shared" si="60"/>
        <v>1</v>
      </c>
      <c r="G85" s="56">
        <f t="shared" si="60"/>
        <v>1</v>
      </c>
      <c r="H85" s="56">
        <f t="shared" si="60"/>
        <v>1</v>
      </c>
      <c r="I85" s="56">
        <f t="shared" si="60"/>
        <v>1</v>
      </c>
      <c r="J85" s="56">
        <f t="shared" si="60"/>
        <v>1</v>
      </c>
      <c r="K85" s="56">
        <f t="shared" si="60"/>
        <v>1</v>
      </c>
      <c r="L85" s="56">
        <f t="shared" si="60"/>
        <v>1</v>
      </c>
      <c r="M85" s="56">
        <f t="shared" si="60"/>
        <v>1</v>
      </c>
      <c r="N85" s="56">
        <f t="shared" si="60"/>
        <v>1</v>
      </c>
      <c r="O85" s="56">
        <f t="shared" si="60"/>
        <v>1</v>
      </c>
      <c r="P85" s="56">
        <f t="shared" si="60"/>
        <v>1</v>
      </c>
      <c r="Q85" s="56">
        <f t="shared" si="60"/>
        <v>1</v>
      </c>
      <c r="R85" s="56">
        <f t="shared" si="60"/>
        <v>1</v>
      </c>
      <c r="S85" s="56">
        <f t="shared" si="60"/>
        <v>1</v>
      </c>
      <c r="T85" s="56">
        <f t="shared" si="60"/>
        <v>1</v>
      </c>
      <c r="U85" s="56">
        <f t="shared" si="60"/>
        <v>1</v>
      </c>
      <c r="V85" s="56">
        <f t="shared" si="60"/>
        <v>1</v>
      </c>
      <c r="W85" s="56">
        <f t="shared" si="60"/>
        <v>1</v>
      </c>
      <c r="X85" s="56">
        <f t="shared" si="60"/>
        <v>1</v>
      </c>
      <c r="Y85" s="56">
        <f t="shared" si="60"/>
        <v>1</v>
      </c>
      <c r="Z85" s="56">
        <f t="shared" si="60"/>
        <v>1</v>
      </c>
      <c r="AA85" s="56">
        <f t="shared" si="60"/>
        <v>1</v>
      </c>
      <c r="AB85" s="56">
        <f t="shared" si="60"/>
        <v>1</v>
      </c>
      <c r="AC85" s="56">
        <f t="shared" si="60"/>
        <v>1</v>
      </c>
      <c r="AD85" s="56">
        <f t="shared" si="60"/>
        <v>1</v>
      </c>
      <c r="AE85" s="56">
        <f t="shared" si="60"/>
        <v>1</v>
      </c>
      <c r="AF85" s="56">
        <f t="shared" ref="AF85:AG85" si="61">AF81/AF83</f>
        <v>1</v>
      </c>
      <c r="AG85" s="56">
        <f t="shared" si="61"/>
        <v>1</v>
      </c>
      <c r="AH85" s="56">
        <f t="shared" ref="AH85" si="62">AH81/AH83</f>
        <v>1</v>
      </c>
      <c r="AI85" s="56">
        <f t="shared" ref="AI85" si="63">AI81/AI83</f>
        <v>1</v>
      </c>
      <c r="AJ85" s="57"/>
    </row>
    <row r="86" spans="1:37" ht="3.75" customHeight="1">
      <c r="A86" s="50"/>
      <c r="B86" s="19"/>
      <c r="C86" s="20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9"/>
    </row>
    <row r="87" spans="1:37">
      <c r="A87" s="50" t="s">
        <v>87</v>
      </c>
      <c r="B87" s="1" t="s">
        <v>88</v>
      </c>
      <c r="C87" s="2" t="s">
        <v>89</v>
      </c>
      <c r="D87" s="60">
        <f>ROUND(D79*D85,0)</f>
        <v>1048375</v>
      </c>
      <c r="E87" s="60">
        <f t="shared" ref="E87:AE87" si="64">ROUND(E79*E85,0)</f>
        <v>-343328</v>
      </c>
      <c r="F87" s="60">
        <f t="shared" si="64"/>
        <v>-353382</v>
      </c>
      <c r="G87" s="60">
        <f t="shared" si="64"/>
        <v>9883</v>
      </c>
      <c r="H87" s="60">
        <f t="shared" si="64"/>
        <v>-132052</v>
      </c>
      <c r="I87" s="60">
        <f t="shared" si="64"/>
        <v>-4717</v>
      </c>
      <c r="J87" s="60">
        <f t="shared" si="64"/>
        <v>-105713</v>
      </c>
      <c r="K87" s="60">
        <f t="shared" si="64"/>
        <v>68270</v>
      </c>
      <c r="L87" s="60">
        <f t="shared" si="64"/>
        <v>-238421</v>
      </c>
      <c r="M87" s="60">
        <f t="shared" si="64"/>
        <v>-485390</v>
      </c>
      <c r="N87" s="60">
        <f t="shared" si="64"/>
        <v>-284964</v>
      </c>
      <c r="O87" s="60">
        <f t="shared" si="64"/>
        <v>-203524</v>
      </c>
      <c r="P87" s="60">
        <f t="shared" si="64"/>
        <v>239</v>
      </c>
      <c r="Q87" s="60">
        <f t="shared" si="64"/>
        <v>164477</v>
      </c>
      <c r="R87" s="60">
        <f t="shared" si="64"/>
        <v>-652465</v>
      </c>
      <c r="S87" s="60">
        <f t="shared" si="64"/>
        <v>-564011</v>
      </c>
      <c r="T87" s="60">
        <f t="shared" si="64"/>
        <v>-513055</v>
      </c>
      <c r="U87" s="60">
        <f t="shared" si="64"/>
        <v>-59939</v>
      </c>
      <c r="V87" s="60">
        <f t="shared" si="64"/>
        <v>-7029</v>
      </c>
      <c r="W87" s="60">
        <f t="shared" si="64"/>
        <v>-98362</v>
      </c>
      <c r="X87" s="60">
        <f t="shared" si="64"/>
        <v>-294533</v>
      </c>
      <c r="Y87" s="60">
        <f t="shared" si="64"/>
        <v>-1056563</v>
      </c>
      <c r="Z87" s="60">
        <f t="shared" si="64"/>
        <v>-856204</v>
      </c>
      <c r="AA87" s="60">
        <f t="shared" si="64"/>
        <v>-568071</v>
      </c>
      <c r="AB87" s="60">
        <f t="shared" si="64"/>
        <v>-9269</v>
      </c>
      <c r="AC87" s="60">
        <f t="shared" si="64"/>
        <v>-15985</v>
      </c>
      <c r="AD87" s="60">
        <f t="shared" si="64"/>
        <v>-1948479</v>
      </c>
      <c r="AE87" s="60">
        <f t="shared" si="64"/>
        <v>-761909</v>
      </c>
      <c r="AF87" s="60">
        <f t="shared" ref="AF87:AG87" si="65">ROUND(AF79*AF85,0)</f>
        <v>-1092274</v>
      </c>
      <c r="AG87" s="60">
        <f t="shared" si="65"/>
        <v>-681016</v>
      </c>
      <c r="AH87" s="60">
        <f t="shared" ref="AH87" si="66">ROUND(AH79*AH85,0)</f>
        <v>-53478</v>
      </c>
      <c r="AI87" s="60">
        <f t="shared" ref="AI87" si="67">ROUND(AI79*AI85,0)</f>
        <v>-167720</v>
      </c>
      <c r="AJ87" s="59"/>
    </row>
    <row r="88" spans="1:37" ht="8.25" customHeight="1">
      <c r="A88" s="61"/>
      <c r="B88" s="19"/>
      <c r="C88" s="62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4"/>
    </row>
    <row r="89" spans="1:37">
      <c r="A89" s="4"/>
      <c r="B89" s="6"/>
      <c r="C89" s="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</row>
    <row r="90" spans="1:37">
      <c r="A90" s="65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</row>
    <row r="91" spans="1:37">
      <c r="A91" s="65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</row>
    <row r="92" spans="1:37" ht="30" customHeight="1">
      <c r="A92" s="67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64"/>
    </row>
    <row r="93" spans="1:37">
      <c r="A93" s="65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</row>
    <row r="94" spans="1:37" ht="30" customHeight="1">
      <c r="A94" s="67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64"/>
    </row>
    <row r="95" spans="1:37">
      <c r="A95" s="6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</row>
    <row r="96" spans="1:37" ht="30" customHeight="1">
      <c r="A96" s="67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64"/>
    </row>
    <row r="97" spans="1:36">
      <c r="A97" s="65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1:36" ht="45" customHeight="1">
      <c r="A98" s="67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64"/>
    </row>
    <row r="99" spans="1:36">
      <c r="A99" s="65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</row>
  </sheetData>
  <mergeCells count="5">
    <mergeCell ref="B98:N98"/>
    <mergeCell ref="A47:N47"/>
    <mergeCell ref="B92:N92"/>
    <mergeCell ref="B94:N94"/>
    <mergeCell ref="B96:N96"/>
  </mergeCells>
  <pageMargins left="1" right="0.7" top="1" bottom="0.75" header="0.3" footer="0.3"/>
  <pageSetup scale="51" fitToHeight="2" orientation="portrait" r:id="rId1"/>
  <headerFooter>
    <oddFooter>&amp;R&amp;"Times New Roman,Bold"&amp;12Page &amp;P of &amp;N</oddFooter>
  </headerFooter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B896-348A-4FEE-8388-DFA5296055DD}">
  <sheetPr codeName="Sheet2"/>
  <dimension ref="A2:AK99"/>
  <sheetViews>
    <sheetView zoomScaleNormal="100" workbookViewId="0">
      <pane xSplit="3" ySplit="6" topLeftCell="AD72" activePane="bottomRight" state="frozen"/>
      <selection activeCell="N8" sqref="N8"/>
      <selection pane="topRight" activeCell="N8" sqref="N8"/>
      <selection pane="bottomLeft" activeCell="N8" sqref="N8"/>
      <selection pane="bottomRight" activeCell="E71" sqref="E71"/>
    </sheetView>
  </sheetViews>
  <sheetFormatPr defaultColWidth="9.125" defaultRowHeight="15.75"/>
  <cols>
    <col min="1" max="1" width="8" style="1" customWidth="1"/>
    <col min="2" max="2" width="53" style="1" customWidth="1"/>
    <col min="3" max="3" width="18.125" style="2" customWidth="1"/>
    <col min="4" max="35" width="25.75" style="1" customWidth="1"/>
    <col min="36" max="36" width="1.125" style="1" customWidth="1"/>
    <col min="37" max="16384" width="9.125" style="1"/>
  </cols>
  <sheetData>
    <row r="2" spans="1:37" ht="14.45" customHeight="1">
      <c r="A2" s="4" t="s">
        <v>0</v>
      </c>
    </row>
    <row r="3" spans="1:37" s="77" customFormat="1" ht="14.45" customHeight="1">
      <c r="A3" s="78"/>
      <c r="B3" s="4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7">
      <c r="A4" s="6"/>
      <c r="B4" s="4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7">
      <c r="A5" s="4"/>
      <c r="B5" s="4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7">
      <c r="A6" s="4"/>
      <c r="B6" s="4"/>
      <c r="C6" s="7" t="s">
        <v>2</v>
      </c>
      <c r="D6" s="74">
        <v>44896</v>
      </c>
      <c r="E6" s="74">
        <f t="shared" ref="E6:AI6" si="0">EOMONTH(D6,1)</f>
        <v>44957</v>
      </c>
      <c r="F6" s="74">
        <f t="shared" si="0"/>
        <v>44985</v>
      </c>
      <c r="G6" s="74">
        <f t="shared" si="0"/>
        <v>45016</v>
      </c>
      <c r="H6" s="74">
        <f t="shared" si="0"/>
        <v>45046</v>
      </c>
      <c r="I6" s="74">
        <f t="shared" si="0"/>
        <v>45077</v>
      </c>
      <c r="J6" s="74">
        <f t="shared" si="0"/>
        <v>45107</v>
      </c>
      <c r="K6" s="74">
        <f t="shared" si="0"/>
        <v>45138</v>
      </c>
      <c r="L6" s="74">
        <f t="shared" si="0"/>
        <v>45169</v>
      </c>
      <c r="M6" s="74">
        <f t="shared" si="0"/>
        <v>45199</v>
      </c>
      <c r="N6" s="74">
        <f t="shared" si="0"/>
        <v>45230</v>
      </c>
      <c r="O6" s="74">
        <f t="shared" si="0"/>
        <v>45260</v>
      </c>
      <c r="P6" s="74">
        <f t="shared" si="0"/>
        <v>45291</v>
      </c>
      <c r="Q6" s="74">
        <f t="shared" si="0"/>
        <v>45322</v>
      </c>
      <c r="R6" s="74">
        <f t="shared" si="0"/>
        <v>45351</v>
      </c>
      <c r="S6" s="74">
        <f t="shared" si="0"/>
        <v>45382</v>
      </c>
      <c r="T6" s="74">
        <f t="shared" si="0"/>
        <v>45412</v>
      </c>
      <c r="U6" s="74">
        <f t="shared" si="0"/>
        <v>45443</v>
      </c>
      <c r="V6" s="74">
        <f t="shared" si="0"/>
        <v>45473</v>
      </c>
      <c r="W6" s="74">
        <f t="shared" si="0"/>
        <v>45504</v>
      </c>
      <c r="X6" s="74">
        <f t="shared" si="0"/>
        <v>45535</v>
      </c>
      <c r="Y6" s="74">
        <f t="shared" si="0"/>
        <v>45565</v>
      </c>
      <c r="Z6" s="74">
        <f t="shared" si="0"/>
        <v>45596</v>
      </c>
      <c r="AA6" s="74">
        <f t="shared" si="0"/>
        <v>45626</v>
      </c>
      <c r="AB6" s="74">
        <f t="shared" si="0"/>
        <v>45657</v>
      </c>
      <c r="AC6" s="74">
        <f t="shared" si="0"/>
        <v>45688</v>
      </c>
      <c r="AD6" s="74">
        <f t="shared" si="0"/>
        <v>45716</v>
      </c>
      <c r="AE6" s="74">
        <f t="shared" si="0"/>
        <v>45747</v>
      </c>
      <c r="AF6" s="74">
        <f t="shared" si="0"/>
        <v>45777</v>
      </c>
      <c r="AG6" s="74">
        <f t="shared" si="0"/>
        <v>45808</v>
      </c>
      <c r="AH6" s="74">
        <f t="shared" si="0"/>
        <v>45838</v>
      </c>
      <c r="AI6" s="74">
        <f t="shared" si="0"/>
        <v>45869</v>
      </c>
      <c r="AJ6" s="5"/>
    </row>
    <row r="7" spans="1:37" ht="5.25" customHeight="1">
      <c r="A7" s="4"/>
      <c r="B7" s="4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7">
      <c r="A8" s="8" t="s">
        <v>3</v>
      </c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2"/>
    </row>
    <row r="9" spans="1:37">
      <c r="A9" s="12"/>
      <c r="B9" s="1" t="s">
        <v>4</v>
      </c>
      <c r="C9" s="2" t="s">
        <v>5</v>
      </c>
      <c r="D9" s="27">
        <f t="shared" ref="D9:N9" si="1">D45</f>
        <v>10234423</v>
      </c>
      <c r="E9" s="27">
        <f t="shared" si="1"/>
        <v>7736694</v>
      </c>
      <c r="F9" s="27">
        <f t="shared" si="1"/>
        <v>5038355</v>
      </c>
      <c r="G9" s="27">
        <f t="shared" si="1"/>
        <v>5941105.839999998</v>
      </c>
      <c r="H9" s="27">
        <f t="shared" si="1"/>
        <v>5279189.4499999993</v>
      </c>
      <c r="I9" s="27">
        <f t="shared" si="1"/>
        <v>6031557.04</v>
      </c>
      <c r="J9" s="27">
        <f t="shared" si="1"/>
        <v>7535623.04</v>
      </c>
      <c r="K9" s="27">
        <f t="shared" si="1"/>
        <v>8301511.5899999999</v>
      </c>
      <c r="L9" s="27">
        <f t="shared" si="1"/>
        <v>8559954.0999999996</v>
      </c>
      <c r="M9" s="27">
        <f t="shared" si="1"/>
        <v>7082361.3399999999</v>
      </c>
      <c r="N9" s="27">
        <f t="shared" si="1"/>
        <v>7984994.4699999997</v>
      </c>
      <c r="O9" s="27">
        <v>8261782.4100000001</v>
      </c>
      <c r="P9" s="27">
        <v>8812906.6099999994</v>
      </c>
      <c r="Q9" s="27">
        <v>9263736.1600000001</v>
      </c>
      <c r="R9" s="27">
        <v>9774668.7300000004</v>
      </c>
      <c r="S9" s="27">
        <v>8130724.1400000006</v>
      </c>
      <c r="T9" s="27">
        <v>6292643</v>
      </c>
      <c r="U9" s="27">
        <v>6862546.9100000001</v>
      </c>
      <c r="V9" s="27">
        <v>8343863.5700000003</v>
      </c>
      <c r="W9" s="27">
        <v>9849527.7000000011</v>
      </c>
      <c r="X9" s="27">
        <v>11200111.550000001</v>
      </c>
      <c r="Y9" s="27">
        <v>10072963.190000001</v>
      </c>
      <c r="Z9" s="27">
        <v>8895650.1500000004</v>
      </c>
      <c r="AA9" s="27">
        <v>8494934.5</v>
      </c>
      <c r="AB9" s="27">
        <v>8790299</v>
      </c>
      <c r="AC9" s="27">
        <v>14535122.09</v>
      </c>
      <c r="AD9" s="27">
        <v>9511497.1100000031</v>
      </c>
      <c r="AE9" s="27">
        <v>10901832</v>
      </c>
      <c r="AF9" s="27">
        <v>10925111</v>
      </c>
      <c r="AG9" s="27">
        <v>8872205</v>
      </c>
      <c r="AH9" s="27">
        <v>9844049</v>
      </c>
      <c r="AI9" s="27">
        <f>AI45</f>
        <v>13937709</v>
      </c>
      <c r="AJ9" s="13"/>
      <c r="AK9" s="14"/>
    </row>
    <row r="10" spans="1:37">
      <c r="A10" s="12"/>
      <c r="B10" s="1" t="s">
        <v>7</v>
      </c>
      <c r="C10" s="2" t="s">
        <v>8</v>
      </c>
      <c r="D10" s="15">
        <f t="shared" ref="D10:N10" si="2">D63</f>
        <v>288963977</v>
      </c>
      <c r="E10" s="15">
        <f t="shared" si="2"/>
        <v>268975185</v>
      </c>
      <c r="F10" s="15">
        <f t="shared" si="2"/>
        <v>226361819</v>
      </c>
      <c r="G10" s="15">
        <f t="shared" si="2"/>
        <v>238563758</v>
      </c>
      <c r="H10" s="15">
        <f t="shared" si="2"/>
        <v>203043069</v>
      </c>
      <c r="I10" s="15">
        <f t="shared" si="2"/>
        <v>223021314</v>
      </c>
      <c r="J10" s="15">
        <f t="shared" si="2"/>
        <v>251624018</v>
      </c>
      <c r="K10" s="15">
        <f t="shared" si="2"/>
        <v>290722673</v>
      </c>
      <c r="L10" s="15">
        <f t="shared" si="2"/>
        <v>281956720</v>
      </c>
      <c r="M10" s="15">
        <f t="shared" si="2"/>
        <v>243593748</v>
      </c>
      <c r="N10" s="15">
        <f t="shared" si="2"/>
        <v>220513061</v>
      </c>
      <c r="O10" s="15">
        <v>234629321</v>
      </c>
      <c r="P10" s="15">
        <v>270705103</v>
      </c>
      <c r="Q10" s="15">
        <v>329742684</v>
      </c>
      <c r="R10" s="15">
        <v>252444372</v>
      </c>
      <c r="S10" s="15">
        <v>247650163</v>
      </c>
      <c r="T10" s="15">
        <v>230402647</v>
      </c>
      <c r="U10" s="15">
        <v>253156769</v>
      </c>
      <c r="V10" s="15">
        <v>292321287</v>
      </c>
      <c r="W10" s="15">
        <v>311630680</v>
      </c>
      <c r="X10" s="15">
        <v>314839906</v>
      </c>
      <c r="Y10" s="15">
        <v>265237966</v>
      </c>
      <c r="Z10" s="15">
        <v>242656405</v>
      </c>
      <c r="AA10" s="15">
        <v>242752678</v>
      </c>
      <c r="AB10" s="15">
        <v>291618549</v>
      </c>
      <c r="AC10" s="15">
        <v>342278098</v>
      </c>
      <c r="AD10" s="15">
        <v>281228404</v>
      </c>
      <c r="AE10" s="15">
        <v>253969063</v>
      </c>
      <c r="AF10" s="15">
        <v>233705649</v>
      </c>
      <c r="AG10" s="15">
        <v>246802832</v>
      </c>
      <c r="AH10" s="15">
        <v>299432228</v>
      </c>
      <c r="AI10" s="15">
        <f>AI63</f>
        <v>345299259</v>
      </c>
      <c r="AJ10" s="16"/>
    </row>
    <row r="11" spans="1:37">
      <c r="A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2"/>
    </row>
    <row r="12" spans="1:37">
      <c r="A12" s="12"/>
      <c r="B12" s="1" t="s">
        <v>9</v>
      </c>
      <c r="D12" s="49">
        <f t="shared" ref="D12:N12" si="3">ROUND(D9/D10,6)</f>
        <v>3.5417999999999998E-2</v>
      </c>
      <c r="E12" s="49">
        <f t="shared" si="3"/>
        <v>2.8764000000000001E-2</v>
      </c>
      <c r="F12" s="49">
        <f t="shared" si="3"/>
        <v>2.2258E-2</v>
      </c>
      <c r="G12" s="49">
        <f t="shared" si="3"/>
        <v>2.4903999999999999E-2</v>
      </c>
      <c r="H12" s="49">
        <f t="shared" si="3"/>
        <v>2.5999999999999999E-2</v>
      </c>
      <c r="I12" s="49">
        <f t="shared" si="3"/>
        <v>2.7045E-2</v>
      </c>
      <c r="J12" s="49">
        <f t="shared" si="3"/>
        <v>2.9947999999999999E-2</v>
      </c>
      <c r="K12" s="49">
        <f t="shared" si="3"/>
        <v>2.8555000000000001E-2</v>
      </c>
      <c r="L12" s="49">
        <f t="shared" si="3"/>
        <v>3.0359000000000001E-2</v>
      </c>
      <c r="M12" s="49">
        <f t="shared" si="3"/>
        <v>2.9073999999999999E-2</v>
      </c>
      <c r="N12" s="49">
        <f t="shared" si="3"/>
        <v>3.6211E-2</v>
      </c>
      <c r="O12" s="49">
        <v>3.5212E-2</v>
      </c>
      <c r="P12" s="49">
        <v>3.2555000000000001E-2</v>
      </c>
      <c r="Q12" s="49">
        <v>2.8094000000000001E-2</v>
      </c>
      <c r="R12" s="49">
        <v>3.8719999999999997E-2</v>
      </c>
      <c r="S12" s="49">
        <v>3.2830999999999999E-2</v>
      </c>
      <c r="T12" s="49">
        <v>2.7311999999999999E-2</v>
      </c>
      <c r="U12" s="49">
        <v>2.7108E-2</v>
      </c>
      <c r="V12" s="49">
        <v>2.8542999999999999E-2</v>
      </c>
      <c r="W12" s="49">
        <v>3.1606000000000002E-2</v>
      </c>
      <c r="X12" s="49">
        <v>3.5574000000000001E-2</v>
      </c>
      <c r="Y12" s="49">
        <v>3.7976999999999997E-2</v>
      </c>
      <c r="Z12" s="49">
        <v>3.6658999999999997E-2</v>
      </c>
      <c r="AA12" s="49">
        <v>3.4993999999999997E-2</v>
      </c>
      <c r="AB12" s="49">
        <v>3.0143E-2</v>
      </c>
      <c r="AC12" s="49">
        <v>4.2465999999999997E-2</v>
      </c>
      <c r="AD12" s="49">
        <v>3.3820999999999997E-2</v>
      </c>
      <c r="AE12" s="49">
        <v>4.2925999999999999E-2</v>
      </c>
      <c r="AF12" s="49">
        <v>4.6746999999999997E-2</v>
      </c>
      <c r="AG12" s="49">
        <v>3.5949000000000002E-2</v>
      </c>
      <c r="AH12" s="49">
        <v>3.2876000000000002E-2</v>
      </c>
      <c r="AI12" s="49">
        <f>ROUND(AI9/AI10,6)</f>
        <v>4.0363999999999997E-2</v>
      </c>
      <c r="AJ12" s="18"/>
    </row>
    <row r="13" spans="1:37">
      <c r="A13" s="12"/>
      <c r="B13" s="19" t="s">
        <v>10</v>
      </c>
      <c r="C13" s="20"/>
      <c r="D13" s="21">
        <v>2.0931999999999999E-2</v>
      </c>
      <c r="E13" s="21">
        <v>2.0931999999999999E-2</v>
      </c>
      <c r="F13" s="21">
        <v>2.0931999999999999E-2</v>
      </c>
      <c r="G13" s="21">
        <v>2.0931999999999999E-2</v>
      </c>
      <c r="H13" s="21">
        <v>2.0931999999999999E-2</v>
      </c>
      <c r="I13" s="21">
        <v>2.0931999999999999E-2</v>
      </c>
      <c r="J13" s="21">
        <v>2.0931999999999999E-2</v>
      </c>
      <c r="K13" s="21">
        <v>2.0931999999999999E-2</v>
      </c>
      <c r="L13" s="21">
        <v>2.0931999999999999E-2</v>
      </c>
      <c r="M13" s="21">
        <v>2.0931999999999999E-2</v>
      </c>
      <c r="N13" s="21">
        <v>2.0931999999999999E-2</v>
      </c>
      <c r="O13" s="21">
        <v>2.0931999999999999E-2</v>
      </c>
      <c r="P13" s="21">
        <v>2.0931999999999999E-2</v>
      </c>
      <c r="Q13" s="21">
        <v>2.0931999999999999E-2</v>
      </c>
      <c r="R13" s="21">
        <v>2.0931999999999999E-2</v>
      </c>
      <c r="S13" s="21">
        <v>2.0931999999999999E-2</v>
      </c>
      <c r="T13" s="21">
        <v>2.0931999999999999E-2</v>
      </c>
      <c r="U13" s="21">
        <v>2.0931999999999999E-2</v>
      </c>
      <c r="V13" s="21">
        <v>2.0931999999999999E-2</v>
      </c>
      <c r="W13" s="21">
        <v>2.0931999999999999E-2</v>
      </c>
      <c r="X13" s="21">
        <v>2.0931999999999999E-2</v>
      </c>
      <c r="Y13" s="21">
        <v>2.0931999999999999E-2</v>
      </c>
      <c r="Z13" s="21">
        <v>2.0931999999999999E-2</v>
      </c>
      <c r="AA13" s="21">
        <v>2.0931999999999999E-2</v>
      </c>
      <c r="AB13" s="21">
        <v>2.0931999999999999E-2</v>
      </c>
      <c r="AC13" s="21">
        <v>2.0931999999999999E-2</v>
      </c>
      <c r="AD13" s="21">
        <v>2.0931999999999999E-2</v>
      </c>
      <c r="AE13" s="21">
        <v>2.0931999999999999E-2</v>
      </c>
      <c r="AF13" s="21">
        <v>2.0931999999999999E-2</v>
      </c>
      <c r="AG13" s="21">
        <v>2.0931999999999999E-2</v>
      </c>
      <c r="AH13" s="21">
        <v>2.0931999999999999E-2</v>
      </c>
      <c r="AI13" s="21">
        <v>2.0931999999999999E-2</v>
      </c>
      <c r="AJ13" s="22"/>
    </row>
    <row r="14" spans="1:37">
      <c r="A14" s="43"/>
      <c r="B14" s="44" t="s">
        <v>11</v>
      </c>
      <c r="C14" s="45"/>
      <c r="D14" s="68">
        <f t="shared" ref="D14:N14" si="4">D12-D13</f>
        <v>1.4485999999999999E-2</v>
      </c>
      <c r="E14" s="68">
        <f t="shared" si="4"/>
        <v>7.8320000000000022E-3</v>
      </c>
      <c r="F14" s="68">
        <f t="shared" si="4"/>
        <v>1.3260000000000008E-3</v>
      </c>
      <c r="G14" s="68">
        <f t="shared" si="4"/>
        <v>3.9719999999999998E-3</v>
      </c>
      <c r="H14" s="68">
        <f t="shared" si="4"/>
        <v>5.0679999999999996E-3</v>
      </c>
      <c r="I14" s="68">
        <f t="shared" si="4"/>
        <v>6.1130000000000004E-3</v>
      </c>
      <c r="J14" s="68">
        <f t="shared" si="4"/>
        <v>9.0159999999999997E-3</v>
      </c>
      <c r="K14" s="68">
        <f t="shared" si="4"/>
        <v>7.6230000000000013E-3</v>
      </c>
      <c r="L14" s="68">
        <f t="shared" si="4"/>
        <v>9.4270000000000014E-3</v>
      </c>
      <c r="M14" s="68">
        <f t="shared" si="4"/>
        <v>8.1419999999999999E-3</v>
      </c>
      <c r="N14" s="68">
        <f t="shared" si="4"/>
        <v>1.5279000000000001E-2</v>
      </c>
      <c r="O14" s="68">
        <v>1.4280000000000001E-2</v>
      </c>
      <c r="P14" s="68">
        <v>1.1623000000000001E-2</v>
      </c>
      <c r="Q14" s="68">
        <v>7.1620000000000017E-3</v>
      </c>
      <c r="R14" s="68">
        <v>1.7787999999999998E-2</v>
      </c>
      <c r="S14" s="68">
        <v>1.1899E-2</v>
      </c>
      <c r="T14" s="68">
        <v>6.3800000000000003E-3</v>
      </c>
      <c r="U14" s="68">
        <v>6.1760000000000009E-3</v>
      </c>
      <c r="V14" s="68">
        <v>7.6109999999999997E-3</v>
      </c>
      <c r="W14" s="68">
        <v>1.0674000000000003E-2</v>
      </c>
      <c r="X14" s="68">
        <v>1.4642000000000002E-2</v>
      </c>
      <c r="Y14" s="68">
        <v>1.7044999999999998E-2</v>
      </c>
      <c r="Z14" s="68">
        <v>1.5726999999999998E-2</v>
      </c>
      <c r="AA14" s="68">
        <v>1.4061999999999998E-2</v>
      </c>
      <c r="AB14" s="68">
        <v>9.2110000000000004E-3</v>
      </c>
      <c r="AC14" s="68">
        <v>2.1533999999999998E-2</v>
      </c>
      <c r="AD14" s="68">
        <v>1.2888999999999998E-2</v>
      </c>
      <c r="AE14" s="68">
        <v>2.1994E-2</v>
      </c>
      <c r="AF14" s="68">
        <f>AF12-AF13</f>
        <v>2.5814999999999998E-2</v>
      </c>
      <c r="AG14" s="68">
        <f t="shared" ref="AG14:AH14" si="5">AG12-AG13</f>
        <v>1.5017000000000003E-2</v>
      </c>
      <c r="AH14" s="68">
        <f t="shared" si="5"/>
        <v>1.1944000000000003E-2</v>
      </c>
      <c r="AI14" s="68">
        <f t="shared" ref="AI14" si="6">AI12-AI13</f>
        <v>1.9431999999999998E-2</v>
      </c>
      <c r="AJ14" s="23"/>
    </row>
    <row r="15" spans="1:37" ht="35.1" customHeight="1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7">
      <c r="A16" s="8" t="s">
        <v>12</v>
      </c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2"/>
    </row>
    <row r="17" spans="1:37">
      <c r="A17" s="12" t="s">
        <v>13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2"/>
    </row>
    <row r="18" spans="1:37">
      <c r="A18" s="24" t="s">
        <v>14</v>
      </c>
      <c r="B18" s="25" t="s">
        <v>15</v>
      </c>
      <c r="C18" s="26"/>
      <c r="D18" s="27">
        <v>4863230</v>
      </c>
      <c r="E18" s="27">
        <v>5389338</v>
      </c>
      <c r="F18" s="27">
        <v>5513977</v>
      </c>
      <c r="G18" s="27">
        <v>5165582.2</v>
      </c>
      <c r="H18" s="27">
        <v>5466181.2999999998</v>
      </c>
      <c r="I18" s="27">
        <v>5370369</v>
      </c>
      <c r="J18" s="27">
        <v>3794587.83</v>
      </c>
      <c r="K18" s="27">
        <v>6229251</v>
      </c>
      <c r="L18" s="27">
        <v>5953354</v>
      </c>
      <c r="M18" s="27">
        <v>2465867</v>
      </c>
      <c r="N18" s="27">
        <v>6572353</v>
      </c>
      <c r="O18" s="27">
        <v>5262483</v>
      </c>
      <c r="P18" s="27">
        <v>5638402</v>
      </c>
      <c r="Q18" s="27">
        <v>6360156</v>
      </c>
      <c r="R18" s="27">
        <v>4984690</v>
      </c>
      <c r="S18" s="27">
        <v>1985256</v>
      </c>
      <c r="T18" s="27">
        <v>3143356</v>
      </c>
      <c r="U18" s="27">
        <v>6006451</v>
      </c>
      <c r="V18" s="27">
        <v>5536049</v>
      </c>
      <c r="W18" s="27">
        <v>6277662.8799999999</v>
      </c>
      <c r="X18" s="27">
        <v>5753647.0300000003</v>
      </c>
      <c r="Y18" s="27">
        <v>5691977</v>
      </c>
      <c r="Z18" s="27">
        <v>5358048</v>
      </c>
      <c r="AA18" s="27">
        <v>5905047</v>
      </c>
      <c r="AB18" s="27">
        <v>1450620</v>
      </c>
      <c r="AC18" s="27">
        <v>5768334.9500000002</v>
      </c>
      <c r="AD18" s="27">
        <v>5543969.6500000004</v>
      </c>
      <c r="AE18" s="27">
        <v>5558171</v>
      </c>
      <c r="AF18" s="27">
        <v>3845009</v>
      </c>
      <c r="AG18" s="27">
        <v>7356608</v>
      </c>
      <c r="AH18" s="27">
        <v>4914520</v>
      </c>
      <c r="AI18" s="27">
        <v>5195107</v>
      </c>
      <c r="AJ18" s="25"/>
    </row>
    <row r="19" spans="1:37">
      <c r="A19" s="24" t="s">
        <v>14</v>
      </c>
      <c r="B19" s="25" t="s">
        <v>16</v>
      </c>
      <c r="C19" s="26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5"/>
    </row>
    <row r="20" spans="1:37">
      <c r="A20" s="24" t="s">
        <v>14</v>
      </c>
      <c r="B20" s="25" t="s">
        <v>17</v>
      </c>
      <c r="C20" s="26"/>
      <c r="D20" s="28">
        <v>308132</v>
      </c>
      <c r="E20" s="28">
        <v>343986</v>
      </c>
      <c r="F20" s="28">
        <v>113812</v>
      </c>
      <c r="G20" s="28">
        <v>307576</v>
      </c>
      <c r="H20" s="28">
        <v>196873.37</v>
      </c>
      <c r="I20" s="28">
        <v>120284</v>
      </c>
      <c r="J20" s="28">
        <v>92657.37</v>
      </c>
      <c r="K20" s="28">
        <v>29645</v>
      </c>
      <c r="L20" s="28">
        <v>350291</v>
      </c>
      <c r="M20" s="28">
        <v>294899</v>
      </c>
      <c r="N20" s="28">
        <v>63851</v>
      </c>
      <c r="O20" s="28">
        <v>338519</v>
      </c>
      <c r="P20" s="28">
        <v>151355</v>
      </c>
      <c r="Q20" s="28">
        <v>167558</v>
      </c>
      <c r="R20" s="28">
        <v>210871</v>
      </c>
      <c r="S20" s="28">
        <v>57373</v>
      </c>
      <c r="T20" s="28">
        <v>422627</v>
      </c>
      <c r="U20" s="28">
        <v>245183</v>
      </c>
      <c r="V20" s="28">
        <v>153004</v>
      </c>
      <c r="W20" s="28">
        <v>169170.51</v>
      </c>
      <c r="X20" s="28">
        <v>96021.47</v>
      </c>
      <c r="Y20" s="28">
        <v>257800</v>
      </c>
      <c r="Z20" s="28">
        <v>118038</v>
      </c>
      <c r="AA20" s="28">
        <v>231312</v>
      </c>
      <c r="AB20" s="28">
        <v>321131</v>
      </c>
      <c r="AC20" s="28">
        <v>220392.72</v>
      </c>
      <c r="AD20" s="28">
        <v>569676.48</v>
      </c>
      <c r="AE20" s="28">
        <v>3155</v>
      </c>
      <c r="AF20" s="28">
        <v>274416</v>
      </c>
      <c r="AG20" s="28">
        <v>29098</v>
      </c>
      <c r="AH20" s="28">
        <v>213023</v>
      </c>
      <c r="AI20" s="28">
        <v>283030</v>
      </c>
      <c r="AJ20" s="25"/>
    </row>
    <row r="21" spans="1:37">
      <c r="A21" s="24" t="s">
        <v>14</v>
      </c>
      <c r="B21" s="25" t="s">
        <v>18</v>
      </c>
      <c r="C21" s="29"/>
      <c r="D21" s="28">
        <v>5635107</v>
      </c>
      <c r="E21" s="28">
        <v>13920</v>
      </c>
      <c r="F21" s="28">
        <v>0</v>
      </c>
      <c r="G21" s="28">
        <v>111054.31</v>
      </c>
      <c r="H21" s="28">
        <v>239140.94</v>
      </c>
      <c r="I21" s="28">
        <v>987021</v>
      </c>
      <c r="J21" s="28">
        <v>599590.23</v>
      </c>
      <c r="K21" s="28">
        <v>1598530</v>
      </c>
      <c r="L21" s="28">
        <v>1510270</v>
      </c>
      <c r="M21" s="28">
        <v>448079</v>
      </c>
      <c r="N21" s="28">
        <v>199824</v>
      </c>
      <c r="O21" s="28">
        <v>289870</v>
      </c>
      <c r="P21" s="28">
        <v>259495</v>
      </c>
      <c r="Q21" s="28">
        <v>416254</v>
      </c>
      <c r="R21" s="28">
        <v>859162</v>
      </c>
      <c r="S21" s="28">
        <v>1412743</v>
      </c>
      <c r="T21" s="28">
        <v>2461901</v>
      </c>
      <c r="U21" s="28">
        <v>4087677</v>
      </c>
      <c r="V21" s="28">
        <v>2085128</v>
      </c>
      <c r="W21" s="28">
        <v>2463050.84</v>
      </c>
      <c r="X21" s="28">
        <v>2749786.35</v>
      </c>
      <c r="Y21" s="28">
        <v>2558604</v>
      </c>
      <c r="Z21" s="28">
        <v>1475848</v>
      </c>
      <c r="AA21" s="28">
        <v>486731</v>
      </c>
      <c r="AB21" s="28">
        <v>1767439</v>
      </c>
      <c r="AC21" s="28">
        <v>1752873.59</v>
      </c>
      <c r="AD21" s="28">
        <v>0</v>
      </c>
      <c r="AE21" s="28">
        <v>471165</v>
      </c>
      <c r="AF21" s="28">
        <v>5418572</v>
      </c>
      <c r="AG21" s="28">
        <v>4350091</v>
      </c>
      <c r="AH21" s="28">
        <v>4115109</v>
      </c>
      <c r="AI21" s="28">
        <v>6866994</v>
      </c>
      <c r="AJ21" s="25"/>
    </row>
    <row r="22" spans="1:37">
      <c r="A22" s="24" t="s">
        <v>14</v>
      </c>
      <c r="B22" s="25" t="s">
        <v>19</v>
      </c>
      <c r="C22" s="26"/>
      <c r="D22" s="28">
        <v>0</v>
      </c>
      <c r="E22" s="28">
        <v>0</v>
      </c>
      <c r="F22" s="28"/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5"/>
    </row>
    <row r="23" spans="1:37">
      <c r="A23" s="24" t="s">
        <v>20</v>
      </c>
      <c r="B23" s="25" t="s">
        <v>21</v>
      </c>
      <c r="C23" s="26"/>
      <c r="D23" s="28">
        <v>95001</v>
      </c>
      <c r="E23" s="28">
        <v>6523</v>
      </c>
      <c r="F23" s="28">
        <v>0</v>
      </c>
      <c r="G23" s="28">
        <v>19730.23</v>
      </c>
      <c r="H23" s="28">
        <v>15506.18</v>
      </c>
      <c r="I23" s="28">
        <v>6159</v>
      </c>
      <c r="J23" s="28">
        <v>3032.2</v>
      </c>
      <c r="K23" s="28">
        <v>32741.15</v>
      </c>
      <c r="L23" s="28">
        <v>6399</v>
      </c>
      <c r="M23" s="28">
        <v>7583</v>
      </c>
      <c r="N23" s="28">
        <v>4845</v>
      </c>
      <c r="O23" s="28">
        <v>4871</v>
      </c>
      <c r="P23" s="28">
        <v>30672</v>
      </c>
      <c r="Q23" s="28">
        <v>0</v>
      </c>
      <c r="R23" s="28">
        <v>14455</v>
      </c>
      <c r="S23" s="28">
        <v>21108</v>
      </c>
      <c r="T23" s="28">
        <v>3154</v>
      </c>
      <c r="U23" s="28">
        <v>438</v>
      </c>
      <c r="V23" s="28">
        <v>601</v>
      </c>
      <c r="W23" s="28">
        <v>1582.99</v>
      </c>
      <c r="X23" s="28">
        <v>0</v>
      </c>
      <c r="Y23" s="28">
        <v>0</v>
      </c>
      <c r="Z23" s="28">
        <v>19539</v>
      </c>
      <c r="AA23" s="28">
        <v>17066</v>
      </c>
      <c r="AB23" s="28">
        <v>39354</v>
      </c>
      <c r="AC23" s="28">
        <v>35958.300000000003</v>
      </c>
      <c r="AD23" s="28">
        <v>0</v>
      </c>
      <c r="AE23" s="28">
        <v>0</v>
      </c>
      <c r="AF23" s="28">
        <v>45479</v>
      </c>
      <c r="AG23" s="28">
        <v>47701</v>
      </c>
      <c r="AH23" s="28">
        <v>0</v>
      </c>
      <c r="AI23" s="28">
        <v>0</v>
      </c>
      <c r="AJ23" s="25"/>
    </row>
    <row r="24" spans="1:37">
      <c r="A24" s="24" t="s">
        <v>14</v>
      </c>
      <c r="B24" s="25" t="s">
        <v>22</v>
      </c>
      <c r="C24" s="26"/>
      <c r="D24" s="28">
        <v>113442</v>
      </c>
      <c r="E24" s="28">
        <v>764327</v>
      </c>
      <c r="F24" s="28">
        <v>76575</v>
      </c>
      <c r="G24" s="28">
        <v>102283.09</v>
      </c>
      <c r="H24" s="28">
        <v>0</v>
      </c>
      <c r="I24" s="28">
        <v>916088</v>
      </c>
      <c r="J24" s="28">
        <v>789527.03</v>
      </c>
      <c r="K24" s="28">
        <v>915901.16</v>
      </c>
      <c r="L24" s="28">
        <v>0</v>
      </c>
      <c r="M24" s="28">
        <v>851895</v>
      </c>
      <c r="N24" s="28">
        <v>0</v>
      </c>
      <c r="O24" s="28">
        <v>640622</v>
      </c>
      <c r="P24" s="28">
        <v>740084</v>
      </c>
      <c r="Q24" s="28">
        <v>1466471</v>
      </c>
      <c r="R24" s="28">
        <v>627269</v>
      </c>
      <c r="S24" s="28">
        <v>30680</v>
      </c>
      <c r="T24" s="28">
        <v>52731</v>
      </c>
      <c r="U24" s="28">
        <v>515936</v>
      </c>
      <c r="V24" s="28">
        <v>940894</v>
      </c>
      <c r="W24" s="28">
        <v>85422.53</v>
      </c>
      <c r="X24" s="28">
        <v>290353.34999999998</v>
      </c>
      <c r="Y24" s="28">
        <v>119538</v>
      </c>
      <c r="Z24" s="28">
        <v>871491</v>
      </c>
      <c r="AA24" s="28"/>
      <c r="AB24" s="28">
        <v>6674905</v>
      </c>
      <c r="AC24" s="28">
        <v>880924.46</v>
      </c>
      <c r="AD24" s="28">
        <v>1316015.8999999999</v>
      </c>
      <c r="AE24" s="28">
        <v>215824</v>
      </c>
      <c r="AF24" s="28">
        <v>226538</v>
      </c>
      <c r="AG24" s="28">
        <v>0</v>
      </c>
      <c r="AH24" s="28">
        <v>1943307</v>
      </c>
      <c r="AI24" s="28">
        <v>1704687</v>
      </c>
      <c r="AJ24" s="25"/>
    </row>
    <row r="25" spans="1:37">
      <c r="A25" s="24" t="s">
        <v>20</v>
      </c>
      <c r="B25" s="25" t="s">
        <v>23</v>
      </c>
      <c r="C25" s="29" t="s">
        <v>24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53476.41</v>
      </c>
      <c r="K25" s="28">
        <v>39937.480000000003</v>
      </c>
      <c r="L25" s="28">
        <v>0</v>
      </c>
      <c r="M25" s="28">
        <v>3935</v>
      </c>
      <c r="N25" s="28">
        <v>0</v>
      </c>
      <c r="O25" s="28">
        <v>0</v>
      </c>
      <c r="P25" s="28">
        <v>0</v>
      </c>
      <c r="Q25" s="28">
        <v>573209</v>
      </c>
      <c r="R25" s="28">
        <v>1897</v>
      </c>
      <c r="S25" s="28">
        <v>19462</v>
      </c>
      <c r="T25" s="28">
        <v>5713</v>
      </c>
      <c r="U25" s="28">
        <v>0</v>
      </c>
      <c r="V25" s="28">
        <v>356229</v>
      </c>
      <c r="W25" s="28">
        <v>0</v>
      </c>
      <c r="X25" s="28">
        <v>0</v>
      </c>
      <c r="Y25" s="28"/>
      <c r="Z25" s="28"/>
      <c r="AA25" s="28"/>
      <c r="AB25" s="28"/>
      <c r="AC25" s="28">
        <v>19058.75</v>
      </c>
      <c r="AD25" s="28">
        <v>0</v>
      </c>
      <c r="AE25" s="28">
        <v>67110</v>
      </c>
      <c r="AF25" s="28">
        <v>0</v>
      </c>
      <c r="AG25" s="28">
        <v>0</v>
      </c>
      <c r="AH25" s="28">
        <v>0</v>
      </c>
      <c r="AI25" s="28">
        <v>839500</v>
      </c>
      <c r="AJ25" s="25"/>
    </row>
    <row r="26" spans="1:37">
      <c r="A26" s="24" t="s">
        <v>20</v>
      </c>
      <c r="B26" s="25" t="s">
        <v>25</v>
      </c>
      <c r="C26" s="26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5"/>
    </row>
    <row r="27" spans="1:37">
      <c r="A27" s="24" t="s">
        <v>20</v>
      </c>
      <c r="B27" s="30" t="s">
        <v>26</v>
      </c>
      <c r="C27" s="31" t="s">
        <v>24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13"/>
    </row>
    <row r="28" spans="1:37">
      <c r="A28" s="24" t="s">
        <v>27</v>
      </c>
      <c r="B28" s="25" t="s">
        <v>28</v>
      </c>
      <c r="C28" s="26"/>
      <c r="D28" s="33">
        <f t="shared" ref="D28:AE28" si="7">D18+D19+D20+D21+D22-D23+D24-D25-D26-D27</f>
        <v>10824910</v>
      </c>
      <c r="E28" s="33">
        <f t="shared" si="7"/>
        <v>6505048</v>
      </c>
      <c r="F28" s="33">
        <f t="shared" si="7"/>
        <v>5704364</v>
      </c>
      <c r="G28" s="33">
        <f t="shared" si="7"/>
        <v>5666765.3699999992</v>
      </c>
      <c r="H28" s="33">
        <f t="shared" si="7"/>
        <v>5886689.4300000006</v>
      </c>
      <c r="I28" s="33">
        <f t="shared" si="7"/>
        <v>7387603</v>
      </c>
      <c r="J28" s="33">
        <f t="shared" si="7"/>
        <v>5219853.8499999996</v>
      </c>
      <c r="K28" s="33">
        <f t="shared" si="7"/>
        <v>8700648.5299999993</v>
      </c>
      <c r="L28" s="33">
        <f t="shared" si="7"/>
        <v>7807516</v>
      </c>
      <c r="M28" s="33">
        <f t="shared" si="7"/>
        <v>4049222</v>
      </c>
      <c r="N28" s="33">
        <f t="shared" si="7"/>
        <v>6831183</v>
      </c>
      <c r="O28" s="33">
        <f t="shared" si="7"/>
        <v>6526623</v>
      </c>
      <c r="P28" s="33">
        <f t="shared" si="7"/>
        <v>6758664</v>
      </c>
      <c r="Q28" s="33">
        <f t="shared" si="7"/>
        <v>7837230</v>
      </c>
      <c r="R28" s="33">
        <f t="shared" si="7"/>
        <v>6665640</v>
      </c>
      <c r="S28" s="33">
        <f t="shared" si="7"/>
        <v>3445482</v>
      </c>
      <c r="T28" s="33">
        <f t="shared" si="7"/>
        <v>6071748</v>
      </c>
      <c r="U28" s="33">
        <f t="shared" si="7"/>
        <v>10854809</v>
      </c>
      <c r="V28" s="33">
        <f t="shared" si="7"/>
        <v>8358245</v>
      </c>
      <c r="W28" s="33">
        <f t="shared" si="7"/>
        <v>8993723.7699999996</v>
      </c>
      <c r="X28" s="33">
        <f t="shared" si="7"/>
        <v>8889808.1999999993</v>
      </c>
      <c r="Y28" s="33">
        <f t="shared" si="7"/>
        <v>8627919</v>
      </c>
      <c r="Z28" s="33">
        <f t="shared" si="7"/>
        <v>7803886</v>
      </c>
      <c r="AA28" s="33">
        <f t="shared" si="7"/>
        <v>6606024</v>
      </c>
      <c r="AB28" s="33">
        <f t="shared" si="7"/>
        <v>10174741</v>
      </c>
      <c r="AC28" s="33">
        <f t="shared" si="7"/>
        <v>8567508.6699999999</v>
      </c>
      <c r="AD28" s="33">
        <f t="shared" si="7"/>
        <v>7429662.0300000012</v>
      </c>
      <c r="AE28" s="33">
        <f t="shared" si="7"/>
        <v>6181205</v>
      </c>
      <c r="AF28" s="33">
        <f t="shared" ref="AF28:AG28" si="8">AF18+AF19+AF20+AF21+AF22-AF23+AF24-AF25-AF26-AF27</f>
        <v>9719056</v>
      </c>
      <c r="AG28" s="33">
        <f t="shared" si="8"/>
        <v>11688096</v>
      </c>
      <c r="AH28" s="33">
        <f t="shared" ref="AH28:AI28" si="9">AH18+AH19+AH20+AH21+AH22-AH23+AH24-AH25-AH26-AH27</f>
        <v>11185959</v>
      </c>
      <c r="AI28" s="33">
        <f t="shared" si="9"/>
        <v>13210318</v>
      </c>
      <c r="AJ28" s="13"/>
    </row>
    <row r="29" spans="1:37">
      <c r="A29" s="13"/>
      <c r="B29" s="25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13"/>
    </row>
    <row r="30" spans="1:37">
      <c r="A30" s="13" t="s">
        <v>29</v>
      </c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13"/>
    </row>
    <row r="31" spans="1:37">
      <c r="A31" s="24" t="s">
        <v>14</v>
      </c>
      <c r="B31" s="69" t="s">
        <v>30</v>
      </c>
      <c r="C31" s="29" t="s">
        <v>24</v>
      </c>
      <c r="D31" s="27">
        <v>-822680</v>
      </c>
      <c r="E31" s="27">
        <v>695544</v>
      </c>
      <c r="F31" s="27">
        <v>462915</v>
      </c>
      <c r="G31" s="27">
        <v>635075.98</v>
      </c>
      <c r="H31" s="27">
        <v>675833.54</v>
      </c>
      <c r="I31" s="27">
        <v>951531</v>
      </c>
      <c r="J31" s="27">
        <v>4883658.92</v>
      </c>
      <c r="K31" s="27">
        <v>3630241</v>
      </c>
      <c r="L31" s="27">
        <v>4712638</v>
      </c>
      <c r="M31" s="27">
        <v>4780003</v>
      </c>
      <c r="N31" s="27">
        <v>3932402</v>
      </c>
      <c r="O31" s="27">
        <v>5319835</v>
      </c>
      <c r="P31" s="27">
        <v>5297304</v>
      </c>
      <c r="Q31" s="27">
        <v>6465275</v>
      </c>
      <c r="R31" s="27">
        <v>5529064</v>
      </c>
      <c r="S31" s="27">
        <v>3196978</v>
      </c>
      <c r="T31" s="27">
        <v>1324598</v>
      </c>
      <c r="U31" s="27">
        <v>2472722</v>
      </c>
      <c r="V31" s="27">
        <v>4301574</v>
      </c>
      <c r="W31" s="27">
        <v>4226712.67</v>
      </c>
      <c r="X31" s="27">
        <v>6492631.7999999998</v>
      </c>
      <c r="Y31" s="27">
        <v>3631894</v>
      </c>
      <c r="Z31" s="27">
        <v>3619753</v>
      </c>
      <c r="AA31" s="27">
        <v>4633947</v>
      </c>
      <c r="AB31" s="27">
        <v>5793704</v>
      </c>
      <c r="AC31" s="27">
        <v>9461411.75</v>
      </c>
      <c r="AD31" s="27">
        <v>1460732.92</v>
      </c>
      <c r="AE31" s="27">
        <v>6262070</v>
      </c>
      <c r="AF31" s="27">
        <v>6398593</v>
      </c>
      <c r="AG31" s="27">
        <v>3105821</v>
      </c>
      <c r="AH31" s="27">
        <v>4257005</v>
      </c>
      <c r="AI31" s="27">
        <v>4137560</v>
      </c>
      <c r="AJ31" s="34"/>
      <c r="AK31" s="14"/>
    </row>
    <row r="32" spans="1:37">
      <c r="A32" s="24" t="s">
        <v>14</v>
      </c>
      <c r="B32" s="25" t="s">
        <v>31</v>
      </c>
      <c r="C32" s="29"/>
      <c r="D32" s="28">
        <v>13597586</v>
      </c>
      <c r="E32" s="28">
        <v>5022867</v>
      </c>
      <c r="F32" s="28">
        <v>1622860</v>
      </c>
      <c r="G32" s="28">
        <v>4050413.67</v>
      </c>
      <c r="H32" s="28">
        <v>2824186.96</v>
      </c>
      <c r="I32" s="28">
        <v>2897872</v>
      </c>
      <c r="J32" s="28">
        <v>1635067.9</v>
      </c>
      <c r="K32" s="28">
        <v>1801568.45</v>
      </c>
      <c r="L32" s="28">
        <v>1266744</v>
      </c>
      <c r="M32" s="28">
        <v>1021088</v>
      </c>
      <c r="N32" s="28">
        <v>1234768</v>
      </c>
      <c r="O32" s="28">
        <v>1171370</v>
      </c>
      <c r="P32" s="28">
        <v>1070389</v>
      </c>
      <c r="Q32" s="28">
        <v>5367559</v>
      </c>
      <c r="R32" s="28">
        <v>752595</v>
      </c>
      <c r="S32" s="28">
        <v>5188122</v>
      </c>
      <c r="T32" s="28">
        <v>4173226</v>
      </c>
      <c r="U32" s="28">
        <v>1908581</v>
      </c>
      <c r="V32" s="28">
        <v>1165805</v>
      </c>
      <c r="W32" s="28">
        <v>2123244.58</v>
      </c>
      <c r="X32" s="28">
        <v>567399.99</v>
      </c>
      <c r="Y32" s="28">
        <v>3644854</v>
      </c>
      <c r="Z32" s="28">
        <v>2444095</v>
      </c>
      <c r="AA32" s="28">
        <v>1946972</v>
      </c>
      <c r="AB32" s="28">
        <v>1937021</v>
      </c>
      <c r="AC32" s="28">
        <v>6871757.5099999998</v>
      </c>
      <c r="AD32" s="28">
        <v>12166415.300000001</v>
      </c>
      <c r="AE32" s="28">
        <v>3753173</v>
      </c>
      <c r="AF32" s="28">
        <v>2734356</v>
      </c>
      <c r="AG32" s="28">
        <v>1149878</v>
      </c>
      <c r="AH32" s="28">
        <v>1953345</v>
      </c>
      <c r="AI32" s="28">
        <v>7022239</v>
      </c>
      <c r="AJ32" s="25"/>
    </row>
    <row r="33" spans="1:37">
      <c r="A33" s="24" t="s">
        <v>14</v>
      </c>
      <c r="B33" s="25" t="s">
        <v>32</v>
      </c>
      <c r="C33" s="29" t="s">
        <v>24</v>
      </c>
      <c r="D33" s="28">
        <v>462021</v>
      </c>
      <c r="E33" s="28">
        <v>1240074</v>
      </c>
      <c r="F33" s="28">
        <v>122515</v>
      </c>
      <c r="G33" s="28">
        <v>151696.89000000001</v>
      </c>
      <c r="H33" s="28">
        <v>0</v>
      </c>
      <c r="I33" s="28">
        <v>290729</v>
      </c>
      <c r="J33" s="28">
        <v>670379</v>
      </c>
      <c r="K33" s="28">
        <v>672891</v>
      </c>
      <c r="L33" s="28">
        <v>224500</v>
      </c>
      <c r="M33" s="28">
        <v>1847235</v>
      </c>
      <c r="N33" s="28">
        <v>0</v>
      </c>
      <c r="O33" s="28">
        <v>1088514</v>
      </c>
      <c r="P33" s="28">
        <v>836526</v>
      </c>
      <c r="Q33" s="28">
        <v>203745</v>
      </c>
      <c r="R33" s="28">
        <v>766710</v>
      </c>
      <c r="S33" s="28">
        <v>3811</v>
      </c>
      <c r="T33" s="28">
        <v>36240</v>
      </c>
      <c r="U33" s="28">
        <v>537272</v>
      </c>
      <c r="V33" s="28">
        <v>829040</v>
      </c>
      <c r="W33" s="28">
        <v>192408.59</v>
      </c>
      <c r="X33" s="28">
        <v>660418.56999999995</v>
      </c>
      <c r="Y33" s="28">
        <v>225982</v>
      </c>
      <c r="Z33" s="28">
        <v>1119536</v>
      </c>
      <c r="AA33" s="28"/>
      <c r="AB33" s="28">
        <v>8038248</v>
      </c>
      <c r="AC33" s="28">
        <v>1328570.95</v>
      </c>
      <c r="AD33" s="28">
        <v>3004758.04</v>
      </c>
      <c r="AE33" s="28">
        <v>26566</v>
      </c>
      <c r="AF33" s="28">
        <v>211812</v>
      </c>
      <c r="AG33" s="28">
        <v>0</v>
      </c>
      <c r="AH33" s="28">
        <v>5683083</v>
      </c>
      <c r="AI33" s="28">
        <v>776346</v>
      </c>
      <c r="AJ33" s="25"/>
    </row>
    <row r="34" spans="1:37">
      <c r="A34" s="24" t="s">
        <v>20</v>
      </c>
      <c r="B34" s="25" t="s">
        <v>33</v>
      </c>
      <c r="C34" s="29" t="s">
        <v>24</v>
      </c>
      <c r="D34" s="28">
        <v>462021</v>
      </c>
      <c r="E34" s="28">
        <v>1240074</v>
      </c>
      <c r="F34" s="28">
        <v>122515</v>
      </c>
      <c r="G34" s="28">
        <v>151696.89000000001</v>
      </c>
      <c r="H34" s="28">
        <v>0</v>
      </c>
      <c r="I34" s="28">
        <v>916088</v>
      </c>
      <c r="J34" s="28">
        <v>736051</v>
      </c>
      <c r="K34" s="28">
        <v>875964</v>
      </c>
      <c r="L34" s="28">
        <v>224500</v>
      </c>
      <c r="M34" s="28">
        <v>1847235</v>
      </c>
      <c r="N34" s="28">
        <v>0</v>
      </c>
      <c r="O34" s="28">
        <v>1088514</v>
      </c>
      <c r="P34" s="28">
        <v>836526</v>
      </c>
      <c r="Q34" s="28">
        <v>893262</v>
      </c>
      <c r="R34" s="28">
        <v>766710</v>
      </c>
      <c r="S34" s="28">
        <v>11218</v>
      </c>
      <c r="T34" s="28">
        <v>47018</v>
      </c>
      <c r="U34" s="28">
        <v>537272</v>
      </c>
      <c r="V34" s="28">
        <v>829040</v>
      </c>
      <c r="W34" s="28">
        <v>192408.59</v>
      </c>
      <c r="X34" s="28">
        <v>660418.56999999995</v>
      </c>
      <c r="Y34" s="28">
        <v>225982</v>
      </c>
      <c r="Z34" s="28">
        <v>1119536</v>
      </c>
      <c r="AA34" s="28">
        <v>0</v>
      </c>
      <c r="AB34" s="28">
        <v>8038248</v>
      </c>
      <c r="AC34" s="28">
        <v>1328570.95</v>
      </c>
      <c r="AD34" s="28">
        <v>3004758.04</v>
      </c>
      <c r="AE34" s="28">
        <v>148714</v>
      </c>
      <c r="AF34" s="28">
        <v>226538</v>
      </c>
      <c r="AG34" s="28">
        <v>0</v>
      </c>
      <c r="AH34" s="28">
        <v>5683083</v>
      </c>
      <c r="AI34" s="28">
        <v>865187</v>
      </c>
      <c r="AJ34" s="25"/>
    </row>
    <row r="35" spans="1:37">
      <c r="A35" s="24" t="s">
        <v>20</v>
      </c>
      <c r="B35" s="25" t="s">
        <v>34</v>
      </c>
      <c r="C35" s="26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5"/>
    </row>
    <row r="36" spans="1:37">
      <c r="A36" s="24" t="s">
        <v>20</v>
      </c>
      <c r="B36" s="25" t="s">
        <v>35</v>
      </c>
      <c r="C36" s="29" t="s">
        <v>24</v>
      </c>
      <c r="D36" s="28">
        <v>877203</v>
      </c>
      <c r="E36" s="28">
        <v>838422</v>
      </c>
      <c r="F36" s="28">
        <v>368869</v>
      </c>
      <c r="G36" s="28">
        <v>506202.78</v>
      </c>
      <c r="H36" s="28">
        <v>534622.52</v>
      </c>
      <c r="I36" s="28">
        <v>499702</v>
      </c>
      <c r="J36" s="28">
        <v>501647</v>
      </c>
      <c r="K36" s="28">
        <v>604940</v>
      </c>
      <c r="L36" s="28">
        <v>390238</v>
      </c>
      <c r="M36" s="28">
        <v>528017</v>
      </c>
      <c r="N36" s="28">
        <v>566442</v>
      </c>
      <c r="O36" s="28">
        <v>564264</v>
      </c>
      <c r="P36" s="28">
        <v>507868</v>
      </c>
      <c r="Q36" s="28">
        <v>483079</v>
      </c>
      <c r="R36" s="28">
        <v>412172</v>
      </c>
      <c r="S36" s="28">
        <v>389820</v>
      </c>
      <c r="T36" s="28">
        <v>473531</v>
      </c>
      <c r="U36" s="28">
        <v>490041</v>
      </c>
      <c r="V36" s="28">
        <v>439638</v>
      </c>
      <c r="W36" s="28">
        <v>438897.27</v>
      </c>
      <c r="X36" s="28">
        <v>562517.06999999995</v>
      </c>
      <c r="Y36" s="28">
        <v>443276</v>
      </c>
      <c r="Z36" s="28">
        <v>466321</v>
      </c>
      <c r="AA36" s="28">
        <v>537461</v>
      </c>
      <c r="AB36" s="28">
        <v>736293</v>
      </c>
      <c r="AC36" s="28">
        <v>645026</v>
      </c>
      <c r="AD36" s="28">
        <v>533918.5</v>
      </c>
      <c r="AE36" s="28">
        <v>617031</v>
      </c>
      <c r="AF36" s="28">
        <v>527990</v>
      </c>
      <c r="AG36" s="28">
        <v>502332</v>
      </c>
      <c r="AH36" s="28">
        <v>351040</v>
      </c>
      <c r="AI36" s="28">
        <v>399532</v>
      </c>
      <c r="AJ36" s="25"/>
    </row>
    <row r="37" spans="1:37">
      <c r="A37" s="24" t="s">
        <v>20</v>
      </c>
      <c r="B37" s="30" t="s">
        <v>36</v>
      </c>
      <c r="C37" s="31"/>
      <c r="D37" s="32">
        <v>3972625</v>
      </c>
      <c r="E37" s="32">
        <v>1975</v>
      </c>
      <c r="F37" s="32">
        <v>154627</v>
      </c>
      <c r="G37" s="32">
        <v>0</v>
      </c>
      <c r="H37" s="32">
        <v>431.99</v>
      </c>
      <c r="I37" s="32">
        <v>14037</v>
      </c>
      <c r="J37" s="32">
        <v>214190</v>
      </c>
      <c r="K37" s="32">
        <v>111035</v>
      </c>
      <c r="L37" s="32">
        <v>148961</v>
      </c>
      <c r="M37" s="32">
        <v>53164</v>
      </c>
      <c r="N37" s="32">
        <v>10716</v>
      </c>
      <c r="O37" s="32">
        <v>1263</v>
      </c>
      <c r="P37" s="32">
        <v>57348</v>
      </c>
      <c r="Q37" s="32">
        <v>4434071</v>
      </c>
      <c r="R37" s="32">
        <v>99154</v>
      </c>
      <c r="S37" s="32">
        <v>173646</v>
      </c>
      <c r="T37" s="32">
        <v>209243</v>
      </c>
      <c r="U37" s="32">
        <v>568989</v>
      </c>
      <c r="V37" s="32">
        <v>287016</v>
      </c>
      <c r="W37" s="32">
        <v>440922.68</v>
      </c>
      <c r="X37" s="32">
        <v>2452.94</v>
      </c>
      <c r="Y37" s="32">
        <v>518545</v>
      </c>
      <c r="Z37" s="32">
        <v>278731</v>
      </c>
      <c r="AA37" s="32">
        <v>78144</v>
      </c>
      <c r="AB37" s="32">
        <v>173017</v>
      </c>
      <c r="AC37" s="32">
        <v>2368706.3199999998</v>
      </c>
      <c r="AD37" s="32">
        <v>7123726.4699999997</v>
      </c>
      <c r="AE37" s="32">
        <v>133713</v>
      </c>
      <c r="AF37" s="32">
        <v>322953</v>
      </c>
      <c r="AG37" s="32">
        <v>88748</v>
      </c>
      <c r="AH37" s="32">
        <v>648971</v>
      </c>
      <c r="AI37" s="32">
        <v>2023739</v>
      </c>
      <c r="AJ37" s="13"/>
    </row>
    <row r="38" spans="1:37">
      <c r="A38" s="24" t="s">
        <v>37</v>
      </c>
      <c r="B38" s="25" t="s">
        <v>38</v>
      </c>
      <c r="C38" s="26"/>
      <c r="D38" s="33">
        <f t="shared" ref="D38:AE38" si="10">D31+D32+D33-D34-D35-D36-D37</f>
        <v>7925078</v>
      </c>
      <c r="E38" s="33">
        <f t="shared" si="10"/>
        <v>4878014</v>
      </c>
      <c r="F38" s="33">
        <f t="shared" si="10"/>
        <v>1562279</v>
      </c>
      <c r="G38" s="33">
        <f t="shared" si="10"/>
        <v>4179286.87</v>
      </c>
      <c r="H38" s="33">
        <f t="shared" si="10"/>
        <v>2964965.9899999998</v>
      </c>
      <c r="I38" s="33">
        <f t="shared" si="10"/>
        <v>2710305</v>
      </c>
      <c r="J38" s="33">
        <f t="shared" si="10"/>
        <v>5737217.8200000003</v>
      </c>
      <c r="K38" s="33">
        <f t="shared" si="10"/>
        <v>4512761.45</v>
      </c>
      <c r="L38" s="33">
        <f t="shared" si="10"/>
        <v>5440183</v>
      </c>
      <c r="M38" s="33">
        <f t="shared" si="10"/>
        <v>5219910</v>
      </c>
      <c r="N38" s="33">
        <f t="shared" si="10"/>
        <v>4590012</v>
      </c>
      <c r="O38" s="33">
        <f t="shared" si="10"/>
        <v>5925678</v>
      </c>
      <c r="P38" s="33">
        <f t="shared" si="10"/>
        <v>5802477</v>
      </c>
      <c r="Q38" s="33">
        <f t="shared" si="10"/>
        <v>6226167</v>
      </c>
      <c r="R38" s="33">
        <f t="shared" si="10"/>
        <v>5770333</v>
      </c>
      <c r="S38" s="33">
        <f t="shared" si="10"/>
        <v>7814227</v>
      </c>
      <c r="T38" s="33">
        <f t="shared" si="10"/>
        <v>4804272</v>
      </c>
      <c r="U38" s="33">
        <f t="shared" si="10"/>
        <v>3322273</v>
      </c>
      <c r="V38" s="33">
        <f t="shared" si="10"/>
        <v>4740725</v>
      </c>
      <c r="W38" s="33">
        <f t="shared" si="10"/>
        <v>5470137.3000000007</v>
      </c>
      <c r="X38" s="33">
        <f t="shared" si="10"/>
        <v>6495061.7799999993</v>
      </c>
      <c r="Y38" s="33">
        <f t="shared" si="10"/>
        <v>6314927</v>
      </c>
      <c r="Z38" s="33">
        <f t="shared" si="10"/>
        <v>5318796</v>
      </c>
      <c r="AA38" s="33">
        <f t="shared" si="10"/>
        <v>5965314</v>
      </c>
      <c r="AB38" s="33">
        <f t="shared" si="10"/>
        <v>6821415</v>
      </c>
      <c r="AC38" s="33">
        <f t="shared" si="10"/>
        <v>13319436.940000001</v>
      </c>
      <c r="AD38" s="33">
        <f t="shared" si="10"/>
        <v>5969503.2500000028</v>
      </c>
      <c r="AE38" s="33">
        <f t="shared" si="10"/>
        <v>9142351</v>
      </c>
      <c r="AF38" s="33">
        <f t="shared" ref="AF38:AG38" si="11">AF31+AF32+AF33-AF34-AF35-AF36-AF37</f>
        <v>8267280</v>
      </c>
      <c r="AG38" s="33">
        <f t="shared" si="11"/>
        <v>3664619</v>
      </c>
      <c r="AH38" s="33">
        <f t="shared" ref="AH38:AI38" si="12">AH31+AH32+AH33-AH34-AH35-AH36-AH37</f>
        <v>5210339</v>
      </c>
      <c r="AI38" s="33">
        <f t="shared" si="12"/>
        <v>8647687</v>
      </c>
      <c r="AJ38" s="13"/>
      <c r="AK38" s="14"/>
    </row>
    <row r="39" spans="1:37">
      <c r="A39" s="13"/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13"/>
    </row>
    <row r="40" spans="1:37">
      <c r="A40" s="13" t="s">
        <v>39</v>
      </c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13"/>
    </row>
    <row r="41" spans="1:37">
      <c r="A41" s="24" t="s">
        <v>40</v>
      </c>
      <c r="B41" s="25" t="s">
        <v>41</v>
      </c>
      <c r="C41" s="29"/>
      <c r="D41" s="27">
        <v>7467190</v>
      </c>
      <c r="E41" s="27">
        <v>3935925</v>
      </c>
      <c r="F41" s="27">
        <v>2562036</v>
      </c>
      <c r="G41" s="27">
        <v>3888766.4</v>
      </c>
      <c r="H41" s="27">
        <v>3713553.97</v>
      </c>
      <c r="I41" s="27">
        <v>3965100.96</v>
      </c>
      <c r="J41" s="27">
        <v>3364318.63</v>
      </c>
      <c r="K41" s="27">
        <v>4559384.3899999997</v>
      </c>
      <c r="L41" s="27">
        <v>4754567.9000000004</v>
      </c>
      <c r="M41" s="27">
        <v>2548418.6599999997</v>
      </c>
      <c r="N41" s="27">
        <v>3624123.5300000003</v>
      </c>
      <c r="O41" s="27">
        <v>3974836.59</v>
      </c>
      <c r="P41" s="27">
        <v>3233072.39</v>
      </c>
      <c r="Q41" s="27">
        <v>4113466.84</v>
      </c>
      <c r="R41" s="27">
        <v>3214914.27</v>
      </c>
      <c r="S41" s="27">
        <v>3214263.86</v>
      </c>
      <c r="T41" s="27">
        <v>4788605</v>
      </c>
      <c r="U41" s="27">
        <v>7169364.0899999999</v>
      </c>
      <c r="V41" s="27">
        <v>4513226.43</v>
      </c>
      <c r="W41" s="27">
        <v>4467369.3699999992</v>
      </c>
      <c r="X41" s="27">
        <v>4150503.43</v>
      </c>
      <c r="Y41" s="27">
        <v>5596154.8099999996</v>
      </c>
      <c r="Z41" s="27">
        <v>4611934.8499999996</v>
      </c>
      <c r="AA41" s="27">
        <v>4074889.5</v>
      </c>
      <c r="AB41" s="27">
        <v>7518705</v>
      </c>
      <c r="AC41" s="27">
        <v>6885197.5199999996</v>
      </c>
      <c r="AD41" s="27">
        <v>5202313.17</v>
      </c>
      <c r="AE41" s="27">
        <v>4773070</v>
      </c>
      <c r="AF41" s="27">
        <f>150835+7356063+1</f>
        <v>7506899</v>
      </c>
      <c r="AG41" s="27">
        <f>75706+6066700-1</f>
        <v>6142405</v>
      </c>
      <c r="AH41" s="27">
        <f>81050+5680862</f>
        <v>5761912</v>
      </c>
      <c r="AI41" s="27">
        <v>7372461</v>
      </c>
      <c r="AJ41" s="25"/>
      <c r="AK41" s="35"/>
    </row>
    <row r="42" spans="1:37">
      <c r="A42" s="13"/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13"/>
    </row>
    <row r="43" spans="1:37">
      <c r="A43" s="24" t="s">
        <v>42</v>
      </c>
      <c r="B43" s="25" t="s">
        <v>43</v>
      </c>
      <c r="C43" s="26" t="s">
        <v>44</v>
      </c>
      <c r="D43" s="27">
        <f>D87</f>
        <v>1048375</v>
      </c>
      <c r="E43" s="27">
        <f t="shared" ref="E43:AE43" si="13">E87</f>
        <v>-289557</v>
      </c>
      <c r="F43" s="27">
        <f t="shared" si="13"/>
        <v>-333748</v>
      </c>
      <c r="G43" s="27">
        <f t="shared" si="13"/>
        <v>16180</v>
      </c>
      <c r="H43" s="27">
        <f t="shared" si="13"/>
        <v>-141088</v>
      </c>
      <c r="I43" s="27">
        <f t="shared" si="13"/>
        <v>101250</v>
      </c>
      <c r="J43" s="27">
        <f t="shared" si="13"/>
        <v>57130</v>
      </c>
      <c r="K43" s="27">
        <f t="shared" si="13"/>
        <v>352514</v>
      </c>
      <c r="L43" s="27">
        <f t="shared" si="13"/>
        <v>-66823</v>
      </c>
      <c r="M43" s="27">
        <f t="shared" si="13"/>
        <v>-361648</v>
      </c>
      <c r="N43" s="27">
        <f t="shared" si="13"/>
        <v>-187923</v>
      </c>
      <c r="O43" s="27">
        <f t="shared" si="13"/>
        <v>215682</v>
      </c>
      <c r="P43" s="27">
        <f t="shared" si="13"/>
        <v>515162</v>
      </c>
      <c r="Q43" s="27">
        <f t="shared" si="13"/>
        <v>686194</v>
      </c>
      <c r="R43" s="27">
        <f t="shared" si="13"/>
        <v>-553610</v>
      </c>
      <c r="S43" s="27">
        <f t="shared" si="13"/>
        <v>-85279</v>
      </c>
      <c r="T43" s="27">
        <f t="shared" si="13"/>
        <v>-205228</v>
      </c>
      <c r="U43" s="27">
        <f t="shared" si="13"/>
        <v>145171</v>
      </c>
      <c r="V43" s="27">
        <f t="shared" si="13"/>
        <v>241880</v>
      </c>
      <c r="W43" s="27">
        <f t="shared" si="13"/>
        <v>146964</v>
      </c>
      <c r="X43" s="27">
        <f t="shared" si="13"/>
        <v>34255</v>
      </c>
      <c r="Y43" s="27">
        <f t="shared" si="13"/>
        <v>-726272</v>
      </c>
      <c r="Z43" s="27">
        <f t="shared" si="13"/>
        <v>-384903</v>
      </c>
      <c r="AA43" s="27">
        <f t="shared" si="13"/>
        <v>1514</v>
      </c>
      <c r="AB43" s="27">
        <f t="shared" si="13"/>
        <v>687152</v>
      </c>
      <c r="AC43" s="27">
        <f t="shared" si="13"/>
        <v>466626</v>
      </c>
      <c r="AD43" s="27">
        <f t="shared" si="13"/>
        <v>-1314645</v>
      </c>
      <c r="AE43" s="27">
        <f t="shared" si="13"/>
        <v>-351346</v>
      </c>
      <c r="AF43" s="27">
        <f t="shared" ref="AF43:AG43" si="14">AF87</f>
        <v>-445674</v>
      </c>
      <c r="AG43" s="27">
        <f t="shared" si="14"/>
        <v>338104</v>
      </c>
      <c r="AH43" s="27">
        <f t="shared" ref="AH43:AI43" si="15">AH87</f>
        <v>790336</v>
      </c>
      <c r="AI43" s="27">
        <f t="shared" si="15"/>
        <v>547835</v>
      </c>
      <c r="AJ43" s="13"/>
      <c r="AK43" s="35"/>
    </row>
    <row r="44" spans="1:37">
      <c r="A44" s="24"/>
      <c r="B44" s="25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13"/>
    </row>
    <row r="45" spans="1:37" s="4" customFormat="1">
      <c r="A45" s="70"/>
      <c r="B45" s="71" t="s">
        <v>45</v>
      </c>
      <c r="C45" s="72"/>
      <c r="D45" s="73">
        <f t="shared" ref="D45:AE45" si="16">D28+D38-D41-D43</f>
        <v>10234423</v>
      </c>
      <c r="E45" s="73">
        <f t="shared" si="16"/>
        <v>7736694</v>
      </c>
      <c r="F45" s="73">
        <f t="shared" si="16"/>
        <v>5038355</v>
      </c>
      <c r="G45" s="73">
        <f t="shared" si="16"/>
        <v>5941105.839999998</v>
      </c>
      <c r="H45" s="73">
        <f t="shared" si="16"/>
        <v>5279189.4499999993</v>
      </c>
      <c r="I45" s="73">
        <f t="shared" si="16"/>
        <v>6031557.04</v>
      </c>
      <c r="J45" s="73">
        <f t="shared" si="16"/>
        <v>7535623.04</v>
      </c>
      <c r="K45" s="73">
        <f t="shared" si="16"/>
        <v>8301511.5899999999</v>
      </c>
      <c r="L45" s="73">
        <f t="shared" si="16"/>
        <v>8559954.0999999996</v>
      </c>
      <c r="M45" s="73">
        <f t="shared" si="16"/>
        <v>7082361.3399999999</v>
      </c>
      <c r="N45" s="73">
        <f t="shared" si="16"/>
        <v>7984994.4699999997</v>
      </c>
      <c r="O45" s="73">
        <f t="shared" si="16"/>
        <v>8261782.4100000001</v>
      </c>
      <c r="P45" s="73">
        <f t="shared" si="16"/>
        <v>8812906.6099999994</v>
      </c>
      <c r="Q45" s="73">
        <f t="shared" si="16"/>
        <v>9263736.1600000001</v>
      </c>
      <c r="R45" s="73">
        <f t="shared" si="16"/>
        <v>9774668.7300000004</v>
      </c>
      <c r="S45" s="73">
        <f t="shared" si="16"/>
        <v>8130724.1400000006</v>
      </c>
      <c r="T45" s="73">
        <f t="shared" si="16"/>
        <v>6292643</v>
      </c>
      <c r="U45" s="73">
        <f t="shared" si="16"/>
        <v>6862546.9100000001</v>
      </c>
      <c r="V45" s="73">
        <f t="shared" si="16"/>
        <v>8343863.5700000003</v>
      </c>
      <c r="W45" s="73">
        <f t="shared" si="16"/>
        <v>9849527.7000000011</v>
      </c>
      <c r="X45" s="73">
        <f t="shared" si="16"/>
        <v>11200111.549999999</v>
      </c>
      <c r="Y45" s="73">
        <f t="shared" si="16"/>
        <v>10072963.190000001</v>
      </c>
      <c r="Z45" s="73">
        <f t="shared" si="16"/>
        <v>8895650.1500000004</v>
      </c>
      <c r="AA45" s="73">
        <f t="shared" si="16"/>
        <v>8494934.5</v>
      </c>
      <c r="AB45" s="73">
        <f t="shared" si="16"/>
        <v>8790299</v>
      </c>
      <c r="AC45" s="73">
        <f t="shared" si="16"/>
        <v>14535122.09</v>
      </c>
      <c r="AD45" s="73">
        <f t="shared" si="16"/>
        <v>9511497.110000005</v>
      </c>
      <c r="AE45" s="73">
        <f t="shared" si="16"/>
        <v>10901832</v>
      </c>
      <c r="AF45" s="73">
        <f t="shared" ref="AF45:AG45" si="17">AF28+AF38-AF41-AF43</f>
        <v>10925111</v>
      </c>
      <c r="AG45" s="73">
        <f t="shared" si="17"/>
        <v>8872206</v>
      </c>
      <c r="AH45" s="73">
        <f t="shared" ref="AH45:AI45" si="18">AH28+AH38-AH41-AH43</f>
        <v>9844050</v>
      </c>
      <c r="AI45" s="73">
        <f t="shared" si="18"/>
        <v>13937709</v>
      </c>
      <c r="AJ45" s="36"/>
      <c r="AK45" s="14"/>
    </row>
    <row r="46" spans="1:37">
      <c r="A46" s="4"/>
      <c r="B46" s="4"/>
      <c r="C46" s="3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</row>
    <row r="47" spans="1:37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37"/>
    </row>
    <row r="48" spans="1:37">
      <c r="A48" s="4"/>
      <c r="B48" s="4"/>
      <c r="C48" s="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7">
      <c r="A49" s="8" t="s">
        <v>46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38"/>
    </row>
    <row r="50" spans="1:37" ht="18" customHeight="1">
      <c r="A50" s="12"/>
      <c r="B50" s="1" t="s">
        <v>47</v>
      </c>
      <c r="D50" s="39">
        <v>271604247</v>
      </c>
      <c r="E50" s="39">
        <v>234705549</v>
      </c>
      <c r="F50" s="39">
        <v>243274114</v>
      </c>
      <c r="G50" s="39">
        <v>226993777</v>
      </c>
      <c r="H50" s="39">
        <v>250414741</v>
      </c>
      <c r="I50" s="39">
        <v>270410247</v>
      </c>
      <c r="J50" s="39">
        <v>181934894</v>
      </c>
      <c r="K50" s="39">
        <v>321609568</v>
      </c>
      <c r="L50" s="39">
        <v>309962323</v>
      </c>
      <c r="M50" s="39">
        <v>203469034</v>
      </c>
      <c r="N50" s="39">
        <v>301373213</v>
      </c>
      <c r="O50" s="39">
        <v>243816406</v>
      </c>
      <c r="P50" s="39">
        <v>261819498</v>
      </c>
      <c r="Q50" s="39">
        <v>281271581</v>
      </c>
      <c r="R50" s="39">
        <v>243290475</v>
      </c>
      <c r="S50" s="39">
        <v>132224284</v>
      </c>
      <c r="T50" s="39">
        <v>233179781</v>
      </c>
      <c r="U50" s="39">
        <v>397586959</v>
      </c>
      <c r="V50" s="39">
        <v>296652684</v>
      </c>
      <c r="W50" s="39">
        <v>356007496</v>
      </c>
      <c r="X50" s="39">
        <v>345320450</v>
      </c>
      <c r="Y50" s="39">
        <v>277775311</v>
      </c>
      <c r="Z50" s="39">
        <v>269322734</v>
      </c>
      <c r="AA50" s="39">
        <v>270726538</v>
      </c>
      <c r="AB50" s="39">
        <v>91569814</v>
      </c>
      <c r="AC50" s="39">
        <v>262268021</v>
      </c>
      <c r="AD50" s="39">
        <v>216283831</v>
      </c>
      <c r="AE50" s="39">
        <v>229739084</v>
      </c>
      <c r="AF50" s="39">
        <v>256125652</v>
      </c>
      <c r="AG50" s="39">
        <v>381749953</v>
      </c>
      <c r="AH50" s="39">
        <v>280759756</v>
      </c>
      <c r="AI50" s="39">
        <v>354120097</v>
      </c>
      <c r="AJ50" s="40"/>
    </row>
    <row r="51" spans="1:37" ht="18" customHeight="1">
      <c r="A51" s="12"/>
      <c r="B51" s="19" t="s">
        <v>48</v>
      </c>
      <c r="C51" s="31" t="s">
        <v>24</v>
      </c>
      <c r="D51" s="41">
        <f>222125645+486552816</f>
        <v>708678461</v>
      </c>
      <c r="E51" s="41">
        <v>673136449</v>
      </c>
      <c r="F51" s="41">
        <v>503865783</v>
      </c>
      <c r="G51" s="41">
        <v>604746714</v>
      </c>
      <c r="H51" s="41">
        <v>529540560</v>
      </c>
      <c r="I51" s="41">
        <v>548707244</v>
      </c>
      <c r="J51" s="41">
        <v>600629492</v>
      </c>
      <c r="K51" s="41">
        <v>631205325</v>
      </c>
      <c r="L51" s="41">
        <v>621337945</v>
      </c>
      <c r="M51" s="41">
        <v>624769677</v>
      </c>
      <c r="N51" s="41">
        <v>553533174</v>
      </c>
      <c r="O51" s="41">
        <f>206746519+418333162</f>
        <v>625079681</v>
      </c>
      <c r="P51" s="41">
        <f>204197771+421385454</f>
        <v>625583225</v>
      </c>
      <c r="Q51" s="41">
        <f>264058106+600814988</f>
        <v>864873094</v>
      </c>
      <c r="R51" s="41">
        <f>191758331+380584913</f>
        <v>572343244</v>
      </c>
      <c r="S51" s="41">
        <f>289596462+387478345</f>
        <v>677074807</v>
      </c>
      <c r="T51" s="41">
        <f>234840204+428135132</f>
        <v>662975336</v>
      </c>
      <c r="U51" s="41">
        <f>186523684+387854026</f>
        <v>574377710</v>
      </c>
      <c r="V51" s="41">
        <f>220435007+432865718</f>
        <v>653300725</v>
      </c>
      <c r="W51" s="41">
        <f>188850027+477651564</f>
        <v>666501591</v>
      </c>
      <c r="X51" s="41">
        <f>202863846+495777047</f>
        <v>698640893</v>
      </c>
      <c r="Y51" s="41">
        <f>229383996+435483119</f>
        <v>664867115</v>
      </c>
      <c r="Z51" s="41">
        <f>221134428+436297496</f>
        <v>657431924</v>
      </c>
      <c r="AA51" s="41">
        <f>203521174+467380307</f>
        <v>670901481</v>
      </c>
      <c r="AB51" s="41">
        <f>450237520+478989839</f>
        <v>929227359</v>
      </c>
      <c r="AC51" s="41">
        <f>373960785+630256779</f>
        <v>1004217564</v>
      </c>
      <c r="AD51" s="41">
        <f>313308575+509712476</f>
        <v>823021051</v>
      </c>
      <c r="AE51" s="41">
        <f>257462075+506043913</f>
        <v>763505988</v>
      </c>
      <c r="AF51" s="41">
        <f>247273081+457688978</f>
        <v>704962059</v>
      </c>
      <c r="AG51" s="41">
        <f>135877318+392423006</f>
        <v>528300324</v>
      </c>
      <c r="AH51" s="41">
        <f>267861514+413814173</f>
        <v>681675687</v>
      </c>
      <c r="AI51" s="41">
        <v>728827250</v>
      </c>
      <c r="AJ51" s="38"/>
      <c r="AK51" s="35"/>
    </row>
    <row r="52" spans="1:37">
      <c r="A52" s="12" t="s">
        <v>27</v>
      </c>
      <c r="B52" s="1" t="s">
        <v>49</v>
      </c>
      <c r="D52" s="39">
        <f t="shared" ref="D52:N52" si="19">SUM(D50:D51)</f>
        <v>980282708</v>
      </c>
      <c r="E52" s="39">
        <f t="shared" si="19"/>
        <v>907841998</v>
      </c>
      <c r="F52" s="39">
        <f t="shared" si="19"/>
        <v>747139897</v>
      </c>
      <c r="G52" s="39">
        <f t="shared" si="19"/>
        <v>831740491</v>
      </c>
      <c r="H52" s="39">
        <f t="shared" si="19"/>
        <v>779955301</v>
      </c>
      <c r="I52" s="39">
        <f t="shared" si="19"/>
        <v>819117491</v>
      </c>
      <c r="J52" s="39">
        <f t="shared" si="19"/>
        <v>782564386</v>
      </c>
      <c r="K52" s="39">
        <f t="shared" si="19"/>
        <v>952814893</v>
      </c>
      <c r="L52" s="39">
        <f t="shared" si="19"/>
        <v>931300268</v>
      </c>
      <c r="M52" s="39">
        <f t="shared" si="19"/>
        <v>828238711</v>
      </c>
      <c r="N52" s="39">
        <f t="shared" si="19"/>
        <v>854906387</v>
      </c>
      <c r="O52" s="39">
        <f t="shared" ref="O52:AE52" si="20">SUM(O50:O51)</f>
        <v>868896087</v>
      </c>
      <c r="P52" s="39">
        <f t="shared" si="20"/>
        <v>887402723</v>
      </c>
      <c r="Q52" s="39">
        <f t="shared" si="20"/>
        <v>1146144675</v>
      </c>
      <c r="R52" s="39">
        <f t="shared" si="20"/>
        <v>815633719</v>
      </c>
      <c r="S52" s="39">
        <f t="shared" si="20"/>
        <v>809299091</v>
      </c>
      <c r="T52" s="39">
        <f t="shared" si="20"/>
        <v>896155117</v>
      </c>
      <c r="U52" s="39">
        <f t="shared" si="20"/>
        <v>971964669</v>
      </c>
      <c r="V52" s="39">
        <f t="shared" si="20"/>
        <v>949953409</v>
      </c>
      <c r="W52" s="39">
        <f t="shared" si="20"/>
        <v>1022509087</v>
      </c>
      <c r="X52" s="39">
        <f t="shared" si="20"/>
        <v>1043961343</v>
      </c>
      <c r="Y52" s="39">
        <f t="shared" si="20"/>
        <v>942642426</v>
      </c>
      <c r="Z52" s="39">
        <f t="shared" si="20"/>
        <v>926754658</v>
      </c>
      <c r="AA52" s="39">
        <f t="shared" si="20"/>
        <v>941628019</v>
      </c>
      <c r="AB52" s="39">
        <f t="shared" si="20"/>
        <v>1020797173</v>
      </c>
      <c r="AC52" s="39">
        <f t="shared" si="20"/>
        <v>1266485585</v>
      </c>
      <c r="AD52" s="39">
        <f t="shared" si="20"/>
        <v>1039304882</v>
      </c>
      <c r="AE52" s="39">
        <f t="shared" si="20"/>
        <v>993245072</v>
      </c>
      <c r="AF52" s="39">
        <f t="shared" ref="AF52:AG52" si="21">SUM(AF50:AF51)</f>
        <v>961087711</v>
      </c>
      <c r="AG52" s="39">
        <f t="shared" si="21"/>
        <v>910050277</v>
      </c>
      <c r="AH52" s="39">
        <f t="shared" ref="AH52:AI52" si="22">SUM(AH50:AH51)</f>
        <v>962435443</v>
      </c>
      <c r="AI52" s="39">
        <f t="shared" si="22"/>
        <v>1082947347</v>
      </c>
      <c r="AJ52" s="38"/>
    </row>
    <row r="53" spans="1:37">
      <c r="A53" s="12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8"/>
    </row>
    <row r="54" spans="1:37">
      <c r="A54" s="1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8"/>
    </row>
    <row r="55" spans="1:37" ht="18" customHeight="1">
      <c r="A55" s="12"/>
      <c r="B55" s="1" t="s">
        <v>50</v>
      </c>
      <c r="C55" s="29" t="s">
        <v>24</v>
      </c>
      <c r="D55" s="39">
        <v>659498767</v>
      </c>
      <c r="E55" s="39">
        <v>595975476</v>
      </c>
      <c r="F55" s="39">
        <v>495460023</v>
      </c>
      <c r="G55" s="39">
        <v>552884763</v>
      </c>
      <c r="H55" s="39">
        <v>526709769</v>
      </c>
      <c r="I55" s="39">
        <v>542379427</v>
      </c>
      <c r="J55" s="39">
        <v>476235494</v>
      </c>
      <c r="K55" s="39">
        <v>595052671</v>
      </c>
      <c r="L55" s="39">
        <v>590455689</v>
      </c>
      <c r="M55" s="39">
        <v>519686257</v>
      </c>
      <c r="N55" s="39">
        <v>574047099</v>
      </c>
      <c r="O55" s="39">
        <v>570268791</v>
      </c>
      <c r="P55" s="39">
        <v>547787521</v>
      </c>
      <c r="Q55" s="39">
        <v>747076517</v>
      </c>
      <c r="R55" s="39">
        <v>496176131</v>
      </c>
      <c r="S55" s="39">
        <v>493416394</v>
      </c>
      <c r="T55" s="39">
        <v>598436784</v>
      </c>
      <c r="U55" s="39">
        <v>647419487</v>
      </c>
      <c r="V55" s="39">
        <v>592509163</v>
      </c>
      <c r="W55" s="39">
        <v>641886533</v>
      </c>
      <c r="X55" s="39">
        <v>648691170</v>
      </c>
      <c r="Y55" s="39">
        <v>603239628</v>
      </c>
      <c r="Z55" s="39">
        <v>604497115</v>
      </c>
      <c r="AA55" s="39">
        <v>620593030</v>
      </c>
      <c r="AB55" s="39">
        <v>642021065</v>
      </c>
      <c r="AC55" s="39">
        <v>841789579</v>
      </c>
      <c r="AD55" s="39">
        <v>675960312</v>
      </c>
      <c r="AE55" s="39">
        <v>669290561</v>
      </c>
      <c r="AF55" s="39">
        <v>644861866</v>
      </c>
      <c r="AG55" s="39">
        <v>580339447</v>
      </c>
      <c r="AH55" s="39">
        <v>575689956</v>
      </c>
      <c r="AI55" s="39">
        <v>652755566</v>
      </c>
      <c r="AJ55" s="40"/>
      <c r="AK55" s="35"/>
    </row>
    <row r="56" spans="1:37" ht="18" customHeight="1">
      <c r="A56" s="12"/>
      <c r="B56" s="1" t="s">
        <v>51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40"/>
    </row>
    <row r="57" spans="1:37" ht="18" customHeight="1">
      <c r="A57" s="12"/>
      <c r="B57" s="1" t="s">
        <v>52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40"/>
    </row>
    <row r="58" spans="1:37" ht="18" customHeight="1">
      <c r="A58" s="12"/>
      <c r="B58" s="1" t="s">
        <v>91</v>
      </c>
      <c r="C58" s="29" t="s">
        <v>24</v>
      </c>
      <c r="D58" s="39">
        <v>21810378</v>
      </c>
      <c r="E58" s="39">
        <v>27766093</v>
      </c>
      <c r="F58" s="39">
        <v>16591988</v>
      </c>
      <c r="G58" s="39">
        <v>30286429</v>
      </c>
      <c r="H58" s="39">
        <v>40316352</v>
      </c>
      <c r="I58" s="39">
        <v>42763217</v>
      </c>
      <c r="J58" s="39">
        <v>46072632</v>
      </c>
      <c r="K58" s="39">
        <v>55140420</v>
      </c>
      <c r="L58" s="39">
        <v>48300865</v>
      </c>
      <c r="M58" s="39">
        <v>55112174</v>
      </c>
      <c r="N58" s="39">
        <v>50229528</v>
      </c>
      <c r="O58" s="39">
        <v>53570133</v>
      </c>
      <c r="P58" s="39">
        <v>56822014</v>
      </c>
      <c r="Q58" s="39">
        <v>54784358</v>
      </c>
      <c r="R58" s="39">
        <v>52674433</v>
      </c>
      <c r="S58" s="39">
        <v>57171933</v>
      </c>
      <c r="T58" s="39">
        <v>57115030</v>
      </c>
      <c r="U58" s="39">
        <v>58620651</v>
      </c>
      <c r="V58" s="39">
        <v>54778081</v>
      </c>
      <c r="W58" s="39">
        <v>57076679</v>
      </c>
      <c r="X58" s="39">
        <v>68389162</v>
      </c>
      <c r="Y58" s="39">
        <v>62465621</v>
      </c>
      <c r="Z58" s="39">
        <v>68177927</v>
      </c>
      <c r="AA58" s="39">
        <v>68959290</v>
      </c>
      <c r="AB58" s="39">
        <v>76349384</v>
      </c>
      <c r="AC58" s="39">
        <v>69536496</v>
      </c>
      <c r="AD58" s="39">
        <v>71016722</v>
      </c>
      <c r="AE58" s="39">
        <v>61285740</v>
      </c>
      <c r="AF58" s="39">
        <v>72305444</v>
      </c>
      <c r="AG58" s="39">
        <v>73449130</v>
      </c>
      <c r="AH58" s="39">
        <v>77095741</v>
      </c>
      <c r="AI58" s="39">
        <v>73691965</v>
      </c>
      <c r="AJ58" s="40"/>
    </row>
    <row r="59" spans="1:37" ht="18" customHeight="1">
      <c r="A59" s="12"/>
      <c r="B59" s="19" t="s">
        <v>53</v>
      </c>
      <c r="C59" s="31" t="s">
        <v>24</v>
      </c>
      <c r="D59" s="41">
        <v>10009586</v>
      </c>
      <c r="E59" s="41">
        <v>15125244</v>
      </c>
      <c r="F59" s="41">
        <v>8726067</v>
      </c>
      <c r="G59" s="41">
        <v>10005541</v>
      </c>
      <c r="H59" s="41">
        <v>9886111</v>
      </c>
      <c r="I59" s="41">
        <v>10953533</v>
      </c>
      <c r="J59" s="41">
        <v>8632242</v>
      </c>
      <c r="K59" s="41">
        <v>11899129</v>
      </c>
      <c r="L59" s="41">
        <v>10586994</v>
      </c>
      <c r="M59" s="41">
        <v>9846532</v>
      </c>
      <c r="N59" s="41">
        <v>10116699</v>
      </c>
      <c r="O59" s="41">
        <v>10427842</v>
      </c>
      <c r="P59" s="41">
        <v>12088085</v>
      </c>
      <c r="Q59" s="41">
        <v>14541116</v>
      </c>
      <c r="R59" s="41">
        <v>14338783</v>
      </c>
      <c r="S59" s="41">
        <v>11060601</v>
      </c>
      <c r="T59" s="41">
        <v>10200656</v>
      </c>
      <c r="U59" s="41">
        <v>12767762</v>
      </c>
      <c r="V59" s="41">
        <v>10344878</v>
      </c>
      <c r="W59" s="41">
        <v>11915195</v>
      </c>
      <c r="X59" s="41">
        <v>12041105</v>
      </c>
      <c r="Y59" s="41">
        <v>11699211</v>
      </c>
      <c r="Z59" s="41">
        <v>11423211</v>
      </c>
      <c r="AA59" s="41">
        <v>9323021</v>
      </c>
      <c r="AB59" s="41">
        <v>10808175</v>
      </c>
      <c r="AC59" s="41">
        <v>12881412</v>
      </c>
      <c r="AD59" s="41">
        <v>11099444</v>
      </c>
      <c r="AE59" s="41">
        <v>8699708</v>
      </c>
      <c r="AF59" s="41">
        <v>10214752</v>
      </c>
      <c r="AG59" s="41">
        <v>9458868</v>
      </c>
      <c r="AH59" s="41">
        <v>10217518</v>
      </c>
      <c r="AI59" s="41">
        <v>11200557</v>
      </c>
      <c r="AJ59" s="16"/>
      <c r="AK59" s="35"/>
    </row>
    <row r="60" spans="1:37" ht="18" customHeight="1">
      <c r="A60" s="12" t="s">
        <v>37</v>
      </c>
      <c r="B60" s="1" t="s">
        <v>54</v>
      </c>
      <c r="D60" s="15">
        <f t="shared" ref="D60:AE60" si="23">SUM(D55:D59)</f>
        <v>691318731</v>
      </c>
      <c r="E60" s="15">
        <f t="shared" si="23"/>
        <v>638866813</v>
      </c>
      <c r="F60" s="15">
        <f t="shared" si="23"/>
        <v>520778078</v>
      </c>
      <c r="G60" s="15">
        <f t="shared" si="23"/>
        <v>593176733</v>
      </c>
      <c r="H60" s="15">
        <f t="shared" si="23"/>
        <v>576912232</v>
      </c>
      <c r="I60" s="15">
        <f t="shared" si="23"/>
        <v>596096177</v>
      </c>
      <c r="J60" s="15">
        <f t="shared" si="23"/>
        <v>530940368</v>
      </c>
      <c r="K60" s="15">
        <f t="shared" si="23"/>
        <v>662092220</v>
      </c>
      <c r="L60" s="15">
        <f t="shared" si="23"/>
        <v>649343548</v>
      </c>
      <c r="M60" s="15">
        <f t="shared" si="23"/>
        <v>584644963</v>
      </c>
      <c r="N60" s="15">
        <f t="shared" si="23"/>
        <v>634393326</v>
      </c>
      <c r="O60" s="15">
        <f t="shared" si="23"/>
        <v>634266766</v>
      </c>
      <c r="P60" s="15">
        <f t="shared" si="23"/>
        <v>616697620</v>
      </c>
      <c r="Q60" s="15">
        <f t="shared" si="23"/>
        <v>816401991</v>
      </c>
      <c r="R60" s="15">
        <f t="shared" si="23"/>
        <v>563189347</v>
      </c>
      <c r="S60" s="15">
        <f t="shared" si="23"/>
        <v>561648928</v>
      </c>
      <c r="T60" s="15">
        <f t="shared" si="23"/>
        <v>665752470</v>
      </c>
      <c r="U60" s="15">
        <f t="shared" si="23"/>
        <v>718807900</v>
      </c>
      <c r="V60" s="15">
        <f t="shared" si="23"/>
        <v>657632122</v>
      </c>
      <c r="W60" s="15">
        <f t="shared" si="23"/>
        <v>710878407</v>
      </c>
      <c r="X60" s="15">
        <f t="shared" si="23"/>
        <v>729121437</v>
      </c>
      <c r="Y60" s="15">
        <f t="shared" si="23"/>
        <v>677404460</v>
      </c>
      <c r="Z60" s="15">
        <f t="shared" si="23"/>
        <v>684098253</v>
      </c>
      <c r="AA60" s="15">
        <f t="shared" si="23"/>
        <v>698875341</v>
      </c>
      <c r="AB60" s="15">
        <f t="shared" si="23"/>
        <v>729178624</v>
      </c>
      <c r="AC60" s="15">
        <f t="shared" si="23"/>
        <v>924207487</v>
      </c>
      <c r="AD60" s="15">
        <f t="shared" si="23"/>
        <v>758076478</v>
      </c>
      <c r="AE60" s="15">
        <f t="shared" si="23"/>
        <v>739276009</v>
      </c>
      <c r="AF60" s="15">
        <f t="shared" ref="AF60:AG60" si="24">SUM(AF55:AF59)</f>
        <v>727382062</v>
      </c>
      <c r="AG60" s="15">
        <f t="shared" si="24"/>
        <v>663247445</v>
      </c>
      <c r="AH60" s="15">
        <f t="shared" ref="AH60:AI60" si="25">SUM(AH55:AH59)</f>
        <v>663003215</v>
      </c>
      <c r="AI60" s="15">
        <f t="shared" si="25"/>
        <v>737648088</v>
      </c>
      <c r="AJ60" s="16"/>
    </row>
    <row r="61" spans="1:37">
      <c r="A61" s="12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  <row r="62" spans="1:37">
      <c r="A62" s="12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42"/>
    </row>
    <row r="63" spans="1:37">
      <c r="A63" s="43"/>
      <c r="B63" s="44" t="s">
        <v>55</v>
      </c>
      <c r="C63" s="45"/>
      <c r="D63" s="46">
        <f t="shared" ref="D63:AE63" si="26">D52-D60</f>
        <v>288963977</v>
      </c>
      <c r="E63" s="46">
        <f t="shared" si="26"/>
        <v>268975185</v>
      </c>
      <c r="F63" s="46">
        <f t="shared" si="26"/>
        <v>226361819</v>
      </c>
      <c r="G63" s="46">
        <f t="shared" si="26"/>
        <v>238563758</v>
      </c>
      <c r="H63" s="46">
        <f t="shared" si="26"/>
        <v>203043069</v>
      </c>
      <c r="I63" s="46">
        <f t="shared" si="26"/>
        <v>223021314</v>
      </c>
      <c r="J63" s="46">
        <f t="shared" si="26"/>
        <v>251624018</v>
      </c>
      <c r="K63" s="46">
        <f t="shared" si="26"/>
        <v>290722673</v>
      </c>
      <c r="L63" s="46">
        <f t="shared" si="26"/>
        <v>281956720</v>
      </c>
      <c r="M63" s="46">
        <f t="shared" si="26"/>
        <v>243593748</v>
      </c>
      <c r="N63" s="46">
        <f t="shared" si="26"/>
        <v>220513061</v>
      </c>
      <c r="O63" s="46">
        <f t="shared" si="26"/>
        <v>234629321</v>
      </c>
      <c r="P63" s="46">
        <f t="shared" si="26"/>
        <v>270705103</v>
      </c>
      <c r="Q63" s="46">
        <f t="shared" si="26"/>
        <v>329742684</v>
      </c>
      <c r="R63" s="46">
        <f t="shared" si="26"/>
        <v>252444372</v>
      </c>
      <c r="S63" s="46">
        <f t="shared" si="26"/>
        <v>247650163</v>
      </c>
      <c r="T63" s="46">
        <f t="shared" si="26"/>
        <v>230402647</v>
      </c>
      <c r="U63" s="46">
        <f t="shared" si="26"/>
        <v>253156769</v>
      </c>
      <c r="V63" s="46">
        <f t="shared" si="26"/>
        <v>292321287</v>
      </c>
      <c r="W63" s="46">
        <f t="shared" si="26"/>
        <v>311630680</v>
      </c>
      <c r="X63" s="46">
        <f t="shared" si="26"/>
        <v>314839906</v>
      </c>
      <c r="Y63" s="46">
        <f t="shared" si="26"/>
        <v>265237966</v>
      </c>
      <c r="Z63" s="46">
        <f t="shared" si="26"/>
        <v>242656405</v>
      </c>
      <c r="AA63" s="46">
        <f t="shared" si="26"/>
        <v>242752678</v>
      </c>
      <c r="AB63" s="46">
        <f t="shared" si="26"/>
        <v>291618549</v>
      </c>
      <c r="AC63" s="46">
        <f t="shared" si="26"/>
        <v>342278098</v>
      </c>
      <c r="AD63" s="46">
        <f t="shared" si="26"/>
        <v>281228404</v>
      </c>
      <c r="AE63" s="46">
        <f t="shared" si="26"/>
        <v>253969063</v>
      </c>
      <c r="AF63" s="46">
        <f t="shared" ref="AF63:AG63" si="27">AF52-AF60</f>
        <v>233705649</v>
      </c>
      <c r="AG63" s="46">
        <f t="shared" si="27"/>
        <v>246802832</v>
      </c>
      <c r="AH63" s="46">
        <f t="shared" ref="AH63:AI63" si="28">AH52-AH60</f>
        <v>299432228</v>
      </c>
      <c r="AI63" s="46">
        <f t="shared" si="28"/>
        <v>345299259</v>
      </c>
      <c r="AJ63" s="12"/>
    </row>
    <row r="64" spans="1:37" ht="35.1" customHeight="1">
      <c r="A64" s="4"/>
      <c r="B64" s="4"/>
      <c r="C64" s="3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7" ht="9.75" customHeight="1">
      <c r="A65" s="4"/>
      <c r="B65" s="4"/>
      <c r="C65" s="3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7">
      <c r="A66" s="8" t="s">
        <v>56</v>
      </c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2"/>
    </row>
    <row r="67" spans="1:37">
      <c r="A67" s="48" t="s">
        <v>57</v>
      </c>
      <c r="B67" s="1" t="s">
        <v>58</v>
      </c>
      <c r="D67" s="49">
        <v>2.0031E-2</v>
      </c>
      <c r="E67" s="49">
        <f t="shared" ref="E67:AI67" si="29">D14</f>
        <v>1.4485999999999999E-2</v>
      </c>
      <c r="F67" s="49">
        <f t="shared" si="29"/>
        <v>7.8320000000000022E-3</v>
      </c>
      <c r="G67" s="49">
        <f t="shared" si="29"/>
        <v>1.3260000000000008E-3</v>
      </c>
      <c r="H67" s="49">
        <f t="shared" si="29"/>
        <v>3.9719999999999998E-3</v>
      </c>
      <c r="I67" s="49">
        <f t="shared" si="29"/>
        <v>5.0679999999999996E-3</v>
      </c>
      <c r="J67" s="49">
        <f t="shared" si="29"/>
        <v>6.1130000000000004E-3</v>
      </c>
      <c r="K67" s="49">
        <f t="shared" si="29"/>
        <v>9.0159999999999997E-3</v>
      </c>
      <c r="L67" s="49">
        <f t="shared" si="29"/>
        <v>7.6230000000000013E-3</v>
      </c>
      <c r="M67" s="49">
        <f t="shared" si="29"/>
        <v>9.4270000000000014E-3</v>
      </c>
      <c r="N67" s="49">
        <f t="shared" si="29"/>
        <v>8.1419999999999999E-3</v>
      </c>
      <c r="O67" s="49">
        <f t="shared" si="29"/>
        <v>1.5279000000000001E-2</v>
      </c>
      <c r="P67" s="49">
        <f t="shared" si="29"/>
        <v>1.4280000000000001E-2</v>
      </c>
      <c r="Q67" s="49">
        <f t="shared" si="29"/>
        <v>1.1623000000000001E-2</v>
      </c>
      <c r="R67" s="49">
        <f t="shared" si="29"/>
        <v>7.1620000000000017E-3</v>
      </c>
      <c r="S67" s="49">
        <f t="shared" si="29"/>
        <v>1.7787999999999998E-2</v>
      </c>
      <c r="T67" s="49">
        <f t="shared" si="29"/>
        <v>1.1899E-2</v>
      </c>
      <c r="U67" s="49">
        <f t="shared" si="29"/>
        <v>6.3800000000000003E-3</v>
      </c>
      <c r="V67" s="49">
        <f t="shared" si="29"/>
        <v>6.1760000000000009E-3</v>
      </c>
      <c r="W67" s="49">
        <f t="shared" si="29"/>
        <v>7.6109999999999997E-3</v>
      </c>
      <c r="X67" s="49">
        <f t="shared" si="29"/>
        <v>1.0674000000000003E-2</v>
      </c>
      <c r="Y67" s="49">
        <f t="shared" si="29"/>
        <v>1.4642000000000002E-2</v>
      </c>
      <c r="Z67" s="49">
        <f t="shared" si="29"/>
        <v>1.7044999999999998E-2</v>
      </c>
      <c r="AA67" s="49">
        <f t="shared" si="29"/>
        <v>1.5726999999999998E-2</v>
      </c>
      <c r="AB67" s="49">
        <f t="shared" si="29"/>
        <v>1.4061999999999998E-2</v>
      </c>
      <c r="AC67" s="49">
        <f t="shared" si="29"/>
        <v>9.2110000000000004E-3</v>
      </c>
      <c r="AD67" s="49">
        <f t="shared" si="29"/>
        <v>2.1533999999999998E-2</v>
      </c>
      <c r="AE67" s="49">
        <f t="shared" si="29"/>
        <v>1.2888999999999998E-2</v>
      </c>
      <c r="AF67" s="49">
        <f t="shared" si="29"/>
        <v>2.1994E-2</v>
      </c>
      <c r="AG67" s="49">
        <f t="shared" si="29"/>
        <v>2.5814999999999998E-2</v>
      </c>
      <c r="AH67" s="49">
        <f t="shared" si="29"/>
        <v>1.5017000000000003E-2</v>
      </c>
      <c r="AI67" s="49">
        <f t="shared" si="29"/>
        <v>1.1944000000000003E-2</v>
      </c>
      <c r="AJ67" s="38"/>
    </row>
    <row r="68" spans="1:37">
      <c r="A68" s="50" t="s">
        <v>59</v>
      </c>
      <c r="B68" s="19" t="s">
        <v>60</v>
      </c>
      <c r="C68" s="20"/>
      <c r="D68" s="41">
        <f>D63</f>
        <v>288963977</v>
      </c>
      <c r="E68" s="41">
        <f t="shared" ref="E68:AE68" si="30">E63</f>
        <v>268975185</v>
      </c>
      <c r="F68" s="41">
        <f t="shared" si="30"/>
        <v>226361819</v>
      </c>
      <c r="G68" s="41">
        <f t="shared" si="30"/>
        <v>238563758</v>
      </c>
      <c r="H68" s="41">
        <f t="shared" si="30"/>
        <v>203043069</v>
      </c>
      <c r="I68" s="41">
        <f t="shared" si="30"/>
        <v>223021314</v>
      </c>
      <c r="J68" s="41">
        <f t="shared" si="30"/>
        <v>251624018</v>
      </c>
      <c r="K68" s="41">
        <f t="shared" si="30"/>
        <v>290722673</v>
      </c>
      <c r="L68" s="41">
        <f t="shared" si="30"/>
        <v>281956720</v>
      </c>
      <c r="M68" s="41">
        <f t="shared" si="30"/>
        <v>243593748</v>
      </c>
      <c r="N68" s="41">
        <f t="shared" si="30"/>
        <v>220513061</v>
      </c>
      <c r="O68" s="41">
        <f t="shared" si="30"/>
        <v>234629321</v>
      </c>
      <c r="P68" s="41">
        <f t="shared" si="30"/>
        <v>270705103</v>
      </c>
      <c r="Q68" s="41">
        <f t="shared" si="30"/>
        <v>329742684</v>
      </c>
      <c r="R68" s="41">
        <f t="shared" si="30"/>
        <v>252444372</v>
      </c>
      <c r="S68" s="41">
        <f t="shared" si="30"/>
        <v>247650163</v>
      </c>
      <c r="T68" s="41">
        <f t="shared" si="30"/>
        <v>230402647</v>
      </c>
      <c r="U68" s="41">
        <f t="shared" si="30"/>
        <v>253156769</v>
      </c>
      <c r="V68" s="41">
        <f t="shared" si="30"/>
        <v>292321287</v>
      </c>
      <c r="W68" s="41">
        <f t="shared" si="30"/>
        <v>311630680</v>
      </c>
      <c r="X68" s="41">
        <f t="shared" si="30"/>
        <v>314839906</v>
      </c>
      <c r="Y68" s="41">
        <f t="shared" si="30"/>
        <v>265237966</v>
      </c>
      <c r="Z68" s="41">
        <f t="shared" si="30"/>
        <v>242656405</v>
      </c>
      <c r="AA68" s="41">
        <f t="shared" si="30"/>
        <v>242752678</v>
      </c>
      <c r="AB68" s="41">
        <f t="shared" si="30"/>
        <v>291618549</v>
      </c>
      <c r="AC68" s="41">
        <f t="shared" si="30"/>
        <v>342278098</v>
      </c>
      <c r="AD68" s="41">
        <f t="shared" si="30"/>
        <v>281228404</v>
      </c>
      <c r="AE68" s="41">
        <f t="shared" si="30"/>
        <v>253969063</v>
      </c>
      <c r="AF68" s="41">
        <f t="shared" ref="AF68:AG68" si="31">AF63</f>
        <v>233705649</v>
      </c>
      <c r="AG68" s="41">
        <f t="shared" si="31"/>
        <v>246802832</v>
      </c>
      <c r="AH68" s="41">
        <f t="shared" ref="AH68:AI68" si="32">AH63</f>
        <v>299432228</v>
      </c>
      <c r="AI68" s="41">
        <f t="shared" si="32"/>
        <v>345299259</v>
      </c>
      <c r="AJ68" s="13"/>
      <c r="AK68" s="35"/>
    </row>
    <row r="69" spans="1:37">
      <c r="A69" s="50" t="s">
        <v>61</v>
      </c>
      <c r="B69" s="1" t="s">
        <v>62</v>
      </c>
      <c r="C69" s="2" t="s">
        <v>63</v>
      </c>
      <c r="D69" s="27">
        <f t="shared" ref="D69:AE69" si="33">ROUND(D67*D68,0)</f>
        <v>5788237</v>
      </c>
      <c r="E69" s="27">
        <f t="shared" si="33"/>
        <v>3896375</v>
      </c>
      <c r="F69" s="27">
        <f t="shared" si="33"/>
        <v>1772866</v>
      </c>
      <c r="G69" s="27">
        <f t="shared" si="33"/>
        <v>316336</v>
      </c>
      <c r="H69" s="27">
        <f t="shared" si="33"/>
        <v>806487</v>
      </c>
      <c r="I69" s="27">
        <f t="shared" si="33"/>
        <v>1130272</v>
      </c>
      <c r="J69" s="27">
        <f>ROUND(J67*J68,0)-117719</f>
        <v>1420459</v>
      </c>
      <c r="K69" s="27">
        <f t="shared" si="33"/>
        <v>2621156</v>
      </c>
      <c r="L69" s="27">
        <f t="shared" si="33"/>
        <v>2149356</v>
      </c>
      <c r="M69" s="27">
        <f t="shared" si="33"/>
        <v>2296358</v>
      </c>
      <c r="N69" s="27">
        <f t="shared" si="33"/>
        <v>1795417</v>
      </c>
      <c r="O69" s="27">
        <f t="shared" si="33"/>
        <v>3584901</v>
      </c>
      <c r="P69" s="27">
        <f t="shared" si="33"/>
        <v>3865669</v>
      </c>
      <c r="Q69" s="27">
        <f t="shared" si="33"/>
        <v>3832599</v>
      </c>
      <c r="R69" s="27">
        <f t="shared" si="33"/>
        <v>1808007</v>
      </c>
      <c r="S69" s="27">
        <f t="shared" si="33"/>
        <v>4405201</v>
      </c>
      <c r="T69" s="27">
        <f t="shared" si="33"/>
        <v>2741561</v>
      </c>
      <c r="U69" s="27">
        <f t="shared" si="33"/>
        <v>1615140</v>
      </c>
      <c r="V69" s="27">
        <f t="shared" si="33"/>
        <v>1805376</v>
      </c>
      <c r="W69" s="27">
        <f t="shared" si="33"/>
        <v>2371821</v>
      </c>
      <c r="X69" s="27">
        <f t="shared" si="33"/>
        <v>3360601</v>
      </c>
      <c r="Y69" s="27">
        <f t="shared" si="33"/>
        <v>3883614</v>
      </c>
      <c r="Z69" s="27">
        <f t="shared" si="33"/>
        <v>4136078</v>
      </c>
      <c r="AA69" s="27">
        <f t="shared" si="33"/>
        <v>3817771</v>
      </c>
      <c r="AB69" s="27">
        <f t="shared" si="33"/>
        <v>4100740</v>
      </c>
      <c r="AC69" s="27">
        <f t="shared" si="33"/>
        <v>3152724</v>
      </c>
      <c r="AD69" s="27">
        <f t="shared" si="33"/>
        <v>6055972</v>
      </c>
      <c r="AE69" s="27">
        <f t="shared" si="33"/>
        <v>3273407</v>
      </c>
      <c r="AF69" s="27">
        <f t="shared" ref="AF69:AG69" si="34">ROUND(AF67*AF68,0)</f>
        <v>5140122</v>
      </c>
      <c r="AG69" s="27">
        <f t="shared" si="34"/>
        <v>6371215</v>
      </c>
      <c r="AH69" s="27">
        <f t="shared" ref="AH69:AI69" si="35">ROUND(AH67*AH68,0)</f>
        <v>4496574</v>
      </c>
      <c r="AI69" s="27">
        <f t="shared" si="35"/>
        <v>4124254</v>
      </c>
      <c r="AJ69" s="38"/>
    </row>
    <row r="70" spans="1:37">
      <c r="A70" s="50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8"/>
    </row>
    <row r="71" spans="1:37">
      <c r="A71" s="50" t="s">
        <v>64</v>
      </c>
      <c r="B71" s="1" t="s">
        <v>65</v>
      </c>
      <c r="D71" s="51">
        <v>236626324</v>
      </c>
      <c r="E71" s="51">
        <f t="shared" ref="E71:AI71" si="36">D63</f>
        <v>288963977</v>
      </c>
      <c r="F71" s="51">
        <f>E63</f>
        <v>268975185</v>
      </c>
      <c r="G71" s="51">
        <f t="shared" si="36"/>
        <v>226361819</v>
      </c>
      <c r="H71" s="51">
        <f t="shared" si="36"/>
        <v>238563758</v>
      </c>
      <c r="I71" s="51">
        <f t="shared" si="36"/>
        <v>203043069</v>
      </c>
      <c r="J71" s="51">
        <f t="shared" si="36"/>
        <v>223021314</v>
      </c>
      <c r="K71" s="51">
        <f t="shared" si="36"/>
        <v>251624018</v>
      </c>
      <c r="L71" s="51">
        <f t="shared" si="36"/>
        <v>290722673</v>
      </c>
      <c r="M71" s="51">
        <f t="shared" si="36"/>
        <v>281956720</v>
      </c>
      <c r="N71" s="27">
        <f t="shared" si="36"/>
        <v>243593748</v>
      </c>
      <c r="O71" s="27">
        <f t="shared" si="36"/>
        <v>220513061</v>
      </c>
      <c r="P71" s="27">
        <f t="shared" si="36"/>
        <v>234629321</v>
      </c>
      <c r="Q71" s="27">
        <f t="shared" si="36"/>
        <v>270705103</v>
      </c>
      <c r="R71" s="27">
        <f t="shared" si="36"/>
        <v>329742684</v>
      </c>
      <c r="S71" s="27">
        <f t="shared" si="36"/>
        <v>252444372</v>
      </c>
      <c r="T71" s="27">
        <f t="shared" si="36"/>
        <v>247650163</v>
      </c>
      <c r="U71" s="27">
        <f t="shared" si="36"/>
        <v>230402647</v>
      </c>
      <c r="V71" s="27">
        <f t="shared" si="36"/>
        <v>253156769</v>
      </c>
      <c r="W71" s="27">
        <f t="shared" si="36"/>
        <v>292321287</v>
      </c>
      <c r="X71" s="27">
        <f t="shared" si="36"/>
        <v>311630680</v>
      </c>
      <c r="Y71" s="27">
        <f t="shared" si="36"/>
        <v>314839906</v>
      </c>
      <c r="Z71" s="27">
        <f t="shared" si="36"/>
        <v>265237966</v>
      </c>
      <c r="AA71" s="27">
        <f t="shared" si="36"/>
        <v>242656405</v>
      </c>
      <c r="AB71" s="27">
        <f t="shared" si="36"/>
        <v>242752678</v>
      </c>
      <c r="AC71" s="27">
        <f t="shared" si="36"/>
        <v>291618549</v>
      </c>
      <c r="AD71" s="27">
        <f t="shared" si="36"/>
        <v>342278098</v>
      </c>
      <c r="AE71" s="27">
        <f t="shared" si="36"/>
        <v>281228404</v>
      </c>
      <c r="AF71" s="27">
        <f t="shared" si="36"/>
        <v>253969063</v>
      </c>
      <c r="AG71" s="27">
        <f t="shared" si="36"/>
        <v>233705649</v>
      </c>
      <c r="AH71" s="27">
        <f t="shared" si="36"/>
        <v>246802832</v>
      </c>
      <c r="AI71" s="27">
        <f t="shared" si="36"/>
        <v>299432228</v>
      </c>
      <c r="AJ71" s="40"/>
    </row>
    <row r="72" spans="1:37">
      <c r="A72" s="50" t="s">
        <v>66</v>
      </c>
      <c r="B72" s="19" t="s">
        <v>67</v>
      </c>
      <c r="C72" s="52"/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38"/>
    </row>
    <row r="73" spans="1:37">
      <c r="A73" s="50" t="s">
        <v>68</v>
      </c>
      <c r="B73" s="1" t="s">
        <v>69</v>
      </c>
      <c r="C73" s="2" t="s">
        <v>70</v>
      </c>
      <c r="D73" s="39">
        <f t="shared" ref="D73:AE73" si="37">D71-D72</f>
        <v>236626324</v>
      </c>
      <c r="E73" s="39">
        <f t="shared" si="37"/>
        <v>288963977</v>
      </c>
      <c r="F73" s="39">
        <f t="shared" si="37"/>
        <v>268975185</v>
      </c>
      <c r="G73" s="39">
        <f t="shared" si="37"/>
        <v>226361819</v>
      </c>
      <c r="H73" s="39">
        <f t="shared" si="37"/>
        <v>238563758</v>
      </c>
      <c r="I73" s="39">
        <f t="shared" si="37"/>
        <v>203043069</v>
      </c>
      <c r="J73" s="39">
        <f t="shared" si="37"/>
        <v>223021314</v>
      </c>
      <c r="K73" s="39">
        <f t="shared" si="37"/>
        <v>251624018</v>
      </c>
      <c r="L73" s="39">
        <f t="shared" si="37"/>
        <v>290722673</v>
      </c>
      <c r="M73" s="39">
        <f t="shared" si="37"/>
        <v>281956720</v>
      </c>
      <c r="N73" s="39">
        <f t="shared" si="37"/>
        <v>243593748</v>
      </c>
      <c r="O73" s="39">
        <f t="shared" si="37"/>
        <v>220513061</v>
      </c>
      <c r="P73" s="39">
        <f t="shared" si="37"/>
        <v>234629321</v>
      </c>
      <c r="Q73" s="39">
        <f t="shared" si="37"/>
        <v>270705103</v>
      </c>
      <c r="R73" s="39">
        <f t="shared" si="37"/>
        <v>329742684</v>
      </c>
      <c r="S73" s="39">
        <f t="shared" si="37"/>
        <v>252444372</v>
      </c>
      <c r="T73" s="39">
        <f t="shared" si="37"/>
        <v>247650163</v>
      </c>
      <c r="U73" s="39">
        <f t="shared" si="37"/>
        <v>230402647</v>
      </c>
      <c r="V73" s="39">
        <f t="shared" si="37"/>
        <v>253156769</v>
      </c>
      <c r="W73" s="39">
        <f t="shared" si="37"/>
        <v>292321287</v>
      </c>
      <c r="X73" s="39">
        <f t="shared" si="37"/>
        <v>311630680</v>
      </c>
      <c r="Y73" s="39">
        <f t="shared" si="37"/>
        <v>314839906</v>
      </c>
      <c r="Z73" s="39">
        <f t="shared" si="37"/>
        <v>265237966</v>
      </c>
      <c r="AA73" s="39">
        <f t="shared" si="37"/>
        <v>242656405</v>
      </c>
      <c r="AB73" s="39">
        <f t="shared" si="37"/>
        <v>242752678</v>
      </c>
      <c r="AC73" s="39">
        <f t="shared" si="37"/>
        <v>291618549</v>
      </c>
      <c r="AD73" s="39">
        <f t="shared" si="37"/>
        <v>342278098</v>
      </c>
      <c r="AE73" s="39">
        <f t="shared" si="37"/>
        <v>281228404</v>
      </c>
      <c r="AF73" s="39">
        <f t="shared" ref="AF73:AG73" si="38">AF71-AF72</f>
        <v>253969063</v>
      </c>
      <c r="AG73" s="39">
        <f t="shared" si="38"/>
        <v>233705649</v>
      </c>
      <c r="AH73" s="39">
        <f t="shared" ref="AH73:AI73" si="39">AH71-AH72</f>
        <v>246802832</v>
      </c>
      <c r="AI73" s="39">
        <f t="shared" si="39"/>
        <v>299432228</v>
      </c>
      <c r="AJ73" s="38"/>
    </row>
    <row r="74" spans="1:37">
      <c r="A74" s="50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22"/>
    </row>
    <row r="75" spans="1:37">
      <c r="A75" s="50" t="s">
        <v>71</v>
      </c>
      <c r="B75" s="1" t="s">
        <v>72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49">
        <v>0</v>
      </c>
      <c r="AJ75" s="53"/>
    </row>
    <row r="76" spans="1:37">
      <c r="A76" s="50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3"/>
    </row>
    <row r="77" spans="1:37">
      <c r="A77" s="50" t="s">
        <v>73</v>
      </c>
      <c r="B77" s="1" t="s">
        <v>74</v>
      </c>
      <c r="C77" s="2" t="s">
        <v>75</v>
      </c>
      <c r="D77" s="27">
        <f>D67*D73</f>
        <v>4739861.8960440001</v>
      </c>
      <c r="E77" s="27">
        <f t="shared" ref="E77:AE77" si="40">E67*E73</f>
        <v>4185932.1708219997</v>
      </c>
      <c r="F77" s="27">
        <f t="shared" si="40"/>
        <v>2106613.6489200005</v>
      </c>
      <c r="G77" s="27">
        <f t="shared" si="40"/>
        <v>300155.77199400018</v>
      </c>
      <c r="H77" s="27">
        <f t="shared" si="40"/>
        <v>947575.24677600001</v>
      </c>
      <c r="I77" s="27">
        <f t="shared" si="40"/>
        <v>1029022.273692</v>
      </c>
      <c r="J77" s="27">
        <f t="shared" si="40"/>
        <v>1363329.2924820001</v>
      </c>
      <c r="K77" s="27">
        <f t="shared" si="40"/>
        <v>2268642.146288</v>
      </c>
      <c r="L77" s="27">
        <f t="shared" si="40"/>
        <v>2216178.9362790002</v>
      </c>
      <c r="M77" s="27">
        <f t="shared" si="40"/>
        <v>2658005.9994400004</v>
      </c>
      <c r="N77" s="27">
        <f t="shared" si="40"/>
        <v>1983340.2962159999</v>
      </c>
      <c r="O77" s="27">
        <f t="shared" si="40"/>
        <v>3369219.0590190003</v>
      </c>
      <c r="P77" s="27">
        <f t="shared" si="40"/>
        <v>3350506.7038800004</v>
      </c>
      <c r="Q77" s="27">
        <f t="shared" si="40"/>
        <v>3146405.4121690006</v>
      </c>
      <c r="R77" s="27">
        <f t="shared" si="40"/>
        <v>2361617.1028080005</v>
      </c>
      <c r="S77" s="27">
        <f t="shared" si="40"/>
        <v>4490480.4891359992</v>
      </c>
      <c r="T77" s="27">
        <f t="shared" si="40"/>
        <v>2946789.289537</v>
      </c>
      <c r="U77" s="27">
        <f t="shared" si="40"/>
        <v>1469968.8878600001</v>
      </c>
      <c r="V77" s="27">
        <f t="shared" si="40"/>
        <v>1563496.2053440001</v>
      </c>
      <c r="W77" s="27">
        <f t="shared" si="40"/>
        <v>2224857.3153570001</v>
      </c>
      <c r="X77" s="27">
        <f t="shared" si="40"/>
        <v>3326345.8783200011</v>
      </c>
      <c r="Y77" s="27">
        <f t="shared" si="40"/>
        <v>4609885.9036520002</v>
      </c>
      <c r="Z77" s="27">
        <f t="shared" si="40"/>
        <v>4520981.1304699993</v>
      </c>
      <c r="AA77" s="27">
        <f t="shared" si="40"/>
        <v>3816257.2814349993</v>
      </c>
      <c r="AB77" s="27">
        <f t="shared" si="40"/>
        <v>3413588.1580359996</v>
      </c>
      <c r="AC77" s="27">
        <f t="shared" si="40"/>
        <v>2686098.454839</v>
      </c>
      <c r="AD77" s="27">
        <f t="shared" si="40"/>
        <v>7370616.5623319987</v>
      </c>
      <c r="AE77" s="27">
        <f t="shared" si="40"/>
        <v>3624752.8991559995</v>
      </c>
      <c r="AF77" s="27">
        <f t="shared" ref="AF77:AG77" si="41">AF67*AF73</f>
        <v>5585795.5716220001</v>
      </c>
      <c r="AG77" s="27">
        <f t="shared" si="41"/>
        <v>6033111.3289349992</v>
      </c>
      <c r="AH77" s="27">
        <f t="shared" ref="AH77:AI77" si="42">AH67*AH73</f>
        <v>3706238.1281440007</v>
      </c>
      <c r="AI77" s="27">
        <f t="shared" si="42"/>
        <v>3576418.5312320008</v>
      </c>
      <c r="AJ77" s="16"/>
    </row>
    <row r="78" spans="1:37">
      <c r="A78" s="50"/>
      <c r="B78" s="19"/>
      <c r="C78" s="20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3"/>
    </row>
    <row r="79" spans="1:37">
      <c r="A79" s="50" t="s">
        <v>76</v>
      </c>
      <c r="B79" s="1" t="s">
        <v>77</v>
      </c>
      <c r="C79" s="2" t="s">
        <v>78</v>
      </c>
      <c r="D79" s="27">
        <f t="shared" ref="D79:AE79" si="43">D69-D77</f>
        <v>1048375.1039559999</v>
      </c>
      <c r="E79" s="27">
        <f t="shared" si="43"/>
        <v>-289557.17082199967</v>
      </c>
      <c r="F79" s="27">
        <f t="shared" si="43"/>
        <v>-333747.64892000053</v>
      </c>
      <c r="G79" s="27">
        <f t="shared" si="43"/>
        <v>16180.228005999816</v>
      </c>
      <c r="H79" s="27">
        <f t="shared" si="43"/>
        <v>-141088.24677600001</v>
      </c>
      <c r="I79" s="27">
        <f t="shared" si="43"/>
        <v>101249.72630800004</v>
      </c>
      <c r="J79" s="27">
        <f t="shared" si="43"/>
        <v>57129.707517999923</v>
      </c>
      <c r="K79" s="27">
        <f t="shared" si="43"/>
        <v>352513.85371199995</v>
      </c>
      <c r="L79" s="27">
        <f t="shared" si="43"/>
        <v>-66822.936279000249</v>
      </c>
      <c r="M79" s="27">
        <f t="shared" si="43"/>
        <v>-361647.99944000039</v>
      </c>
      <c r="N79" s="27">
        <f t="shared" si="43"/>
        <v>-187923.29621599987</v>
      </c>
      <c r="O79" s="27">
        <f t="shared" si="43"/>
        <v>215681.94098099973</v>
      </c>
      <c r="P79" s="27">
        <f t="shared" si="43"/>
        <v>515162.29611999961</v>
      </c>
      <c r="Q79" s="27">
        <f t="shared" si="43"/>
        <v>686193.5878309994</v>
      </c>
      <c r="R79" s="27">
        <f t="shared" si="43"/>
        <v>-553610.10280800052</v>
      </c>
      <c r="S79" s="27">
        <f t="shared" si="43"/>
        <v>-85279.489135999233</v>
      </c>
      <c r="T79" s="27">
        <f t="shared" si="43"/>
        <v>-205228.289537</v>
      </c>
      <c r="U79" s="27">
        <f t="shared" si="43"/>
        <v>145171.11213999987</v>
      </c>
      <c r="V79" s="27">
        <f t="shared" si="43"/>
        <v>241879.79465599987</v>
      </c>
      <c r="W79" s="27">
        <f t="shared" si="43"/>
        <v>146963.6846429999</v>
      </c>
      <c r="X79" s="27">
        <f t="shared" si="43"/>
        <v>34255.121679998934</v>
      </c>
      <c r="Y79" s="27">
        <f t="shared" si="43"/>
        <v>-726271.90365200024</v>
      </c>
      <c r="Z79" s="27">
        <f t="shared" si="43"/>
        <v>-384903.13046999928</v>
      </c>
      <c r="AA79" s="27">
        <f t="shared" si="43"/>
        <v>1513.7185650006868</v>
      </c>
      <c r="AB79" s="27">
        <f t="shared" si="43"/>
        <v>687151.84196400037</v>
      </c>
      <c r="AC79" s="27">
        <f t="shared" si="43"/>
        <v>466625.54516099999</v>
      </c>
      <c r="AD79" s="27">
        <f t="shared" si="43"/>
        <v>-1314644.5623319987</v>
      </c>
      <c r="AE79" s="27">
        <f t="shared" si="43"/>
        <v>-351345.89915599953</v>
      </c>
      <c r="AF79" s="27">
        <f t="shared" ref="AF79:AG79" si="44">AF69-AF77</f>
        <v>-445673.57162200008</v>
      </c>
      <c r="AG79" s="27">
        <f t="shared" si="44"/>
        <v>338103.67106500082</v>
      </c>
      <c r="AH79" s="27">
        <f t="shared" ref="AH79:AI79" si="45">AH69-AH77</f>
        <v>790335.87185599934</v>
      </c>
      <c r="AI79" s="27">
        <f t="shared" si="45"/>
        <v>547835.46876799921</v>
      </c>
      <c r="AJ79" s="16"/>
    </row>
    <row r="80" spans="1:37">
      <c r="A80" s="50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</row>
    <row r="81" spans="1:37">
      <c r="A81" s="50" t="s">
        <v>79</v>
      </c>
      <c r="B81" s="1" t="s">
        <v>80</v>
      </c>
      <c r="C81" s="2" t="s">
        <v>81</v>
      </c>
      <c r="D81" s="15">
        <f t="shared" ref="D81:AE81" si="46">D63</f>
        <v>288963977</v>
      </c>
      <c r="E81" s="15">
        <f t="shared" si="46"/>
        <v>268975185</v>
      </c>
      <c r="F81" s="15">
        <f t="shared" si="46"/>
        <v>226361819</v>
      </c>
      <c r="G81" s="15">
        <f t="shared" si="46"/>
        <v>238563758</v>
      </c>
      <c r="H81" s="15">
        <f t="shared" si="46"/>
        <v>203043069</v>
      </c>
      <c r="I81" s="15">
        <f t="shared" si="46"/>
        <v>223021314</v>
      </c>
      <c r="J81" s="15">
        <f t="shared" si="46"/>
        <v>251624018</v>
      </c>
      <c r="K81" s="15">
        <f t="shared" si="46"/>
        <v>290722673</v>
      </c>
      <c r="L81" s="15">
        <f t="shared" si="46"/>
        <v>281956720</v>
      </c>
      <c r="M81" s="15">
        <f t="shared" si="46"/>
        <v>243593748</v>
      </c>
      <c r="N81" s="15">
        <f t="shared" si="46"/>
        <v>220513061</v>
      </c>
      <c r="O81" s="15">
        <f t="shared" si="46"/>
        <v>234629321</v>
      </c>
      <c r="P81" s="15">
        <f t="shared" si="46"/>
        <v>270705103</v>
      </c>
      <c r="Q81" s="15">
        <f t="shared" si="46"/>
        <v>329742684</v>
      </c>
      <c r="R81" s="15">
        <f t="shared" si="46"/>
        <v>252444372</v>
      </c>
      <c r="S81" s="15">
        <f t="shared" si="46"/>
        <v>247650163</v>
      </c>
      <c r="T81" s="15">
        <f t="shared" si="46"/>
        <v>230402647</v>
      </c>
      <c r="U81" s="15">
        <f t="shared" si="46"/>
        <v>253156769</v>
      </c>
      <c r="V81" s="15">
        <f t="shared" si="46"/>
        <v>292321287</v>
      </c>
      <c r="W81" s="15">
        <f t="shared" si="46"/>
        <v>311630680</v>
      </c>
      <c r="X81" s="15">
        <f t="shared" si="46"/>
        <v>314839906</v>
      </c>
      <c r="Y81" s="15">
        <f t="shared" si="46"/>
        <v>265237966</v>
      </c>
      <c r="Z81" s="15">
        <f t="shared" si="46"/>
        <v>242656405</v>
      </c>
      <c r="AA81" s="15">
        <f t="shared" si="46"/>
        <v>242752678</v>
      </c>
      <c r="AB81" s="15">
        <f t="shared" si="46"/>
        <v>291618549</v>
      </c>
      <c r="AC81" s="15">
        <f t="shared" si="46"/>
        <v>342278098</v>
      </c>
      <c r="AD81" s="15">
        <f t="shared" si="46"/>
        <v>281228404</v>
      </c>
      <c r="AE81" s="15">
        <f t="shared" si="46"/>
        <v>253969063</v>
      </c>
      <c r="AF81" s="15">
        <f t="shared" ref="AF81:AG81" si="47">AF63</f>
        <v>233705649</v>
      </c>
      <c r="AG81" s="15">
        <f t="shared" si="47"/>
        <v>246802832</v>
      </c>
      <c r="AH81" s="15">
        <f t="shared" ref="AH81:AI81" si="48">AH63</f>
        <v>299432228</v>
      </c>
      <c r="AI81" s="15">
        <f t="shared" si="48"/>
        <v>345299259</v>
      </c>
      <c r="AJ81" s="16"/>
      <c r="AK81" s="35"/>
    </row>
    <row r="82" spans="1:37" ht="3.75" customHeight="1">
      <c r="A82" s="50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</row>
    <row r="83" spans="1:37">
      <c r="A83" s="50" t="s">
        <v>82</v>
      </c>
      <c r="B83" s="1" t="s">
        <v>83</v>
      </c>
      <c r="D83" s="15">
        <f t="shared" ref="D83:AE83" si="49">D81</f>
        <v>288963977</v>
      </c>
      <c r="E83" s="15">
        <f t="shared" si="49"/>
        <v>268975185</v>
      </c>
      <c r="F83" s="15">
        <f t="shared" si="49"/>
        <v>226361819</v>
      </c>
      <c r="G83" s="15">
        <f t="shared" si="49"/>
        <v>238563758</v>
      </c>
      <c r="H83" s="15">
        <f t="shared" si="49"/>
        <v>203043069</v>
      </c>
      <c r="I83" s="15">
        <f t="shared" si="49"/>
        <v>223021314</v>
      </c>
      <c r="J83" s="15">
        <f t="shared" si="49"/>
        <v>251624018</v>
      </c>
      <c r="K83" s="15">
        <f t="shared" si="49"/>
        <v>290722673</v>
      </c>
      <c r="L83" s="15">
        <f t="shared" si="49"/>
        <v>281956720</v>
      </c>
      <c r="M83" s="15">
        <f t="shared" si="49"/>
        <v>243593748</v>
      </c>
      <c r="N83" s="15">
        <f t="shared" si="49"/>
        <v>220513061</v>
      </c>
      <c r="O83" s="15">
        <f t="shared" si="49"/>
        <v>234629321</v>
      </c>
      <c r="P83" s="15">
        <f t="shared" si="49"/>
        <v>270705103</v>
      </c>
      <c r="Q83" s="15">
        <f t="shared" si="49"/>
        <v>329742684</v>
      </c>
      <c r="R83" s="15">
        <f t="shared" si="49"/>
        <v>252444372</v>
      </c>
      <c r="S83" s="15">
        <f t="shared" si="49"/>
        <v>247650163</v>
      </c>
      <c r="T83" s="15">
        <f t="shared" si="49"/>
        <v>230402647</v>
      </c>
      <c r="U83" s="15">
        <f t="shared" si="49"/>
        <v>253156769</v>
      </c>
      <c r="V83" s="15">
        <f t="shared" si="49"/>
        <v>292321287</v>
      </c>
      <c r="W83" s="15">
        <f t="shared" si="49"/>
        <v>311630680</v>
      </c>
      <c r="X83" s="15">
        <f t="shared" si="49"/>
        <v>314839906</v>
      </c>
      <c r="Y83" s="15">
        <f t="shared" si="49"/>
        <v>265237966</v>
      </c>
      <c r="Z83" s="15">
        <f t="shared" si="49"/>
        <v>242656405</v>
      </c>
      <c r="AA83" s="15">
        <f t="shared" si="49"/>
        <v>242752678</v>
      </c>
      <c r="AB83" s="15">
        <f t="shared" si="49"/>
        <v>291618549</v>
      </c>
      <c r="AC83" s="15">
        <f t="shared" si="49"/>
        <v>342278098</v>
      </c>
      <c r="AD83" s="15">
        <f t="shared" si="49"/>
        <v>281228404</v>
      </c>
      <c r="AE83" s="15">
        <f t="shared" si="49"/>
        <v>253969063</v>
      </c>
      <c r="AF83" s="15">
        <f t="shared" ref="AF83:AG83" si="50">AF81</f>
        <v>233705649</v>
      </c>
      <c r="AG83" s="15">
        <f t="shared" si="50"/>
        <v>246802832</v>
      </c>
      <c r="AH83" s="15">
        <f t="shared" ref="AH83:AI83" si="51">AH81</f>
        <v>299432228</v>
      </c>
      <c r="AI83" s="15">
        <f t="shared" si="51"/>
        <v>345299259</v>
      </c>
      <c r="AJ83" s="16"/>
      <c r="AK83" s="35"/>
    </row>
    <row r="84" spans="1:37" ht="3.75" customHeight="1">
      <c r="A84" s="50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55"/>
    </row>
    <row r="85" spans="1:37">
      <c r="A85" s="50" t="s">
        <v>84</v>
      </c>
      <c r="B85" s="1" t="s">
        <v>85</v>
      </c>
      <c r="C85" s="2" t="s">
        <v>86</v>
      </c>
      <c r="D85" s="56">
        <f t="shared" ref="D85:AE85" si="52">D81/D83</f>
        <v>1</v>
      </c>
      <c r="E85" s="56">
        <f t="shared" si="52"/>
        <v>1</v>
      </c>
      <c r="F85" s="56">
        <f t="shared" si="52"/>
        <v>1</v>
      </c>
      <c r="G85" s="56">
        <f t="shared" si="52"/>
        <v>1</v>
      </c>
      <c r="H85" s="56">
        <f t="shared" si="52"/>
        <v>1</v>
      </c>
      <c r="I85" s="56">
        <f t="shared" si="52"/>
        <v>1</v>
      </c>
      <c r="J85" s="56">
        <f t="shared" si="52"/>
        <v>1</v>
      </c>
      <c r="K85" s="56">
        <f t="shared" si="52"/>
        <v>1</v>
      </c>
      <c r="L85" s="56">
        <f t="shared" si="52"/>
        <v>1</v>
      </c>
      <c r="M85" s="56">
        <f t="shared" si="52"/>
        <v>1</v>
      </c>
      <c r="N85" s="56">
        <f t="shared" si="52"/>
        <v>1</v>
      </c>
      <c r="O85" s="56">
        <f t="shared" si="52"/>
        <v>1</v>
      </c>
      <c r="P85" s="56">
        <f t="shared" si="52"/>
        <v>1</v>
      </c>
      <c r="Q85" s="56">
        <f t="shared" si="52"/>
        <v>1</v>
      </c>
      <c r="R85" s="56">
        <f t="shared" si="52"/>
        <v>1</v>
      </c>
      <c r="S85" s="56">
        <f t="shared" si="52"/>
        <v>1</v>
      </c>
      <c r="T85" s="56">
        <f t="shared" si="52"/>
        <v>1</v>
      </c>
      <c r="U85" s="56">
        <f t="shared" si="52"/>
        <v>1</v>
      </c>
      <c r="V85" s="56">
        <f t="shared" si="52"/>
        <v>1</v>
      </c>
      <c r="W85" s="56">
        <f t="shared" si="52"/>
        <v>1</v>
      </c>
      <c r="X85" s="56">
        <f t="shared" si="52"/>
        <v>1</v>
      </c>
      <c r="Y85" s="56">
        <f t="shared" si="52"/>
        <v>1</v>
      </c>
      <c r="Z85" s="56">
        <f t="shared" si="52"/>
        <v>1</v>
      </c>
      <c r="AA85" s="56">
        <f t="shared" si="52"/>
        <v>1</v>
      </c>
      <c r="AB85" s="56">
        <f t="shared" si="52"/>
        <v>1</v>
      </c>
      <c r="AC85" s="56">
        <f t="shared" si="52"/>
        <v>1</v>
      </c>
      <c r="AD85" s="56">
        <f t="shared" si="52"/>
        <v>1</v>
      </c>
      <c r="AE85" s="56">
        <f t="shared" si="52"/>
        <v>1</v>
      </c>
      <c r="AF85" s="56">
        <f t="shared" ref="AF85:AG85" si="53">AF81/AF83</f>
        <v>1</v>
      </c>
      <c r="AG85" s="56">
        <f t="shared" si="53"/>
        <v>1</v>
      </c>
      <c r="AH85" s="56">
        <f t="shared" ref="AH85:AI85" si="54">AH81/AH83</f>
        <v>1</v>
      </c>
      <c r="AI85" s="56">
        <f t="shared" si="54"/>
        <v>1</v>
      </c>
      <c r="AJ85" s="57"/>
    </row>
    <row r="86" spans="1:37" ht="3.75" customHeight="1">
      <c r="A86" s="50"/>
      <c r="B86" s="19"/>
      <c r="C86" s="20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9"/>
    </row>
    <row r="87" spans="1:37">
      <c r="A87" s="50" t="s">
        <v>87</v>
      </c>
      <c r="B87" s="1" t="s">
        <v>88</v>
      </c>
      <c r="C87" s="2" t="s">
        <v>89</v>
      </c>
      <c r="D87" s="60">
        <f t="shared" ref="D87:AE87" si="55">ROUND(D79*D85,0)</f>
        <v>1048375</v>
      </c>
      <c r="E87" s="60">
        <f t="shared" si="55"/>
        <v>-289557</v>
      </c>
      <c r="F87" s="60">
        <f t="shared" si="55"/>
        <v>-333748</v>
      </c>
      <c r="G87" s="60">
        <f t="shared" si="55"/>
        <v>16180</v>
      </c>
      <c r="H87" s="60">
        <f t="shared" si="55"/>
        <v>-141088</v>
      </c>
      <c r="I87" s="60">
        <f t="shared" si="55"/>
        <v>101250</v>
      </c>
      <c r="J87" s="60">
        <f t="shared" si="55"/>
        <v>57130</v>
      </c>
      <c r="K87" s="60">
        <f t="shared" si="55"/>
        <v>352514</v>
      </c>
      <c r="L87" s="60">
        <f t="shared" si="55"/>
        <v>-66823</v>
      </c>
      <c r="M87" s="60">
        <f t="shared" si="55"/>
        <v>-361648</v>
      </c>
      <c r="N87" s="60">
        <f t="shared" si="55"/>
        <v>-187923</v>
      </c>
      <c r="O87" s="60">
        <f t="shared" si="55"/>
        <v>215682</v>
      </c>
      <c r="P87" s="60">
        <f t="shared" si="55"/>
        <v>515162</v>
      </c>
      <c r="Q87" s="60">
        <f t="shared" si="55"/>
        <v>686194</v>
      </c>
      <c r="R87" s="60">
        <f t="shared" si="55"/>
        <v>-553610</v>
      </c>
      <c r="S87" s="60">
        <f t="shared" si="55"/>
        <v>-85279</v>
      </c>
      <c r="T87" s="60">
        <f t="shared" si="55"/>
        <v>-205228</v>
      </c>
      <c r="U87" s="60">
        <f t="shared" si="55"/>
        <v>145171</v>
      </c>
      <c r="V87" s="60">
        <f t="shared" si="55"/>
        <v>241880</v>
      </c>
      <c r="W87" s="60">
        <f t="shared" si="55"/>
        <v>146964</v>
      </c>
      <c r="X87" s="60">
        <f t="shared" si="55"/>
        <v>34255</v>
      </c>
      <c r="Y87" s="60">
        <f t="shared" si="55"/>
        <v>-726272</v>
      </c>
      <c r="Z87" s="60">
        <f t="shared" si="55"/>
        <v>-384903</v>
      </c>
      <c r="AA87" s="60">
        <f t="shared" si="55"/>
        <v>1514</v>
      </c>
      <c r="AB87" s="60">
        <f t="shared" si="55"/>
        <v>687152</v>
      </c>
      <c r="AC87" s="60">
        <f t="shared" si="55"/>
        <v>466626</v>
      </c>
      <c r="AD87" s="60">
        <f t="shared" si="55"/>
        <v>-1314645</v>
      </c>
      <c r="AE87" s="60">
        <f t="shared" si="55"/>
        <v>-351346</v>
      </c>
      <c r="AF87" s="60">
        <f t="shared" ref="AF87:AG87" si="56">ROUND(AF79*AF85,0)</f>
        <v>-445674</v>
      </c>
      <c r="AG87" s="60">
        <f t="shared" si="56"/>
        <v>338104</v>
      </c>
      <c r="AH87" s="60">
        <f t="shared" ref="AH87:AI87" si="57">ROUND(AH79*AH85,0)</f>
        <v>790336</v>
      </c>
      <c r="AI87" s="60">
        <f t="shared" si="57"/>
        <v>547835</v>
      </c>
      <c r="AJ87" s="59"/>
    </row>
    <row r="88" spans="1:37" ht="8.25" customHeight="1">
      <c r="A88" s="61"/>
      <c r="B88" s="19"/>
      <c r="C88" s="62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4"/>
    </row>
    <row r="89" spans="1:37">
      <c r="A89" s="4"/>
      <c r="B89" s="6"/>
      <c r="C89" s="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</row>
    <row r="90" spans="1:37">
      <c r="A90" s="65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</row>
    <row r="91" spans="1:37">
      <c r="A91" s="65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</row>
    <row r="92" spans="1:37" ht="30" customHeight="1">
      <c r="A92" s="67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64"/>
    </row>
    <row r="93" spans="1:37">
      <c r="A93" s="65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</row>
    <row r="94" spans="1:37" ht="30" customHeight="1">
      <c r="A94" s="67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64"/>
    </row>
    <row r="95" spans="1:37">
      <c r="A95" s="6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</row>
    <row r="96" spans="1:37" ht="30" customHeight="1">
      <c r="A96" s="67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64"/>
    </row>
    <row r="97" spans="1:36">
      <c r="A97" s="65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1:36" ht="45" customHeight="1">
      <c r="A98" s="67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64"/>
    </row>
    <row r="99" spans="1:36">
      <c r="A99" s="65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</row>
  </sheetData>
  <mergeCells count="5">
    <mergeCell ref="A47:N47"/>
    <mergeCell ref="B92:N92"/>
    <mergeCell ref="B94:N94"/>
    <mergeCell ref="B96:N96"/>
    <mergeCell ref="B98:N98"/>
  </mergeCells>
  <pageMargins left="1" right="0.7" top="1" bottom="0.75" header="0.3" footer="0.3"/>
  <pageSetup scale="51" fitToHeight="2" orientation="portrait" r:id="rId1"/>
  <headerFooter>
    <oddFooter>&amp;R&amp;"Times New Roman,Bold"&amp;12Page &amp;P of &amp;N</oddFooter>
  </headerFooter>
  <rowBreaks count="1" manualBreakCount="1">
    <brk id="4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DAB9-B45F-41D1-A9C9-33B0A6B3F239}">
  <sheetPr codeName="Sheet3"/>
  <dimension ref="A1:AK101"/>
  <sheetViews>
    <sheetView zoomScaleNormal="100" workbookViewId="0">
      <pane xSplit="3" ySplit="6" topLeftCell="D70" activePane="bottomRight" state="frozen"/>
      <selection activeCell="N8" sqref="N8"/>
      <selection pane="topRight" activeCell="N8" sqref="N8"/>
      <selection pane="bottomLeft" activeCell="N8" sqref="N8"/>
      <selection pane="bottomRight" activeCell="E77" sqref="E77"/>
    </sheetView>
  </sheetViews>
  <sheetFormatPr defaultColWidth="9.125" defaultRowHeight="15.75"/>
  <cols>
    <col min="1" max="1" width="8" style="1" customWidth="1"/>
    <col min="2" max="2" width="53" style="1" customWidth="1"/>
    <col min="3" max="3" width="18.125" style="2" customWidth="1"/>
    <col min="4" max="35" width="25.75" style="1" customWidth="1"/>
    <col min="36" max="36" width="1.125" style="1" customWidth="1"/>
    <col min="37" max="16384" width="9.125" style="1"/>
  </cols>
  <sheetData>
    <row r="1" spans="1:37">
      <c r="AF1" s="1" t="s">
        <v>102</v>
      </c>
      <c r="AG1" s="1" t="s">
        <v>102</v>
      </c>
      <c r="AH1" s="1" t="s">
        <v>102</v>
      </c>
      <c r="AI1" s="1" t="s">
        <v>102</v>
      </c>
    </row>
    <row r="2" spans="1:37" ht="14.45" customHeight="1">
      <c r="A2" s="4" t="s">
        <v>0</v>
      </c>
    </row>
    <row r="3" spans="1:37" ht="14.45" customHeight="1">
      <c r="A3" s="6" t="s">
        <v>1</v>
      </c>
      <c r="B3" s="4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7">
      <c r="A4" s="6"/>
      <c r="B4" s="4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7">
      <c r="A5" s="4"/>
      <c r="B5" s="4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7">
      <c r="A6" s="4"/>
      <c r="B6" s="4"/>
      <c r="C6" s="7" t="s">
        <v>2</v>
      </c>
      <c r="D6" s="74">
        <v>44896</v>
      </c>
      <c r="E6" s="74">
        <f t="shared" ref="E6:AI6" si="0">EOMONTH(D6,1)</f>
        <v>44957</v>
      </c>
      <c r="F6" s="74">
        <f t="shared" si="0"/>
        <v>44985</v>
      </c>
      <c r="G6" s="74">
        <f t="shared" si="0"/>
        <v>45016</v>
      </c>
      <c r="H6" s="74">
        <f t="shared" si="0"/>
        <v>45046</v>
      </c>
      <c r="I6" s="74">
        <f t="shared" si="0"/>
        <v>45077</v>
      </c>
      <c r="J6" s="74">
        <f t="shared" si="0"/>
        <v>45107</v>
      </c>
      <c r="K6" s="74">
        <f t="shared" si="0"/>
        <v>45138</v>
      </c>
      <c r="L6" s="74">
        <f t="shared" si="0"/>
        <v>45169</v>
      </c>
      <c r="M6" s="74">
        <f t="shared" si="0"/>
        <v>45199</v>
      </c>
      <c r="N6" s="74">
        <f t="shared" si="0"/>
        <v>45230</v>
      </c>
      <c r="O6" s="74">
        <f t="shared" si="0"/>
        <v>45260</v>
      </c>
      <c r="P6" s="74">
        <f t="shared" si="0"/>
        <v>45291</v>
      </c>
      <c r="Q6" s="74">
        <f t="shared" si="0"/>
        <v>45322</v>
      </c>
      <c r="R6" s="74">
        <f t="shared" si="0"/>
        <v>45351</v>
      </c>
      <c r="S6" s="74">
        <f t="shared" si="0"/>
        <v>45382</v>
      </c>
      <c r="T6" s="74">
        <f t="shared" si="0"/>
        <v>45412</v>
      </c>
      <c r="U6" s="74">
        <f t="shared" si="0"/>
        <v>45443</v>
      </c>
      <c r="V6" s="74">
        <f t="shared" si="0"/>
        <v>45473</v>
      </c>
      <c r="W6" s="74">
        <f t="shared" si="0"/>
        <v>45504</v>
      </c>
      <c r="X6" s="74">
        <f t="shared" si="0"/>
        <v>45535</v>
      </c>
      <c r="Y6" s="74">
        <f t="shared" si="0"/>
        <v>45565</v>
      </c>
      <c r="Z6" s="74">
        <f t="shared" si="0"/>
        <v>45596</v>
      </c>
      <c r="AA6" s="74">
        <f t="shared" si="0"/>
        <v>45626</v>
      </c>
      <c r="AB6" s="74">
        <f t="shared" si="0"/>
        <v>45657</v>
      </c>
      <c r="AC6" s="74">
        <f t="shared" si="0"/>
        <v>45688</v>
      </c>
      <c r="AD6" s="74">
        <f t="shared" si="0"/>
        <v>45716</v>
      </c>
      <c r="AE6" s="74">
        <f t="shared" si="0"/>
        <v>45747</v>
      </c>
      <c r="AF6" s="74">
        <f t="shared" si="0"/>
        <v>45777</v>
      </c>
      <c r="AG6" s="74">
        <f t="shared" si="0"/>
        <v>45808</v>
      </c>
      <c r="AH6" s="74">
        <f t="shared" si="0"/>
        <v>45838</v>
      </c>
      <c r="AI6" s="74">
        <f t="shared" si="0"/>
        <v>45869</v>
      </c>
      <c r="AJ6" s="5"/>
    </row>
    <row r="7" spans="1:37" ht="5.25" customHeight="1">
      <c r="A7" s="4"/>
      <c r="B7" s="4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7">
      <c r="A8" s="8" t="s">
        <v>3</v>
      </c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2"/>
    </row>
    <row r="9" spans="1:37">
      <c r="A9" s="12"/>
      <c r="B9" s="1" t="s">
        <v>4</v>
      </c>
      <c r="C9" s="2" t="s">
        <v>5</v>
      </c>
      <c r="D9" s="27">
        <f t="shared" ref="D9:N9" si="1">D45</f>
        <v>0</v>
      </c>
      <c r="E9" s="27">
        <f t="shared" si="1"/>
        <v>53771</v>
      </c>
      <c r="F9" s="27">
        <f t="shared" si="1"/>
        <v>19634</v>
      </c>
      <c r="G9" s="27">
        <f t="shared" si="1"/>
        <v>6297</v>
      </c>
      <c r="H9" s="27">
        <f t="shared" si="1"/>
        <v>-9036</v>
      </c>
      <c r="I9" s="27">
        <f t="shared" si="1"/>
        <v>105967</v>
      </c>
      <c r="J9" s="27">
        <f t="shared" si="1"/>
        <v>162843</v>
      </c>
      <c r="K9" s="27">
        <f t="shared" si="1"/>
        <v>284244</v>
      </c>
      <c r="L9" s="27">
        <f t="shared" si="1"/>
        <v>171598</v>
      </c>
      <c r="M9" s="27">
        <f t="shared" si="1"/>
        <v>123742</v>
      </c>
      <c r="N9" s="27">
        <f t="shared" si="1"/>
        <v>97041</v>
      </c>
      <c r="O9" s="27">
        <f t="shared" ref="O9:P9" si="2">O45</f>
        <v>419206</v>
      </c>
      <c r="P9" s="27">
        <f t="shared" si="2"/>
        <v>514923</v>
      </c>
      <c r="Q9" s="27">
        <f t="shared" ref="Q9:R9" si="3">Q45</f>
        <v>521717</v>
      </c>
      <c r="R9" s="27">
        <f t="shared" si="3"/>
        <v>98855</v>
      </c>
      <c r="S9" s="27">
        <f t="shared" ref="S9:T9" si="4">S45</f>
        <v>478732</v>
      </c>
      <c r="T9" s="27">
        <f t="shared" si="4"/>
        <v>307827</v>
      </c>
      <c r="U9" s="27">
        <f t="shared" ref="U9:V9" si="5">U45</f>
        <v>205110</v>
      </c>
      <c r="V9" s="27">
        <f t="shared" si="5"/>
        <v>248909</v>
      </c>
      <c r="W9" s="27">
        <f t="shared" ref="W9:X9" si="6">W45</f>
        <v>245326</v>
      </c>
      <c r="X9" s="27">
        <f t="shared" si="6"/>
        <v>328788</v>
      </c>
      <c r="Y9" s="27">
        <f t="shared" ref="Y9:Z9" si="7">Y45</f>
        <v>330291</v>
      </c>
      <c r="Z9" s="27">
        <f t="shared" si="7"/>
        <v>471301</v>
      </c>
      <c r="AA9" s="27">
        <f t="shared" ref="AA9:AB9" si="8">AA45</f>
        <v>569585</v>
      </c>
      <c r="AB9" s="27">
        <f t="shared" si="8"/>
        <v>696421</v>
      </c>
      <c r="AC9" s="27">
        <f t="shared" ref="AC9:AD9" si="9">AC45</f>
        <v>482611</v>
      </c>
      <c r="AD9" s="27">
        <f t="shared" si="9"/>
        <v>633834</v>
      </c>
      <c r="AE9" s="27">
        <f t="shared" ref="AE9:AF9" si="10">AE45</f>
        <v>410563</v>
      </c>
      <c r="AF9" s="27">
        <f t="shared" si="10"/>
        <v>646600</v>
      </c>
      <c r="AG9" s="27">
        <f t="shared" ref="AG9:AH9" si="11">AG45</f>
        <v>1019120</v>
      </c>
      <c r="AH9" s="27">
        <f t="shared" si="11"/>
        <v>843814</v>
      </c>
      <c r="AI9" s="27">
        <f t="shared" ref="AI9" si="12">AI45</f>
        <v>715555</v>
      </c>
      <c r="AJ9" s="13"/>
      <c r="AK9" s="14"/>
    </row>
    <row r="10" spans="1:37">
      <c r="A10" s="79"/>
      <c r="B10" s="1" t="s">
        <v>7</v>
      </c>
      <c r="C10" s="2" t="s">
        <v>8</v>
      </c>
      <c r="D10" s="15">
        <f t="shared" ref="D10:N10" si="13">D63</f>
        <v>4672086</v>
      </c>
      <c r="E10" s="15">
        <f t="shared" si="13"/>
        <v>3562188</v>
      </c>
      <c r="F10" s="15">
        <f t="shared" si="13"/>
        <v>3217409</v>
      </c>
      <c r="G10" s="15">
        <f t="shared" si="13"/>
        <v>12690911</v>
      </c>
      <c r="H10" s="15">
        <f t="shared" si="13"/>
        <v>21864366</v>
      </c>
      <c r="I10" s="15">
        <f t="shared" si="13"/>
        <v>25419706</v>
      </c>
      <c r="J10" s="15">
        <f t="shared" si="13"/>
        <v>28651813</v>
      </c>
      <c r="K10" s="15">
        <f t="shared" si="13"/>
        <v>35492618</v>
      </c>
      <c r="L10" s="15">
        <f t="shared" si="13"/>
        <v>35036362</v>
      </c>
      <c r="M10" s="15">
        <f t="shared" si="13"/>
        <v>37511319</v>
      </c>
      <c r="N10" s="15">
        <f t="shared" si="13"/>
        <v>32626807</v>
      </c>
      <c r="O10" s="15">
        <f t="shared" ref="O10:P10" si="14">O63</f>
        <v>36051169</v>
      </c>
      <c r="P10" s="15">
        <f t="shared" si="14"/>
        <v>38531720</v>
      </c>
      <c r="Q10" s="15">
        <f t="shared" ref="Q10:R10" si="15">Q63</f>
        <v>38798680</v>
      </c>
      <c r="R10" s="15">
        <f t="shared" si="15"/>
        <v>38627982</v>
      </c>
      <c r="S10" s="15">
        <f t="shared" ref="S10:T10" si="16">S63</f>
        <v>39337385</v>
      </c>
      <c r="T10" s="15">
        <f t="shared" si="16"/>
        <v>39978052</v>
      </c>
      <c r="U10" s="15">
        <f t="shared" ref="U10:V10" si="17">U63</f>
        <v>41463665</v>
      </c>
      <c r="V10" s="15">
        <f t="shared" si="17"/>
        <v>38958228</v>
      </c>
      <c r="W10" s="15">
        <f t="shared" ref="W10:X10" si="18">W63</f>
        <v>41816277</v>
      </c>
      <c r="X10" s="15">
        <f t="shared" si="18"/>
        <v>47277067</v>
      </c>
      <c r="Y10" s="15">
        <f t="shared" ref="Y10:Z10" si="19">Y63</f>
        <v>45876468</v>
      </c>
      <c r="Z10" s="15">
        <f t="shared" si="19"/>
        <v>52871410</v>
      </c>
      <c r="AA10" s="15">
        <f t="shared" ref="AA10:AB10" si="20">AA63</f>
        <v>49787853</v>
      </c>
      <c r="AB10" s="15">
        <f t="shared" si="20"/>
        <v>53085489</v>
      </c>
      <c r="AC10" s="15">
        <f t="shared" ref="AC10:AD10" si="21">AC63</f>
        <v>53452251</v>
      </c>
      <c r="AD10" s="15">
        <f t="shared" si="21"/>
        <v>55945762</v>
      </c>
      <c r="AE10" s="15">
        <f t="shared" ref="AE10:AF10" si="22">AE63</f>
        <v>43739560</v>
      </c>
      <c r="AF10" s="15">
        <f t="shared" si="22"/>
        <v>57150231</v>
      </c>
      <c r="AG10" s="15">
        <f t="shared" ref="AG10:AH10" si="23">AG63</f>
        <v>57239155</v>
      </c>
      <c r="AH10" s="15">
        <f t="shared" si="23"/>
        <v>66047471</v>
      </c>
      <c r="AI10" s="15">
        <f t="shared" ref="AI10" si="24">AI63</f>
        <v>63560484</v>
      </c>
      <c r="AJ10" s="80" t="s">
        <v>6</v>
      </c>
    </row>
    <row r="11" spans="1:37">
      <c r="A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2"/>
    </row>
    <row r="12" spans="1:37">
      <c r="A12" s="12"/>
      <c r="B12" s="1" t="s">
        <v>9</v>
      </c>
      <c r="D12" s="49">
        <f t="shared" ref="D12:N12" si="25">ROUND(D9/D10,6)</f>
        <v>0</v>
      </c>
      <c r="E12" s="49">
        <f t="shared" si="25"/>
        <v>1.5095000000000001E-2</v>
      </c>
      <c r="F12" s="49">
        <f t="shared" si="25"/>
        <v>6.1019999999999998E-3</v>
      </c>
      <c r="G12" s="49">
        <f t="shared" si="25"/>
        <v>4.9600000000000002E-4</v>
      </c>
      <c r="H12" s="49">
        <f t="shared" si="25"/>
        <v>-4.1300000000000001E-4</v>
      </c>
      <c r="I12" s="49">
        <f t="shared" si="25"/>
        <v>4.169E-3</v>
      </c>
      <c r="J12" s="49">
        <f t="shared" si="25"/>
        <v>5.6839999999999998E-3</v>
      </c>
      <c r="K12" s="49">
        <f t="shared" si="25"/>
        <v>8.0090000000000005E-3</v>
      </c>
      <c r="L12" s="49">
        <f t="shared" si="25"/>
        <v>4.8979999999999996E-3</v>
      </c>
      <c r="M12" s="49">
        <f t="shared" si="25"/>
        <v>3.2989999999999998E-3</v>
      </c>
      <c r="N12" s="49">
        <f t="shared" si="25"/>
        <v>2.9740000000000001E-3</v>
      </c>
      <c r="O12" s="49">
        <f t="shared" ref="O12:P12" si="26">ROUND(O9/O10,6)</f>
        <v>1.1627999999999999E-2</v>
      </c>
      <c r="P12" s="49">
        <f t="shared" si="26"/>
        <v>1.3363999999999999E-2</v>
      </c>
      <c r="Q12" s="49">
        <f t="shared" ref="Q12:R12" si="27">ROUND(Q9/Q10,6)</f>
        <v>1.3447000000000001E-2</v>
      </c>
      <c r="R12" s="49">
        <f t="shared" si="27"/>
        <v>2.5590000000000001E-3</v>
      </c>
      <c r="S12" s="49">
        <f t="shared" ref="S12:T12" si="28">ROUND(S9/S10,6)</f>
        <v>1.217E-2</v>
      </c>
      <c r="T12" s="49">
        <f t="shared" si="28"/>
        <v>7.7000000000000002E-3</v>
      </c>
      <c r="U12" s="49">
        <f t="shared" ref="U12:V12" si="29">ROUND(U9/U10,6)</f>
        <v>4.947E-3</v>
      </c>
      <c r="V12" s="49">
        <f t="shared" si="29"/>
        <v>6.3889999999999997E-3</v>
      </c>
      <c r="W12" s="49">
        <f t="shared" ref="W12:X12" si="30">ROUND(W9/W10,6)</f>
        <v>5.8669999999999998E-3</v>
      </c>
      <c r="X12" s="49">
        <f t="shared" si="30"/>
        <v>6.9540000000000001E-3</v>
      </c>
      <c r="Y12" s="49">
        <f t="shared" ref="Y12:Z12" si="31">ROUND(Y9/Y10,6)</f>
        <v>7.1999999999999998E-3</v>
      </c>
      <c r="Z12" s="49">
        <f t="shared" si="31"/>
        <v>8.914E-3</v>
      </c>
      <c r="AA12" s="49">
        <f t="shared" ref="AA12:AB12" si="32">ROUND(AA9/AA10,6)</f>
        <v>1.1440000000000001E-2</v>
      </c>
      <c r="AB12" s="49">
        <f t="shared" si="32"/>
        <v>1.3119E-2</v>
      </c>
      <c r="AC12" s="49">
        <f t="shared" ref="AC12:AD12" si="33">ROUND(AC9/AC10,6)</f>
        <v>9.0290000000000006E-3</v>
      </c>
      <c r="AD12" s="49">
        <f t="shared" si="33"/>
        <v>1.1329000000000001E-2</v>
      </c>
      <c r="AE12" s="49">
        <f t="shared" ref="AE12:AF12" si="34">ROUND(AE9/AE10,6)</f>
        <v>9.3869999999999995E-3</v>
      </c>
      <c r="AF12" s="49">
        <f t="shared" si="34"/>
        <v>1.1313999999999999E-2</v>
      </c>
      <c r="AG12" s="49">
        <f t="shared" ref="AG12:AH12" si="35">ROUND(AG9/AG10,6)</f>
        <v>1.7805000000000001E-2</v>
      </c>
      <c r="AH12" s="49">
        <f t="shared" si="35"/>
        <v>1.2775999999999999E-2</v>
      </c>
      <c r="AI12" s="49">
        <f t="shared" ref="AI12" si="36">ROUND(AI9/AI10,6)</f>
        <v>1.1258000000000001E-2</v>
      </c>
      <c r="AJ12" s="18"/>
    </row>
    <row r="13" spans="1:37">
      <c r="A13" s="12"/>
      <c r="B13" s="19" t="s">
        <v>10</v>
      </c>
      <c r="C13" s="20"/>
      <c r="D13" s="21">
        <f>'PSC 4-1 (Revised)'!D13-'PSC 4-1 (As Filed)'!D13</f>
        <v>0</v>
      </c>
      <c r="E13" s="21">
        <f>'PSC 4-1 (Revised)'!E13-'PSC 4-1 (As Filed)'!E13</f>
        <v>0</v>
      </c>
      <c r="F13" s="21">
        <f>'PSC 4-1 (Revised)'!F13-'PSC 4-1 (As Filed)'!F13</f>
        <v>0</v>
      </c>
      <c r="G13" s="21">
        <f>'PSC 4-1 (Revised)'!G13-'PSC 4-1 (As Filed)'!G13</f>
        <v>0</v>
      </c>
      <c r="H13" s="21">
        <f>'PSC 4-1 (Revised)'!H13-'PSC 4-1 (As Filed)'!H13</f>
        <v>0</v>
      </c>
      <c r="I13" s="21">
        <f>'PSC 4-1 (Revised)'!I13-'PSC 4-1 (As Filed)'!I13</f>
        <v>0</v>
      </c>
      <c r="J13" s="21">
        <f>'PSC 4-1 (Revised)'!J13-'PSC 4-1 (As Filed)'!J13</f>
        <v>0</v>
      </c>
      <c r="K13" s="21">
        <f>'PSC 4-1 (Revised)'!K13-'PSC 4-1 (As Filed)'!K13</f>
        <v>0</v>
      </c>
      <c r="L13" s="21">
        <f>'PSC 4-1 (Revised)'!L13-'PSC 4-1 (As Filed)'!L13</f>
        <v>0</v>
      </c>
      <c r="M13" s="21">
        <f>'PSC 4-1 (Revised)'!M13-'PSC 4-1 (As Filed)'!M13</f>
        <v>0</v>
      </c>
      <c r="N13" s="21">
        <f>'PSC 4-1 (Revised)'!N13-'PSC 4-1 (As Filed)'!N13</f>
        <v>0</v>
      </c>
      <c r="O13" s="21">
        <f>'PSC 4-1 (Revised)'!O13-'PSC 4-1 (As Filed)'!O13</f>
        <v>0</v>
      </c>
      <c r="P13" s="21">
        <f>'PSC 4-1 (Revised)'!P13-'PSC 4-1 (As Filed)'!P13</f>
        <v>0</v>
      </c>
      <c r="Q13" s="21">
        <f>'PSC 4-1 (Revised)'!Q13-'PSC 4-1 (As Filed)'!Q13</f>
        <v>0</v>
      </c>
      <c r="R13" s="21">
        <f>'PSC 4-1 (Revised)'!R13-'PSC 4-1 (As Filed)'!R13</f>
        <v>0</v>
      </c>
      <c r="S13" s="21">
        <f>'PSC 4-1 (Revised)'!S13-'PSC 4-1 (As Filed)'!S13</f>
        <v>0</v>
      </c>
      <c r="T13" s="21">
        <f>'PSC 4-1 (Revised)'!T13-'PSC 4-1 (As Filed)'!T13</f>
        <v>0</v>
      </c>
      <c r="U13" s="21">
        <f>'PSC 4-1 (Revised)'!U13-'PSC 4-1 (As Filed)'!U13</f>
        <v>0</v>
      </c>
      <c r="V13" s="21">
        <f>'PSC 4-1 (Revised)'!V13-'PSC 4-1 (As Filed)'!V13</f>
        <v>0</v>
      </c>
      <c r="W13" s="21">
        <f>'PSC 4-1 (Revised)'!W13-'PSC 4-1 (As Filed)'!W13</f>
        <v>0</v>
      </c>
      <c r="X13" s="21">
        <f>'PSC 4-1 (Revised)'!X13-'PSC 4-1 (As Filed)'!X13</f>
        <v>0</v>
      </c>
      <c r="Y13" s="21">
        <f>'PSC 4-1 (Revised)'!Y13-'PSC 4-1 (As Filed)'!Y13</f>
        <v>0</v>
      </c>
      <c r="Z13" s="21">
        <f>'PSC 4-1 (Revised)'!Z13-'PSC 4-1 (As Filed)'!Z13</f>
        <v>0</v>
      </c>
      <c r="AA13" s="21">
        <f>'PSC 4-1 (Revised)'!AA13-'PSC 4-1 (As Filed)'!AA13</f>
        <v>0</v>
      </c>
      <c r="AB13" s="21">
        <f>'PSC 4-1 (Revised)'!AB13-'PSC 4-1 (As Filed)'!AB13</f>
        <v>0</v>
      </c>
      <c r="AC13" s="21">
        <f>'PSC 4-1 (Revised)'!AC13-'PSC 4-1 (As Filed)'!AC13</f>
        <v>0</v>
      </c>
      <c r="AD13" s="21">
        <f>'PSC 4-1 (Revised)'!AD13-'PSC 4-1 (As Filed)'!AD13</f>
        <v>0</v>
      </c>
      <c r="AE13" s="21">
        <f>'PSC 4-1 (Revised)'!AE13-'PSC 4-1 (As Filed)'!AE13</f>
        <v>0</v>
      </c>
      <c r="AF13" s="21">
        <f>'PSC 4-1 (Revised)'!AF13-'PSC 4-1 (As Filed)'!AF13</f>
        <v>0</v>
      </c>
      <c r="AG13" s="21">
        <f>'PSC 4-1 (Revised)'!AG13-'PSC 4-1 (As Filed)'!AG13</f>
        <v>0</v>
      </c>
      <c r="AH13" s="21">
        <f>'PSC 4-1 (Revised)'!AH13-'PSC 4-1 (As Filed)'!AH13</f>
        <v>0</v>
      </c>
      <c r="AI13" s="21">
        <f>'PSC 4-1 (Revised)'!AI13-'PSC 4-1 (As Filed)'!AI13</f>
        <v>0</v>
      </c>
      <c r="AJ13" s="22"/>
    </row>
    <row r="14" spans="1:37">
      <c r="A14" s="43"/>
      <c r="B14" s="44" t="s">
        <v>11</v>
      </c>
      <c r="C14" s="45"/>
      <c r="D14" s="68">
        <f>'PSC 4-1 (Revised)'!D14-'PSC 4-1 (As Filed)'!D14</f>
        <v>-5.6399999999999506E-4</v>
      </c>
      <c r="E14" s="68">
        <f>'PSC 4-1 (Revised)'!E14-'PSC 4-1 (As Filed)'!E14</f>
        <v>-1.7900000000000207E-4</v>
      </c>
      <c r="F14" s="68">
        <f>'PSC 4-1 (Revised)'!F14-'PSC 4-1 (As Filed)'!F14</f>
        <v>-2.2600000000000051E-4</v>
      </c>
      <c r="G14" s="68">
        <f>'PSC 4-1 (Revised)'!G14-'PSC 4-1 (As Filed)'!G14</f>
        <v>-1.232999999999998E-3</v>
      </c>
      <c r="H14" s="68">
        <f>'PSC 4-1 (Revised)'!H14-'PSC 4-1 (As Filed)'!H14</f>
        <v>-2.5669999999999998E-3</v>
      </c>
      <c r="I14" s="68">
        <f>'PSC 4-1 (Revised)'!I14-'PSC 4-1 (As Filed)'!I14</f>
        <v>-2.3409999999999993E-3</v>
      </c>
      <c r="J14" s="68">
        <f>'PSC 4-1 (Revised)'!J14-'PSC 4-1 (As Filed)'!J14</f>
        <v>-2.4810000000000006E-3</v>
      </c>
      <c r="K14" s="68">
        <f>'PSC 4-1 (Revised)'!K14-'PSC 4-1 (As Filed)'!K14</f>
        <v>-2.2360000000000019E-3</v>
      </c>
      <c r="L14" s="68">
        <f>'PSC 4-1 (Revised)'!L14-'PSC 4-1 (As Filed)'!L14</f>
        <v>-2.8140000000000005E-3</v>
      </c>
      <c r="M14" s="68">
        <f>'PSC 4-1 (Revised)'!M14-'PSC 4-1 (As Filed)'!M14</f>
        <v>-3.4389999999999976E-3</v>
      </c>
      <c r="N14" s="68">
        <f>'PSC 4-1 (Revised)'!N14-'PSC 4-1 (As Filed)'!N14</f>
        <v>-4.2840000000000031E-3</v>
      </c>
      <c r="O14" s="68">
        <f>'PSC 4-1 (Revised)'!O14-'PSC 4-1 (As Filed)'!O14</f>
        <v>-4.5590000000000006E-3</v>
      </c>
      <c r="P14" s="68">
        <f>'PSC 4-1 (Revised)'!P14-'PSC 4-1 (As Filed)'!P14</f>
        <v>-3.602000000000001E-3</v>
      </c>
      <c r="Q14" s="68">
        <f>'PSC 4-1 (Revised)'!Q14-'PSC 4-1 (As Filed)'!Q14</f>
        <v>-1.5420000000000017E-3</v>
      </c>
      <c r="R14" s="68">
        <f>'PSC 4-1 (Revised)'!R14-'PSC 4-1 (As Filed)'!R14</f>
        <v>-4.7989999999999977E-3</v>
      </c>
      <c r="S14" s="68">
        <f>'PSC 4-1 (Revised)'!S14-'PSC 4-1 (As Filed)'!S14</f>
        <v>-2.8319999999999977E-3</v>
      </c>
      <c r="T14" s="68">
        <f>'PSC 4-1 (Revised)'!T14-'PSC 4-1 (As Filed)'!T14</f>
        <v>-2.8999999999999998E-3</v>
      </c>
      <c r="U14" s="68">
        <f>'PSC 4-1 (Revised)'!U14-'PSC 4-1 (As Filed)'!U14</f>
        <v>-3.1190000000000002E-3</v>
      </c>
      <c r="V14" s="68">
        <f>'PSC 4-1 (Revised)'!V14-'PSC 4-1 (As Filed)'!V14</f>
        <v>-2.6049999999999997E-3</v>
      </c>
      <c r="W14" s="68">
        <f>'PSC 4-1 (Revised)'!W14-'PSC 4-1 (As Filed)'!W14</f>
        <v>-3.0450000000000026E-3</v>
      </c>
      <c r="X14" s="68">
        <f>'PSC 4-1 (Revised)'!X14-'PSC 4-1 (As Filed)'!X14</f>
        <v>-3.7360000000000032E-3</v>
      </c>
      <c r="Y14" s="68">
        <f>'PSC 4-1 (Revised)'!Y14-'PSC 4-1 (As Filed)'!Y14</f>
        <v>-4.5379999999999934E-3</v>
      </c>
      <c r="Z14" s="68">
        <f>'PSC 4-1 (Revised)'!Z14-'PSC 4-1 (As Filed)'!Z14</f>
        <v>-4.9629999999999952E-3</v>
      </c>
      <c r="AA14" s="68">
        <f>'PSC 4-1 (Revised)'!AA14-'PSC 4-1 (As Filed)'!AA14</f>
        <v>-4.0079999999999977E-3</v>
      </c>
      <c r="AB14" s="68">
        <f>'PSC 4-1 (Revised)'!AB14-'PSC 4-1 (As Filed)'!AB14</f>
        <v>-2.6219999999999993E-3</v>
      </c>
      <c r="AC14" s="68">
        <f>'PSC 4-1 (Revised)'!AC14-'PSC 4-1 (As Filed)'!AC14</f>
        <v>-4.5170000000000002E-3</v>
      </c>
      <c r="AD14" s="68">
        <f>'PSC 4-1 (Revised)'!AD14-'PSC 4-1 (As Filed)'!AD14</f>
        <v>-3.7319999999999957E-3</v>
      </c>
      <c r="AE14" s="68">
        <f>'PSC 4-1 (Revised)'!AE14-'PSC 4-1 (As Filed)'!AE14</f>
        <v>-4.9280000000000018E-3</v>
      </c>
      <c r="AF14" s="68">
        <f>'PSC 4-1 (Revised)'!AF14-'PSC 4-1 (As Filed)'!AF14</f>
        <v>-1.0355999999999997E-2</v>
      </c>
      <c r="AG14" s="68">
        <f>'PSC 4-1 (Revised)'!AG14-'PSC 4-1 (As Filed)'!AG14</f>
        <v>-3.4160000000000024E-3</v>
      </c>
      <c r="AH14" s="68">
        <f>'PSC 4-1 (Revised)'!AH14-'PSC 4-1 (As Filed)'!AH14</f>
        <v>-3.6330000000000008E-3</v>
      </c>
      <c r="AI14" s="68">
        <f>'PSC 4-1 (Revised)'!AI14-'PSC 4-1 (As Filed)'!AI14</f>
        <v>-4.5249999999999943E-3</v>
      </c>
      <c r="AJ14" s="23"/>
    </row>
    <row r="15" spans="1:37" ht="35.1" customHeight="1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7">
      <c r="A16" s="8" t="s">
        <v>12</v>
      </c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2"/>
    </row>
    <row r="17" spans="1:37">
      <c r="A17" s="12" t="s">
        <v>13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2"/>
    </row>
    <row r="18" spans="1:37">
      <c r="A18" s="24" t="s">
        <v>14</v>
      </c>
      <c r="B18" s="25" t="s">
        <v>15</v>
      </c>
      <c r="C18" s="26"/>
      <c r="D18" s="27">
        <f>'PSC 4-1 (Revised)'!D18-'PSC 4-1 (As Filed)'!D18</f>
        <v>0</v>
      </c>
      <c r="E18" s="27">
        <f>'PSC 4-1 (Revised)'!E18-'PSC 4-1 (As Filed)'!E18</f>
        <v>0</v>
      </c>
      <c r="F18" s="27">
        <f>'PSC 4-1 (Revised)'!F18-'PSC 4-1 (As Filed)'!F18</f>
        <v>0</v>
      </c>
      <c r="G18" s="27">
        <f>'PSC 4-1 (Revised)'!G18-'PSC 4-1 (As Filed)'!G18</f>
        <v>0</v>
      </c>
      <c r="H18" s="27">
        <f>'PSC 4-1 (Revised)'!H18-'PSC 4-1 (As Filed)'!H18</f>
        <v>0</v>
      </c>
      <c r="I18" s="27">
        <f>'PSC 4-1 (Revised)'!I18-'PSC 4-1 (As Filed)'!I18</f>
        <v>0</v>
      </c>
      <c r="J18" s="27">
        <f>'PSC 4-1 (Revised)'!J18-'PSC 4-1 (As Filed)'!J18</f>
        <v>0</v>
      </c>
      <c r="K18" s="27">
        <f>'PSC 4-1 (Revised)'!K18-'PSC 4-1 (As Filed)'!K18</f>
        <v>0</v>
      </c>
      <c r="L18" s="27">
        <f>'PSC 4-1 (Revised)'!L18-'PSC 4-1 (As Filed)'!L18</f>
        <v>0</v>
      </c>
      <c r="M18" s="27">
        <f>'PSC 4-1 (Revised)'!M18-'PSC 4-1 (As Filed)'!M18</f>
        <v>0</v>
      </c>
      <c r="N18" s="27">
        <f>'PSC 4-1 (Revised)'!N18-'PSC 4-1 (As Filed)'!N18</f>
        <v>0</v>
      </c>
      <c r="O18" s="27">
        <f>'PSC 4-1 (Revised)'!O18-'PSC 4-1 (As Filed)'!O18</f>
        <v>0</v>
      </c>
      <c r="P18" s="27">
        <f>'PSC 4-1 (Revised)'!P18-'PSC 4-1 (As Filed)'!P18</f>
        <v>0</v>
      </c>
      <c r="Q18" s="27">
        <f>'PSC 4-1 (Revised)'!Q18-'PSC 4-1 (As Filed)'!Q18</f>
        <v>0</v>
      </c>
      <c r="R18" s="27">
        <f>'PSC 4-1 (Revised)'!R18-'PSC 4-1 (As Filed)'!R18</f>
        <v>0</v>
      </c>
      <c r="S18" s="27">
        <f>'PSC 4-1 (Revised)'!S18-'PSC 4-1 (As Filed)'!S18</f>
        <v>0</v>
      </c>
      <c r="T18" s="27">
        <f>'PSC 4-1 (Revised)'!T18-'PSC 4-1 (As Filed)'!T18</f>
        <v>0</v>
      </c>
      <c r="U18" s="27">
        <f>'PSC 4-1 (Revised)'!U18-'PSC 4-1 (As Filed)'!U18</f>
        <v>0</v>
      </c>
      <c r="V18" s="27">
        <f>'PSC 4-1 (Revised)'!V18-'PSC 4-1 (As Filed)'!V18</f>
        <v>0</v>
      </c>
      <c r="W18" s="27">
        <f>'PSC 4-1 (Revised)'!W18-'PSC 4-1 (As Filed)'!W18</f>
        <v>0</v>
      </c>
      <c r="X18" s="27">
        <f>'PSC 4-1 (Revised)'!X18-'PSC 4-1 (As Filed)'!X18</f>
        <v>0</v>
      </c>
      <c r="Y18" s="27">
        <f>'PSC 4-1 (Revised)'!Y18-'PSC 4-1 (As Filed)'!Y18</f>
        <v>0</v>
      </c>
      <c r="Z18" s="27">
        <f>'PSC 4-1 (Revised)'!Z18-'PSC 4-1 (As Filed)'!Z18</f>
        <v>0</v>
      </c>
      <c r="AA18" s="27">
        <f>'PSC 4-1 (Revised)'!AA18-'PSC 4-1 (As Filed)'!AA18</f>
        <v>0</v>
      </c>
      <c r="AB18" s="27">
        <f>'PSC 4-1 (Revised)'!AB18-'PSC 4-1 (As Filed)'!AB18</f>
        <v>0</v>
      </c>
      <c r="AC18" s="27">
        <f>'PSC 4-1 (Revised)'!AC18-'PSC 4-1 (As Filed)'!AC18</f>
        <v>0</v>
      </c>
      <c r="AD18" s="27">
        <f>'PSC 4-1 (Revised)'!AD18-'PSC 4-1 (As Filed)'!AD18</f>
        <v>0</v>
      </c>
      <c r="AE18" s="27">
        <f>'PSC 4-1 (Revised)'!AE18-'PSC 4-1 (As Filed)'!AE18</f>
        <v>0</v>
      </c>
      <c r="AF18" s="27">
        <f>'PSC 4-1 (Revised)'!AF18-'PSC 4-1 (As Filed)'!AF18</f>
        <v>0</v>
      </c>
      <c r="AG18" s="27">
        <f>'PSC 4-1 (Revised)'!AG18-'PSC 4-1 (As Filed)'!AG18</f>
        <v>0</v>
      </c>
      <c r="AH18" s="27">
        <f>'PSC 4-1 (Revised)'!AH18-'PSC 4-1 (As Filed)'!AH18</f>
        <v>0</v>
      </c>
      <c r="AI18" s="27">
        <f>'PSC 4-1 (Revised)'!AI18-'PSC 4-1 (As Filed)'!AI18</f>
        <v>0</v>
      </c>
      <c r="AJ18" s="25"/>
    </row>
    <row r="19" spans="1:37">
      <c r="A19" s="24" t="s">
        <v>14</v>
      </c>
      <c r="B19" s="25" t="s">
        <v>16</v>
      </c>
      <c r="C19" s="26"/>
      <c r="D19" s="28">
        <f>'PSC 4-1 (Revised)'!D19-'PSC 4-1 (As Filed)'!D19</f>
        <v>0</v>
      </c>
      <c r="E19" s="28">
        <f>'PSC 4-1 (Revised)'!E19-'PSC 4-1 (As Filed)'!E19</f>
        <v>0</v>
      </c>
      <c r="F19" s="28">
        <f>'PSC 4-1 (Revised)'!F19-'PSC 4-1 (As Filed)'!F19</f>
        <v>0</v>
      </c>
      <c r="G19" s="28">
        <f>'PSC 4-1 (Revised)'!G19-'PSC 4-1 (As Filed)'!G19</f>
        <v>0</v>
      </c>
      <c r="H19" s="28">
        <f>'PSC 4-1 (Revised)'!H19-'PSC 4-1 (As Filed)'!H19</f>
        <v>0</v>
      </c>
      <c r="I19" s="28">
        <f>'PSC 4-1 (Revised)'!I19-'PSC 4-1 (As Filed)'!I19</f>
        <v>0</v>
      </c>
      <c r="J19" s="28">
        <f>'PSC 4-1 (Revised)'!J19-'PSC 4-1 (As Filed)'!J19</f>
        <v>0</v>
      </c>
      <c r="K19" s="28">
        <f>'PSC 4-1 (Revised)'!K19-'PSC 4-1 (As Filed)'!K19</f>
        <v>0</v>
      </c>
      <c r="L19" s="28">
        <f>'PSC 4-1 (Revised)'!L19-'PSC 4-1 (As Filed)'!L19</f>
        <v>0</v>
      </c>
      <c r="M19" s="28">
        <f>'PSC 4-1 (Revised)'!M19-'PSC 4-1 (As Filed)'!M19</f>
        <v>0</v>
      </c>
      <c r="N19" s="28">
        <f>'PSC 4-1 (Revised)'!N19-'PSC 4-1 (As Filed)'!N19</f>
        <v>0</v>
      </c>
      <c r="O19" s="28">
        <f>'PSC 4-1 (Revised)'!O19-'PSC 4-1 (As Filed)'!O19</f>
        <v>0</v>
      </c>
      <c r="P19" s="28">
        <f>'PSC 4-1 (Revised)'!P19-'PSC 4-1 (As Filed)'!P19</f>
        <v>0</v>
      </c>
      <c r="Q19" s="28">
        <f>'PSC 4-1 (Revised)'!Q19-'PSC 4-1 (As Filed)'!Q19</f>
        <v>0</v>
      </c>
      <c r="R19" s="28">
        <f>'PSC 4-1 (Revised)'!R19-'PSC 4-1 (As Filed)'!R19</f>
        <v>0</v>
      </c>
      <c r="S19" s="28">
        <f>'PSC 4-1 (Revised)'!S19-'PSC 4-1 (As Filed)'!S19</f>
        <v>0</v>
      </c>
      <c r="T19" s="28">
        <f>'PSC 4-1 (Revised)'!T19-'PSC 4-1 (As Filed)'!T19</f>
        <v>0</v>
      </c>
      <c r="U19" s="28">
        <f>'PSC 4-1 (Revised)'!U19-'PSC 4-1 (As Filed)'!U19</f>
        <v>0</v>
      </c>
      <c r="V19" s="28">
        <f>'PSC 4-1 (Revised)'!V19-'PSC 4-1 (As Filed)'!V19</f>
        <v>0</v>
      </c>
      <c r="W19" s="28">
        <f>'PSC 4-1 (Revised)'!W19-'PSC 4-1 (As Filed)'!W19</f>
        <v>0</v>
      </c>
      <c r="X19" s="28">
        <f>'PSC 4-1 (Revised)'!X19-'PSC 4-1 (As Filed)'!X19</f>
        <v>0</v>
      </c>
      <c r="Y19" s="28">
        <f>'PSC 4-1 (Revised)'!Y19-'PSC 4-1 (As Filed)'!Y19</f>
        <v>0</v>
      </c>
      <c r="Z19" s="28">
        <f>'PSC 4-1 (Revised)'!Z19-'PSC 4-1 (As Filed)'!Z19</f>
        <v>0</v>
      </c>
      <c r="AA19" s="28">
        <f>'PSC 4-1 (Revised)'!AA19-'PSC 4-1 (As Filed)'!AA19</f>
        <v>0</v>
      </c>
      <c r="AB19" s="28">
        <f>'PSC 4-1 (Revised)'!AB19-'PSC 4-1 (As Filed)'!AB19</f>
        <v>0</v>
      </c>
      <c r="AC19" s="28">
        <f>'PSC 4-1 (Revised)'!AC19-'PSC 4-1 (As Filed)'!AC19</f>
        <v>0</v>
      </c>
      <c r="AD19" s="28">
        <f>'PSC 4-1 (Revised)'!AD19-'PSC 4-1 (As Filed)'!AD19</f>
        <v>0</v>
      </c>
      <c r="AE19" s="28">
        <f>'PSC 4-1 (Revised)'!AE19-'PSC 4-1 (As Filed)'!AE19</f>
        <v>0</v>
      </c>
      <c r="AF19" s="28">
        <f>'PSC 4-1 (Revised)'!AF19-'PSC 4-1 (As Filed)'!AF19</f>
        <v>0</v>
      </c>
      <c r="AG19" s="28">
        <f>'PSC 4-1 (Revised)'!AG19-'PSC 4-1 (As Filed)'!AG19</f>
        <v>0</v>
      </c>
      <c r="AH19" s="28">
        <f>'PSC 4-1 (Revised)'!AH19-'PSC 4-1 (As Filed)'!AH19</f>
        <v>0</v>
      </c>
      <c r="AI19" s="28">
        <f>'PSC 4-1 (Revised)'!AI19-'PSC 4-1 (As Filed)'!AI19</f>
        <v>0</v>
      </c>
      <c r="AJ19" s="25"/>
    </row>
    <row r="20" spans="1:37">
      <c r="A20" s="24" t="s">
        <v>14</v>
      </c>
      <c r="B20" s="25" t="s">
        <v>17</v>
      </c>
      <c r="C20" s="26"/>
      <c r="D20" s="28">
        <f>'PSC 4-1 (Revised)'!D20-'PSC 4-1 (As Filed)'!D20</f>
        <v>0</v>
      </c>
      <c r="E20" s="28">
        <f>'PSC 4-1 (Revised)'!E20-'PSC 4-1 (As Filed)'!E20</f>
        <v>0</v>
      </c>
      <c r="F20" s="28">
        <f>'PSC 4-1 (Revised)'!F20-'PSC 4-1 (As Filed)'!F20</f>
        <v>0</v>
      </c>
      <c r="G20" s="28">
        <f>'PSC 4-1 (Revised)'!G20-'PSC 4-1 (As Filed)'!G20</f>
        <v>0</v>
      </c>
      <c r="H20" s="28">
        <f>'PSC 4-1 (Revised)'!H20-'PSC 4-1 (As Filed)'!H20</f>
        <v>0</v>
      </c>
      <c r="I20" s="28">
        <f>'PSC 4-1 (Revised)'!I20-'PSC 4-1 (As Filed)'!I20</f>
        <v>0</v>
      </c>
      <c r="J20" s="28">
        <f>'PSC 4-1 (Revised)'!J20-'PSC 4-1 (As Filed)'!J20</f>
        <v>0</v>
      </c>
      <c r="K20" s="28">
        <f>'PSC 4-1 (Revised)'!K20-'PSC 4-1 (As Filed)'!K20</f>
        <v>0</v>
      </c>
      <c r="L20" s="28">
        <f>'PSC 4-1 (Revised)'!L20-'PSC 4-1 (As Filed)'!L20</f>
        <v>0</v>
      </c>
      <c r="M20" s="28">
        <f>'PSC 4-1 (Revised)'!M20-'PSC 4-1 (As Filed)'!M20</f>
        <v>0</v>
      </c>
      <c r="N20" s="28">
        <f>'PSC 4-1 (Revised)'!N20-'PSC 4-1 (As Filed)'!N20</f>
        <v>0</v>
      </c>
      <c r="O20" s="28">
        <f>'PSC 4-1 (Revised)'!O20-'PSC 4-1 (As Filed)'!O20</f>
        <v>0</v>
      </c>
      <c r="P20" s="28">
        <f>'PSC 4-1 (Revised)'!P20-'PSC 4-1 (As Filed)'!P20</f>
        <v>0</v>
      </c>
      <c r="Q20" s="28">
        <f>'PSC 4-1 (Revised)'!Q20-'PSC 4-1 (As Filed)'!Q20</f>
        <v>0</v>
      </c>
      <c r="R20" s="28">
        <f>'PSC 4-1 (Revised)'!R20-'PSC 4-1 (As Filed)'!R20</f>
        <v>0</v>
      </c>
      <c r="S20" s="28">
        <f>'PSC 4-1 (Revised)'!S20-'PSC 4-1 (As Filed)'!S20</f>
        <v>0</v>
      </c>
      <c r="T20" s="28">
        <f>'PSC 4-1 (Revised)'!T20-'PSC 4-1 (As Filed)'!T20</f>
        <v>0</v>
      </c>
      <c r="U20" s="28">
        <f>'PSC 4-1 (Revised)'!U20-'PSC 4-1 (As Filed)'!U20</f>
        <v>0</v>
      </c>
      <c r="V20" s="28">
        <f>'PSC 4-1 (Revised)'!V20-'PSC 4-1 (As Filed)'!V20</f>
        <v>0</v>
      </c>
      <c r="W20" s="28">
        <f>'PSC 4-1 (Revised)'!W20-'PSC 4-1 (As Filed)'!W20</f>
        <v>0</v>
      </c>
      <c r="X20" s="28">
        <f>'PSC 4-1 (Revised)'!X20-'PSC 4-1 (As Filed)'!X20</f>
        <v>0</v>
      </c>
      <c r="Y20" s="28">
        <f>'PSC 4-1 (Revised)'!Y20-'PSC 4-1 (As Filed)'!Y20</f>
        <v>0</v>
      </c>
      <c r="Z20" s="28">
        <f>'PSC 4-1 (Revised)'!Z20-'PSC 4-1 (As Filed)'!Z20</f>
        <v>0</v>
      </c>
      <c r="AA20" s="28">
        <f>'PSC 4-1 (Revised)'!AA20-'PSC 4-1 (As Filed)'!AA20</f>
        <v>0</v>
      </c>
      <c r="AB20" s="28">
        <f>'PSC 4-1 (Revised)'!AB20-'PSC 4-1 (As Filed)'!AB20</f>
        <v>0</v>
      </c>
      <c r="AC20" s="28">
        <f>'PSC 4-1 (Revised)'!AC20-'PSC 4-1 (As Filed)'!AC20</f>
        <v>0</v>
      </c>
      <c r="AD20" s="28">
        <f>'PSC 4-1 (Revised)'!AD20-'PSC 4-1 (As Filed)'!AD20</f>
        <v>0</v>
      </c>
      <c r="AE20" s="28">
        <f>'PSC 4-1 (Revised)'!AE20-'PSC 4-1 (As Filed)'!AE20</f>
        <v>0</v>
      </c>
      <c r="AF20" s="28">
        <f>'PSC 4-1 (Revised)'!AF20-'PSC 4-1 (As Filed)'!AF20</f>
        <v>0</v>
      </c>
      <c r="AG20" s="28">
        <f>'PSC 4-1 (Revised)'!AG20-'PSC 4-1 (As Filed)'!AG20</f>
        <v>0</v>
      </c>
      <c r="AH20" s="28">
        <f>'PSC 4-1 (Revised)'!AH20-'PSC 4-1 (As Filed)'!AH20</f>
        <v>0</v>
      </c>
      <c r="AI20" s="28">
        <f>'PSC 4-1 (Revised)'!AI20-'PSC 4-1 (As Filed)'!AI20</f>
        <v>0</v>
      </c>
      <c r="AJ20" s="25"/>
    </row>
    <row r="21" spans="1:37">
      <c r="A21" s="24" t="s">
        <v>14</v>
      </c>
      <c r="B21" s="25" t="s">
        <v>18</v>
      </c>
      <c r="C21" s="29"/>
      <c r="D21" s="28">
        <f>'PSC 4-1 (Revised)'!D21-'PSC 4-1 (As Filed)'!D21</f>
        <v>0</v>
      </c>
      <c r="E21" s="28">
        <f>'PSC 4-1 (Revised)'!E21-'PSC 4-1 (As Filed)'!E21</f>
        <v>0</v>
      </c>
      <c r="F21" s="28">
        <f>'PSC 4-1 (Revised)'!F21-'PSC 4-1 (As Filed)'!F21</f>
        <v>0</v>
      </c>
      <c r="G21" s="28">
        <f>'PSC 4-1 (Revised)'!G21-'PSC 4-1 (As Filed)'!G21</f>
        <v>0</v>
      </c>
      <c r="H21" s="28">
        <f>'PSC 4-1 (Revised)'!H21-'PSC 4-1 (As Filed)'!H21</f>
        <v>0</v>
      </c>
      <c r="I21" s="28">
        <f>'PSC 4-1 (Revised)'!I21-'PSC 4-1 (As Filed)'!I21</f>
        <v>0</v>
      </c>
      <c r="J21" s="28">
        <f>'PSC 4-1 (Revised)'!J21-'PSC 4-1 (As Filed)'!J21</f>
        <v>0</v>
      </c>
      <c r="K21" s="28">
        <f>'PSC 4-1 (Revised)'!K21-'PSC 4-1 (As Filed)'!K21</f>
        <v>0</v>
      </c>
      <c r="L21" s="28">
        <f>'PSC 4-1 (Revised)'!L21-'PSC 4-1 (As Filed)'!L21</f>
        <v>0</v>
      </c>
      <c r="M21" s="28">
        <f>'PSC 4-1 (Revised)'!M21-'PSC 4-1 (As Filed)'!M21</f>
        <v>0</v>
      </c>
      <c r="N21" s="28">
        <f>'PSC 4-1 (Revised)'!N21-'PSC 4-1 (As Filed)'!N21</f>
        <v>0</v>
      </c>
      <c r="O21" s="28">
        <f>'PSC 4-1 (Revised)'!O21-'PSC 4-1 (As Filed)'!O21</f>
        <v>0</v>
      </c>
      <c r="P21" s="28">
        <f>'PSC 4-1 (Revised)'!P21-'PSC 4-1 (As Filed)'!P21</f>
        <v>0</v>
      </c>
      <c r="Q21" s="28">
        <f>'PSC 4-1 (Revised)'!Q21-'PSC 4-1 (As Filed)'!Q21</f>
        <v>0</v>
      </c>
      <c r="R21" s="28">
        <f>'PSC 4-1 (Revised)'!R21-'PSC 4-1 (As Filed)'!R21</f>
        <v>0</v>
      </c>
      <c r="S21" s="28">
        <f>'PSC 4-1 (Revised)'!S21-'PSC 4-1 (As Filed)'!S21</f>
        <v>0</v>
      </c>
      <c r="T21" s="28">
        <f>'PSC 4-1 (Revised)'!T21-'PSC 4-1 (As Filed)'!T21</f>
        <v>0</v>
      </c>
      <c r="U21" s="28">
        <f>'PSC 4-1 (Revised)'!U21-'PSC 4-1 (As Filed)'!U21</f>
        <v>0</v>
      </c>
      <c r="V21" s="28">
        <f>'PSC 4-1 (Revised)'!V21-'PSC 4-1 (As Filed)'!V21</f>
        <v>0</v>
      </c>
      <c r="W21" s="28">
        <f>'PSC 4-1 (Revised)'!W21-'PSC 4-1 (As Filed)'!W21</f>
        <v>0</v>
      </c>
      <c r="X21" s="28">
        <f>'PSC 4-1 (Revised)'!X21-'PSC 4-1 (As Filed)'!X21</f>
        <v>0</v>
      </c>
      <c r="Y21" s="28">
        <f>'PSC 4-1 (Revised)'!Y21-'PSC 4-1 (As Filed)'!Y21</f>
        <v>0</v>
      </c>
      <c r="Z21" s="28">
        <f>'PSC 4-1 (Revised)'!Z21-'PSC 4-1 (As Filed)'!Z21</f>
        <v>0</v>
      </c>
      <c r="AA21" s="28">
        <f>'PSC 4-1 (Revised)'!AA21-'PSC 4-1 (As Filed)'!AA21</f>
        <v>0</v>
      </c>
      <c r="AB21" s="28">
        <f>'PSC 4-1 (Revised)'!AB21-'PSC 4-1 (As Filed)'!AB21</f>
        <v>0</v>
      </c>
      <c r="AC21" s="28">
        <f>'PSC 4-1 (Revised)'!AC21-'PSC 4-1 (As Filed)'!AC21</f>
        <v>0</v>
      </c>
      <c r="AD21" s="28">
        <f>'PSC 4-1 (Revised)'!AD21-'PSC 4-1 (As Filed)'!AD21</f>
        <v>0</v>
      </c>
      <c r="AE21" s="28">
        <f>'PSC 4-1 (Revised)'!AE21-'PSC 4-1 (As Filed)'!AE21</f>
        <v>0</v>
      </c>
      <c r="AF21" s="28">
        <f>'PSC 4-1 (Revised)'!AF21-'PSC 4-1 (As Filed)'!AF21</f>
        <v>0</v>
      </c>
      <c r="AG21" s="28">
        <f>'PSC 4-1 (Revised)'!AG21-'PSC 4-1 (As Filed)'!AG21</f>
        <v>0</v>
      </c>
      <c r="AH21" s="28">
        <f>'PSC 4-1 (Revised)'!AH21-'PSC 4-1 (As Filed)'!AH21</f>
        <v>0</v>
      </c>
      <c r="AI21" s="28">
        <f>'PSC 4-1 (Revised)'!AI21-'PSC 4-1 (As Filed)'!AI21</f>
        <v>0</v>
      </c>
      <c r="AJ21" s="25"/>
    </row>
    <row r="22" spans="1:37">
      <c r="A22" s="24" t="s">
        <v>14</v>
      </c>
      <c r="B22" s="25" t="s">
        <v>19</v>
      </c>
      <c r="C22" s="26"/>
      <c r="D22" s="28">
        <f>'PSC 4-1 (Revised)'!D22-'PSC 4-1 (As Filed)'!D22</f>
        <v>0</v>
      </c>
      <c r="E22" s="28">
        <f>'PSC 4-1 (Revised)'!E22-'PSC 4-1 (As Filed)'!E22</f>
        <v>0</v>
      </c>
      <c r="F22" s="28">
        <f>'PSC 4-1 (Revised)'!F22-'PSC 4-1 (As Filed)'!F22</f>
        <v>0</v>
      </c>
      <c r="G22" s="28">
        <f>'PSC 4-1 (Revised)'!G22-'PSC 4-1 (As Filed)'!G22</f>
        <v>0</v>
      </c>
      <c r="H22" s="28">
        <f>'PSC 4-1 (Revised)'!H22-'PSC 4-1 (As Filed)'!H22</f>
        <v>0</v>
      </c>
      <c r="I22" s="28">
        <f>'PSC 4-1 (Revised)'!I22-'PSC 4-1 (As Filed)'!I22</f>
        <v>0</v>
      </c>
      <c r="J22" s="28">
        <f>'PSC 4-1 (Revised)'!J22-'PSC 4-1 (As Filed)'!J22</f>
        <v>0</v>
      </c>
      <c r="K22" s="28">
        <f>'PSC 4-1 (Revised)'!K22-'PSC 4-1 (As Filed)'!K22</f>
        <v>0</v>
      </c>
      <c r="L22" s="28">
        <f>'PSC 4-1 (Revised)'!L22-'PSC 4-1 (As Filed)'!L22</f>
        <v>0</v>
      </c>
      <c r="M22" s="28">
        <f>'PSC 4-1 (Revised)'!M22-'PSC 4-1 (As Filed)'!M22</f>
        <v>0</v>
      </c>
      <c r="N22" s="28">
        <f>'PSC 4-1 (Revised)'!N22-'PSC 4-1 (As Filed)'!N22</f>
        <v>0</v>
      </c>
      <c r="O22" s="28">
        <f>'PSC 4-1 (Revised)'!O22-'PSC 4-1 (As Filed)'!O22</f>
        <v>0</v>
      </c>
      <c r="P22" s="28">
        <f>'PSC 4-1 (Revised)'!P22-'PSC 4-1 (As Filed)'!P22</f>
        <v>0</v>
      </c>
      <c r="Q22" s="28">
        <f>'PSC 4-1 (Revised)'!Q22-'PSC 4-1 (As Filed)'!Q22</f>
        <v>0</v>
      </c>
      <c r="R22" s="28">
        <f>'PSC 4-1 (Revised)'!R22-'PSC 4-1 (As Filed)'!R22</f>
        <v>0</v>
      </c>
      <c r="S22" s="28">
        <f>'PSC 4-1 (Revised)'!S22-'PSC 4-1 (As Filed)'!S22</f>
        <v>0</v>
      </c>
      <c r="T22" s="28">
        <f>'PSC 4-1 (Revised)'!T22-'PSC 4-1 (As Filed)'!T22</f>
        <v>0</v>
      </c>
      <c r="U22" s="28">
        <f>'PSC 4-1 (Revised)'!U22-'PSC 4-1 (As Filed)'!U22</f>
        <v>0</v>
      </c>
      <c r="V22" s="28">
        <f>'PSC 4-1 (Revised)'!V22-'PSC 4-1 (As Filed)'!V22</f>
        <v>0</v>
      </c>
      <c r="W22" s="28">
        <f>'PSC 4-1 (Revised)'!W22-'PSC 4-1 (As Filed)'!W22</f>
        <v>0</v>
      </c>
      <c r="X22" s="28">
        <f>'PSC 4-1 (Revised)'!X22-'PSC 4-1 (As Filed)'!X22</f>
        <v>0</v>
      </c>
      <c r="Y22" s="28">
        <f>'PSC 4-1 (Revised)'!Y22-'PSC 4-1 (As Filed)'!Y22</f>
        <v>0</v>
      </c>
      <c r="Z22" s="28">
        <f>'PSC 4-1 (Revised)'!Z22-'PSC 4-1 (As Filed)'!Z22</f>
        <v>0</v>
      </c>
      <c r="AA22" s="28">
        <f>'PSC 4-1 (Revised)'!AA22-'PSC 4-1 (As Filed)'!AA22</f>
        <v>0</v>
      </c>
      <c r="AB22" s="28">
        <f>'PSC 4-1 (Revised)'!AB22-'PSC 4-1 (As Filed)'!AB22</f>
        <v>0</v>
      </c>
      <c r="AC22" s="28">
        <f>'PSC 4-1 (Revised)'!AC22-'PSC 4-1 (As Filed)'!AC22</f>
        <v>0</v>
      </c>
      <c r="AD22" s="28">
        <f>'PSC 4-1 (Revised)'!AD22-'PSC 4-1 (As Filed)'!AD22</f>
        <v>0</v>
      </c>
      <c r="AE22" s="28">
        <f>'PSC 4-1 (Revised)'!AE22-'PSC 4-1 (As Filed)'!AE22</f>
        <v>0</v>
      </c>
      <c r="AF22" s="28">
        <f>'PSC 4-1 (Revised)'!AF22-'PSC 4-1 (As Filed)'!AF22</f>
        <v>0</v>
      </c>
      <c r="AG22" s="28">
        <f>'PSC 4-1 (Revised)'!AG22-'PSC 4-1 (As Filed)'!AG22</f>
        <v>0</v>
      </c>
      <c r="AH22" s="28">
        <f>'PSC 4-1 (Revised)'!AH22-'PSC 4-1 (As Filed)'!AH22</f>
        <v>0</v>
      </c>
      <c r="AI22" s="28">
        <f>'PSC 4-1 (Revised)'!AI22-'PSC 4-1 (As Filed)'!AI22</f>
        <v>0</v>
      </c>
      <c r="AJ22" s="25"/>
    </row>
    <row r="23" spans="1:37">
      <c r="A23" s="24" t="s">
        <v>20</v>
      </c>
      <c r="B23" s="25" t="s">
        <v>21</v>
      </c>
      <c r="C23" s="26"/>
      <c r="D23" s="28">
        <f>'PSC 4-1 (Revised)'!D23-'PSC 4-1 (As Filed)'!D23</f>
        <v>0</v>
      </c>
      <c r="E23" s="28">
        <f>'PSC 4-1 (Revised)'!E23-'PSC 4-1 (As Filed)'!E23</f>
        <v>0</v>
      </c>
      <c r="F23" s="28">
        <f>'PSC 4-1 (Revised)'!F23-'PSC 4-1 (As Filed)'!F23</f>
        <v>0</v>
      </c>
      <c r="G23" s="28">
        <f>'PSC 4-1 (Revised)'!G23-'PSC 4-1 (As Filed)'!G23</f>
        <v>0</v>
      </c>
      <c r="H23" s="28">
        <f>'PSC 4-1 (Revised)'!H23-'PSC 4-1 (As Filed)'!H23</f>
        <v>0</v>
      </c>
      <c r="I23" s="28">
        <f>'PSC 4-1 (Revised)'!I23-'PSC 4-1 (As Filed)'!I23</f>
        <v>0</v>
      </c>
      <c r="J23" s="28">
        <f>'PSC 4-1 (Revised)'!J23-'PSC 4-1 (As Filed)'!J23</f>
        <v>0</v>
      </c>
      <c r="K23" s="28">
        <f>'PSC 4-1 (Revised)'!K23-'PSC 4-1 (As Filed)'!K23</f>
        <v>0</v>
      </c>
      <c r="L23" s="28">
        <f>'PSC 4-1 (Revised)'!L23-'PSC 4-1 (As Filed)'!L23</f>
        <v>0</v>
      </c>
      <c r="M23" s="28">
        <f>'PSC 4-1 (Revised)'!M23-'PSC 4-1 (As Filed)'!M23</f>
        <v>0</v>
      </c>
      <c r="N23" s="28">
        <f>'PSC 4-1 (Revised)'!N23-'PSC 4-1 (As Filed)'!N23</f>
        <v>0</v>
      </c>
      <c r="O23" s="28">
        <f>'PSC 4-1 (Revised)'!O23-'PSC 4-1 (As Filed)'!O23</f>
        <v>0</v>
      </c>
      <c r="P23" s="28">
        <f>'PSC 4-1 (Revised)'!P23-'PSC 4-1 (As Filed)'!P23</f>
        <v>0</v>
      </c>
      <c r="Q23" s="28">
        <f>'PSC 4-1 (Revised)'!Q23-'PSC 4-1 (As Filed)'!Q23</f>
        <v>0</v>
      </c>
      <c r="R23" s="28">
        <f>'PSC 4-1 (Revised)'!R23-'PSC 4-1 (As Filed)'!R23</f>
        <v>0</v>
      </c>
      <c r="S23" s="28">
        <f>'PSC 4-1 (Revised)'!S23-'PSC 4-1 (As Filed)'!S23</f>
        <v>0</v>
      </c>
      <c r="T23" s="28">
        <f>'PSC 4-1 (Revised)'!T23-'PSC 4-1 (As Filed)'!T23</f>
        <v>0</v>
      </c>
      <c r="U23" s="28">
        <f>'PSC 4-1 (Revised)'!U23-'PSC 4-1 (As Filed)'!U23</f>
        <v>0</v>
      </c>
      <c r="V23" s="28">
        <f>'PSC 4-1 (Revised)'!V23-'PSC 4-1 (As Filed)'!V23</f>
        <v>0</v>
      </c>
      <c r="W23" s="28">
        <f>'PSC 4-1 (Revised)'!W23-'PSC 4-1 (As Filed)'!W23</f>
        <v>0</v>
      </c>
      <c r="X23" s="28">
        <f>'PSC 4-1 (Revised)'!X23-'PSC 4-1 (As Filed)'!X23</f>
        <v>0</v>
      </c>
      <c r="Y23" s="28">
        <f>'PSC 4-1 (Revised)'!Y23-'PSC 4-1 (As Filed)'!Y23</f>
        <v>0</v>
      </c>
      <c r="Z23" s="28">
        <f>'PSC 4-1 (Revised)'!Z23-'PSC 4-1 (As Filed)'!Z23</f>
        <v>0</v>
      </c>
      <c r="AA23" s="28">
        <f>'PSC 4-1 (Revised)'!AA23-'PSC 4-1 (As Filed)'!AA23</f>
        <v>0</v>
      </c>
      <c r="AB23" s="28">
        <f>'PSC 4-1 (Revised)'!AB23-'PSC 4-1 (As Filed)'!AB23</f>
        <v>0</v>
      </c>
      <c r="AC23" s="28">
        <f>'PSC 4-1 (Revised)'!AC23-'PSC 4-1 (As Filed)'!AC23</f>
        <v>0</v>
      </c>
      <c r="AD23" s="28">
        <f>'PSC 4-1 (Revised)'!AD23-'PSC 4-1 (As Filed)'!AD23</f>
        <v>0</v>
      </c>
      <c r="AE23" s="28">
        <f>'PSC 4-1 (Revised)'!AE23-'PSC 4-1 (As Filed)'!AE23</f>
        <v>0</v>
      </c>
      <c r="AF23" s="28">
        <f>'PSC 4-1 (Revised)'!AF23-'PSC 4-1 (As Filed)'!AF23</f>
        <v>0</v>
      </c>
      <c r="AG23" s="28">
        <f>'PSC 4-1 (Revised)'!AG23-'PSC 4-1 (As Filed)'!AG23</f>
        <v>0</v>
      </c>
      <c r="AH23" s="28">
        <f>'PSC 4-1 (Revised)'!AH23-'PSC 4-1 (As Filed)'!AH23</f>
        <v>0</v>
      </c>
      <c r="AI23" s="28">
        <f>'PSC 4-1 (Revised)'!AI23-'PSC 4-1 (As Filed)'!AI23</f>
        <v>0</v>
      </c>
      <c r="AJ23" s="25"/>
    </row>
    <row r="24" spans="1:37">
      <c r="A24" s="24" t="s">
        <v>14</v>
      </c>
      <c r="B24" s="25" t="s">
        <v>22</v>
      </c>
      <c r="C24" s="26"/>
      <c r="D24" s="28">
        <f>'PSC 4-1 (Revised)'!D24-'PSC 4-1 (As Filed)'!D24</f>
        <v>0</v>
      </c>
      <c r="E24" s="28">
        <f>'PSC 4-1 (Revised)'!E24-'PSC 4-1 (As Filed)'!E24</f>
        <v>0</v>
      </c>
      <c r="F24" s="28">
        <f>'PSC 4-1 (Revised)'!F24-'PSC 4-1 (As Filed)'!F24</f>
        <v>0</v>
      </c>
      <c r="G24" s="28">
        <f>'PSC 4-1 (Revised)'!G24-'PSC 4-1 (As Filed)'!G24</f>
        <v>0</v>
      </c>
      <c r="H24" s="28">
        <f>'PSC 4-1 (Revised)'!H24-'PSC 4-1 (As Filed)'!H24</f>
        <v>0</v>
      </c>
      <c r="I24" s="28">
        <f>'PSC 4-1 (Revised)'!I24-'PSC 4-1 (As Filed)'!I24</f>
        <v>0</v>
      </c>
      <c r="J24" s="28">
        <f>'PSC 4-1 (Revised)'!J24-'PSC 4-1 (As Filed)'!J24</f>
        <v>0</v>
      </c>
      <c r="K24" s="28">
        <f>'PSC 4-1 (Revised)'!K24-'PSC 4-1 (As Filed)'!K24</f>
        <v>0</v>
      </c>
      <c r="L24" s="28">
        <f>'PSC 4-1 (Revised)'!L24-'PSC 4-1 (As Filed)'!L24</f>
        <v>0</v>
      </c>
      <c r="M24" s="28">
        <f>'PSC 4-1 (Revised)'!M24-'PSC 4-1 (As Filed)'!M24</f>
        <v>0</v>
      </c>
      <c r="N24" s="28">
        <f>'PSC 4-1 (Revised)'!N24-'PSC 4-1 (As Filed)'!N24</f>
        <v>0</v>
      </c>
      <c r="O24" s="28">
        <f>'PSC 4-1 (Revised)'!O24-'PSC 4-1 (As Filed)'!O24</f>
        <v>0</v>
      </c>
      <c r="P24" s="28">
        <f>'PSC 4-1 (Revised)'!P24-'PSC 4-1 (As Filed)'!P24</f>
        <v>0</v>
      </c>
      <c r="Q24" s="28">
        <f>'PSC 4-1 (Revised)'!Q24-'PSC 4-1 (As Filed)'!Q24</f>
        <v>0</v>
      </c>
      <c r="R24" s="28">
        <f>'PSC 4-1 (Revised)'!R24-'PSC 4-1 (As Filed)'!R24</f>
        <v>0</v>
      </c>
      <c r="S24" s="28">
        <f>'PSC 4-1 (Revised)'!S24-'PSC 4-1 (As Filed)'!S24</f>
        <v>0</v>
      </c>
      <c r="T24" s="28">
        <f>'PSC 4-1 (Revised)'!T24-'PSC 4-1 (As Filed)'!T24</f>
        <v>0</v>
      </c>
      <c r="U24" s="28">
        <f>'PSC 4-1 (Revised)'!U24-'PSC 4-1 (As Filed)'!U24</f>
        <v>0</v>
      </c>
      <c r="V24" s="28">
        <f>'PSC 4-1 (Revised)'!V24-'PSC 4-1 (As Filed)'!V24</f>
        <v>0</v>
      </c>
      <c r="W24" s="28">
        <f>'PSC 4-1 (Revised)'!W24-'PSC 4-1 (As Filed)'!W24</f>
        <v>0</v>
      </c>
      <c r="X24" s="28">
        <f>'PSC 4-1 (Revised)'!X24-'PSC 4-1 (As Filed)'!X24</f>
        <v>0</v>
      </c>
      <c r="Y24" s="28">
        <f>'PSC 4-1 (Revised)'!Y24-'PSC 4-1 (As Filed)'!Y24</f>
        <v>0</v>
      </c>
      <c r="Z24" s="28">
        <f>'PSC 4-1 (Revised)'!Z24-'PSC 4-1 (As Filed)'!Z24</f>
        <v>0</v>
      </c>
      <c r="AA24" s="28">
        <f>'PSC 4-1 (Revised)'!AA24-'PSC 4-1 (As Filed)'!AA24</f>
        <v>0</v>
      </c>
      <c r="AB24" s="28">
        <f>'PSC 4-1 (Revised)'!AB24-'PSC 4-1 (As Filed)'!AB24</f>
        <v>0</v>
      </c>
      <c r="AC24" s="28">
        <f>'PSC 4-1 (Revised)'!AC24-'PSC 4-1 (As Filed)'!AC24</f>
        <v>0</v>
      </c>
      <c r="AD24" s="28">
        <f>'PSC 4-1 (Revised)'!AD24-'PSC 4-1 (As Filed)'!AD24</f>
        <v>0</v>
      </c>
      <c r="AE24" s="28">
        <f>'PSC 4-1 (Revised)'!AE24-'PSC 4-1 (As Filed)'!AE24</f>
        <v>0</v>
      </c>
      <c r="AF24" s="28">
        <f>'PSC 4-1 (Revised)'!AF24-'PSC 4-1 (As Filed)'!AF24</f>
        <v>0</v>
      </c>
      <c r="AG24" s="28">
        <f>'PSC 4-1 (Revised)'!AG24-'PSC 4-1 (As Filed)'!AG24</f>
        <v>0</v>
      </c>
      <c r="AH24" s="28">
        <f>'PSC 4-1 (Revised)'!AH24-'PSC 4-1 (As Filed)'!AH24</f>
        <v>0</v>
      </c>
      <c r="AI24" s="28">
        <f>'PSC 4-1 (Revised)'!AI24-'PSC 4-1 (As Filed)'!AI24</f>
        <v>0</v>
      </c>
      <c r="AJ24" s="25"/>
    </row>
    <row r="25" spans="1:37">
      <c r="A25" s="24" t="s">
        <v>20</v>
      </c>
      <c r="B25" s="25" t="s">
        <v>23</v>
      </c>
      <c r="C25" s="29" t="s">
        <v>24</v>
      </c>
      <c r="D25" s="28">
        <f>'PSC 4-1 (Revised)'!D25-'PSC 4-1 (As Filed)'!D25</f>
        <v>0</v>
      </c>
      <c r="E25" s="28">
        <f>'PSC 4-1 (Revised)'!E25-'PSC 4-1 (As Filed)'!E25</f>
        <v>0</v>
      </c>
      <c r="F25" s="28">
        <f>'PSC 4-1 (Revised)'!F25-'PSC 4-1 (As Filed)'!F25</f>
        <v>0</v>
      </c>
      <c r="G25" s="28">
        <f>'PSC 4-1 (Revised)'!G25-'PSC 4-1 (As Filed)'!G25</f>
        <v>0</v>
      </c>
      <c r="H25" s="28">
        <f>'PSC 4-1 (Revised)'!H25-'PSC 4-1 (As Filed)'!H25</f>
        <v>0</v>
      </c>
      <c r="I25" s="28">
        <f>'PSC 4-1 (Revised)'!I25-'PSC 4-1 (As Filed)'!I25</f>
        <v>0</v>
      </c>
      <c r="J25" s="28">
        <f>'PSC 4-1 (Revised)'!J25-'PSC 4-1 (As Filed)'!J25</f>
        <v>0</v>
      </c>
      <c r="K25" s="28">
        <f>'PSC 4-1 (Revised)'!K25-'PSC 4-1 (As Filed)'!K25</f>
        <v>0</v>
      </c>
      <c r="L25" s="28">
        <f>'PSC 4-1 (Revised)'!L25-'PSC 4-1 (As Filed)'!L25</f>
        <v>0</v>
      </c>
      <c r="M25" s="28">
        <f>'PSC 4-1 (Revised)'!M25-'PSC 4-1 (As Filed)'!M25</f>
        <v>0</v>
      </c>
      <c r="N25" s="28">
        <f>'PSC 4-1 (Revised)'!N25-'PSC 4-1 (As Filed)'!N25</f>
        <v>0</v>
      </c>
      <c r="O25" s="28">
        <f>'PSC 4-1 (Revised)'!O25-'PSC 4-1 (As Filed)'!O25</f>
        <v>0</v>
      </c>
      <c r="P25" s="28">
        <f>'PSC 4-1 (Revised)'!P25-'PSC 4-1 (As Filed)'!P25</f>
        <v>0</v>
      </c>
      <c r="Q25" s="28">
        <f>'PSC 4-1 (Revised)'!Q25-'PSC 4-1 (As Filed)'!Q25</f>
        <v>0</v>
      </c>
      <c r="R25" s="28">
        <f>'PSC 4-1 (Revised)'!R25-'PSC 4-1 (As Filed)'!R25</f>
        <v>0</v>
      </c>
      <c r="S25" s="28">
        <f>'PSC 4-1 (Revised)'!S25-'PSC 4-1 (As Filed)'!S25</f>
        <v>0</v>
      </c>
      <c r="T25" s="28">
        <f>'PSC 4-1 (Revised)'!T25-'PSC 4-1 (As Filed)'!T25</f>
        <v>0</v>
      </c>
      <c r="U25" s="28">
        <f>'PSC 4-1 (Revised)'!U25-'PSC 4-1 (As Filed)'!U25</f>
        <v>0</v>
      </c>
      <c r="V25" s="28">
        <f>'PSC 4-1 (Revised)'!V25-'PSC 4-1 (As Filed)'!V25</f>
        <v>0</v>
      </c>
      <c r="W25" s="28">
        <f>'PSC 4-1 (Revised)'!W25-'PSC 4-1 (As Filed)'!W25</f>
        <v>0</v>
      </c>
      <c r="X25" s="28">
        <f>'PSC 4-1 (Revised)'!X25-'PSC 4-1 (As Filed)'!X25</f>
        <v>0</v>
      </c>
      <c r="Y25" s="28">
        <f>'PSC 4-1 (Revised)'!Y25-'PSC 4-1 (As Filed)'!Y25</f>
        <v>0</v>
      </c>
      <c r="Z25" s="28">
        <f>'PSC 4-1 (Revised)'!Z25-'PSC 4-1 (As Filed)'!Z25</f>
        <v>0</v>
      </c>
      <c r="AA25" s="28">
        <f>'PSC 4-1 (Revised)'!AA25-'PSC 4-1 (As Filed)'!AA25</f>
        <v>0</v>
      </c>
      <c r="AB25" s="28">
        <f>'PSC 4-1 (Revised)'!AB25-'PSC 4-1 (As Filed)'!AB25</f>
        <v>0</v>
      </c>
      <c r="AC25" s="28">
        <f>'PSC 4-1 (Revised)'!AC25-'PSC 4-1 (As Filed)'!AC25</f>
        <v>0</v>
      </c>
      <c r="AD25" s="28">
        <f>'PSC 4-1 (Revised)'!AD25-'PSC 4-1 (As Filed)'!AD25</f>
        <v>0</v>
      </c>
      <c r="AE25" s="28">
        <f>'PSC 4-1 (Revised)'!AE25-'PSC 4-1 (As Filed)'!AE25</f>
        <v>0</v>
      </c>
      <c r="AF25" s="28">
        <f>'PSC 4-1 (Revised)'!AF25-'PSC 4-1 (As Filed)'!AF25</f>
        <v>0</v>
      </c>
      <c r="AG25" s="28">
        <f>'PSC 4-1 (Revised)'!AG25-'PSC 4-1 (As Filed)'!AG25</f>
        <v>0</v>
      </c>
      <c r="AH25" s="28">
        <f>'PSC 4-1 (Revised)'!AH25-'PSC 4-1 (As Filed)'!AH25</f>
        <v>0</v>
      </c>
      <c r="AI25" s="28">
        <f>'PSC 4-1 (Revised)'!AI25-'PSC 4-1 (As Filed)'!AI25</f>
        <v>0</v>
      </c>
      <c r="AJ25" s="25"/>
    </row>
    <row r="26" spans="1:37">
      <c r="A26" s="24" t="s">
        <v>20</v>
      </c>
      <c r="B26" s="25" t="s">
        <v>25</v>
      </c>
      <c r="C26" s="26"/>
      <c r="D26" s="28">
        <f>'PSC 4-1 (Revised)'!D26-'PSC 4-1 (As Filed)'!D26</f>
        <v>0</v>
      </c>
      <c r="E26" s="28">
        <f>'PSC 4-1 (Revised)'!E26-'PSC 4-1 (As Filed)'!E26</f>
        <v>0</v>
      </c>
      <c r="F26" s="28">
        <f>'PSC 4-1 (Revised)'!F26-'PSC 4-1 (As Filed)'!F26</f>
        <v>0</v>
      </c>
      <c r="G26" s="28">
        <f>'PSC 4-1 (Revised)'!G26-'PSC 4-1 (As Filed)'!G26</f>
        <v>0</v>
      </c>
      <c r="H26" s="28">
        <f>'PSC 4-1 (Revised)'!H26-'PSC 4-1 (As Filed)'!H26</f>
        <v>0</v>
      </c>
      <c r="I26" s="28">
        <f>'PSC 4-1 (Revised)'!I26-'PSC 4-1 (As Filed)'!I26</f>
        <v>0</v>
      </c>
      <c r="J26" s="28">
        <f>'PSC 4-1 (Revised)'!J26-'PSC 4-1 (As Filed)'!J26</f>
        <v>0</v>
      </c>
      <c r="K26" s="28">
        <f>'PSC 4-1 (Revised)'!K26-'PSC 4-1 (As Filed)'!K26</f>
        <v>0</v>
      </c>
      <c r="L26" s="28">
        <f>'PSC 4-1 (Revised)'!L26-'PSC 4-1 (As Filed)'!L26</f>
        <v>0</v>
      </c>
      <c r="M26" s="28">
        <f>'PSC 4-1 (Revised)'!M26-'PSC 4-1 (As Filed)'!M26</f>
        <v>0</v>
      </c>
      <c r="N26" s="28">
        <f>'PSC 4-1 (Revised)'!N26-'PSC 4-1 (As Filed)'!N26</f>
        <v>0</v>
      </c>
      <c r="O26" s="28">
        <f>'PSC 4-1 (Revised)'!O26-'PSC 4-1 (As Filed)'!O26</f>
        <v>0</v>
      </c>
      <c r="P26" s="28">
        <f>'PSC 4-1 (Revised)'!P26-'PSC 4-1 (As Filed)'!P26</f>
        <v>0</v>
      </c>
      <c r="Q26" s="28">
        <f>'PSC 4-1 (Revised)'!Q26-'PSC 4-1 (As Filed)'!Q26</f>
        <v>0</v>
      </c>
      <c r="R26" s="28">
        <f>'PSC 4-1 (Revised)'!R26-'PSC 4-1 (As Filed)'!R26</f>
        <v>0</v>
      </c>
      <c r="S26" s="28">
        <f>'PSC 4-1 (Revised)'!S26-'PSC 4-1 (As Filed)'!S26</f>
        <v>0</v>
      </c>
      <c r="T26" s="28">
        <f>'PSC 4-1 (Revised)'!T26-'PSC 4-1 (As Filed)'!T26</f>
        <v>0</v>
      </c>
      <c r="U26" s="28">
        <f>'PSC 4-1 (Revised)'!U26-'PSC 4-1 (As Filed)'!U26</f>
        <v>0</v>
      </c>
      <c r="V26" s="28">
        <f>'PSC 4-1 (Revised)'!V26-'PSC 4-1 (As Filed)'!V26</f>
        <v>0</v>
      </c>
      <c r="W26" s="28">
        <f>'PSC 4-1 (Revised)'!W26-'PSC 4-1 (As Filed)'!W26</f>
        <v>0</v>
      </c>
      <c r="X26" s="28">
        <f>'PSC 4-1 (Revised)'!X26-'PSC 4-1 (As Filed)'!X26</f>
        <v>0</v>
      </c>
      <c r="Y26" s="28">
        <f>'PSC 4-1 (Revised)'!Y26-'PSC 4-1 (As Filed)'!Y26</f>
        <v>0</v>
      </c>
      <c r="Z26" s="28">
        <f>'PSC 4-1 (Revised)'!Z26-'PSC 4-1 (As Filed)'!Z26</f>
        <v>0</v>
      </c>
      <c r="AA26" s="28">
        <f>'PSC 4-1 (Revised)'!AA26-'PSC 4-1 (As Filed)'!AA26</f>
        <v>0</v>
      </c>
      <c r="AB26" s="28">
        <f>'PSC 4-1 (Revised)'!AB26-'PSC 4-1 (As Filed)'!AB26</f>
        <v>0</v>
      </c>
      <c r="AC26" s="28">
        <f>'PSC 4-1 (Revised)'!AC26-'PSC 4-1 (As Filed)'!AC26</f>
        <v>0</v>
      </c>
      <c r="AD26" s="28">
        <f>'PSC 4-1 (Revised)'!AD26-'PSC 4-1 (As Filed)'!AD26</f>
        <v>0</v>
      </c>
      <c r="AE26" s="28">
        <f>'PSC 4-1 (Revised)'!AE26-'PSC 4-1 (As Filed)'!AE26</f>
        <v>0</v>
      </c>
      <c r="AF26" s="28">
        <f>'PSC 4-1 (Revised)'!AF26-'PSC 4-1 (As Filed)'!AF26</f>
        <v>0</v>
      </c>
      <c r="AG26" s="28">
        <f>'PSC 4-1 (Revised)'!AG26-'PSC 4-1 (As Filed)'!AG26</f>
        <v>0</v>
      </c>
      <c r="AH26" s="28">
        <f>'PSC 4-1 (Revised)'!AH26-'PSC 4-1 (As Filed)'!AH26</f>
        <v>0</v>
      </c>
      <c r="AI26" s="28">
        <f>'PSC 4-1 (Revised)'!AI26-'PSC 4-1 (As Filed)'!AI26</f>
        <v>0</v>
      </c>
      <c r="AJ26" s="25"/>
    </row>
    <row r="27" spans="1:37">
      <c r="A27" s="24" t="s">
        <v>20</v>
      </c>
      <c r="B27" s="30" t="s">
        <v>26</v>
      </c>
      <c r="C27" s="31" t="s">
        <v>24</v>
      </c>
      <c r="D27" s="32">
        <f>'PSC 4-1 (Revised)'!D27-'PSC 4-1 (As Filed)'!D27</f>
        <v>0</v>
      </c>
      <c r="E27" s="32">
        <f>'PSC 4-1 (Revised)'!E27-'PSC 4-1 (As Filed)'!E27</f>
        <v>0</v>
      </c>
      <c r="F27" s="32">
        <f>'PSC 4-1 (Revised)'!F27-'PSC 4-1 (As Filed)'!F27</f>
        <v>0</v>
      </c>
      <c r="G27" s="32">
        <f>'PSC 4-1 (Revised)'!G27-'PSC 4-1 (As Filed)'!G27</f>
        <v>0</v>
      </c>
      <c r="H27" s="32">
        <f>'PSC 4-1 (Revised)'!H27-'PSC 4-1 (As Filed)'!H27</f>
        <v>0</v>
      </c>
      <c r="I27" s="32">
        <f>'PSC 4-1 (Revised)'!I27-'PSC 4-1 (As Filed)'!I27</f>
        <v>0</v>
      </c>
      <c r="J27" s="32">
        <f>'PSC 4-1 (Revised)'!J27-'PSC 4-1 (As Filed)'!J27</f>
        <v>0</v>
      </c>
      <c r="K27" s="32">
        <f>'PSC 4-1 (Revised)'!K27-'PSC 4-1 (As Filed)'!K27</f>
        <v>0</v>
      </c>
      <c r="L27" s="32">
        <f>'PSC 4-1 (Revised)'!L27-'PSC 4-1 (As Filed)'!L27</f>
        <v>0</v>
      </c>
      <c r="M27" s="32">
        <f>'PSC 4-1 (Revised)'!M27-'PSC 4-1 (As Filed)'!M27</f>
        <v>0</v>
      </c>
      <c r="N27" s="32">
        <f>'PSC 4-1 (Revised)'!N27-'PSC 4-1 (As Filed)'!N27</f>
        <v>0</v>
      </c>
      <c r="O27" s="32">
        <f>'PSC 4-1 (Revised)'!O27-'PSC 4-1 (As Filed)'!O27</f>
        <v>0</v>
      </c>
      <c r="P27" s="32">
        <f>'PSC 4-1 (Revised)'!P27-'PSC 4-1 (As Filed)'!P27</f>
        <v>0</v>
      </c>
      <c r="Q27" s="32">
        <f>'PSC 4-1 (Revised)'!Q27-'PSC 4-1 (As Filed)'!Q27</f>
        <v>0</v>
      </c>
      <c r="R27" s="32">
        <f>'PSC 4-1 (Revised)'!R27-'PSC 4-1 (As Filed)'!R27</f>
        <v>0</v>
      </c>
      <c r="S27" s="32">
        <f>'PSC 4-1 (Revised)'!S27-'PSC 4-1 (As Filed)'!S27</f>
        <v>0</v>
      </c>
      <c r="T27" s="32">
        <f>'PSC 4-1 (Revised)'!T27-'PSC 4-1 (As Filed)'!T27</f>
        <v>0</v>
      </c>
      <c r="U27" s="32">
        <f>'PSC 4-1 (Revised)'!U27-'PSC 4-1 (As Filed)'!U27</f>
        <v>0</v>
      </c>
      <c r="V27" s="32">
        <f>'PSC 4-1 (Revised)'!V27-'PSC 4-1 (As Filed)'!V27</f>
        <v>0</v>
      </c>
      <c r="W27" s="32">
        <f>'PSC 4-1 (Revised)'!W27-'PSC 4-1 (As Filed)'!W27</f>
        <v>0</v>
      </c>
      <c r="X27" s="32">
        <f>'PSC 4-1 (Revised)'!X27-'PSC 4-1 (As Filed)'!X27</f>
        <v>0</v>
      </c>
      <c r="Y27" s="32">
        <f>'PSC 4-1 (Revised)'!Y27-'PSC 4-1 (As Filed)'!Y27</f>
        <v>0</v>
      </c>
      <c r="Z27" s="32">
        <f>'PSC 4-1 (Revised)'!Z27-'PSC 4-1 (As Filed)'!Z27</f>
        <v>0</v>
      </c>
      <c r="AA27" s="32">
        <f>'PSC 4-1 (Revised)'!AA27-'PSC 4-1 (As Filed)'!AA27</f>
        <v>0</v>
      </c>
      <c r="AB27" s="32">
        <f>'PSC 4-1 (Revised)'!AB27-'PSC 4-1 (As Filed)'!AB27</f>
        <v>0</v>
      </c>
      <c r="AC27" s="32">
        <f>'PSC 4-1 (Revised)'!AC27-'PSC 4-1 (As Filed)'!AC27</f>
        <v>0</v>
      </c>
      <c r="AD27" s="32">
        <f>'PSC 4-1 (Revised)'!AD27-'PSC 4-1 (As Filed)'!AD27</f>
        <v>0</v>
      </c>
      <c r="AE27" s="32">
        <f>'PSC 4-1 (Revised)'!AE27-'PSC 4-1 (As Filed)'!AE27</f>
        <v>0</v>
      </c>
      <c r="AF27" s="32">
        <f>'PSC 4-1 (Revised)'!AF27-'PSC 4-1 (As Filed)'!AF27</f>
        <v>0</v>
      </c>
      <c r="AG27" s="32">
        <f>'PSC 4-1 (Revised)'!AG27-'PSC 4-1 (As Filed)'!AG27</f>
        <v>0</v>
      </c>
      <c r="AH27" s="32">
        <f>'PSC 4-1 (Revised)'!AH27-'PSC 4-1 (As Filed)'!AH27</f>
        <v>0</v>
      </c>
      <c r="AI27" s="32">
        <f>'PSC 4-1 (Revised)'!AI27-'PSC 4-1 (As Filed)'!AI27</f>
        <v>0</v>
      </c>
      <c r="AJ27" s="13"/>
    </row>
    <row r="28" spans="1:37">
      <c r="A28" s="24" t="s">
        <v>27</v>
      </c>
      <c r="B28" s="25" t="s">
        <v>28</v>
      </c>
      <c r="C28" s="26"/>
      <c r="D28" s="33">
        <f t="shared" ref="D28:N28" si="37">D18+D19+D20+D21+D22-D23+D24-D25-D26-D27</f>
        <v>0</v>
      </c>
      <c r="E28" s="33">
        <f t="shared" si="37"/>
        <v>0</v>
      </c>
      <c r="F28" s="33">
        <f t="shared" si="37"/>
        <v>0</v>
      </c>
      <c r="G28" s="33">
        <f t="shared" si="37"/>
        <v>0</v>
      </c>
      <c r="H28" s="33">
        <f t="shared" si="37"/>
        <v>0</v>
      </c>
      <c r="I28" s="33">
        <f t="shared" si="37"/>
        <v>0</v>
      </c>
      <c r="J28" s="33">
        <f t="shared" si="37"/>
        <v>0</v>
      </c>
      <c r="K28" s="33">
        <f t="shared" si="37"/>
        <v>0</v>
      </c>
      <c r="L28" s="33">
        <f t="shared" si="37"/>
        <v>0</v>
      </c>
      <c r="M28" s="33">
        <f t="shared" si="37"/>
        <v>0</v>
      </c>
      <c r="N28" s="33">
        <f t="shared" si="37"/>
        <v>0</v>
      </c>
      <c r="O28" s="33">
        <f t="shared" ref="O28:P28" si="38">O18+O19+O20+O21+O22-O23+O24-O25-O26-O27</f>
        <v>0</v>
      </c>
      <c r="P28" s="33">
        <f t="shared" si="38"/>
        <v>0</v>
      </c>
      <c r="Q28" s="33">
        <f t="shared" ref="Q28:R28" si="39">Q18+Q19+Q20+Q21+Q22-Q23+Q24-Q25-Q26-Q27</f>
        <v>0</v>
      </c>
      <c r="R28" s="33">
        <f t="shared" si="39"/>
        <v>0</v>
      </c>
      <c r="S28" s="33">
        <f t="shared" ref="S28:T28" si="40">S18+S19+S20+S21+S22-S23+S24-S25-S26-S27</f>
        <v>0</v>
      </c>
      <c r="T28" s="33">
        <f t="shared" si="40"/>
        <v>0</v>
      </c>
      <c r="U28" s="33">
        <f t="shared" ref="U28:V28" si="41">U18+U19+U20+U21+U22-U23+U24-U25-U26-U27</f>
        <v>0</v>
      </c>
      <c r="V28" s="33">
        <f t="shared" si="41"/>
        <v>0</v>
      </c>
      <c r="W28" s="33">
        <f t="shared" ref="W28:X28" si="42">W18+W19+W20+W21+W22-W23+W24-W25-W26-W27</f>
        <v>0</v>
      </c>
      <c r="X28" s="33">
        <f t="shared" si="42"/>
        <v>0</v>
      </c>
      <c r="Y28" s="33">
        <f t="shared" ref="Y28:Z28" si="43">Y18+Y19+Y20+Y21+Y22-Y23+Y24-Y25-Y26-Y27</f>
        <v>0</v>
      </c>
      <c r="Z28" s="33">
        <f t="shared" si="43"/>
        <v>0</v>
      </c>
      <c r="AA28" s="33">
        <f t="shared" ref="AA28:AB28" si="44">AA18+AA19+AA20+AA21+AA22-AA23+AA24-AA25-AA26-AA27</f>
        <v>0</v>
      </c>
      <c r="AB28" s="33">
        <f t="shared" si="44"/>
        <v>0</v>
      </c>
      <c r="AC28" s="33">
        <f t="shared" ref="AC28:AD28" si="45">AC18+AC19+AC20+AC21+AC22-AC23+AC24-AC25-AC26-AC27</f>
        <v>0</v>
      </c>
      <c r="AD28" s="33">
        <f t="shared" si="45"/>
        <v>0</v>
      </c>
      <c r="AE28" s="33">
        <f t="shared" ref="AE28:AF28" si="46">AE18+AE19+AE20+AE21+AE22-AE23+AE24-AE25-AE26-AE27</f>
        <v>0</v>
      </c>
      <c r="AF28" s="33">
        <f t="shared" si="46"/>
        <v>0</v>
      </c>
      <c r="AG28" s="33">
        <f t="shared" ref="AG28:AH28" si="47">AG18+AG19+AG20+AG21+AG22-AG23+AG24-AG25-AG26-AG27</f>
        <v>0</v>
      </c>
      <c r="AH28" s="33">
        <f t="shared" si="47"/>
        <v>0</v>
      </c>
      <c r="AI28" s="33">
        <f t="shared" ref="AI28" si="48">AI18+AI19+AI20+AI21+AI22-AI23+AI24-AI25-AI26-AI27</f>
        <v>0</v>
      </c>
      <c r="AJ28" s="13"/>
    </row>
    <row r="29" spans="1:37">
      <c r="A29" s="13"/>
      <c r="B29" s="25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13"/>
    </row>
    <row r="30" spans="1:37">
      <c r="A30" s="13" t="s">
        <v>29</v>
      </c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13"/>
    </row>
    <row r="31" spans="1:37">
      <c r="A31" s="24" t="s">
        <v>14</v>
      </c>
      <c r="B31" s="69" t="s">
        <v>30</v>
      </c>
      <c r="C31" s="29" t="s">
        <v>24</v>
      </c>
      <c r="D31" s="27">
        <f>'PSC 4-1 (Revised)'!D31-'PSC 4-1 (As Filed)'!D31</f>
        <v>0</v>
      </c>
      <c r="E31" s="27">
        <f>'PSC 4-1 (Revised)'!E31-'PSC 4-1 (As Filed)'!E31</f>
        <v>0</v>
      </c>
      <c r="F31" s="27">
        <f>'PSC 4-1 (Revised)'!F31-'PSC 4-1 (As Filed)'!F31</f>
        <v>0</v>
      </c>
      <c r="G31" s="27">
        <f>'PSC 4-1 (Revised)'!G31-'PSC 4-1 (As Filed)'!G31</f>
        <v>0</v>
      </c>
      <c r="H31" s="27">
        <f>'PSC 4-1 (Revised)'!H31-'PSC 4-1 (As Filed)'!H31</f>
        <v>0</v>
      </c>
      <c r="I31" s="27">
        <f>'PSC 4-1 (Revised)'!I31-'PSC 4-1 (As Filed)'!I31</f>
        <v>0</v>
      </c>
      <c r="J31" s="27">
        <f>'PSC 4-1 (Revised)'!J31-'PSC 4-1 (As Filed)'!J31</f>
        <v>0</v>
      </c>
      <c r="K31" s="27">
        <f>'PSC 4-1 (Revised)'!K31-'PSC 4-1 (As Filed)'!K31</f>
        <v>0</v>
      </c>
      <c r="L31" s="27">
        <f>'PSC 4-1 (Revised)'!L31-'PSC 4-1 (As Filed)'!L31</f>
        <v>0</v>
      </c>
      <c r="M31" s="27">
        <f>'PSC 4-1 (Revised)'!M31-'PSC 4-1 (As Filed)'!M31</f>
        <v>0</v>
      </c>
      <c r="N31" s="27">
        <f>'PSC 4-1 (Revised)'!N31-'PSC 4-1 (As Filed)'!N31</f>
        <v>0</v>
      </c>
      <c r="O31" s="27">
        <f>'PSC 4-1 (Revised)'!O31-'PSC 4-1 (As Filed)'!O31</f>
        <v>0</v>
      </c>
      <c r="P31" s="27">
        <f>'PSC 4-1 (Revised)'!P31-'PSC 4-1 (As Filed)'!P31</f>
        <v>0</v>
      </c>
      <c r="Q31" s="27">
        <f>'PSC 4-1 (Revised)'!Q31-'PSC 4-1 (As Filed)'!Q31</f>
        <v>0</v>
      </c>
      <c r="R31" s="27">
        <f>'PSC 4-1 (Revised)'!R31-'PSC 4-1 (As Filed)'!R31</f>
        <v>0</v>
      </c>
      <c r="S31" s="27">
        <f>'PSC 4-1 (Revised)'!S31-'PSC 4-1 (As Filed)'!S31</f>
        <v>0</v>
      </c>
      <c r="T31" s="27">
        <f>'PSC 4-1 (Revised)'!T31-'PSC 4-1 (As Filed)'!T31</f>
        <v>0</v>
      </c>
      <c r="U31" s="27">
        <f>'PSC 4-1 (Revised)'!U31-'PSC 4-1 (As Filed)'!U31</f>
        <v>0</v>
      </c>
      <c r="V31" s="27">
        <f>'PSC 4-1 (Revised)'!V31-'PSC 4-1 (As Filed)'!V31</f>
        <v>0</v>
      </c>
      <c r="W31" s="27">
        <f>'PSC 4-1 (Revised)'!W31-'PSC 4-1 (As Filed)'!W31</f>
        <v>0</v>
      </c>
      <c r="X31" s="27">
        <f>'PSC 4-1 (Revised)'!X31-'PSC 4-1 (As Filed)'!X31</f>
        <v>0</v>
      </c>
      <c r="Y31" s="27">
        <f>'PSC 4-1 (Revised)'!Y31-'PSC 4-1 (As Filed)'!Y31</f>
        <v>0</v>
      </c>
      <c r="Z31" s="27">
        <f>'PSC 4-1 (Revised)'!Z31-'PSC 4-1 (As Filed)'!Z31</f>
        <v>0</v>
      </c>
      <c r="AA31" s="27">
        <f>'PSC 4-1 (Revised)'!AA31-'PSC 4-1 (As Filed)'!AA31</f>
        <v>0</v>
      </c>
      <c r="AB31" s="27">
        <f>'PSC 4-1 (Revised)'!AB31-'PSC 4-1 (As Filed)'!AB31</f>
        <v>0</v>
      </c>
      <c r="AC31" s="27">
        <f>'PSC 4-1 (Revised)'!AC31-'PSC 4-1 (As Filed)'!AC31</f>
        <v>0</v>
      </c>
      <c r="AD31" s="27">
        <f>'PSC 4-1 (Revised)'!AD31-'PSC 4-1 (As Filed)'!AD31</f>
        <v>0</v>
      </c>
      <c r="AE31" s="27">
        <f>'PSC 4-1 (Revised)'!AE31-'PSC 4-1 (As Filed)'!AE31</f>
        <v>0</v>
      </c>
      <c r="AF31" s="27">
        <f>'PSC 4-1 (Revised)'!AF31-'PSC 4-1 (As Filed)'!AF31</f>
        <v>0</v>
      </c>
      <c r="AG31" s="27">
        <f>'PSC 4-1 (Revised)'!AG31-'PSC 4-1 (As Filed)'!AG31</f>
        <v>0</v>
      </c>
      <c r="AH31" s="27">
        <f>'PSC 4-1 (Revised)'!AH31-'PSC 4-1 (As Filed)'!AH31</f>
        <v>0</v>
      </c>
      <c r="AI31" s="27">
        <f>'PSC 4-1 (Revised)'!AI31-'PSC 4-1 (As Filed)'!AI31</f>
        <v>0</v>
      </c>
      <c r="AJ31" s="34"/>
      <c r="AK31" s="14"/>
    </row>
    <row r="32" spans="1:37">
      <c r="A32" s="24" t="s">
        <v>14</v>
      </c>
      <c r="B32" s="25" t="s">
        <v>31</v>
      </c>
      <c r="C32" s="29"/>
      <c r="D32" s="28">
        <f>'PSC 4-1 (Revised)'!D32-'PSC 4-1 (As Filed)'!D32</f>
        <v>0</v>
      </c>
      <c r="E32" s="28">
        <f>'PSC 4-1 (Revised)'!E32-'PSC 4-1 (As Filed)'!E32</f>
        <v>0</v>
      </c>
      <c r="F32" s="28">
        <f>'PSC 4-1 (Revised)'!F32-'PSC 4-1 (As Filed)'!F32</f>
        <v>0</v>
      </c>
      <c r="G32" s="28">
        <f>'PSC 4-1 (Revised)'!G32-'PSC 4-1 (As Filed)'!G32</f>
        <v>0</v>
      </c>
      <c r="H32" s="28">
        <f>'PSC 4-1 (Revised)'!H32-'PSC 4-1 (As Filed)'!H32</f>
        <v>0</v>
      </c>
      <c r="I32" s="28">
        <f>'PSC 4-1 (Revised)'!I32-'PSC 4-1 (As Filed)'!I32</f>
        <v>0</v>
      </c>
      <c r="J32" s="28">
        <f>'PSC 4-1 (Revised)'!J32-'PSC 4-1 (As Filed)'!J32</f>
        <v>0</v>
      </c>
      <c r="K32" s="28">
        <f>'PSC 4-1 (Revised)'!K32-'PSC 4-1 (As Filed)'!K32</f>
        <v>0</v>
      </c>
      <c r="L32" s="28">
        <f>'PSC 4-1 (Revised)'!L32-'PSC 4-1 (As Filed)'!L32</f>
        <v>0</v>
      </c>
      <c r="M32" s="28">
        <f>'PSC 4-1 (Revised)'!M32-'PSC 4-1 (As Filed)'!M32</f>
        <v>0</v>
      </c>
      <c r="N32" s="28">
        <f>'PSC 4-1 (Revised)'!N32-'PSC 4-1 (As Filed)'!N32</f>
        <v>0</v>
      </c>
      <c r="O32" s="28">
        <f>'PSC 4-1 (Revised)'!O32-'PSC 4-1 (As Filed)'!O32</f>
        <v>0</v>
      </c>
      <c r="P32" s="28">
        <f>'PSC 4-1 (Revised)'!P32-'PSC 4-1 (As Filed)'!P32</f>
        <v>0</v>
      </c>
      <c r="Q32" s="28">
        <f>'PSC 4-1 (Revised)'!Q32-'PSC 4-1 (As Filed)'!Q32</f>
        <v>0</v>
      </c>
      <c r="R32" s="28">
        <f>'PSC 4-1 (Revised)'!R32-'PSC 4-1 (As Filed)'!R32</f>
        <v>0</v>
      </c>
      <c r="S32" s="28">
        <f>'PSC 4-1 (Revised)'!S32-'PSC 4-1 (As Filed)'!S32</f>
        <v>0</v>
      </c>
      <c r="T32" s="28">
        <f>'PSC 4-1 (Revised)'!T32-'PSC 4-1 (As Filed)'!T32</f>
        <v>0</v>
      </c>
      <c r="U32" s="28">
        <f>'PSC 4-1 (Revised)'!U32-'PSC 4-1 (As Filed)'!U32</f>
        <v>0</v>
      </c>
      <c r="V32" s="28">
        <f>'PSC 4-1 (Revised)'!V32-'PSC 4-1 (As Filed)'!V32</f>
        <v>0</v>
      </c>
      <c r="W32" s="28">
        <f>'PSC 4-1 (Revised)'!W32-'PSC 4-1 (As Filed)'!W32</f>
        <v>0</v>
      </c>
      <c r="X32" s="28">
        <f>'PSC 4-1 (Revised)'!X32-'PSC 4-1 (As Filed)'!X32</f>
        <v>0</v>
      </c>
      <c r="Y32" s="28">
        <f>'PSC 4-1 (Revised)'!Y32-'PSC 4-1 (As Filed)'!Y32</f>
        <v>0</v>
      </c>
      <c r="Z32" s="28">
        <f>'PSC 4-1 (Revised)'!Z32-'PSC 4-1 (As Filed)'!Z32</f>
        <v>0</v>
      </c>
      <c r="AA32" s="28">
        <f>'PSC 4-1 (Revised)'!AA32-'PSC 4-1 (As Filed)'!AA32</f>
        <v>0</v>
      </c>
      <c r="AB32" s="28">
        <f>'PSC 4-1 (Revised)'!AB32-'PSC 4-1 (As Filed)'!AB32</f>
        <v>0</v>
      </c>
      <c r="AC32" s="28">
        <f>'PSC 4-1 (Revised)'!AC32-'PSC 4-1 (As Filed)'!AC32</f>
        <v>0</v>
      </c>
      <c r="AD32" s="28">
        <f>'PSC 4-1 (Revised)'!AD32-'PSC 4-1 (As Filed)'!AD32</f>
        <v>0</v>
      </c>
      <c r="AE32" s="28">
        <f>'PSC 4-1 (Revised)'!AE32-'PSC 4-1 (As Filed)'!AE32</f>
        <v>0</v>
      </c>
      <c r="AF32" s="28">
        <f>'PSC 4-1 (Revised)'!AF32-'PSC 4-1 (As Filed)'!AF32</f>
        <v>0</v>
      </c>
      <c r="AG32" s="28">
        <f>'PSC 4-1 (Revised)'!AG32-'PSC 4-1 (As Filed)'!AG32</f>
        <v>0</v>
      </c>
      <c r="AH32" s="28">
        <f>'PSC 4-1 (Revised)'!AH32-'PSC 4-1 (As Filed)'!AH32</f>
        <v>0</v>
      </c>
      <c r="AI32" s="28">
        <f>'PSC 4-1 (Revised)'!AI32-'PSC 4-1 (As Filed)'!AI32</f>
        <v>0</v>
      </c>
      <c r="AJ32" s="25"/>
    </row>
    <row r="33" spans="1:37">
      <c r="A33" s="24" t="s">
        <v>14</v>
      </c>
      <c r="B33" s="25" t="s">
        <v>32</v>
      </c>
      <c r="C33" s="29" t="s">
        <v>24</v>
      </c>
      <c r="D33" s="28">
        <f>'PSC 4-1 (Revised)'!D33-'PSC 4-1 (As Filed)'!D33</f>
        <v>0</v>
      </c>
      <c r="E33" s="28">
        <f>'PSC 4-1 (Revised)'!E33-'PSC 4-1 (As Filed)'!E33</f>
        <v>0</v>
      </c>
      <c r="F33" s="28">
        <f>'PSC 4-1 (Revised)'!F33-'PSC 4-1 (As Filed)'!F33</f>
        <v>0</v>
      </c>
      <c r="G33" s="28">
        <f>'PSC 4-1 (Revised)'!G33-'PSC 4-1 (As Filed)'!G33</f>
        <v>0</v>
      </c>
      <c r="H33" s="28">
        <f>'PSC 4-1 (Revised)'!H33-'PSC 4-1 (As Filed)'!H33</f>
        <v>0</v>
      </c>
      <c r="I33" s="28">
        <f>'PSC 4-1 (Revised)'!I33-'PSC 4-1 (As Filed)'!I33</f>
        <v>0</v>
      </c>
      <c r="J33" s="28">
        <f>'PSC 4-1 (Revised)'!J33-'PSC 4-1 (As Filed)'!J33</f>
        <v>0</v>
      </c>
      <c r="K33" s="28">
        <f>'PSC 4-1 (Revised)'!K33-'PSC 4-1 (As Filed)'!K33</f>
        <v>0</v>
      </c>
      <c r="L33" s="28">
        <f>'PSC 4-1 (Revised)'!L33-'PSC 4-1 (As Filed)'!L33</f>
        <v>0</v>
      </c>
      <c r="M33" s="28">
        <f>'PSC 4-1 (Revised)'!M33-'PSC 4-1 (As Filed)'!M33</f>
        <v>0</v>
      </c>
      <c r="N33" s="28">
        <f>'PSC 4-1 (Revised)'!N33-'PSC 4-1 (As Filed)'!N33</f>
        <v>0</v>
      </c>
      <c r="O33" s="28">
        <f>'PSC 4-1 (Revised)'!O33-'PSC 4-1 (As Filed)'!O33</f>
        <v>0</v>
      </c>
      <c r="P33" s="28">
        <f>'PSC 4-1 (Revised)'!P33-'PSC 4-1 (As Filed)'!P33</f>
        <v>0</v>
      </c>
      <c r="Q33" s="28">
        <f>'PSC 4-1 (Revised)'!Q33-'PSC 4-1 (As Filed)'!Q33</f>
        <v>0</v>
      </c>
      <c r="R33" s="28">
        <f>'PSC 4-1 (Revised)'!R33-'PSC 4-1 (As Filed)'!R33</f>
        <v>0</v>
      </c>
      <c r="S33" s="28">
        <f>'PSC 4-1 (Revised)'!S33-'PSC 4-1 (As Filed)'!S33</f>
        <v>0</v>
      </c>
      <c r="T33" s="28">
        <f>'PSC 4-1 (Revised)'!T33-'PSC 4-1 (As Filed)'!T33</f>
        <v>0</v>
      </c>
      <c r="U33" s="28">
        <f>'PSC 4-1 (Revised)'!U33-'PSC 4-1 (As Filed)'!U33</f>
        <v>0</v>
      </c>
      <c r="V33" s="28">
        <f>'PSC 4-1 (Revised)'!V33-'PSC 4-1 (As Filed)'!V33</f>
        <v>0</v>
      </c>
      <c r="W33" s="28">
        <f>'PSC 4-1 (Revised)'!W33-'PSC 4-1 (As Filed)'!W33</f>
        <v>0</v>
      </c>
      <c r="X33" s="28">
        <f>'PSC 4-1 (Revised)'!X33-'PSC 4-1 (As Filed)'!X33</f>
        <v>0</v>
      </c>
      <c r="Y33" s="28">
        <f>'PSC 4-1 (Revised)'!Y33-'PSC 4-1 (As Filed)'!Y33</f>
        <v>0</v>
      </c>
      <c r="Z33" s="28">
        <f>'PSC 4-1 (Revised)'!Z33-'PSC 4-1 (As Filed)'!Z33</f>
        <v>0</v>
      </c>
      <c r="AA33" s="28">
        <f>'PSC 4-1 (Revised)'!AA33-'PSC 4-1 (As Filed)'!AA33</f>
        <v>0</v>
      </c>
      <c r="AB33" s="28">
        <f>'PSC 4-1 (Revised)'!AB33-'PSC 4-1 (As Filed)'!AB33</f>
        <v>0</v>
      </c>
      <c r="AC33" s="28">
        <f>'PSC 4-1 (Revised)'!AC33-'PSC 4-1 (As Filed)'!AC33</f>
        <v>0</v>
      </c>
      <c r="AD33" s="28">
        <f>'PSC 4-1 (Revised)'!AD33-'PSC 4-1 (As Filed)'!AD33</f>
        <v>0</v>
      </c>
      <c r="AE33" s="28">
        <f>'PSC 4-1 (Revised)'!AE33-'PSC 4-1 (As Filed)'!AE33</f>
        <v>0</v>
      </c>
      <c r="AF33" s="28">
        <f>'PSC 4-1 (Revised)'!AF33-'PSC 4-1 (As Filed)'!AF33</f>
        <v>0</v>
      </c>
      <c r="AG33" s="28">
        <f>'PSC 4-1 (Revised)'!AG33-'PSC 4-1 (As Filed)'!AG33</f>
        <v>0</v>
      </c>
      <c r="AH33" s="28">
        <f>'PSC 4-1 (Revised)'!AH33-'PSC 4-1 (As Filed)'!AH33</f>
        <v>0</v>
      </c>
      <c r="AI33" s="28">
        <f>'PSC 4-1 (Revised)'!AI33-'PSC 4-1 (As Filed)'!AI33</f>
        <v>0</v>
      </c>
      <c r="AJ33" s="25"/>
    </row>
    <row r="34" spans="1:37">
      <c r="A34" s="24" t="s">
        <v>20</v>
      </c>
      <c r="B34" s="25" t="s">
        <v>33</v>
      </c>
      <c r="C34" s="29" t="s">
        <v>24</v>
      </c>
      <c r="D34" s="28">
        <f>'PSC 4-1 (Revised)'!D34-'PSC 4-1 (As Filed)'!D34</f>
        <v>0</v>
      </c>
      <c r="E34" s="28">
        <f>'PSC 4-1 (Revised)'!E34-'PSC 4-1 (As Filed)'!E34</f>
        <v>0</v>
      </c>
      <c r="F34" s="28">
        <f>'PSC 4-1 (Revised)'!F34-'PSC 4-1 (As Filed)'!F34</f>
        <v>0</v>
      </c>
      <c r="G34" s="28">
        <f>'PSC 4-1 (Revised)'!G34-'PSC 4-1 (As Filed)'!G34</f>
        <v>0</v>
      </c>
      <c r="H34" s="28">
        <f>'PSC 4-1 (Revised)'!H34-'PSC 4-1 (As Filed)'!H34</f>
        <v>0</v>
      </c>
      <c r="I34" s="28">
        <f>'PSC 4-1 (Revised)'!I34-'PSC 4-1 (As Filed)'!I34</f>
        <v>0</v>
      </c>
      <c r="J34" s="28">
        <f>'PSC 4-1 (Revised)'!J34-'PSC 4-1 (As Filed)'!J34</f>
        <v>0</v>
      </c>
      <c r="K34" s="28">
        <f>'PSC 4-1 (Revised)'!K34-'PSC 4-1 (As Filed)'!K34</f>
        <v>0</v>
      </c>
      <c r="L34" s="28">
        <f>'PSC 4-1 (Revised)'!L34-'PSC 4-1 (As Filed)'!L34</f>
        <v>0</v>
      </c>
      <c r="M34" s="28">
        <f>'PSC 4-1 (Revised)'!M34-'PSC 4-1 (As Filed)'!M34</f>
        <v>0</v>
      </c>
      <c r="N34" s="28">
        <f>'PSC 4-1 (Revised)'!N34-'PSC 4-1 (As Filed)'!N34</f>
        <v>0</v>
      </c>
      <c r="O34" s="28">
        <f>'PSC 4-1 (Revised)'!O34-'PSC 4-1 (As Filed)'!O34</f>
        <v>0</v>
      </c>
      <c r="P34" s="28">
        <f>'PSC 4-1 (Revised)'!P34-'PSC 4-1 (As Filed)'!P34</f>
        <v>0</v>
      </c>
      <c r="Q34" s="28">
        <f>'PSC 4-1 (Revised)'!Q34-'PSC 4-1 (As Filed)'!Q34</f>
        <v>0</v>
      </c>
      <c r="R34" s="28">
        <f>'PSC 4-1 (Revised)'!R34-'PSC 4-1 (As Filed)'!R34</f>
        <v>0</v>
      </c>
      <c r="S34" s="28">
        <f>'PSC 4-1 (Revised)'!S34-'PSC 4-1 (As Filed)'!S34</f>
        <v>0</v>
      </c>
      <c r="T34" s="28">
        <f>'PSC 4-1 (Revised)'!T34-'PSC 4-1 (As Filed)'!T34</f>
        <v>0</v>
      </c>
      <c r="U34" s="28">
        <f>'PSC 4-1 (Revised)'!U34-'PSC 4-1 (As Filed)'!U34</f>
        <v>0</v>
      </c>
      <c r="V34" s="28">
        <f>'PSC 4-1 (Revised)'!V34-'PSC 4-1 (As Filed)'!V34</f>
        <v>0</v>
      </c>
      <c r="W34" s="28">
        <f>'PSC 4-1 (Revised)'!W34-'PSC 4-1 (As Filed)'!W34</f>
        <v>0</v>
      </c>
      <c r="X34" s="28">
        <f>'PSC 4-1 (Revised)'!X34-'PSC 4-1 (As Filed)'!X34</f>
        <v>0</v>
      </c>
      <c r="Y34" s="28">
        <f>'PSC 4-1 (Revised)'!Y34-'PSC 4-1 (As Filed)'!Y34</f>
        <v>0</v>
      </c>
      <c r="Z34" s="28">
        <f>'PSC 4-1 (Revised)'!Z34-'PSC 4-1 (As Filed)'!Z34</f>
        <v>0</v>
      </c>
      <c r="AA34" s="28">
        <f>'PSC 4-1 (Revised)'!AA34-'PSC 4-1 (As Filed)'!AA34</f>
        <v>0</v>
      </c>
      <c r="AB34" s="28">
        <f>'PSC 4-1 (Revised)'!AB34-'PSC 4-1 (As Filed)'!AB34</f>
        <v>0</v>
      </c>
      <c r="AC34" s="28">
        <f>'PSC 4-1 (Revised)'!AC34-'PSC 4-1 (As Filed)'!AC34</f>
        <v>0</v>
      </c>
      <c r="AD34" s="28">
        <f>'PSC 4-1 (Revised)'!AD34-'PSC 4-1 (As Filed)'!AD34</f>
        <v>0</v>
      </c>
      <c r="AE34" s="28">
        <f>'PSC 4-1 (Revised)'!AE34-'PSC 4-1 (As Filed)'!AE34</f>
        <v>0</v>
      </c>
      <c r="AF34" s="28">
        <f>'PSC 4-1 (Revised)'!AF34-'PSC 4-1 (As Filed)'!AF34</f>
        <v>0</v>
      </c>
      <c r="AG34" s="28">
        <f>'PSC 4-1 (Revised)'!AG34-'PSC 4-1 (As Filed)'!AG34</f>
        <v>0</v>
      </c>
      <c r="AH34" s="28">
        <f>'PSC 4-1 (Revised)'!AH34-'PSC 4-1 (As Filed)'!AH34</f>
        <v>0</v>
      </c>
      <c r="AI34" s="28">
        <f>'PSC 4-1 (Revised)'!AI34-'PSC 4-1 (As Filed)'!AI34</f>
        <v>0</v>
      </c>
      <c r="AJ34" s="25"/>
    </row>
    <row r="35" spans="1:37">
      <c r="A35" s="24" t="s">
        <v>20</v>
      </c>
      <c r="B35" s="25" t="s">
        <v>34</v>
      </c>
      <c r="C35" s="26"/>
      <c r="D35" s="28">
        <f>'PSC 4-1 (Revised)'!D35-'PSC 4-1 (As Filed)'!D35</f>
        <v>0</v>
      </c>
      <c r="E35" s="28">
        <f>'PSC 4-1 (Revised)'!E35-'PSC 4-1 (As Filed)'!E35</f>
        <v>0</v>
      </c>
      <c r="F35" s="28">
        <f>'PSC 4-1 (Revised)'!F35-'PSC 4-1 (As Filed)'!F35</f>
        <v>0</v>
      </c>
      <c r="G35" s="28">
        <f>'PSC 4-1 (Revised)'!G35-'PSC 4-1 (As Filed)'!G35</f>
        <v>0</v>
      </c>
      <c r="H35" s="28">
        <f>'PSC 4-1 (Revised)'!H35-'PSC 4-1 (As Filed)'!H35</f>
        <v>0</v>
      </c>
      <c r="I35" s="28">
        <f>'PSC 4-1 (Revised)'!I35-'PSC 4-1 (As Filed)'!I35</f>
        <v>0</v>
      </c>
      <c r="J35" s="28">
        <f>'PSC 4-1 (Revised)'!J35-'PSC 4-1 (As Filed)'!J35</f>
        <v>0</v>
      </c>
      <c r="K35" s="28">
        <f>'PSC 4-1 (Revised)'!K35-'PSC 4-1 (As Filed)'!K35</f>
        <v>0</v>
      </c>
      <c r="L35" s="28">
        <f>'PSC 4-1 (Revised)'!L35-'PSC 4-1 (As Filed)'!L35</f>
        <v>0</v>
      </c>
      <c r="M35" s="28">
        <f>'PSC 4-1 (Revised)'!M35-'PSC 4-1 (As Filed)'!M35</f>
        <v>0</v>
      </c>
      <c r="N35" s="28">
        <f>'PSC 4-1 (Revised)'!N35-'PSC 4-1 (As Filed)'!N35</f>
        <v>0</v>
      </c>
      <c r="O35" s="28">
        <f>'PSC 4-1 (Revised)'!O35-'PSC 4-1 (As Filed)'!O35</f>
        <v>0</v>
      </c>
      <c r="P35" s="28">
        <f>'PSC 4-1 (Revised)'!P35-'PSC 4-1 (As Filed)'!P35</f>
        <v>0</v>
      </c>
      <c r="Q35" s="28">
        <f>'PSC 4-1 (Revised)'!Q35-'PSC 4-1 (As Filed)'!Q35</f>
        <v>0</v>
      </c>
      <c r="R35" s="28">
        <f>'PSC 4-1 (Revised)'!R35-'PSC 4-1 (As Filed)'!R35</f>
        <v>0</v>
      </c>
      <c r="S35" s="28">
        <f>'PSC 4-1 (Revised)'!S35-'PSC 4-1 (As Filed)'!S35</f>
        <v>0</v>
      </c>
      <c r="T35" s="28">
        <f>'PSC 4-1 (Revised)'!T35-'PSC 4-1 (As Filed)'!T35</f>
        <v>0</v>
      </c>
      <c r="U35" s="28">
        <f>'PSC 4-1 (Revised)'!U35-'PSC 4-1 (As Filed)'!U35</f>
        <v>0</v>
      </c>
      <c r="V35" s="28">
        <f>'PSC 4-1 (Revised)'!V35-'PSC 4-1 (As Filed)'!V35</f>
        <v>0</v>
      </c>
      <c r="W35" s="28">
        <f>'PSC 4-1 (Revised)'!W35-'PSC 4-1 (As Filed)'!W35</f>
        <v>0</v>
      </c>
      <c r="X35" s="28">
        <f>'PSC 4-1 (Revised)'!X35-'PSC 4-1 (As Filed)'!X35</f>
        <v>0</v>
      </c>
      <c r="Y35" s="28">
        <f>'PSC 4-1 (Revised)'!Y35-'PSC 4-1 (As Filed)'!Y35</f>
        <v>0</v>
      </c>
      <c r="Z35" s="28">
        <f>'PSC 4-1 (Revised)'!Z35-'PSC 4-1 (As Filed)'!Z35</f>
        <v>0</v>
      </c>
      <c r="AA35" s="28">
        <f>'PSC 4-1 (Revised)'!AA35-'PSC 4-1 (As Filed)'!AA35</f>
        <v>0</v>
      </c>
      <c r="AB35" s="28">
        <f>'PSC 4-1 (Revised)'!AB35-'PSC 4-1 (As Filed)'!AB35</f>
        <v>0</v>
      </c>
      <c r="AC35" s="28">
        <f>'PSC 4-1 (Revised)'!AC35-'PSC 4-1 (As Filed)'!AC35</f>
        <v>0</v>
      </c>
      <c r="AD35" s="28">
        <f>'PSC 4-1 (Revised)'!AD35-'PSC 4-1 (As Filed)'!AD35</f>
        <v>0</v>
      </c>
      <c r="AE35" s="28">
        <f>'PSC 4-1 (Revised)'!AE35-'PSC 4-1 (As Filed)'!AE35</f>
        <v>0</v>
      </c>
      <c r="AF35" s="28">
        <f>'PSC 4-1 (Revised)'!AF35-'PSC 4-1 (As Filed)'!AF35</f>
        <v>0</v>
      </c>
      <c r="AG35" s="28">
        <f>'PSC 4-1 (Revised)'!AG35-'PSC 4-1 (As Filed)'!AG35</f>
        <v>0</v>
      </c>
      <c r="AH35" s="28">
        <f>'PSC 4-1 (Revised)'!AH35-'PSC 4-1 (As Filed)'!AH35</f>
        <v>0</v>
      </c>
      <c r="AI35" s="28">
        <f>'PSC 4-1 (Revised)'!AI35-'PSC 4-1 (As Filed)'!AI35</f>
        <v>0</v>
      </c>
      <c r="AJ35" s="25"/>
    </row>
    <row r="36" spans="1:37">
      <c r="A36" s="24" t="s">
        <v>20</v>
      </c>
      <c r="B36" s="25" t="s">
        <v>35</v>
      </c>
      <c r="C36" s="29" t="s">
        <v>24</v>
      </c>
      <c r="D36" s="28">
        <f>'PSC 4-1 (Revised)'!D36-'PSC 4-1 (As Filed)'!D36</f>
        <v>0</v>
      </c>
      <c r="E36" s="28">
        <f>'PSC 4-1 (Revised)'!E36-'PSC 4-1 (As Filed)'!E36</f>
        <v>0</v>
      </c>
      <c r="F36" s="28">
        <f>'PSC 4-1 (Revised)'!F36-'PSC 4-1 (As Filed)'!F36</f>
        <v>0</v>
      </c>
      <c r="G36" s="28">
        <f>'PSC 4-1 (Revised)'!G36-'PSC 4-1 (As Filed)'!G36</f>
        <v>0</v>
      </c>
      <c r="H36" s="28">
        <f>'PSC 4-1 (Revised)'!H36-'PSC 4-1 (As Filed)'!H36</f>
        <v>0</v>
      </c>
      <c r="I36" s="28">
        <f>'PSC 4-1 (Revised)'!I36-'PSC 4-1 (As Filed)'!I36</f>
        <v>0</v>
      </c>
      <c r="J36" s="28">
        <f>'PSC 4-1 (Revised)'!J36-'PSC 4-1 (As Filed)'!J36</f>
        <v>0</v>
      </c>
      <c r="K36" s="28">
        <f>'PSC 4-1 (Revised)'!K36-'PSC 4-1 (As Filed)'!K36</f>
        <v>0</v>
      </c>
      <c r="L36" s="28">
        <f>'PSC 4-1 (Revised)'!L36-'PSC 4-1 (As Filed)'!L36</f>
        <v>0</v>
      </c>
      <c r="M36" s="28">
        <f>'PSC 4-1 (Revised)'!M36-'PSC 4-1 (As Filed)'!M36</f>
        <v>0</v>
      </c>
      <c r="N36" s="28">
        <f>'PSC 4-1 (Revised)'!N36-'PSC 4-1 (As Filed)'!N36</f>
        <v>0</v>
      </c>
      <c r="O36" s="28">
        <f>'PSC 4-1 (Revised)'!O36-'PSC 4-1 (As Filed)'!O36</f>
        <v>0</v>
      </c>
      <c r="P36" s="28">
        <f>'PSC 4-1 (Revised)'!P36-'PSC 4-1 (As Filed)'!P36</f>
        <v>0</v>
      </c>
      <c r="Q36" s="28">
        <f>'PSC 4-1 (Revised)'!Q36-'PSC 4-1 (As Filed)'!Q36</f>
        <v>0</v>
      </c>
      <c r="R36" s="28">
        <f>'PSC 4-1 (Revised)'!R36-'PSC 4-1 (As Filed)'!R36</f>
        <v>0</v>
      </c>
      <c r="S36" s="28">
        <f>'PSC 4-1 (Revised)'!S36-'PSC 4-1 (As Filed)'!S36</f>
        <v>0</v>
      </c>
      <c r="T36" s="28">
        <f>'PSC 4-1 (Revised)'!T36-'PSC 4-1 (As Filed)'!T36</f>
        <v>0</v>
      </c>
      <c r="U36" s="28">
        <f>'PSC 4-1 (Revised)'!U36-'PSC 4-1 (As Filed)'!U36</f>
        <v>0</v>
      </c>
      <c r="V36" s="28">
        <f>'PSC 4-1 (Revised)'!V36-'PSC 4-1 (As Filed)'!V36</f>
        <v>0</v>
      </c>
      <c r="W36" s="28">
        <f>'PSC 4-1 (Revised)'!W36-'PSC 4-1 (As Filed)'!W36</f>
        <v>0</v>
      </c>
      <c r="X36" s="28">
        <f>'PSC 4-1 (Revised)'!X36-'PSC 4-1 (As Filed)'!X36</f>
        <v>0</v>
      </c>
      <c r="Y36" s="28">
        <f>'PSC 4-1 (Revised)'!Y36-'PSC 4-1 (As Filed)'!Y36</f>
        <v>0</v>
      </c>
      <c r="Z36" s="28">
        <f>'PSC 4-1 (Revised)'!Z36-'PSC 4-1 (As Filed)'!Z36</f>
        <v>0</v>
      </c>
      <c r="AA36" s="28">
        <f>'PSC 4-1 (Revised)'!AA36-'PSC 4-1 (As Filed)'!AA36</f>
        <v>0</v>
      </c>
      <c r="AB36" s="28">
        <f>'PSC 4-1 (Revised)'!AB36-'PSC 4-1 (As Filed)'!AB36</f>
        <v>0</v>
      </c>
      <c r="AC36" s="28">
        <f>'PSC 4-1 (Revised)'!AC36-'PSC 4-1 (As Filed)'!AC36</f>
        <v>0</v>
      </c>
      <c r="AD36" s="28">
        <f>'PSC 4-1 (Revised)'!AD36-'PSC 4-1 (As Filed)'!AD36</f>
        <v>0</v>
      </c>
      <c r="AE36" s="28">
        <f>'PSC 4-1 (Revised)'!AE36-'PSC 4-1 (As Filed)'!AE36</f>
        <v>0</v>
      </c>
      <c r="AF36" s="28">
        <f>'PSC 4-1 (Revised)'!AF36-'PSC 4-1 (As Filed)'!AF36</f>
        <v>0</v>
      </c>
      <c r="AG36" s="28">
        <f>'PSC 4-1 (Revised)'!AG36-'PSC 4-1 (As Filed)'!AG36</f>
        <v>0</v>
      </c>
      <c r="AH36" s="28">
        <f>'PSC 4-1 (Revised)'!AH36-'PSC 4-1 (As Filed)'!AH36</f>
        <v>0</v>
      </c>
      <c r="AI36" s="28">
        <f>'PSC 4-1 (Revised)'!AI36-'PSC 4-1 (As Filed)'!AI36</f>
        <v>0</v>
      </c>
      <c r="AJ36" s="25"/>
    </row>
    <row r="37" spans="1:37">
      <c r="A37" s="24" t="s">
        <v>20</v>
      </c>
      <c r="B37" s="30" t="s">
        <v>36</v>
      </c>
      <c r="C37" s="31"/>
      <c r="D37" s="32">
        <f>'PSC 4-1 (Revised)'!D37-'PSC 4-1 (As Filed)'!D37</f>
        <v>0</v>
      </c>
      <c r="E37" s="32">
        <f>'PSC 4-1 (Revised)'!E37-'PSC 4-1 (As Filed)'!E37</f>
        <v>0</v>
      </c>
      <c r="F37" s="32">
        <f>'PSC 4-1 (Revised)'!F37-'PSC 4-1 (As Filed)'!F37</f>
        <v>0</v>
      </c>
      <c r="G37" s="32">
        <f>'PSC 4-1 (Revised)'!G37-'PSC 4-1 (As Filed)'!G37</f>
        <v>0</v>
      </c>
      <c r="H37" s="32">
        <f>'PSC 4-1 (Revised)'!H37-'PSC 4-1 (As Filed)'!H37</f>
        <v>0</v>
      </c>
      <c r="I37" s="32">
        <f>'PSC 4-1 (Revised)'!I37-'PSC 4-1 (As Filed)'!I37</f>
        <v>0</v>
      </c>
      <c r="J37" s="32">
        <f>'PSC 4-1 (Revised)'!J37-'PSC 4-1 (As Filed)'!J37</f>
        <v>0</v>
      </c>
      <c r="K37" s="32">
        <f>'PSC 4-1 (Revised)'!K37-'PSC 4-1 (As Filed)'!K37</f>
        <v>0</v>
      </c>
      <c r="L37" s="32">
        <f>'PSC 4-1 (Revised)'!L37-'PSC 4-1 (As Filed)'!L37</f>
        <v>0</v>
      </c>
      <c r="M37" s="32">
        <f>'PSC 4-1 (Revised)'!M37-'PSC 4-1 (As Filed)'!M37</f>
        <v>0</v>
      </c>
      <c r="N37" s="32">
        <f>'PSC 4-1 (Revised)'!N37-'PSC 4-1 (As Filed)'!N37</f>
        <v>0</v>
      </c>
      <c r="O37" s="32">
        <f>'PSC 4-1 (Revised)'!O37-'PSC 4-1 (As Filed)'!O37</f>
        <v>0</v>
      </c>
      <c r="P37" s="32">
        <f>'PSC 4-1 (Revised)'!P37-'PSC 4-1 (As Filed)'!P37</f>
        <v>0</v>
      </c>
      <c r="Q37" s="32">
        <f>'PSC 4-1 (Revised)'!Q37-'PSC 4-1 (As Filed)'!Q37</f>
        <v>0</v>
      </c>
      <c r="R37" s="32">
        <f>'PSC 4-1 (Revised)'!R37-'PSC 4-1 (As Filed)'!R37</f>
        <v>0</v>
      </c>
      <c r="S37" s="32">
        <f>'PSC 4-1 (Revised)'!S37-'PSC 4-1 (As Filed)'!S37</f>
        <v>0</v>
      </c>
      <c r="T37" s="32">
        <f>'PSC 4-1 (Revised)'!T37-'PSC 4-1 (As Filed)'!T37</f>
        <v>0</v>
      </c>
      <c r="U37" s="32">
        <f>'PSC 4-1 (Revised)'!U37-'PSC 4-1 (As Filed)'!U37</f>
        <v>0</v>
      </c>
      <c r="V37" s="32">
        <f>'PSC 4-1 (Revised)'!V37-'PSC 4-1 (As Filed)'!V37</f>
        <v>0</v>
      </c>
      <c r="W37" s="32">
        <f>'PSC 4-1 (Revised)'!W37-'PSC 4-1 (As Filed)'!W37</f>
        <v>0</v>
      </c>
      <c r="X37" s="32">
        <f>'PSC 4-1 (Revised)'!X37-'PSC 4-1 (As Filed)'!X37</f>
        <v>0</v>
      </c>
      <c r="Y37" s="32">
        <f>'PSC 4-1 (Revised)'!Y37-'PSC 4-1 (As Filed)'!Y37</f>
        <v>0</v>
      </c>
      <c r="Z37" s="32">
        <f>'PSC 4-1 (Revised)'!Z37-'PSC 4-1 (As Filed)'!Z37</f>
        <v>0</v>
      </c>
      <c r="AA37" s="32">
        <f>'PSC 4-1 (Revised)'!AA37-'PSC 4-1 (As Filed)'!AA37</f>
        <v>0</v>
      </c>
      <c r="AB37" s="32">
        <f>'PSC 4-1 (Revised)'!AB37-'PSC 4-1 (As Filed)'!AB37</f>
        <v>0</v>
      </c>
      <c r="AC37" s="32">
        <f>'PSC 4-1 (Revised)'!AC37-'PSC 4-1 (As Filed)'!AC37</f>
        <v>0</v>
      </c>
      <c r="AD37" s="32">
        <f>'PSC 4-1 (Revised)'!AD37-'PSC 4-1 (As Filed)'!AD37</f>
        <v>0</v>
      </c>
      <c r="AE37" s="32">
        <f>'PSC 4-1 (Revised)'!AE37-'PSC 4-1 (As Filed)'!AE37</f>
        <v>0</v>
      </c>
      <c r="AF37" s="32">
        <f>'PSC 4-1 (Revised)'!AF37-'PSC 4-1 (As Filed)'!AF37</f>
        <v>0</v>
      </c>
      <c r="AG37" s="32">
        <f>'PSC 4-1 (Revised)'!AG37-'PSC 4-1 (As Filed)'!AG37</f>
        <v>0</v>
      </c>
      <c r="AH37" s="32">
        <f>'PSC 4-1 (Revised)'!AH37-'PSC 4-1 (As Filed)'!AH37</f>
        <v>0</v>
      </c>
      <c r="AI37" s="32">
        <f>'PSC 4-1 (Revised)'!AI37-'PSC 4-1 (As Filed)'!AI37</f>
        <v>0</v>
      </c>
      <c r="AJ37" s="13"/>
    </row>
    <row r="38" spans="1:37">
      <c r="A38" s="24" t="s">
        <v>37</v>
      </c>
      <c r="B38" s="25" t="s">
        <v>38</v>
      </c>
      <c r="C38" s="26"/>
      <c r="D38" s="33">
        <f t="shared" ref="D38:N38" si="49">D31+D32+D33-D34-D35-D36-D37</f>
        <v>0</v>
      </c>
      <c r="E38" s="33">
        <f t="shared" si="49"/>
        <v>0</v>
      </c>
      <c r="F38" s="33">
        <f t="shared" si="49"/>
        <v>0</v>
      </c>
      <c r="G38" s="33">
        <f t="shared" si="49"/>
        <v>0</v>
      </c>
      <c r="H38" s="33">
        <f t="shared" si="49"/>
        <v>0</v>
      </c>
      <c r="I38" s="33">
        <f t="shared" si="49"/>
        <v>0</v>
      </c>
      <c r="J38" s="33">
        <f t="shared" si="49"/>
        <v>0</v>
      </c>
      <c r="K38" s="33">
        <f t="shared" si="49"/>
        <v>0</v>
      </c>
      <c r="L38" s="33">
        <f t="shared" si="49"/>
        <v>0</v>
      </c>
      <c r="M38" s="33">
        <f t="shared" si="49"/>
        <v>0</v>
      </c>
      <c r="N38" s="33">
        <f t="shared" si="49"/>
        <v>0</v>
      </c>
      <c r="O38" s="33">
        <f t="shared" ref="O38:P38" si="50">O31+O32+O33-O34-O35-O36-O37</f>
        <v>0</v>
      </c>
      <c r="P38" s="33">
        <f t="shared" si="50"/>
        <v>0</v>
      </c>
      <c r="Q38" s="33">
        <f t="shared" ref="Q38:R38" si="51">Q31+Q32+Q33-Q34-Q35-Q36-Q37</f>
        <v>0</v>
      </c>
      <c r="R38" s="33">
        <f t="shared" si="51"/>
        <v>0</v>
      </c>
      <c r="S38" s="33">
        <f t="shared" ref="S38:T38" si="52">S31+S32+S33-S34-S35-S36-S37</f>
        <v>0</v>
      </c>
      <c r="T38" s="33">
        <f t="shared" si="52"/>
        <v>0</v>
      </c>
      <c r="U38" s="33">
        <f t="shared" ref="U38:V38" si="53">U31+U32+U33-U34-U35-U36-U37</f>
        <v>0</v>
      </c>
      <c r="V38" s="33">
        <f t="shared" si="53"/>
        <v>0</v>
      </c>
      <c r="W38" s="33">
        <f t="shared" ref="W38:X38" si="54">W31+W32+W33-W34-W35-W36-W37</f>
        <v>0</v>
      </c>
      <c r="X38" s="33">
        <f t="shared" si="54"/>
        <v>0</v>
      </c>
      <c r="Y38" s="33">
        <f t="shared" ref="Y38:Z38" si="55">Y31+Y32+Y33-Y34-Y35-Y36-Y37</f>
        <v>0</v>
      </c>
      <c r="Z38" s="33">
        <f t="shared" si="55"/>
        <v>0</v>
      </c>
      <c r="AA38" s="33">
        <f t="shared" ref="AA38:AB38" si="56">AA31+AA32+AA33-AA34-AA35-AA36-AA37</f>
        <v>0</v>
      </c>
      <c r="AB38" s="33">
        <f t="shared" si="56"/>
        <v>0</v>
      </c>
      <c r="AC38" s="33">
        <f t="shared" ref="AC38:AD38" si="57">AC31+AC32+AC33-AC34-AC35-AC36-AC37</f>
        <v>0</v>
      </c>
      <c r="AD38" s="33">
        <f t="shared" si="57"/>
        <v>0</v>
      </c>
      <c r="AE38" s="33">
        <f t="shared" ref="AE38:AF38" si="58">AE31+AE32+AE33-AE34-AE35-AE36-AE37</f>
        <v>0</v>
      </c>
      <c r="AF38" s="33">
        <f t="shared" si="58"/>
        <v>0</v>
      </c>
      <c r="AG38" s="33">
        <f t="shared" ref="AG38:AH38" si="59">AG31+AG32+AG33-AG34-AG35-AG36-AG37</f>
        <v>0</v>
      </c>
      <c r="AH38" s="33">
        <f t="shared" si="59"/>
        <v>0</v>
      </c>
      <c r="AI38" s="33">
        <f t="shared" ref="AI38" si="60">AI31+AI32+AI33-AI34-AI35-AI36-AI37</f>
        <v>0</v>
      </c>
      <c r="AJ38" s="13"/>
      <c r="AK38" s="14"/>
    </row>
    <row r="39" spans="1:37">
      <c r="A39" s="13"/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13"/>
    </row>
    <row r="40" spans="1:37">
      <c r="A40" s="13" t="s">
        <v>39</v>
      </c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13"/>
    </row>
    <row r="41" spans="1:37">
      <c r="A41" s="24" t="s">
        <v>40</v>
      </c>
      <c r="B41" s="25" t="s">
        <v>41</v>
      </c>
      <c r="C41" s="29"/>
      <c r="D41" s="27">
        <f>'PSC 4-1 (Revised)'!D41-'PSC 4-1 (As Filed)'!D41</f>
        <v>0</v>
      </c>
      <c r="E41" s="27">
        <f>'PSC 4-1 (Revised)'!E41-'PSC 4-1 (As Filed)'!E41</f>
        <v>0</v>
      </c>
      <c r="F41" s="27">
        <f>'PSC 4-1 (Revised)'!F41-'PSC 4-1 (As Filed)'!F41</f>
        <v>0</v>
      </c>
      <c r="G41" s="27">
        <f>'PSC 4-1 (Revised)'!G41-'PSC 4-1 (As Filed)'!G41</f>
        <v>0</v>
      </c>
      <c r="H41" s="27">
        <f>'PSC 4-1 (Revised)'!H41-'PSC 4-1 (As Filed)'!H41</f>
        <v>0</v>
      </c>
      <c r="I41" s="27">
        <f>'PSC 4-1 (Revised)'!I41-'PSC 4-1 (As Filed)'!I41</f>
        <v>0</v>
      </c>
      <c r="J41" s="27">
        <f>'PSC 4-1 (Revised)'!J41-'PSC 4-1 (As Filed)'!J41</f>
        <v>0</v>
      </c>
      <c r="K41" s="27">
        <f>'PSC 4-1 (Revised)'!K41-'PSC 4-1 (As Filed)'!K41</f>
        <v>0</v>
      </c>
      <c r="L41" s="27">
        <f>'PSC 4-1 (Revised)'!L41-'PSC 4-1 (As Filed)'!L41</f>
        <v>0</v>
      </c>
      <c r="M41" s="27">
        <f>'PSC 4-1 (Revised)'!M41-'PSC 4-1 (As Filed)'!M41</f>
        <v>0</v>
      </c>
      <c r="N41" s="27">
        <f>'PSC 4-1 (Revised)'!N41-'PSC 4-1 (As Filed)'!N41</f>
        <v>0</v>
      </c>
      <c r="O41" s="27">
        <f>'PSC 4-1 (Revised)'!O41-'PSC 4-1 (As Filed)'!O41</f>
        <v>0</v>
      </c>
      <c r="P41" s="27">
        <f>'PSC 4-1 (Revised)'!P41-'PSC 4-1 (As Filed)'!P41</f>
        <v>0</v>
      </c>
      <c r="Q41" s="27">
        <f>'PSC 4-1 (Revised)'!Q41-'PSC 4-1 (As Filed)'!Q41</f>
        <v>0</v>
      </c>
      <c r="R41" s="27">
        <f>'PSC 4-1 (Revised)'!R41-'PSC 4-1 (As Filed)'!R41</f>
        <v>0</v>
      </c>
      <c r="S41" s="27">
        <f>'PSC 4-1 (Revised)'!S41-'PSC 4-1 (As Filed)'!S41</f>
        <v>0</v>
      </c>
      <c r="T41" s="27">
        <f>'PSC 4-1 (Revised)'!T41-'PSC 4-1 (As Filed)'!T41</f>
        <v>0</v>
      </c>
      <c r="U41" s="27">
        <f>'PSC 4-1 (Revised)'!U41-'PSC 4-1 (As Filed)'!U41</f>
        <v>0</v>
      </c>
      <c r="V41" s="27">
        <f>'PSC 4-1 (Revised)'!V41-'PSC 4-1 (As Filed)'!V41</f>
        <v>0</v>
      </c>
      <c r="W41" s="27">
        <f>'PSC 4-1 (Revised)'!W41-'PSC 4-1 (As Filed)'!W41</f>
        <v>0</v>
      </c>
      <c r="X41" s="27">
        <f>'PSC 4-1 (Revised)'!X41-'PSC 4-1 (As Filed)'!X41</f>
        <v>0</v>
      </c>
      <c r="Y41" s="27">
        <f>'PSC 4-1 (Revised)'!Y41-'PSC 4-1 (As Filed)'!Y41</f>
        <v>0</v>
      </c>
      <c r="Z41" s="27">
        <f>'PSC 4-1 (Revised)'!Z41-'PSC 4-1 (As Filed)'!Z41</f>
        <v>0</v>
      </c>
      <c r="AA41" s="27">
        <f>'PSC 4-1 (Revised)'!AA41-'PSC 4-1 (As Filed)'!AA41</f>
        <v>0</v>
      </c>
      <c r="AB41" s="27">
        <f>'PSC 4-1 (Revised)'!AB41-'PSC 4-1 (As Filed)'!AB41</f>
        <v>0</v>
      </c>
      <c r="AC41" s="27">
        <f>'PSC 4-1 (Revised)'!AC41-'PSC 4-1 (As Filed)'!AC41</f>
        <v>0</v>
      </c>
      <c r="AD41" s="27">
        <f>'PSC 4-1 (Revised)'!AD41-'PSC 4-1 (As Filed)'!AD41</f>
        <v>0</v>
      </c>
      <c r="AE41" s="27">
        <f>'PSC 4-1 (Revised)'!AE41-'PSC 4-1 (As Filed)'!AE41</f>
        <v>0</v>
      </c>
      <c r="AF41" s="27">
        <f>'PSC 4-1 (Revised)'!AF41-'PSC 4-1 (As Filed)'!AF41</f>
        <v>0</v>
      </c>
      <c r="AG41" s="27">
        <f>'PSC 4-1 (Revised)'!AG41-'PSC 4-1 (As Filed)'!AG41</f>
        <v>0</v>
      </c>
      <c r="AH41" s="27">
        <f>'PSC 4-1 (Revised)'!AH41-'PSC 4-1 (As Filed)'!AH41</f>
        <v>0</v>
      </c>
      <c r="AI41" s="27">
        <f>'PSC 4-1 (Revised)'!AI41-'PSC 4-1 (As Filed)'!AI41</f>
        <v>0</v>
      </c>
      <c r="AJ41" s="25"/>
      <c r="AK41" s="35"/>
    </row>
    <row r="42" spans="1:37">
      <c r="A42" s="13"/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13"/>
    </row>
    <row r="43" spans="1:37">
      <c r="A43" s="24" t="s">
        <v>42</v>
      </c>
      <c r="B43" s="25" t="s">
        <v>43</v>
      </c>
      <c r="C43" s="26" t="s">
        <v>44</v>
      </c>
      <c r="D43" s="27">
        <f>D87</f>
        <v>0</v>
      </c>
      <c r="E43" s="27">
        <f t="shared" ref="E43:N43" si="61">E87</f>
        <v>-53771</v>
      </c>
      <c r="F43" s="27">
        <f t="shared" si="61"/>
        <v>-19634</v>
      </c>
      <c r="G43" s="27">
        <f t="shared" si="61"/>
        <v>-6297</v>
      </c>
      <c r="H43" s="27">
        <f t="shared" si="61"/>
        <v>9036</v>
      </c>
      <c r="I43" s="27">
        <f t="shared" si="61"/>
        <v>-105967</v>
      </c>
      <c r="J43" s="27">
        <f t="shared" si="61"/>
        <v>-162843</v>
      </c>
      <c r="K43" s="27">
        <f t="shared" si="61"/>
        <v>-284244</v>
      </c>
      <c r="L43" s="27">
        <f t="shared" si="61"/>
        <v>-171598</v>
      </c>
      <c r="M43" s="27">
        <f t="shared" si="61"/>
        <v>-123742</v>
      </c>
      <c r="N43" s="27">
        <f t="shared" si="61"/>
        <v>-97041</v>
      </c>
      <c r="O43" s="27">
        <f t="shared" ref="O43:P43" si="62">O87</f>
        <v>-419206</v>
      </c>
      <c r="P43" s="27">
        <f t="shared" si="62"/>
        <v>-514923</v>
      </c>
      <c r="Q43" s="27">
        <f t="shared" ref="Q43:R43" si="63">Q87</f>
        <v>-521717</v>
      </c>
      <c r="R43" s="27">
        <f t="shared" si="63"/>
        <v>-98855</v>
      </c>
      <c r="S43" s="27">
        <f t="shared" ref="S43:T43" si="64">S87</f>
        <v>-478732</v>
      </c>
      <c r="T43" s="27">
        <f t="shared" si="64"/>
        <v>-307827</v>
      </c>
      <c r="U43" s="27">
        <f t="shared" ref="U43:V43" si="65">U87</f>
        <v>-205110</v>
      </c>
      <c r="V43" s="27">
        <f t="shared" si="65"/>
        <v>-248909</v>
      </c>
      <c r="W43" s="27">
        <f t="shared" ref="W43:X43" si="66">W87</f>
        <v>-245326</v>
      </c>
      <c r="X43" s="27">
        <f t="shared" si="66"/>
        <v>-328788</v>
      </c>
      <c r="Y43" s="27">
        <f t="shared" ref="Y43:Z43" si="67">Y87</f>
        <v>-330291</v>
      </c>
      <c r="Z43" s="27">
        <f t="shared" si="67"/>
        <v>-471301</v>
      </c>
      <c r="AA43" s="27">
        <f t="shared" ref="AA43:AB43" si="68">AA87</f>
        <v>-569585</v>
      </c>
      <c r="AB43" s="27">
        <f t="shared" si="68"/>
        <v>-696421</v>
      </c>
      <c r="AC43" s="27">
        <f t="shared" ref="AC43:AD43" si="69">AC87</f>
        <v>-482611</v>
      </c>
      <c r="AD43" s="27">
        <f t="shared" si="69"/>
        <v>-633834</v>
      </c>
      <c r="AE43" s="27">
        <f t="shared" ref="AE43:AF43" si="70">AE87</f>
        <v>-410563</v>
      </c>
      <c r="AF43" s="27">
        <f t="shared" si="70"/>
        <v>-646600</v>
      </c>
      <c r="AG43" s="27">
        <f t="shared" ref="AG43:AH43" si="71">AG87</f>
        <v>-1019120</v>
      </c>
      <c r="AH43" s="27">
        <f t="shared" si="71"/>
        <v>-843814</v>
      </c>
      <c r="AI43" s="27">
        <f t="shared" ref="AI43" si="72">AI87</f>
        <v>-715555</v>
      </c>
      <c r="AJ43" s="13"/>
      <c r="AK43" s="35"/>
    </row>
    <row r="44" spans="1:37">
      <c r="A44" s="24"/>
      <c r="B44" s="25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13"/>
    </row>
    <row r="45" spans="1:37" s="4" customFormat="1">
      <c r="A45" s="70"/>
      <c r="B45" s="71" t="s">
        <v>45</v>
      </c>
      <c r="C45" s="72"/>
      <c r="D45" s="73">
        <f t="shared" ref="D45:N45" si="73">D28+D38-D41-D43</f>
        <v>0</v>
      </c>
      <c r="E45" s="73">
        <f t="shared" si="73"/>
        <v>53771</v>
      </c>
      <c r="F45" s="73">
        <f t="shared" si="73"/>
        <v>19634</v>
      </c>
      <c r="G45" s="73">
        <f t="shared" si="73"/>
        <v>6297</v>
      </c>
      <c r="H45" s="73">
        <f t="shared" si="73"/>
        <v>-9036</v>
      </c>
      <c r="I45" s="73">
        <f t="shared" si="73"/>
        <v>105967</v>
      </c>
      <c r="J45" s="73">
        <f t="shared" si="73"/>
        <v>162843</v>
      </c>
      <c r="K45" s="73">
        <f t="shared" si="73"/>
        <v>284244</v>
      </c>
      <c r="L45" s="73">
        <f t="shared" si="73"/>
        <v>171598</v>
      </c>
      <c r="M45" s="73">
        <f t="shared" si="73"/>
        <v>123742</v>
      </c>
      <c r="N45" s="73">
        <f t="shared" si="73"/>
        <v>97041</v>
      </c>
      <c r="O45" s="73">
        <f t="shared" ref="O45:P45" si="74">O28+O38-O41-O43</f>
        <v>419206</v>
      </c>
      <c r="P45" s="73">
        <f t="shared" si="74"/>
        <v>514923</v>
      </c>
      <c r="Q45" s="73">
        <f t="shared" ref="Q45:R45" si="75">Q28+Q38-Q41-Q43</f>
        <v>521717</v>
      </c>
      <c r="R45" s="73">
        <f t="shared" si="75"/>
        <v>98855</v>
      </c>
      <c r="S45" s="73">
        <f t="shared" ref="S45:T45" si="76">S28+S38-S41-S43</f>
        <v>478732</v>
      </c>
      <c r="T45" s="73">
        <f t="shared" si="76"/>
        <v>307827</v>
      </c>
      <c r="U45" s="73">
        <f t="shared" ref="U45:V45" si="77">U28+U38-U41-U43</f>
        <v>205110</v>
      </c>
      <c r="V45" s="73">
        <f t="shared" si="77"/>
        <v>248909</v>
      </c>
      <c r="W45" s="73">
        <f t="shared" ref="W45:X45" si="78">W28+W38-W41-W43</f>
        <v>245326</v>
      </c>
      <c r="X45" s="73">
        <f t="shared" si="78"/>
        <v>328788</v>
      </c>
      <c r="Y45" s="73">
        <f t="shared" ref="Y45:Z45" si="79">Y28+Y38-Y41-Y43</f>
        <v>330291</v>
      </c>
      <c r="Z45" s="73">
        <f t="shared" si="79"/>
        <v>471301</v>
      </c>
      <c r="AA45" s="73">
        <f t="shared" ref="AA45:AB45" si="80">AA28+AA38-AA41-AA43</f>
        <v>569585</v>
      </c>
      <c r="AB45" s="73">
        <f t="shared" si="80"/>
        <v>696421</v>
      </c>
      <c r="AC45" s="73">
        <f t="shared" ref="AC45:AD45" si="81">AC28+AC38-AC41-AC43</f>
        <v>482611</v>
      </c>
      <c r="AD45" s="73">
        <f t="shared" si="81"/>
        <v>633834</v>
      </c>
      <c r="AE45" s="73">
        <f t="shared" ref="AE45:AF45" si="82">AE28+AE38-AE41-AE43</f>
        <v>410563</v>
      </c>
      <c r="AF45" s="73">
        <f t="shared" si="82"/>
        <v>646600</v>
      </c>
      <c r="AG45" s="73">
        <f t="shared" ref="AG45:AH45" si="83">AG28+AG38-AG41-AG43</f>
        <v>1019120</v>
      </c>
      <c r="AH45" s="73">
        <f t="shared" si="83"/>
        <v>843814</v>
      </c>
      <c r="AI45" s="73">
        <f t="shared" ref="AI45" si="84">AI28+AI38-AI41-AI43</f>
        <v>715555</v>
      </c>
      <c r="AJ45" s="36"/>
      <c r="AK45" s="14"/>
    </row>
    <row r="46" spans="1:37">
      <c r="A46" s="4"/>
      <c r="B46" s="4"/>
      <c r="C46" s="3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</row>
    <row r="47" spans="1:37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37"/>
    </row>
    <row r="48" spans="1:37">
      <c r="A48" s="4"/>
      <c r="B48" s="4"/>
      <c r="C48" s="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7">
      <c r="A49" s="8" t="s">
        <v>46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38"/>
    </row>
    <row r="50" spans="1:37" ht="18" customHeight="1">
      <c r="A50" s="12"/>
      <c r="B50" s="1" t="s">
        <v>47</v>
      </c>
      <c r="D50" s="39">
        <f>'PSC 4-1 (Revised)'!D50-'PSC 4-1 (As Filed)'!D50</f>
        <v>0</v>
      </c>
      <c r="E50" s="39">
        <f>'PSC 4-1 (Revised)'!E50-'PSC 4-1 (As Filed)'!E50</f>
        <v>0</v>
      </c>
      <c r="F50" s="39">
        <f>'PSC 4-1 (Revised)'!F50-'PSC 4-1 (As Filed)'!F50</f>
        <v>0</v>
      </c>
      <c r="G50" s="39">
        <f>'PSC 4-1 (Revised)'!G50-'PSC 4-1 (As Filed)'!G50</f>
        <v>0</v>
      </c>
      <c r="H50" s="39">
        <f>'PSC 4-1 (Revised)'!H50-'PSC 4-1 (As Filed)'!H50</f>
        <v>0</v>
      </c>
      <c r="I50" s="39">
        <f>'PSC 4-1 (Revised)'!I50-'PSC 4-1 (As Filed)'!I50</f>
        <v>0</v>
      </c>
      <c r="J50" s="39">
        <f>'PSC 4-1 (Revised)'!J50-'PSC 4-1 (As Filed)'!J50</f>
        <v>0</v>
      </c>
      <c r="K50" s="39">
        <f>'PSC 4-1 (Revised)'!K50-'PSC 4-1 (As Filed)'!K50</f>
        <v>0</v>
      </c>
      <c r="L50" s="39">
        <f>'PSC 4-1 (Revised)'!L50-'PSC 4-1 (As Filed)'!L50</f>
        <v>0</v>
      </c>
      <c r="M50" s="39">
        <f>'PSC 4-1 (Revised)'!M50-'PSC 4-1 (As Filed)'!M50</f>
        <v>0</v>
      </c>
      <c r="N50" s="39">
        <f>'PSC 4-1 (Revised)'!N50-'PSC 4-1 (As Filed)'!N50</f>
        <v>0</v>
      </c>
      <c r="O50" s="39">
        <f>'PSC 4-1 (Revised)'!O50-'PSC 4-1 (As Filed)'!O50</f>
        <v>0</v>
      </c>
      <c r="P50" s="39">
        <f>'PSC 4-1 (Revised)'!P50-'PSC 4-1 (As Filed)'!P50</f>
        <v>0</v>
      </c>
      <c r="Q50" s="39">
        <f>'PSC 4-1 (Revised)'!Q50-'PSC 4-1 (As Filed)'!Q50</f>
        <v>0</v>
      </c>
      <c r="R50" s="39">
        <f>'PSC 4-1 (Revised)'!R50-'PSC 4-1 (As Filed)'!R50</f>
        <v>0</v>
      </c>
      <c r="S50" s="39">
        <f>'PSC 4-1 (Revised)'!S50-'PSC 4-1 (As Filed)'!S50</f>
        <v>0</v>
      </c>
      <c r="T50" s="39">
        <f>'PSC 4-1 (Revised)'!T50-'PSC 4-1 (As Filed)'!T50</f>
        <v>0</v>
      </c>
      <c r="U50" s="39">
        <f>'PSC 4-1 (Revised)'!U50-'PSC 4-1 (As Filed)'!U50</f>
        <v>0</v>
      </c>
      <c r="V50" s="39">
        <f>'PSC 4-1 (Revised)'!V50-'PSC 4-1 (As Filed)'!V50</f>
        <v>0</v>
      </c>
      <c r="W50" s="39">
        <f>'PSC 4-1 (Revised)'!W50-'PSC 4-1 (As Filed)'!W50</f>
        <v>0</v>
      </c>
      <c r="X50" s="39">
        <f>'PSC 4-1 (Revised)'!X50-'PSC 4-1 (As Filed)'!X50</f>
        <v>0</v>
      </c>
      <c r="Y50" s="39">
        <f>'PSC 4-1 (Revised)'!Y50-'PSC 4-1 (As Filed)'!Y50</f>
        <v>0</v>
      </c>
      <c r="Z50" s="39">
        <f>'PSC 4-1 (Revised)'!Z50-'PSC 4-1 (As Filed)'!Z50</f>
        <v>0</v>
      </c>
      <c r="AA50" s="39">
        <f>'PSC 4-1 (Revised)'!AA50-'PSC 4-1 (As Filed)'!AA50</f>
        <v>0</v>
      </c>
      <c r="AB50" s="39">
        <f>'PSC 4-1 (Revised)'!AB50-'PSC 4-1 (As Filed)'!AB50</f>
        <v>0</v>
      </c>
      <c r="AC50" s="39">
        <f>'PSC 4-1 (Revised)'!AC50-'PSC 4-1 (As Filed)'!AC50</f>
        <v>0</v>
      </c>
      <c r="AD50" s="39">
        <f>'PSC 4-1 (Revised)'!AD50-'PSC 4-1 (As Filed)'!AD50</f>
        <v>0</v>
      </c>
      <c r="AE50" s="39">
        <f>'PSC 4-1 (Revised)'!AE50-'PSC 4-1 (As Filed)'!AE50</f>
        <v>0</v>
      </c>
      <c r="AF50" s="39">
        <f>'PSC 4-1 (Revised)'!AF50-'PSC 4-1 (As Filed)'!AF50</f>
        <v>0</v>
      </c>
      <c r="AG50" s="39">
        <f>'PSC 4-1 (Revised)'!AG50-'PSC 4-1 (As Filed)'!AG50</f>
        <v>0</v>
      </c>
      <c r="AH50" s="39">
        <f>'PSC 4-1 (Revised)'!AH50-'PSC 4-1 (As Filed)'!AH50</f>
        <v>0</v>
      </c>
      <c r="AI50" s="39">
        <f>'PSC 4-1 (Revised)'!AI50-'PSC 4-1 (As Filed)'!AI50</f>
        <v>0</v>
      </c>
      <c r="AJ50" s="40"/>
    </row>
    <row r="51" spans="1:37" ht="18" customHeight="1">
      <c r="A51" s="12"/>
      <c r="B51" s="19" t="s">
        <v>48</v>
      </c>
      <c r="C51" s="31" t="s">
        <v>24</v>
      </c>
      <c r="D51" s="41">
        <f>'PSC 4-1 (Revised)'!D51-'PSC 4-1 (As Filed)'!D51</f>
        <v>0</v>
      </c>
      <c r="E51" s="41">
        <f>'PSC 4-1 (Revised)'!E51-'PSC 4-1 (As Filed)'!E51</f>
        <v>0</v>
      </c>
      <c r="F51" s="41">
        <f>'PSC 4-1 (Revised)'!F51-'PSC 4-1 (As Filed)'!F51</f>
        <v>0</v>
      </c>
      <c r="G51" s="41">
        <f>'PSC 4-1 (Revised)'!G51-'PSC 4-1 (As Filed)'!G51</f>
        <v>0</v>
      </c>
      <c r="H51" s="41">
        <f>'PSC 4-1 (Revised)'!H51-'PSC 4-1 (As Filed)'!H51</f>
        <v>0</v>
      </c>
      <c r="I51" s="41">
        <f>'PSC 4-1 (Revised)'!I51-'PSC 4-1 (As Filed)'!I51</f>
        <v>0</v>
      </c>
      <c r="J51" s="41">
        <f>'PSC 4-1 (Revised)'!J51-'PSC 4-1 (As Filed)'!J51</f>
        <v>0</v>
      </c>
      <c r="K51" s="41">
        <f>'PSC 4-1 (Revised)'!K51-'PSC 4-1 (As Filed)'!K51</f>
        <v>0</v>
      </c>
      <c r="L51" s="41">
        <f>'PSC 4-1 (Revised)'!L51-'PSC 4-1 (As Filed)'!L51</f>
        <v>0</v>
      </c>
      <c r="M51" s="41">
        <f>'PSC 4-1 (Revised)'!M51-'PSC 4-1 (As Filed)'!M51</f>
        <v>0</v>
      </c>
      <c r="N51" s="41">
        <f>'PSC 4-1 (Revised)'!N51-'PSC 4-1 (As Filed)'!N51</f>
        <v>0</v>
      </c>
      <c r="O51" s="41">
        <f>'PSC 4-1 (Revised)'!O51-'PSC 4-1 (As Filed)'!O51</f>
        <v>0</v>
      </c>
      <c r="P51" s="41">
        <f>'PSC 4-1 (Revised)'!P51-'PSC 4-1 (As Filed)'!P51</f>
        <v>0</v>
      </c>
      <c r="Q51" s="41">
        <f>'PSC 4-1 (Revised)'!Q51-'PSC 4-1 (As Filed)'!Q51</f>
        <v>0</v>
      </c>
      <c r="R51" s="41">
        <f>'PSC 4-1 (Revised)'!R51-'PSC 4-1 (As Filed)'!R51</f>
        <v>0</v>
      </c>
      <c r="S51" s="41">
        <f>'PSC 4-1 (Revised)'!S51-'PSC 4-1 (As Filed)'!S51</f>
        <v>0</v>
      </c>
      <c r="T51" s="41">
        <f>'PSC 4-1 (Revised)'!T51-'PSC 4-1 (As Filed)'!T51</f>
        <v>0</v>
      </c>
      <c r="U51" s="41">
        <f>'PSC 4-1 (Revised)'!U51-'PSC 4-1 (As Filed)'!U51</f>
        <v>0</v>
      </c>
      <c r="V51" s="41">
        <f>'PSC 4-1 (Revised)'!V51-'PSC 4-1 (As Filed)'!V51</f>
        <v>0</v>
      </c>
      <c r="W51" s="41">
        <f>'PSC 4-1 (Revised)'!W51-'PSC 4-1 (As Filed)'!W51</f>
        <v>0</v>
      </c>
      <c r="X51" s="41">
        <f>'PSC 4-1 (Revised)'!X51-'PSC 4-1 (As Filed)'!X51</f>
        <v>0</v>
      </c>
      <c r="Y51" s="41">
        <f>'PSC 4-1 (Revised)'!Y51-'PSC 4-1 (As Filed)'!Y51</f>
        <v>0</v>
      </c>
      <c r="Z51" s="41">
        <f>'PSC 4-1 (Revised)'!Z51-'PSC 4-1 (As Filed)'!Z51</f>
        <v>0</v>
      </c>
      <c r="AA51" s="41">
        <f>'PSC 4-1 (Revised)'!AA51-'PSC 4-1 (As Filed)'!AA51</f>
        <v>0</v>
      </c>
      <c r="AB51" s="41">
        <f>'PSC 4-1 (Revised)'!AB51-'PSC 4-1 (As Filed)'!AB51</f>
        <v>0</v>
      </c>
      <c r="AC51" s="41">
        <f>'PSC 4-1 (Revised)'!AC51-'PSC 4-1 (As Filed)'!AC51</f>
        <v>0</v>
      </c>
      <c r="AD51" s="41">
        <f>'PSC 4-1 (Revised)'!AD51-'PSC 4-1 (As Filed)'!AD51</f>
        <v>0</v>
      </c>
      <c r="AE51" s="41">
        <f>'PSC 4-1 (Revised)'!AE51-'PSC 4-1 (As Filed)'!AE51</f>
        <v>0</v>
      </c>
      <c r="AF51" s="41">
        <f>'PSC 4-1 (Revised)'!AF51-'PSC 4-1 (As Filed)'!AF51</f>
        <v>0</v>
      </c>
      <c r="AG51" s="41">
        <f>'PSC 4-1 (Revised)'!AG51-'PSC 4-1 (As Filed)'!AG51</f>
        <v>0</v>
      </c>
      <c r="AH51" s="41">
        <f>'PSC 4-1 (Revised)'!AH51-'PSC 4-1 (As Filed)'!AH51</f>
        <v>0</v>
      </c>
      <c r="AI51" s="41">
        <f>'PSC 4-1 (Revised)'!AI51-'PSC 4-1 (As Filed)'!AI51</f>
        <v>0</v>
      </c>
      <c r="AJ51" s="38"/>
      <c r="AK51" s="35"/>
    </row>
    <row r="52" spans="1:37">
      <c r="A52" s="12" t="s">
        <v>27</v>
      </c>
      <c r="B52" s="1" t="s">
        <v>49</v>
      </c>
      <c r="D52" s="39">
        <f t="shared" ref="D52:N52" si="85">SUM(D50:D51)</f>
        <v>0</v>
      </c>
      <c r="E52" s="39">
        <f t="shared" si="85"/>
        <v>0</v>
      </c>
      <c r="F52" s="39">
        <f t="shared" si="85"/>
        <v>0</v>
      </c>
      <c r="G52" s="39">
        <f t="shared" si="85"/>
        <v>0</v>
      </c>
      <c r="H52" s="39">
        <f t="shared" si="85"/>
        <v>0</v>
      </c>
      <c r="I52" s="39">
        <f t="shared" si="85"/>
        <v>0</v>
      </c>
      <c r="J52" s="39">
        <f t="shared" si="85"/>
        <v>0</v>
      </c>
      <c r="K52" s="39">
        <f t="shared" si="85"/>
        <v>0</v>
      </c>
      <c r="L52" s="39">
        <f t="shared" si="85"/>
        <v>0</v>
      </c>
      <c r="M52" s="39">
        <f t="shared" si="85"/>
        <v>0</v>
      </c>
      <c r="N52" s="39">
        <f t="shared" si="85"/>
        <v>0</v>
      </c>
      <c r="O52" s="39">
        <f t="shared" ref="O52:P52" si="86">SUM(O50:O51)</f>
        <v>0</v>
      </c>
      <c r="P52" s="39">
        <f t="shared" si="86"/>
        <v>0</v>
      </c>
      <c r="Q52" s="39">
        <f t="shared" ref="Q52:R52" si="87">SUM(Q50:Q51)</f>
        <v>0</v>
      </c>
      <c r="R52" s="39">
        <f t="shared" si="87"/>
        <v>0</v>
      </c>
      <c r="S52" s="39">
        <f t="shared" ref="S52:T52" si="88">SUM(S50:S51)</f>
        <v>0</v>
      </c>
      <c r="T52" s="39">
        <f t="shared" si="88"/>
        <v>0</v>
      </c>
      <c r="U52" s="39">
        <f t="shared" ref="U52:V52" si="89">SUM(U50:U51)</f>
        <v>0</v>
      </c>
      <c r="V52" s="39">
        <f t="shared" si="89"/>
        <v>0</v>
      </c>
      <c r="W52" s="39">
        <f t="shared" ref="W52:X52" si="90">SUM(W50:W51)</f>
        <v>0</v>
      </c>
      <c r="X52" s="39">
        <f t="shared" si="90"/>
        <v>0</v>
      </c>
      <c r="Y52" s="39">
        <f t="shared" ref="Y52:Z52" si="91">SUM(Y50:Y51)</f>
        <v>0</v>
      </c>
      <c r="Z52" s="39">
        <f t="shared" si="91"/>
        <v>0</v>
      </c>
      <c r="AA52" s="39">
        <f t="shared" ref="AA52:AB52" si="92">SUM(AA50:AA51)</f>
        <v>0</v>
      </c>
      <c r="AB52" s="39">
        <f t="shared" si="92"/>
        <v>0</v>
      </c>
      <c r="AC52" s="39">
        <f t="shared" ref="AC52:AD52" si="93">SUM(AC50:AC51)</f>
        <v>0</v>
      </c>
      <c r="AD52" s="39">
        <f t="shared" si="93"/>
        <v>0</v>
      </c>
      <c r="AE52" s="39">
        <f t="shared" ref="AE52:AF52" si="94">SUM(AE50:AE51)</f>
        <v>0</v>
      </c>
      <c r="AF52" s="39">
        <f t="shared" si="94"/>
        <v>0</v>
      </c>
      <c r="AG52" s="39">
        <f t="shared" ref="AG52:AH52" si="95">SUM(AG50:AG51)</f>
        <v>0</v>
      </c>
      <c r="AH52" s="39">
        <f t="shared" si="95"/>
        <v>0</v>
      </c>
      <c r="AI52" s="39">
        <f t="shared" ref="AI52" si="96">SUM(AI50:AI51)</f>
        <v>0</v>
      </c>
      <c r="AJ52" s="38"/>
    </row>
    <row r="53" spans="1:37">
      <c r="A53" s="12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8"/>
    </row>
    <row r="54" spans="1:37">
      <c r="A54" s="1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8"/>
    </row>
    <row r="55" spans="1:37" ht="18" customHeight="1">
      <c r="A55" s="12"/>
      <c r="B55" s="1" t="s">
        <v>50</v>
      </c>
      <c r="C55" s="29" t="s">
        <v>24</v>
      </c>
      <c r="D55" s="39">
        <f>'PSC 4-1 (Revised)'!D55-'PSC 4-1 (As Filed)'!D55</f>
        <v>0</v>
      </c>
      <c r="E55" s="39">
        <f>'PSC 4-1 (Revised)'!E55-'PSC 4-1 (As Filed)'!E55</f>
        <v>0</v>
      </c>
      <c r="F55" s="39">
        <f>'PSC 4-1 (Revised)'!F55-'PSC 4-1 (As Filed)'!F55</f>
        <v>0</v>
      </c>
      <c r="G55" s="39">
        <f>'PSC 4-1 (Revised)'!G55-'PSC 4-1 (As Filed)'!G55</f>
        <v>0</v>
      </c>
      <c r="H55" s="39">
        <f>'PSC 4-1 (Revised)'!H55-'PSC 4-1 (As Filed)'!H55</f>
        <v>0</v>
      </c>
      <c r="I55" s="39">
        <f>'PSC 4-1 (Revised)'!I55-'PSC 4-1 (As Filed)'!I55</f>
        <v>0</v>
      </c>
      <c r="J55" s="39">
        <f>'PSC 4-1 (Revised)'!J55-'PSC 4-1 (As Filed)'!J55</f>
        <v>0</v>
      </c>
      <c r="K55" s="39">
        <f>'PSC 4-1 (Revised)'!K55-'PSC 4-1 (As Filed)'!K55</f>
        <v>0</v>
      </c>
      <c r="L55" s="39">
        <f>'PSC 4-1 (Revised)'!L55-'PSC 4-1 (As Filed)'!L55</f>
        <v>0</v>
      </c>
      <c r="M55" s="39">
        <f>'PSC 4-1 (Revised)'!M55-'PSC 4-1 (As Filed)'!M55</f>
        <v>0</v>
      </c>
      <c r="N55" s="39">
        <f>'PSC 4-1 (Revised)'!N55-'PSC 4-1 (As Filed)'!N55</f>
        <v>0</v>
      </c>
      <c r="O55" s="39">
        <f>'PSC 4-1 (Revised)'!O55-'PSC 4-1 (As Filed)'!O55</f>
        <v>0</v>
      </c>
      <c r="P55" s="39">
        <f>'PSC 4-1 (Revised)'!P55-'PSC 4-1 (As Filed)'!P55</f>
        <v>0</v>
      </c>
      <c r="Q55" s="39">
        <f>'PSC 4-1 (Revised)'!Q55-'PSC 4-1 (As Filed)'!Q55</f>
        <v>0</v>
      </c>
      <c r="R55" s="39">
        <f>'PSC 4-1 (Revised)'!R55-'PSC 4-1 (As Filed)'!R55</f>
        <v>0</v>
      </c>
      <c r="S55" s="39">
        <f>'PSC 4-1 (Revised)'!S55-'PSC 4-1 (As Filed)'!S55</f>
        <v>0</v>
      </c>
      <c r="T55" s="39">
        <f>'PSC 4-1 (Revised)'!T55-'PSC 4-1 (As Filed)'!T55</f>
        <v>0</v>
      </c>
      <c r="U55" s="39">
        <f>'PSC 4-1 (Revised)'!U55-'PSC 4-1 (As Filed)'!U55</f>
        <v>0</v>
      </c>
      <c r="V55" s="39">
        <f>'PSC 4-1 (Revised)'!V55-'PSC 4-1 (As Filed)'!V55</f>
        <v>0</v>
      </c>
      <c r="W55" s="39">
        <f>'PSC 4-1 (Revised)'!W55-'PSC 4-1 (As Filed)'!W55</f>
        <v>0</v>
      </c>
      <c r="X55" s="39">
        <f>'PSC 4-1 (Revised)'!X55-'PSC 4-1 (As Filed)'!X55</f>
        <v>0</v>
      </c>
      <c r="Y55" s="39">
        <f>'PSC 4-1 (Revised)'!Y55-'PSC 4-1 (As Filed)'!Y55</f>
        <v>0</v>
      </c>
      <c r="Z55" s="39">
        <f>'PSC 4-1 (Revised)'!Z55-'PSC 4-1 (As Filed)'!Z55</f>
        <v>0</v>
      </c>
      <c r="AA55" s="39">
        <f>'PSC 4-1 (Revised)'!AA55-'PSC 4-1 (As Filed)'!AA55</f>
        <v>0</v>
      </c>
      <c r="AB55" s="39">
        <f>'PSC 4-1 (Revised)'!AB55-'PSC 4-1 (As Filed)'!AB55</f>
        <v>0</v>
      </c>
      <c r="AC55" s="39">
        <f>'PSC 4-1 (Revised)'!AC55-'PSC 4-1 (As Filed)'!AC55</f>
        <v>0</v>
      </c>
      <c r="AD55" s="39">
        <f>'PSC 4-1 (Revised)'!AD55-'PSC 4-1 (As Filed)'!AD55</f>
        <v>0</v>
      </c>
      <c r="AE55" s="39">
        <f>'PSC 4-1 (Revised)'!AE55-'PSC 4-1 (As Filed)'!AE55</f>
        <v>0</v>
      </c>
      <c r="AF55" s="39">
        <f>'PSC 4-1 (Revised)'!AF55-'PSC 4-1 (As Filed)'!AF55</f>
        <v>0</v>
      </c>
      <c r="AG55" s="39">
        <f>'PSC 4-1 (Revised)'!AG55-'PSC 4-1 (As Filed)'!AG55</f>
        <v>0</v>
      </c>
      <c r="AH55" s="39">
        <f>'PSC 4-1 (Revised)'!AH55-'PSC 4-1 (As Filed)'!AH55</f>
        <v>0</v>
      </c>
      <c r="AI55" s="39">
        <f>'PSC 4-1 (Revised)'!AI55-'PSC 4-1 (As Filed)'!AI55</f>
        <v>0</v>
      </c>
      <c r="AJ55" s="40"/>
      <c r="AK55" s="35"/>
    </row>
    <row r="56" spans="1:37" ht="18" customHeight="1">
      <c r="A56" s="12"/>
      <c r="B56" s="1" t="s">
        <v>51</v>
      </c>
      <c r="D56" s="39">
        <f>'PSC 4-1 (Revised)'!D56-'PSC 4-1 (As Filed)'!D56</f>
        <v>0</v>
      </c>
      <c r="E56" s="39">
        <f>'PSC 4-1 (Revised)'!E56-'PSC 4-1 (As Filed)'!E56</f>
        <v>0</v>
      </c>
      <c r="F56" s="39">
        <f>'PSC 4-1 (Revised)'!F56-'PSC 4-1 (As Filed)'!F56</f>
        <v>0</v>
      </c>
      <c r="G56" s="39">
        <f>'PSC 4-1 (Revised)'!G56-'PSC 4-1 (As Filed)'!G56</f>
        <v>0</v>
      </c>
      <c r="H56" s="39">
        <f>'PSC 4-1 (Revised)'!H56-'PSC 4-1 (As Filed)'!H56</f>
        <v>0</v>
      </c>
      <c r="I56" s="39">
        <f>'PSC 4-1 (Revised)'!I56-'PSC 4-1 (As Filed)'!I56</f>
        <v>0</v>
      </c>
      <c r="J56" s="39">
        <f>'PSC 4-1 (Revised)'!J56-'PSC 4-1 (As Filed)'!J56</f>
        <v>0</v>
      </c>
      <c r="K56" s="39">
        <f>'PSC 4-1 (Revised)'!K56-'PSC 4-1 (As Filed)'!K56</f>
        <v>0</v>
      </c>
      <c r="L56" s="39">
        <f>'PSC 4-1 (Revised)'!L56-'PSC 4-1 (As Filed)'!L56</f>
        <v>0</v>
      </c>
      <c r="M56" s="39">
        <f>'PSC 4-1 (Revised)'!M56-'PSC 4-1 (As Filed)'!M56</f>
        <v>0</v>
      </c>
      <c r="N56" s="39">
        <f>'PSC 4-1 (Revised)'!N56-'PSC 4-1 (As Filed)'!N56</f>
        <v>0</v>
      </c>
      <c r="O56" s="39">
        <f>'PSC 4-1 (Revised)'!O56-'PSC 4-1 (As Filed)'!O56</f>
        <v>0</v>
      </c>
      <c r="P56" s="39">
        <f>'PSC 4-1 (Revised)'!P56-'PSC 4-1 (As Filed)'!P56</f>
        <v>0</v>
      </c>
      <c r="Q56" s="39">
        <f>'PSC 4-1 (Revised)'!Q56-'PSC 4-1 (As Filed)'!Q56</f>
        <v>0</v>
      </c>
      <c r="R56" s="39">
        <f>'PSC 4-1 (Revised)'!R56-'PSC 4-1 (As Filed)'!R56</f>
        <v>0</v>
      </c>
      <c r="S56" s="39">
        <f>'PSC 4-1 (Revised)'!S56-'PSC 4-1 (As Filed)'!S56</f>
        <v>0</v>
      </c>
      <c r="T56" s="39">
        <f>'PSC 4-1 (Revised)'!T56-'PSC 4-1 (As Filed)'!T56</f>
        <v>0</v>
      </c>
      <c r="U56" s="39">
        <f>'PSC 4-1 (Revised)'!U56-'PSC 4-1 (As Filed)'!U56</f>
        <v>0</v>
      </c>
      <c r="V56" s="39">
        <f>'PSC 4-1 (Revised)'!V56-'PSC 4-1 (As Filed)'!V56</f>
        <v>0</v>
      </c>
      <c r="W56" s="39">
        <f>'PSC 4-1 (Revised)'!W56-'PSC 4-1 (As Filed)'!W56</f>
        <v>0</v>
      </c>
      <c r="X56" s="39">
        <f>'PSC 4-1 (Revised)'!X56-'PSC 4-1 (As Filed)'!X56</f>
        <v>0</v>
      </c>
      <c r="Y56" s="39">
        <f>'PSC 4-1 (Revised)'!Y56-'PSC 4-1 (As Filed)'!Y56</f>
        <v>0</v>
      </c>
      <c r="Z56" s="39">
        <f>'PSC 4-1 (Revised)'!Z56-'PSC 4-1 (As Filed)'!Z56</f>
        <v>0</v>
      </c>
      <c r="AA56" s="39">
        <f>'PSC 4-1 (Revised)'!AA56-'PSC 4-1 (As Filed)'!AA56</f>
        <v>0</v>
      </c>
      <c r="AB56" s="39">
        <f>'PSC 4-1 (Revised)'!AB56-'PSC 4-1 (As Filed)'!AB56</f>
        <v>0</v>
      </c>
      <c r="AC56" s="39">
        <f>'PSC 4-1 (Revised)'!AC56-'PSC 4-1 (As Filed)'!AC56</f>
        <v>0</v>
      </c>
      <c r="AD56" s="39">
        <f>'PSC 4-1 (Revised)'!AD56-'PSC 4-1 (As Filed)'!AD56</f>
        <v>0</v>
      </c>
      <c r="AE56" s="39">
        <f>'PSC 4-1 (Revised)'!AE56-'PSC 4-1 (As Filed)'!AE56</f>
        <v>0</v>
      </c>
      <c r="AF56" s="39">
        <f>'PSC 4-1 (Revised)'!AF56-'PSC 4-1 (As Filed)'!AF56</f>
        <v>0</v>
      </c>
      <c r="AG56" s="39">
        <f>'PSC 4-1 (Revised)'!AG56-'PSC 4-1 (As Filed)'!AG56</f>
        <v>0</v>
      </c>
      <c r="AH56" s="39">
        <f>'PSC 4-1 (Revised)'!AH56-'PSC 4-1 (As Filed)'!AH56</f>
        <v>0</v>
      </c>
      <c r="AI56" s="39">
        <f>'PSC 4-1 (Revised)'!AI56-'PSC 4-1 (As Filed)'!AI56</f>
        <v>0</v>
      </c>
      <c r="AJ56" s="40"/>
    </row>
    <row r="57" spans="1:37" ht="18" customHeight="1">
      <c r="A57" s="12"/>
      <c r="B57" s="1" t="s">
        <v>52</v>
      </c>
      <c r="D57" s="39">
        <f>'PSC 4-1 (Revised)'!D57-'PSC 4-1 (As Filed)'!D57</f>
        <v>0</v>
      </c>
      <c r="E57" s="39">
        <f>'PSC 4-1 (Revised)'!E57-'PSC 4-1 (As Filed)'!E57</f>
        <v>0</v>
      </c>
      <c r="F57" s="39">
        <f>'PSC 4-1 (Revised)'!F57-'PSC 4-1 (As Filed)'!F57</f>
        <v>0</v>
      </c>
      <c r="G57" s="39">
        <f>'PSC 4-1 (Revised)'!G57-'PSC 4-1 (As Filed)'!G57</f>
        <v>0</v>
      </c>
      <c r="H57" s="39">
        <f>'PSC 4-1 (Revised)'!H57-'PSC 4-1 (As Filed)'!H57</f>
        <v>0</v>
      </c>
      <c r="I57" s="39">
        <f>'PSC 4-1 (Revised)'!I57-'PSC 4-1 (As Filed)'!I57</f>
        <v>0</v>
      </c>
      <c r="J57" s="39">
        <f>'PSC 4-1 (Revised)'!J57-'PSC 4-1 (As Filed)'!J57</f>
        <v>0</v>
      </c>
      <c r="K57" s="39">
        <f>'PSC 4-1 (Revised)'!K57-'PSC 4-1 (As Filed)'!K57</f>
        <v>0</v>
      </c>
      <c r="L57" s="39">
        <f>'PSC 4-1 (Revised)'!L57-'PSC 4-1 (As Filed)'!L57</f>
        <v>0</v>
      </c>
      <c r="M57" s="39">
        <f>'PSC 4-1 (Revised)'!M57-'PSC 4-1 (As Filed)'!M57</f>
        <v>0</v>
      </c>
      <c r="N57" s="39">
        <f>'PSC 4-1 (Revised)'!N57-'PSC 4-1 (As Filed)'!N57</f>
        <v>0</v>
      </c>
      <c r="O57" s="39">
        <f>'PSC 4-1 (Revised)'!O57-'PSC 4-1 (As Filed)'!O57</f>
        <v>0</v>
      </c>
      <c r="P57" s="39">
        <f>'PSC 4-1 (Revised)'!P57-'PSC 4-1 (As Filed)'!P57</f>
        <v>0</v>
      </c>
      <c r="Q57" s="39">
        <f>'PSC 4-1 (Revised)'!Q57-'PSC 4-1 (As Filed)'!Q57</f>
        <v>0</v>
      </c>
      <c r="R57" s="39">
        <f>'PSC 4-1 (Revised)'!R57-'PSC 4-1 (As Filed)'!R57</f>
        <v>0</v>
      </c>
      <c r="S57" s="39">
        <f>'PSC 4-1 (Revised)'!S57-'PSC 4-1 (As Filed)'!S57</f>
        <v>0</v>
      </c>
      <c r="T57" s="39">
        <f>'PSC 4-1 (Revised)'!T57-'PSC 4-1 (As Filed)'!T57</f>
        <v>0</v>
      </c>
      <c r="U57" s="39">
        <f>'PSC 4-1 (Revised)'!U57-'PSC 4-1 (As Filed)'!U57</f>
        <v>0</v>
      </c>
      <c r="V57" s="39">
        <f>'PSC 4-1 (Revised)'!V57-'PSC 4-1 (As Filed)'!V57</f>
        <v>0</v>
      </c>
      <c r="W57" s="39">
        <f>'PSC 4-1 (Revised)'!W57-'PSC 4-1 (As Filed)'!W57</f>
        <v>0</v>
      </c>
      <c r="X57" s="39">
        <f>'PSC 4-1 (Revised)'!X57-'PSC 4-1 (As Filed)'!X57</f>
        <v>0</v>
      </c>
      <c r="Y57" s="39">
        <f>'PSC 4-1 (Revised)'!Y57-'PSC 4-1 (As Filed)'!Y57</f>
        <v>0</v>
      </c>
      <c r="Z57" s="39">
        <f>'PSC 4-1 (Revised)'!Z57-'PSC 4-1 (As Filed)'!Z57</f>
        <v>0</v>
      </c>
      <c r="AA57" s="39">
        <f>'PSC 4-1 (Revised)'!AA57-'PSC 4-1 (As Filed)'!AA57</f>
        <v>0</v>
      </c>
      <c r="AB57" s="39">
        <f>'PSC 4-1 (Revised)'!AB57-'PSC 4-1 (As Filed)'!AB57</f>
        <v>0</v>
      </c>
      <c r="AC57" s="39">
        <f>'PSC 4-1 (Revised)'!AC57-'PSC 4-1 (As Filed)'!AC57</f>
        <v>0</v>
      </c>
      <c r="AD57" s="39">
        <f>'PSC 4-1 (Revised)'!AD57-'PSC 4-1 (As Filed)'!AD57</f>
        <v>0</v>
      </c>
      <c r="AE57" s="39">
        <f>'PSC 4-1 (Revised)'!AE57-'PSC 4-1 (As Filed)'!AE57</f>
        <v>0</v>
      </c>
      <c r="AF57" s="39">
        <f>'PSC 4-1 (Revised)'!AF57-'PSC 4-1 (As Filed)'!AF57</f>
        <v>0</v>
      </c>
      <c r="AG57" s="39">
        <f>'PSC 4-1 (Revised)'!AG57-'PSC 4-1 (As Filed)'!AG57</f>
        <v>0</v>
      </c>
      <c r="AH57" s="39">
        <f>'PSC 4-1 (Revised)'!AH57-'PSC 4-1 (As Filed)'!AH57</f>
        <v>0</v>
      </c>
      <c r="AI57" s="39">
        <f>'PSC 4-1 (Revised)'!AI57-'PSC 4-1 (As Filed)'!AI57</f>
        <v>0</v>
      </c>
      <c r="AJ57" s="40"/>
    </row>
    <row r="58" spans="1:37" ht="18" customHeight="1">
      <c r="A58" s="12"/>
      <c r="B58" s="1" t="s">
        <v>91</v>
      </c>
      <c r="C58" s="29" t="s">
        <v>24</v>
      </c>
      <c r="D58" s="39">
        <f>'PSC 4-1 (Revised)'!D58-'PSC 4-1 (As Filed)'!D58</f>
        <v>-4672086</v>
      </c>
      <c r="E58" s="39">
        <f>'PSC 4-1 (Revised)'!E58-'PSC 4-1 (As Filed)'!E58</f>
        <v>-3562188</v>
      </c>
      <c r="F58" s="39">
        <f>'PSC 4-1 (Revised)'!F58-'PSC 4-1 (As Filed)'!F58</f>
        <v>-3217409</v>
      </c>
      <c r="G58" s="39">
        <f>'PSC 4-1 (Revised)'!G58-'PSC 4-1 (As Filed)'!G58</f>
        <v>-12690911</v>
      </c>
      <c r="H58" s="39">
        <f>'PSC 4-1 (Revised)'!H58-'PSC 4-1 (As Filed)'!H58</f>
        <v>-21864366</v>
      </c>
      <c r="I58" s="39">
        <f>'PSC 4-1 (Revised)'!I58-'PSC 4-1 (As Filed)'!I58</f>
        <v>-25419706</v>
      </c>
      <c r="J58" s="39">
        <f>'PSC 4-1 (Revised)'!J58-'PSC 4-1 (As Filed)'!J58</f>
        <v>-28651813</v>
      </c>
      <c r="K58" s="39">
        <f>'PSC 4-1 (Revised)'!K58-'PSC 4-1 (As Filed)'!K58</f>
        <v>-35492618</v>
      </c>
      <c r="L58" s="39">
        <f>'PSC 4-1 (Revised)'!L58-'PSC 4-1 (As Filed)'!L58</f>
        <v>-35036362</v>
      </c>
      <c r="M58" s="39">
        <f>'PSC 4-1 (Revised)'!M58-'PSC 4-1 (As Filed)'!M58</f>
        <v>-37511319</v>
      </c>
      <c r="N58" s="39">
        <f>'PSC 4-1 (Revised)'!N58-'PSC 4-1 (As Filed)'!N58</f>
        <v>-32626807</v>
      </c>
      <c r="O58" s="39">
        <f>'PSC 4-1 (Revised)'!O58-'PSC 4-1 (As Filed)'!O58</f>
        <v>-36051169</v>
      </c>
      <c r="P58" s="39">
        <f>'PSC 4-1 (Revised)'!P58-'PSC 4-1 (As Filed)'!P58</f>
        <v>-38531720</v>
      </c>
      <c r="Q58" s="39">
        <f>'PSC 4-1 (Revised)'!Q58-'PSC 4-1 (As Filed)'!Q58</f>
        <v>-38798680</v>
      </c>
      <c r="R58" s="39">
        <f>'PSC 4-1 (Revised)'!R58-'PSC 4-1 (As Filed)'!R58</f>
        <v>-38627982</v>
      </c>
      <c r="S58" s="39">
        <f>'PSC 4-1 (Revised)'!S58-'PSC 4-1 (As Filed)'!S58</f>
        <v>-39337385</v>
      </c>
      <c r="T58" s="39">
        <f>'PSC 4-1 (Revised)'!T58-'PSC 4-1 (As Filed)'!T58</f>
        <v>-39978052</v>
      </c>
      <c r="U58" s="39">
        <f>'PSC 4-1 (Revised)'!U58-'PSC 4-1 (As Filed)'!U58</f>
        <v>-41463665</v>
      </c>
      <c r="V58" s="39">
        <f>'PSC 4-1 (Revised)'!V58-'PSC 4-1 (As Filed)'!V58</f>
        <v>-38958228</v>
      </c>
      <c r="W58" s="39">
        <f>'PSC 4-1 (Revised)'!W58-'PSC 4-1 (As Filed)'!W58</f>
        <v>-41816277</v>
      </c>
      <c r="X58" s="39">
        <f>'PSC 4-1 (Revised)'!X58-'PSC 4-1 (As Filed)'!X58</f>
        <v>-47277067</v>
      </c>
      <c r="Y58" s="39">
        <f>'PSC 4-1 (Revised)'!Y58-'PSC 4-1 (As Filed)'!Y58</f>
        <v>-45876468</v>
      </c>
      <c r="Z58" s="39">
        <f>'PSC 4-1 (Revised)'!Z58-'PSC 4-1 (As Filed)'!Z58</f>
        <v>-52871410</v>
      </c>
      <c r="AA58" s="39">
        <f>'PSC 4-1 (Revised)'!AA58-'PSC 4-1 (As Filed)'!AA58</f>
        <v>-49787853</v>
      </c>
      <c r="AB58" s="39">
        <f>'PSC 4-1 (Revised)'!AB58-'PSC 4-1 (As Filed)'!AB58</f>
        <v>-53085489</v>
      </c>
      <c r="AC58" s="39">
        <f>'PSC 4-1 (Revised)'!AC58-'PSC 4-1 (As Filed)'!AC58</f>
        <v>-53452251</v>
      </c>
      <c r="AD58" s="39">
        <f>'PSC 4-1 (Revised)'!AD58-'PSC 4-1 (As Filed)'!AD58</f>
        <v>-55945762</v>
      </c>
      <c r="AE58" s="39">
        <f>'PSC 4-1 (Revised)'!AE58-'PSC 4-1 (As Filed)'!AE58</f>
        <v>-43739560</v>
      </c>
      <c r="AF58" s="39">
        <f>'PSC 4-1 (Revised)'!AF58-'PSC 4-1 (As Filed)'!AF58</f>
        <v>-57150231</v>
      </c>
      <c r="AG58" s="39">
        <f>'PSC 4-1 (Revised)'!AG58-'PSC 4-1 (As Filed)'!AG58</f>
        <v>-57239155</v>
      </c>
      <c r="AH58" s="39">
        <f>'PSC 4-1 (Revised)'!AH58-'PSC 4-1 (As Filed)'!AH58</f>
        <v>-66047471</v>
      </c>
      <c r="AI58" s="39">
        <f>'PSC 4-1 (Revised)'!AI58-'PSC 4-1 (As Filed)'!AI58</f>
        <v>-63560484</v>
      </c>
      <c r="AJ58" s="80" t="s">
        <v>6</v>
      </c>
    </row>
    <row r="59" spans="1:37" ht="18" customHeight="1">
      <c r="A59" s="12"/>
      <c r="B59" s="19" t="s">
        <v>53</v>
      </c>
      <c r="C59" s="31" t="s">
        <v>24</v>
      </c>
      <c r="D59" s="41">
        <f>'PSC 4-1 (Revised)'!D59-'PSC 4-1 (As Filed)'!D59</f>
        <v>0</v>
      </c>
      <c r="E59" s="41">
        <f>'PSC 4-1 (Revised)'!E59-'PSC 4-1 (As Filed)'!E59</f>
        <v>0</v>
      </c>
      <c r="F59" s="41">
        <f>'PSC 4-1 (Revised)'!F59-'PSC 4-1 (As Filed)'!F59</f>
        <v>0</v>
      </c>
      <c r="G59" s="41">
        <f>'PSC 4-1 (Revised)'!G59-'PSC 4-1 (As Filed)'!G59</f>
        <v>0</v>
      </c>
      <c r="H59" s="41">
        <f>'PSC 4-1 (Revised)'!H59-'PSC 4-1 (As Filed)'!H59</f>
        <v>0</v>
      </c>
      <c r="I59" s="41">
        <f>'PSC 4-1 (Revised)'!I59-'PSC 4-1 (As Filed)'!I59</f>
        <v>0</v>
      </c>
      <c r="J59" s="41">
        <f>'PSC 4-1 (Revised)'!J59-'PSC 4-1 (As Filed)'!J59</f>
        <v>0</v>
      </c>
      <c r="K59" s="41">
        <f>'PSC 4-1 (Revised)'!K59-'PSC 4-1 (As Filed)'!K59</f>
        <v>0</v>
      </c>
      <c r="L59" s="41">
        <f>'PSC 4-1 (Revised)'!L59-'PSC 4-1 (As Filed)'!L59</f>
        <v>0</v>
      </c>
      <c r="M59" s="41">
        <f>'PSC 4-1 (Revised)'!M59-'PSC 4-1 (As Filed)'!M59</f>
        <v>0</v>
      </c>
      <c r="N59" s="41">
        <f>'PSC 4-1 (Revised)'!N59-'PSC 4-1 (As Filed)'!N59</f>
        <v>0</v>
      </c>
      <c r="O59" s="41">
        <f>'PSC 4-1 (Revised)'!O59-'PSC 4-1 (As Filed)'!O59</f>
        <v>0</v>
      </c>
      <c r="P59" s="41">
        <f>'PSC 4-1 (Revised)'!P59-'PSC 4-1 (As Filed)'!P59</f>
        <v>0</v>
      </c>
      <c r="Q59" s="41">
        <f>'PSC 4-1 (Revised)'!Q59-'PSC 4-1 (As Filed)'!Q59</f>
        <v>0</v>
      </c>
      <c r="R59" s="41">
        <f>'PSC 4-1 (Revised)'!R59-'PSC 4-1 (As Filed)'!R59</f>
        <v>0</v>
      </c>
      <c r="S59" s="41">
        <f>'PSC 4-1 (Revised)'!S59-'PSC 4-1 (As Filed)'!S59</f>
        <v>0</v>
      </c>
      <c r="T59" s="41">
        <f>'PSC 4-1 (Revised)'!T59-'PSC 4-1 (As Filed)'!T59</f>
        <v>0</v>
      </c>
      <c r="U59" s="41">
        <f>'PSC 4-1 (Revised)'!U59-'PSC 4-1 (As Filed)'!U59</f>
        <v>0</v>
      </c>
      <c r="V59" s="41">
        <f>'PSC 4-1 (Revised)'!V59-'PSC 4-1 (As Filed)'!V59</f>
        <v>0</v>
      </c>
      <c r="W59" s="41">
        <f>'PSC 4-1 (Revised)'!W59-'PSC 4-1 (As Filed)'!W59</f>
        <v>0</v>
      </c>
      <c r="X59" s="41">
        <f>'PSC 4-1 (Revised)'!X59-'PSC 4-1 (As Filed)'!X59</f>
        <v>0</v>
      </c>
      <c r="Y59" s="41">
        <f>'PSC 4-1 (Revised)'!Y59-'PSC 4-1 (As Filed)'!Y59</f>
        <v>0</v>
      </c>
      <c r="Z59" s="41">
        <f>'PSC 4-1 (Revised)'!Z59-'PSC 4-1 (As Filed)'!Z59</f>
        <v>0</v>
      </c>
      <c r="AA59" s="41">
        <f>'PSC 4-1 (Revised)'!AA59-'PSC 4-1 (As Filed)'!AA59</f>
        <v>0</v>
      </c>
      <c r="AB59" s="41">
        <f>'PSC 4-1 (Revised)'!AB59-'PSC 4-1 (As Filed)'!AB59</f>
        <v>0</v>
      </c>
      <c r="AC59" s="41">
        <f>'PSC 4-1 (Revised)'!AC59-'PSC 4-1 (As Filed)'!AC59</f>
        <v>0</v>
      </c>
      <c r="AD59" s="41">
        <f>'PSC 4-1 (Revised)'!AD59-'PSC 4-1 (As Filed)'!AD59</f>
        <v>0</v>
      </c>
      <c r="AE59" s="41">
        <f>'PSC 4-1 (Revised)'!AE59-'PSC 4-1 (As Filed)'!AE59</f>
        <v>0</v>
      </c>
      <c r="AF59" s="41">
        <f>'PSC 4-1 (Revised)'!AF59-'PSC 4-1 (As Filed)'!AF59</f>
        <v>0</v>
      </c>
      <c r="AG59" s="41">
        <f>'PSC 4-1 (Revised)'!AG59-'PSC 4-1 (As Filed)'!AG59</f>
        <v>0</v>
      </c>
      <c r="AH59" s="41">
        <f>'PSC 4-1 (Revised)'!AH59-'PSC 4-1 (As Filed)'!AH59</f>
        <v>0</v>
      </c>
      <c r="AI59" s="41">
        <f>'PSC 4-1 (Revised)'!AI59-'PSC 4-1 (As Filed)'!AI59</f>
        <v>0</v>
      </c>
      <c r="AJ59" s="16"/>
      <c r="AK59" s="35"/>
    </row>
    <row r="60" spans="1:37" ht="18" customHeight="1">
      <c r="A60" s="12" t="s">
        <v>37</v>
      </c>
      <c r="B60" s="1" t="s">
        <v>54</v>
      </c>
      <c r="D60" s="15">
        <f t="shared" ref="D60:N60" si="97">SUM(D55:D59)</f>
        <v>-4672086</v>
      </c>
      <c r="E60" s="15">
        <f t="shared" si="97"/>
        <v>-3562188</v>
      </c>
      <c r="F60" s="15">
        <f t="shared" si="97"/>
        <v>-3217409</v>
      </c>
      <c r="G60" s="15">
        <f t="shared" si="97"/>
        <v>-12690911</v>
      </c>
      <c r="H60" s="15">
        <f t="shared" si="97"/>
        <v>-21864366</v>
      </c>
      <c r="I60" s="15">
        <f t="shared" si="97"/>
        <v>-25419706</v>
      </c>
      <c r="J60" s="15">
        <f t="shared" si="97"/>
        <v>-28651813</v>
      </c>
      <c r="K60" s="15">
        <f t="shared" si="97"/>
        <v>-35492618</v>
      </c>
      <c r="L60" s="15">
        <f t="shared" si="97"/>
        <v>-35036362</v>
      </c>
      <c r="M60" s="15">
        <f t="shared" si="97"/>
        <v>-37511319</v>
      </c>
      <c r="N60" s="15">
        <f t="shared" si="97"/>
        <v>-32626807</v>
      </c>
      <c r="O60" s="15">
        <f t="shared" ref="O60:P60" si="98">SUM(O55:O59)</f>
        <v>-36051169</v>
      </c>
      <c r="P60" s="15">
        <f t="shared" si="98"/>
        <v>-38531720</v>
      </c>
      <c r="Q60" s="15">
        <f t="shared" ref="Q60:R60" si="99">SUM(Q55:Q59)</f>
        <v>-38798680</v>
      </c>
      <c r="R60" s="15">
        <f t="shared" si="99"/>
        <v>-38627982</v>
      </c>
      <c r="S60" s="15">
        <f t="shared" ref="S60:T60" si="100">SUM(S55:S59)</f>
        <v>-39337385</v>
      </c>
      <c r="T60" s="15">
        <f t="shared" si="100"/>
        <v>-39978052</v>
      </c>
      <c r="U60" s="15">
        <f t="shared" ref="U60:V60" si="101">SUM(U55:U59)</f>
        <v>-41463665</v>
      </c>
      <c r="V60" s="15">
        <f t="shared" si="101"/>
        <v>-38958228</v>
      </c>
      <c r="W60" s="15">
        <f t="shared" ref="W60:X60" si="102">SUM(W55:W59)</f>
        <v>-41816277</v>
      </c>
      <c r="X60" s="15">
        <f t="shared" si="102"/>
        <v>-47277067</v>
      </c>
      <c r="Y60" s="15">
        <f t="shared" ref="Y60:Z60" si="103">SUM(Y55:Y59)</f>
        <v>-45876468</v>
      </c>
      <c r="Z60" s="15">
        <f t="shared" si="103"/>
        <v>-52871410</v>
      </c>
      <c r="AA60" s="15">
        <f t="shared" ref="AA60:AB60" si="104">SUM(AA55:AA59)</f>
        <v>-49787853</v>
      </c>
      <c r="AB60" s="15">
        <f t="shared" si="104"/>
        <v>-53085489</v>
      </c>
      <c r="AC60" s="15">
        <f t="shared" ref="AC60:AD60" si="105">SUM(AC55:AC59)</f>
        <v>-53452251</v>
      </c>
      <c r="AD60" s="15">
        <f t="shared" si="105"/>
        <v>-55945762</v>
      </c>
      <c r="AE60" s="15">
        <f t="shared" ref="AE60:AF60" si="106">SUM(AE55:AE59)</f>
        <v>-43739560</v>
      </c>
      <c r="AF60" s="15">
        <f t="shared" si="106"/>
        <v>-57150231</v>
      </c>
      <c r="AG60" s="15">
        <f t="shared" ref="AG60:AH60" si="107">SUM(AG55:AG59)</f>
        <v>-57239155</v>
      </c>
      <c r="AH60" s="15">
        <f t="shared" si="107"/>
        <v>-66047471</v>
      </c>
      <c r="AI60" s="15">
        <f t="shared" ref="AI60" si="108">SUM(AI55:AI59)</f>
        <v>-63560484</v>
      </c>
      <c r="AJ60" s="16"/>
    </row>
    <row r="61" spans="1:37">
      <c r="A61" s="12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  <row r="62" spans="1:37">
      <c r="A62" s="12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42"/>
    </row>
    <row r="63" spans="1:37">
      <c r="A63" s="43"/>
      <c r="B63" s="44" t="s">
        <v>55</v>
      </c>
      <c r="C63" s="45"/>
      <c r="D63" s="46">
        <f t="shared" ref="D63:N63" si="109">D52-D60</f>
        <v>4672086</v>
      </c>
      <c r="E63" s="46">
        <f t="shared" si="109"/>
        <v>3562188</v>
      </c>
      <c r="F63" s="46">
        <f t="shared" si="109"/>
        <v>3217409</v>
      </c>
      <c r="G63" s="46">
        <f t="shared" si="109"/>
        <v>12690911</v>
      </c>
      <c r="H63" s="46">
        <f t="shared" si="109"/>
        <v>21864366</v>
      </c>
      <c r="I63" s="46">
        <f t="shared" si="109"/>
        <v>25419706</v>
      </c>
      <c r="J63" s="46">
        <f t="shared" si="109"/>
        <v>28651813</v>
      </c>
      <c r="K63" s="46">
        <f t="shared" si="109"/>
        <v>35492618</v>
      </c>
      <c r="L63" s="46">
        <f t="shared" si="109"/>
        <v>35036362</v>
      </c>
      <c r="M63" s="46">
        <f t="shared" si="109"/>
        <v>37511319</v>
      </c>
      <c r="N63" s="46">
        <f t="shared" si="109"/>
        <v>32626807</v>
      </c>
      <c r="O63" s="46">
        <f t="shared" ref="O63:P63" si="110">O52-O60</f>
        <v>36051169</v>
      </c>
      <c r="P63" s="46">
        <f t="shared" si="110"/>
        <v>38531720</v>
      </c>
      <c r="Q63" s="46">
        <f t="shared" ref="Q63:R63" si="111">Q52-Q60</f>
        <v>38798680</v>
      </c>
      <c r="R63" s="46">
        <f t="shared" si="111"/>
        <v>38627982</v>
      </c>
      <c r="S63" s="46">
        <f t="shared" ref="S63:T63" si="112">S52-S60</f>
        <v>39337385</v>
      </c>
      <c r="T63" s="46">
        <f t="shared" si="112"/>
        <v>39978052</v>
      </c>
      <c r="U63" s="46">
        <f t="shared" ref="U63:V63" si="113">U52-U60</f>
        <v>41463665</v>
      </c>
      <c r="V63" s="46">
        <f t="shared" si="113"/>
        <v>38958228</v>
      </c>
      <c r="W63" s="46">
        <f t="shared" ref="W63:X63" si="114">W52-W60</f>
        <v>41816277</v>
      </c>
      <c r="X63" s="46">
        <f t="shared" si="114"/>
        <v>47277067</v>
      </c>
      <c r="Y63" s="46">
        <f t="shared" ref="Y63:Z63" si="115">Y52-Y60</f>
        <v>45876468</v>
      </c>
      <c r="Z63" s="46">
        <f t="shared" si="115"/>
        <v>52871410</v>
      </c>
      <c r="AA63" s="46">
        <f t="shared" ref="AA63:AB63" si="116">AA52-AA60</f>
        <v>49787853</v>
      </c>
      <c r="AB63" s="46">
        <f t="shared" si="116"/>
        <v>53085489</v>
      </c>
      <c r="AC63" s="46">
        <f t="shared" ref="AC63:AD63" si="117">AC52-AC60</f>
        <v>53452251</v>
      </c>
      <c r="AD63" s="46">
        <f t="shared" si="117"/>
        <v>55945762</v>
      </c>
      <c r="AE63" s="46">
        <f t="shared" ref="AE63:AF63" si="118">AE52-AE60</f>
        <v>43739560</v>
      </c>
      <c r="AF63" s="46">
        <f t="shared" si="118"/>
        <v>57150231</v>
      </c>
      <c r="AG63" s="46">
        <f t="shared" ref="AG63:AH63" si="119">AG52-AG60</f>
        <v>57239155</v>
      </c>
      <c r="AH63" s="46">
        <f t="shared" si="119"/>
        <v>66047471</v>
      </c>
      <c r="AI63" s="46">
        <f t="shared" ref="AI63" si="120">AI52-AI60</f>
        <v>63560484</v>
      </c>
      <c r="AJ63" s="12"/>
    </row>
    <row r="64" spans="1:37" ht="35.1" customHeight="1">
      <c r="A64" s="4"/>
      <c r="B64" s="4"/>
      <c r="C64" s="3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7" ht="9.75" customHeight="1">
      <c r="A65" s="4"/>
      <c r="B65" s="4"/>
      <c r="C65" s="3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7">
      <c r="A66" s="8" t="s">
        <v>56</v>
      </c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2"/>
    </row>
    <row r="67" spans="1:37">
      <c r="A67" s="48" t="s">
        <v>57</v>
      </c>
      <c r="B67" s="1" t="s">
        <v>58</v>
      </c>
      <c r="D67" s="49">
        <f>'PSC 4-1 (Revised)'!D67-'PSC 4-1 (As Filed)'!D67</f>
        <v>0</v>
      </c>
      <c r="E67" s="49">
        <f>'PSC 4-1 (Revised)'!E67-'PSC 4-1 (As Filed)'!E67</f>
        <v>-5.6399999999999506E-4</v>
      </c>
      <c r="F67" s="49">
        <f>'PSC 4-1 (Revised)'!F67-'PSC 4-1 (As Filed)'!F67</f>
        <v>-1.7900000000000207E-4</v>
      </c>
      <c r="G67" s="49">
        <f>'PSC 4-1 (Revised)'!G67-'PSC 4-1 (As Filed)'!G67</f>
        <v>-2.2600000000000051E-4</v>
      </c>
      <c r="H67" s="49">
        <f>'PSC 4-1 (Revised)'!H67-'PSC 4-1 (As Filed)'!H67</f>
        <v>-1.232999999999998E-3</v>
      </c>
      <c r="I67" s="49">
        <f>'PSC 4-1 (Revised)'!I67-'PSC 4-1 (As Filed)'!I67</f>
        <v>-2.5669999999999998E-3</v>
      </c>
      <c r="J67" s="49">
        <f>'PSC 4-1 (Revised)'!J67-'PSC 4-1 (As Filed)'!J67</f>
        <v>-2.3409999999999993E-3</v>
      </c>
      <c r="K67" s="49">
        <f>'PSC 4-1 (Revised)'!K67-'PSC 4-1 (As Filed)'!K67</f>
        <v>-2.4810000000000006E-3</v>
      </c>
      <c r="L67" s="49">
        <f>'PSC 4-1 (Revised)'!L67-'PSC 4-1 (As Filed)'!L67</f>
        <v>-2.2360000000000019E-3</v>
      </c>
      <c r="M67" s="49">
        <f>'PSC 4-1 (Revised)'!M67-'PSC 4-1 (As Filed)'!M67</f>
        <v>-2.8140000000000005E-3</v>
      </c>
      <c r="N67" s="49">
        <f>'PSC 4-1 (Revised)'!N67-'PSC 4-1 (As Filed)'!N67</f>
        <v>-3.4389999999999976E-3</v>
      </c>
      <c r="O67" s="49">
        <f>'PSC 4-1 (Revised)'!O67-'PSC 4-1 (As Filed)'!O67</f>
        <v>-4.2840000000000031E-3</v>
      </c>
      <c r="P67" s="49">
        <f>'PSC 4-1 (Revised)'!P67-'PSC 4-1 (As Filed)'!P67</f>
        <v>-4.5590000000000006E-3</v>
      </c>
      <c r="Q67" s="49">
        <f>'PSC 4-1 (Revised)'!Q67-'PSC 4-1 (As Filed)'!Q67</f>
        <v>-3.602000000000001E-3</v>
      </c>
      <c r="R67" s="49">
        <f>'PSC 4-1 (Revised)'!R67-'PSC 4-1 (As Filed)'!R67</f>
        <v>-1.5420000000000017E-3</v>
      </c>
      <c r="S67" s="49">
        <f>'PSC 4-1 (Revised)'!S67-'PSC 4-1 (As Filed)'!S67</f>
        <v>-4.7989999999999977E-3</v>
      </c>
      <c r="T67" s="49">
        <f>'PSC 4-1 (Revised)'!T67-'PSC 4-1 (As Filed)'!T67</f>
        <v>-2.8319999999999977E-3</v>
      </c>
      <c r="U67" s="49">
        <f>'PSC 4-1 (Revised)'!U67-'PSC 4-1 (As Filed)'!U67</f>
        <v>-2.8999999999999998E-3</v>
      </c>
      <c r="V67" s="49">
        <f>'PSC 4-1 (Revised)'!V67-'PSC 4-1 (As Filed)'!V67</f>
        <v>-3.1190000000000002E-3</v>
      </c>
      <c r="W67" s="49">
        <f>'PSC 4-1 (Revised)'!W67-'PSC 4-1 (As Filed)'!W67</f>
        <v>-2.6049999999999997E-3</v>
      </c>
      <c r="X67" s="49">
        <f>'PSC 4-1 (Revised)'!X67-'PSC 4-1 (As Filed)'!X67</f>
        <v>-3.0450000000000026E-3</v>
      </c>
      <c r="Y67" s="49">
        <f>'PSC 4-1 (Revised)'!Y67-'PSC 4-1 (As Filed)'!Y67</f>
        <v>-3.7360000000000032E-3</v>
      </c>
      <c r="Z67" s="49">
        <f>'PSC 4-1 (Revised)'!Z67-'PSC 4-1 (As Filed)'!Z67</f>
        <v>-4.5379999999999934E-3</v>
      </c>
      <c r="AA67" s="49">
        <f>'PSC 4-1 (Revised)'!AA67-'PSC 4-1 (As Filed)'!AA67</f>
        <v>-4.9629999999999952E-3</v>
      </c>
      <c r="AB67" s="49">
        <f>'PSC 4-1 (Revised)'!AB67-'PSC 4-1 (As Filed)'!AB67</f>
        <v>-4.0079999999999977E-3</v>
      </c>
      <c r="AC67" s="49">
        <f>'PSC 4-1 (Revised)'!AC67-'PSC 4-1 (As Filed)'!AC67</f>
        <v>-2.6219999999999993E-3</v>
      </c>
      <c r="AD67" s="49">
        <f>'PSC 4-1 (Revised)'!AD67-'PSC 4-1 (As Filed)'!AD67</f>
        <v>-4.5170000000000002E-3</v>
      </c>
      <c r="AE67" s="49">
        <f>'PSC 4-1 (Revised)'!AE67-'PSC 4-1 (As Filed)'!AE67</f>
        <v>-3.7319999999999957E-3</v>
      </c>
      <c r="AF67" s="49">
        <f>'PSC 4-1 (Revised)'!AF67-'PSC 4-1 (As Filed)'!AF67</f>
        <v>-4.9280000000000018E-3</v>
      </c>
      <c r="AG67" s="49">
        <f>'PSC 4-1 (Revised)'!AG67-'PSC 4-1 (As Filed)'!AG67</f>
        <v>-1.0355999999999997E-2</v>
      </c>
      <c r="AH67" s="49">
        <f>'PSC 4-1 (Revised)'!AH67-'PSC 4-1 (As Filed)'!AH67</f>
        <v>-3.4160000000000024E-3</v>
      </c>
      <c r="AI67" s="49">
        <f>'PSC 4-1 (Revised)'!AI67-'PSC 4-1 (As Filed)'!AI67</f>
        <v>-3.6330000000000008E-3</v>
      </c>
      <c r="AJ67" s="38"/>
    </row>
    <row r="68" spans="1:37">
      <c r="A68" s="50" t="s">
        <v>59</v>
      </c>
      <c r="B68" s="19" t="s">
        <v>60</v>
      </c>
      <c r="C68" s="20"/>
      <c r="D68" s="41">
        <f>'PSC 4-1 (Revised)'!D68-'PSC 4-1 (As Filed)'!D68</f>
        <v>0</v>
      </c>
      <c r="E68" s="41">
        <f>'PSC 4-1 (Revised)'!E68-'PSC 4-1 (As Filed)'!E68</f>
        <v>0</v>
      </c>
      <c r="F68" s="41">
        <f>'PSC 4-1 (Revised)'!F68-'PSC 4-1 (As Filed)'!F68</f>
        <v>0</v>
      </c>
      <c r="G68" s="41">
        <f>'PSC 4-1 (Revised)'!G68-'PSC 4-1 (As Filed)'!G68</f>
        <v>0</v>
      </c>
      <c r="H68" s="41">
        <f>'PSC 4-1 (Revised)'!H68-'PSC 4-1 (As Filed)'!H68</f>
        <v>0</v>
      </c>
      <c r="I68" s="41">
        <f>'PSC 4-1 (Revised)'!I68-'PSC 4-1 (As Filed)'!I68</f>
        <v>0</v>
      </c>
      <c r="J68" s="41">
        <f>'PSC 4-1 (Revised)'!J68-'PSC 4-1 (As Filed)'!J68</f>
        <v>0</v>
      </c>
      <c r="K68" s="41">
        <f>'PSC 4-1 (Revised)'!K68-'PSC 4-1 (As Filed)'!K68</f>
        <v>0</v>
      </c>
      <c r="L68" s="41">
        <f>'PSC 4-1 (Revised)'!L68-'PSC 4-1 (As Filed)'!L68</f>
        <v>0</v>
      </c>
      <c r="M68" s="41">
        <f>'PSC 4-1 (Revised)'!M68-'PSC 4-1 (As Filed)'!M68</f>
        <v>0</v>
      </c>
      <c r="N68" s="41">
        <f>'PSC 4-1 (Revised)'!N68-'PSC 4-1 (As Filed)'!N68</f>
        <v>0</v>
      </c>
      <c r="O68" s="41">
        <f>'PSC 4-1 (Revised)'!O68-'PSC 4-1 (As Filed)'!O68</f>
        <v>0</v>
      </c>
      <c r="P68" s="41">
        <f>'PSC 4-1 (Revised)'!P68-'PSC 4-1 (As Filed)'!P68</f>
        <v>0</v>
      </c>
      <c r="Q68" s="41">
        <f>'PSC 4-1 (Revised)'!Q68-'PSC 4-1 (As Filed)'!Q68</f>
        <v>0</v>
      </c>
      <c r="R68" s="41">
        <f>'PSC 4-1 (Revised)'!R68-'PSC 4-1 (As Filed)'!R68</f>
        <v>0</v>
      </c>
      <c r="S68" s="41">
        <f>'PSC 4-1 (Revised)'!S68-'PSC 4-1 (As Filed)'!S68</f>
        <v>0</v>
      </c>
      <c r="T68" s="41">
        <f>'PSC 4-1 (Revised)'!T68-'PSC 4-1 (As Filed)'!T68</f>
        <v>0</v>
      </c>
      <c r="U68" s="41">
        <f>'PSC 4-1 (Revised)'!U68-'PSC 4-1 (As Filed)'!U68</f>
        <v>0</v>
      </c>
      <c r="V68" s="41">
        <f>'PSC 4-1 (Revised)'!V68-'PSC 4-1 (As Filed)'!V68</f>
        <v>0</v>
      </c>
      <c r="W68" s="41">
        <f>'PSC 4-1 (Revised)'!W68-'PSC 4-1 (As Filed)'!W68</f>
        <v>0</v>
      </c>
      <c r="X68" s="41">
        <f>'PSC 4-1 (Revised)'!X68-'PSC 4-1 (As Filed)'!X68</f>
        <v>0</v>
      </c>
      <c r="Y68" s="41">
        <f>'PSC 4-1 (Revised)'!Y68-'PSC 4-1 (As Filed)'!Y68</f>
        <v>0</v>
      </c>
      <c r="Z68" s="41">
        <f>'PSC 4-1 (Revised)'!Z68-'PSC 4-1 (As Filed)'!Z68</f>
        <v>0</v>
      </c>
      <c r="AA68" s="41">
        <f>'PSC 4-1 (Revised)'!AA68-'PSC 4-1 (As Filed)'!AA68</f>
        <v>0</v>
      </c>
      <c r="AB68" s="41">
        <f>'PSC 4-1 (Revised)'!AB68-'PSC 4-1 (As Filed)'!AB68</f>
        <v>0</v>
      </c>
      <c r="AC68" s="41">
        <f>'PSC 4-1 (Revised)'!AC68-'PSC 4-1 (As Filed)'!AC68</f>
        <v>0</v>
      </c>
      <c r="AD68" s="41">
        <f>'PSC 4-1 (Revised)'!AD68-'PSC 4-1 (As Filed)'!AD68</f>
        <v>0</v>
      </c>
      <c r="AE68" s="41">
        <f>'PSC 4-1 (Revised)'!AE68-'PSC 4-1 (As Filed)'!AE68</f>
        <v>0</v>
      </c>
      <c r="AF68" s="41">
        <f>'PSC 4-1 (Revised)'!AF68-'PSC 4-1 (As Filed)'!AF68</f>
        <v>0</v>
      </c>
      <c r="AG68" s="41">
        <f>'PSC 4-1 (Revised)'!AG68-'PSC 4-1 (As Filed)'!AG68</f>
        <v>0</v>
      </c>
      <c r="AH68" s="41">
        <f>'PSC 4-1 (Revised)'!AH68-'PSC 4-1 (As Filed)'!AH68</f>
        <v>0</v>
      </c>
      <c r="AI68" s="41">
        <f>'PSC 4-1 (Revised)'!AI68-'PSC 4-1 (As Filed)'!AI68</f>
        <v>0</v>
      </c>
      <c r="AJ68" s="80" t="s">
        <v>6</v>
      </c>
      <c r="AK68" s="35"/>
    </row>
    <row r="69" spans="1:37">
      <c r="A69" s="50" t="s">
        <v>61</v>
      </c>
      <c r="B69" s="1" t="s">
        <v>62</v>
      </c>
      <c r="C69" s="2" t="s">
        <v>63</v>
      </c>
      <c r="D69" s="27">
        <f>'PSC 4-1 (Revised)'!D69-'PSC 4-1 (As Filed)'!D69</f>
        <v>0</v>
      </c>
      <c r="E69" s="27">
        <f>'PSC 4-1 (Revised)'!E69-'PSC 4-1 (As Filed)'!E69</f>
        <v>-151702</v>
      </c>
      <c r="F69" s="27">
        <f>'PSC 4-1 (Revised)'!F69-'PSC 4-1 (As Filed)'!F69</f>
        <v>-40519</v>
      </c>
      <c r="G69" s="27">
        <f>'PSC 4-1 (Revised)'!G69-'PSC 4-1 (As Filed)'!G69</f>
        <v>-53916</v>
      </c>
      <c r="H69" s="27">
        <f>'PSC 4-1 (Revised)'!H69-'PSC 4-1 (As Filed)'!H69</f>
        <v>-250352</v>
      </c>
      <c r="I69" s="27">
        <f>'PSC 4-1 (Revised)'!I69-'PSC 4-1 (As Filed)'!I69</f>
        <v>-572496</v>
      </c>
      <c r="J69" s="27">
        <f>'PSC 4-1 (Revised)'!J69-'PSC 4-1 (As Filed)'!J69</f>
        <v>-589052</v>
      </c>
      <c r="K69" s="27">
        <f>'PSC 4-1 (Revised)'!K69-'PSC 4-1 (As Filed)'!K69</f>
        <v>-721283</v>
      </c>
      <c r="L69" s="27">
        <f>'PSC 4-1 (Revised)'!L69-'PSC 4-1 (As Filed)'!L69</f>
        <v>-630455</v>
      </c>
      <c r="M69" s="27">
        <f>'PSC 4-1 (Revised)'!M69-'PSC 4-1 (As Filed)'!M69</f>
        <v>-685473</v>
      </c>
      <c r="N69" s="27">
        <f>'PSC 4-1 (Revised)'!N69-'PSC 4-1 (As Filed)'!N69</f>
        <v>-758344</v>
      </c>
      <c r="O69" s="27">
        <f>'PSC 4-1 (Revised)'!O69-'PSC 4-1 (As Filed)'!O69</f>
        <v>-1005152</v>
      </c>
      <c r="P69" s="27">
        <f>'PSC 4-1 (Revised)'!P69-'PSC 4-1 (As Filed)'!P69</f>
        <v>-1234145</v>
      </c>
      <c r="Q69" s="27">
        <f>'PSC 4-1 (Revised)'!Q69-'PSC 4-1 (As Filed)'!Q69</f>
        <v>-1187733</v>
      </c>
      <c r="R69" s="27">
        <f>'PSC 4-1 (Revised)'!R69-'PSC 4-1 (As Filed)'!R69</f>
        <v>-389270</v>
      </c>
      <c r="S69" s="27">
        <f>'PSC 4-1 (Revised)'!S69-'PSC 4-1 (As Filed)'!S69</f>
        <v>-1188473</v>
      </c>
      <c r="T69" s="27">
        <f>'PSC 4-1 (Revised)'!T69-'PSC 4-1 (As Filed)'!T69</f>
        <v>-652500</v>
      </c>
      <c r="U69" s="27">
        <f>'PSC 4-1 (Revised)'!U69-'PSC 4-1 (As Filed)'!U69</f>
        <v>-734154</v>
      </c>
      <c r="V69" s="27">
        <f>'PSC 4-1 (Revised)'!V69-'PSC 4-1 (As Filed)'!V69</f>
        <v>-911750</v>
      </c>
      <c r="W69" s="27">
        <f>'PSC 4-1 (Revised)'!W69-'PSC 4-1 (As Filed)'!W69</f>
        <v>-811798</v>
      </c>
      <c r="X69" s="27">
        <f>'PSC 4-1 (Revised)'!X69-'PSC 4-1 (As Filed)'!X69</f>
        <v>-958687</v>
      </c>
      <c r="Y69" s="27">
        <f>'PSC 4-1 (Revised)'!Y69-'PSC 4-1 (As Filed)'!Y69</f>
        <v>-990929</v>
      </c>
      <c r="Z69" s="27">
        <f>'PSC 4-1 (Revised)'!Z69-'PSC 4-1 (As Filed)'!Z69</f>
        <v>-1101174</v>
      </c>
      <c r="AA69" s="27">
        <f>'PSC 4-1 (Revised)'!AA69-'PSC 4-1 (As Filed)'!AA69</f>
        <v>-1204781</v>
      </c>
      <c r="AB69" s="27">
        <f>'PSC 4-1 (Revised)'!AB69-'PSC 4-1 (As Filed)'!AB69</f>
        <v>-1168807</v>
      </c>
      <c r="AC69" s="27">
        <f>'PSC 4-1 (Revised)'!AC69-'PSC 4-1 (As Filed)'!AC69</f>
        <v>-897454</v>
      </c>
      <c r="AD69" s="27">
        <f>'PSC 4-1 (Revised)'!AD69-'PSC 4-1 (As Filed)'!AD69</f>
        <v>-1270308</v>
      </c>
      <c r="AE69" s="27">
        <f>'PSC 4-1 (Revised)'!AE69-'PSC 4-1 (As Filed)'!AE69</f>
        <v>-947812</v>
      </c>
      <c r="AF69" s="27">
        <f>'PSC 4-1 (Revised)'!AF69-'PSC 4-1 (As Filed)'!AF69</f>
        <v>-1151701</v>
      </c>
      <c r="AG69" s="27">
        <f>'PSC 4-1 (Revised)'!AG69-'PSC 4-1 (As Filed)'!AG69</f>
        <v>-2555890</v>
      </c>
      <c r="AH69" s="27">
        <f>'PSC 4-1 (Revised)'!AH69-'PSC 4-1 (As Filed)'!AH69</f>
        <v>-1022861</v>
      </c>
      <c r="AI69" s="27">
        <f>'PSC 4-1 (Revised)'!AI69-'PSC 4-1 (As Filed)'!AI69</f>
        <v>-1254472</v>
      </c>
      <c r="AJ69" s="38"/>
    </row>
    <row r="70" spans="1:37">
      <c r="A70" s="50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8"/>
    </row>
    <row r="71" spans="1:37">
      <c r="A71" s="50" t="s">
        <v>64</v>
      </c>
      <c r="B71" s="1" t="s">
        <v>65</v>
      </c>
      <c r="D71" s="51">
        <f>'PSC 4-1 (Revised)'!D71-'PSC 4-1 (As Filed)'!D71</f>
        <v>0</v>
      </c>
      <c r="E71" s="51">
        <f>'PSC 4-1 (Revised)'!E71-'PSC 4-1 (As Filed)'!E71</f>
        <v>4672086</v>
      </c>
      <c r="F71" s="51">
        <f>'PSC 4-1 (Revised)'!F71-'PSC 4-1 (As Filed)'!F71</f>
        <v>3562188</v>
      </c>
      <c r="G71" s="51">
        <f>'PSC 4-1 (Revised)'!G71-'PSC 4-1 (As Filed)'!G71</f>
        <v>3217409</v>
      </c>
      <c r="H71" s="51">
        <f>'PSC 4-1 (Revised)'!H71-'PSC 4-1 (As Filed)'!H71</f>
        <v>12690911</v>
      </c>
      <c r="I71" s="51">
        <f>'PSC 4-1 (Revised)'!I71-'PSC 4-1 (As Filed)'!I71</f>
        <v>21864366</v>
      </c>
      <c r="J71" s="51">
        <f>'PSC 4-1 (Revised)'!J71-'PSC 4-1 (As Filed)'!J71</f>
        <v>25419706</v>
      </c>
      <c r="K71" s="51">
        <f>'PSC 4-1 (Revised)'!K71-'PSC 4-1 (As Filed)'!K71</f>
        <v>28651813</v>
      </c>
      <c r="L71" s="51">
        <f>'PSC 4-1 (Revised)'!L71-'PSC 4-1 (As Filed)'!L71</f>
        <v>35492618</v>
      </c>
      <c r="M71" s="51">
        <f>'PSC 4-1 (Revised)'!M71-'PSC 4-1 (As Filed)'!M71</f>
        <v>35036362</v>
      </c>
      <c r="N71" s="51">
        <f>'PSC 4-1 (Revised)'!N71-'PSC 4-1 (As Filed)'!N71</f>
        <v>37511319</v>
      </c>
      <c r="O71" s="51">
        <f>'PSC 4-1 (Revised)'!O71-'PSC 4-1 (As Filed)'!O71</f>
        <v>32626807</v>
      </c>
      <c r="P71" s="51">
        <f>'PSC 4-1 (Revised)'!P71-'PSC 4-1 (As Filed)'!P71</f>
        <v>36051169</v>
      </c>
      <c r="Q71" s="51">
        <f>'PSC 4-1 (Revised)'!Q71-'PSC 4-1 (As Filed)'!Q71</f>
        <v>38531720</v>
      </c>
      <c r="R71" s="51">
        <f>'PSC 4-1 (Revised)'!R71-'PSC 4-1 (As Filed)'!R71</f>
        <v>38798680</v>
      </c>
      <c r="S71" s="51">
        <f>'PSC 4-1 (Revised)'!S71-'PSC 4-1 (As Filed)'!S71</f>
        <v>38627982</v>
      </c>
      <c r="T71" s="51">
        <f>'PSC 4-1 (Revised)'!T71-'PSC 4-1 (As Filed)'!T71</f>
        <v>39337385</v>
      </c>
      <c r="U71" s="51">
        <f>'PSC 4-1 (Revised)'!U71-'PSC 4-1 (As Filed)'!U71</f>
        <v>39978052</v>
      </c>
      <c r="V71" s="51">
        <f>'PSC 4-1 (Revised)'!V71-'PSC 4-1 (As Filed)'!V71</f>
        <v>41463665</v>
      </c>
      <c r="W71" s="51">
        <f>'PSC 4-1 (Revised)'!W71-'PSC 4-1 (As Filed)'!W71</f>
        <v>38958228</v>
      </c>
      <c r="X71" s="51">
        <f>'PSC 4-1 (Revised)'!X71-'PSC 4-1 (As Filed)'!X71</f>
        <v>41816277</v>
      </c>
      <c r="Y71" s="51">
        <f>'PSC 4-1 (Revised)'!Y71-'PSC 4-1 (As Filed)'!Y71</f>
        <v>47277067</v>
      </c>
      <c r="Z71" s="51">
        <f>'PSC 4-1 (Revised)'!Z71-'PSC 4-1 (As Filed)'!Z71</f>
        <v>45876468</v>
      </c>
      <c r="AA71" s="51">
        <f>'PSC 4-1 (Revised)'!AA71-'PSC 4-1 (As Filed)'!AA71</f>
        <v>52871410</v>
      </c>
      <c r="AB71" s="51">
        <f>'PSC 4-1 (Revised)'!AB71-'PSC 4-1 (As Filed)'!AB71</f>
        <v>49787853</v>
      </c>
      <c r="AC71" s="51">
        <f>'PSC 4-1 (Revised)'!AC71-'PSC 4-1 (As Filed)'!AC71</f>
        <v>53085489</v>
      </c>
      <c r="AD71" s="51">
        <f>'PSC 4-1 (Revised)'!AD71-'PSC 4-1 (As Filed)'!AD71</f>
        <v>53452251</v>
      </c>
      <c r="AE71" s="51">
        <f>'PSC 4-1 (Revised)'!AE71-'PSC 4-1 (As Filed)'!AE71</f>
        <v>55945762</v>
      </c>
      <c r="AF71" s="51">
        <f>'PSC 4-1 (Revised)'!AF71-'PSC 4-1 (As Filed)'!AF71</f>
        <v>43739560</v>
      </c>
      <c r="AG71" s="51">
        <f>'PSC 4-1 (Revised)'!AG71-'PSC 4-1 (As Filed)'!AG71</f>
        <v>57150231</v>
      </c>
      <c r="AH71" s="51">
        <f>'PSC 4-1 (Revised)'!AH71-'PSC 4-1 (As Filed)'!AH71</f>
        <v>57239155</v>
      </c>
      <c r="AI71" s="51">
        <f>'PSC 4-1 (Revised)'!AI71-'PSC 4-1 (As Filed)'!AI71</f>
        <v>66047471</v>
      </c>
      <c r="AJ71" s="80" t="s">
        <v>93</v>
      </c>
      <c r="AK71" s="35"/>
    </row>
    <row r="72" spans="1:37">
      <c r="A72" s="50" t="s">
        <v>66</v>
      </c>
      <c r="B72" s="19" t="s">
        <v>67</v>
      </c>
      <c r="C72" s="52"/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38"/>
    </row>
    <row r="73" spans="1:37">
      <c r="A73" s="50" t="s">
        <v>68</v>
      </c>
      <c r="B73" s="1" t="s">
        <v>69</v>
      </c>
      <c r="C73" s="2" t="s">
        <v>70</v>
      </c>
      <c r="D73" s="39">
        <f t="shared" ref="D73:N73" si="121">D71-D72</f>
        <v>0</v>
      </c>
      <c r="E73" s="39">
        <f t="shared" si="121"/>
        <v>4672086</v>
      </c>
      <c r="F73" s="39">
        <f t="shared" si="121"/>
        <v>3562188</v>
      </c>
      <c r="G73" s="39">
        <f t="shared" si="121"/>
        <v>3217409</v>
      </c>
      <c r="H73" s="39">
        <f t="shared" si="121"/>
        <v>12690911</v>
      </c>
      <c r="I73" s="39">
        <f t="shared" si="121"/>
        <v>21864366</v>
      </c>
      <c r="J73" s="39">
        <f t="shared" si="121"/>
        <v>25419706</v>
      </c>
      <c r="K73" s="39">
        <f t="shared" si="121"/>
        <v>28651813</v>
      </c>
      <c r="L73" s="39">
        <f t="shared" si="121"/>
        <v>35492618</v>
      </c>
      <c r="M73" s="39">
        <f t="shared" si="121"/>
        <v>35036362</v>
      </c>
      <c r="N73" s="39">
        <f t="shared" si="121"/>
        <v>37511319</v>
      </c>
      <c r="O73" s="39">
        <f t="shared" ref="O73:P73" si="122">O71-O72</f>
        <v>32626807</v>
      </c>
      <c r="P73" s="39">
        <f t="shared" si="122"/>
        <v>36051169</v>
      </c>
      <c r="Q73" s="39">
        <f t="shared" ref="Q73:R73" si="123">Q71-Q72</f>
        <v>38531720</v>
      </c>
      <c r="R73" s="39">
        <f t="shared" si="123"/>
        <v>38798680</v>
      </c>
      <c r="S73" s="39">
        <f t="shared" ref="S73:T73" si="124">S71-S72</f>
        <v>38627982</v>
      </c>
      <c r="T73" s="39">
        <f t="shared" si="124"/>
        <v>39337385</v>
      </c>
      <c r="U73" s="39">
        <f t="shared" ref="U73:V73" si="125">U71-U72</f>
        <v>39978052</v>
      </c>
      <c r="V73" s="39">
        <f t="shared" si="125"/>
        <v>41463665</v>
      </c>
      <c r="W73" s="39">
        <f t="shared" ref="W73:X73" si="126">W71-W72</f>
        <v>38958228</v>
      </c>
      <c r="X73" s="39">
        <f t="shared" si="126"/>
        <v>41816277</v>
      </c>
      <c r="Y73" s="39">
        <f t="shared" ref="Y73:Z73" si="127">Y71-Y72</f>
        <v>47277067</v>
      </c>
      <c r="Z73" s="39">
        <f t="shared" si="127"/>
        <v>45876468</v>
      </c>
      <c r="AA73" s="39">
        <f t="shared" ref="AA73:AB73" si="128">AA71-AA72</f>
        <v>52871410</v>
      </c>
      <c r="AB73" s="39">
        <f t="shared" si="128"/>
        <v>49787853</v>
      </c>
      <c r="AC73" s="39">
        <f t="shared" ref="AC73:AD73" si="129">AC71-AC72</f>
        <v>53085489</v>
      </c>
      <c r="AD73" s="39">
        <f t="shared" si="129"/>
        <v>53452251</v>
      </c>
      <c r="AE73" s="39">
        <f t="shared" ref="AE73:AF73" si="130">AE71-AE72</f>
        <v>55945762</v>
      </c>
      <c r="AF73" s="39">
        <f t="shared" si="130"/>
        <v>43739560</v>
      </c>
      <c r="AG73" s="39">
        <f t="shared" ref="AG73:AH73" si="131">AG71-AG72</f>
        <v>57150231</v>
      </c>
      <c r="AH73" s="39">
        <f t="shared" si="131"/>
        <v>57239155</v>
      </c>
      <c r="AI73" s="39">
        <f t="shared" ref="AI73" si="132">AI71-AI72</f>
        <v>66047471</v>
      </c>
      <c r="AJ73" s="38"/>
    </row>
    <row r="74" spans="1:37">
      <c r="A74" s="50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22"/>
    </row>
    <row r="75" spans="1:37">
      <c r="A75" s="50" t="s">
        <v>71</v>
      </c>
      <c r="B75" s="1" t="s">
        <v>72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49">
        <v>0</v>
      </c>
      <c r="AJ75" s="53"/>
    </row>
    <row r="76" spans="1:37">
      <c r="A76" s="50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3"/>
    </row>
    <row r="77" spans="1:37">
      <c r="A77" s="50" t="s">
        <v>73</v>
      </c>
      <c r="B77" s="1" t="s">
        <v>74</v>
      </c>
      <c r="C77" s="2" t="s">
        <v>75</v>
      </c>
      <c r="D77" s="27">
        <f>'PSC 4-1 (Revised)'!D77-'PSC 4-1 (As Filed)'!D77</f>
        <v>0</v>
      </c>
      <c r="E77" s="27">
        <f>'PSC 4-1 (Revised)'!E77-'PSC 4-1 (As Filed)'!E77</f>
        <v>-97930.90173599869</v>
      </c>
      <c r="F77" s="27">
        <f>'PSC 4-1 (Revised)'!F77-'PSC 4-1 (As Filed)'!F77</f>
        <v>-20885.133351000492</v>
      </c>
      <c r="G77" s="27">
        <f>'PSC 4-1 (Revised)'!G77-'PSC 4-1 (As Filed)'!G77</f>
        <v>-47618.621194000123</v>
      </c>
      <c r="H77" s="27">
        <f>'PSC 4-1 (Revised)'!H77-'PSC 4-1 (As Filed)'!H77</f>
        <v>-259388.70838499954</v>
      </c>
      <c r="I77" s="27">
        <f>'PSC 4-1 (Revised)'!I77-'PSC 4-1 (As Filed)'!I77</f>
        <v>-466528.77875699999</v>
      </c>
      <c r="J77" s="27">
        <f>'PSC 4-1 (Revised)'!J77-'PSC 4-1 (As Filed)'!J77</f>
        <v>-426209.76504199987</v>
      </c>
      <c r="K77" s="27">
        <f>'PSC 4-1 (Revised)'!K77-'PSC 4-1 (As Filed)'!K77</f>
        <v>-437039.59070300031</v>
      </c>
      <c r="L77" s="27">
        <f>'PSC 4-1 (Revised)'!L77-'PSC 4-1 (As Filed)'!L77</f>
        <v>-458857.16366200033</v>
      </c>
      <c r="M77" s="27">
        <f>'PSC 4-1 (Revised)'!M77-'PSC 4-1 (As Filed)'!M77</f>
        <v>-561730.74817400007</v>
      </c>
      <c r="N77" s="27">
        <f>'PSC 4-1 (Revised)'!N77-'PSC 4-1 (As Filed)'!N77</f>
        <v>-661303.16611499921</v>
      </c>
      <c r="O77" s="27">
        <f>'PSC 4-1 (Revised)'!O77-'PSC 4-1 (As Filed)'!O77</f>
        <v>-585946.2103590006</v>
      </c>
      <c r="P77" s="27">
        <f>'PSC 4-1 (Revised)'!P77-'PSC 4-1 (As Filed)'!P77</f>
        <v>-719221.66059000045</v>
      </c>
      <c r="Q77" s="27">
        <f>'PSC 4-1 (Revised)'!Q77-'PSC 4-1 (As Filed)'!Q77</f>
        <v>-666016.85488600051</v>
      </c>
      <c r="R77" s="27">
        <f>'PSC 4-1 (Revised)'!R77-'PSC 4-1 (As Filed)'!R77</f>
        <v>-290414.63712800061</v>
      </c>
      <c r="S77" s="27">
        <f>'PSC 4-1 (Revised)'!S77-'PSC 4-1 (As Filed)'!S77</f>
        <v>-709741.68302999903</v>
      </c>
      <c r="T77" s="27">
        <f>'PSC 4-1 (Revised)'!T77-'PSC 4-1 (As Filed)'!T77</f>
        <v>-344673.19182099961</v>
      </c>
      <c r="U77" s="27">
        <f>'PSC 4-1 (Revised)'!U77-'PSC 4-1 (As Filed)'!U77</f>
        <v>-529044.05533999996</v>
      </c>
      <c r="V77" s="27">
        <f>'PSC 4-1 (Revised)'!V77-'PSC 4-1 (As Filed)'!V77</f>
        <v>-662841.5386059999</v>
      </c>
      <c r="W77" s="27">
        <f>'PSC 4-1 (Revised)'!W77-'PSC 4-1 (As Filed)'!W77</f>
        <v>-566472.06326700002</v>
      </c>
      <c r="X77" s="27">
        <f>'PSC 4-1 (Revised)'!X77-'PSC 4-1 (As Filed)'!X77</f>
        <v>-629899.04336700076</v>
      </c>
      <c r="Y77" s="27">
        <f>'PSC 4-1 (Revised)'!Y77-'PSC 4-1 (As Filed)'!Y77</f>
        <v>-660638.1961140004</v>
      </c>
      <c r="Z77" s="27">
        <f>'PSC 4-1 (Revised)'!Z77-'PSC 4-1 (As Filed)'!Z77</f>
        <v>-629872.9044319978</v>
      </c>
      <c r="AA77" s="27">
        <f>'PSC 4-1 (Revised)'!AA77-'PSC 4-1 (As Filed)'!AA77</f>
        <v>-635195.88077499857</v>
      </c>
      <c r="AB77" s="27">
        <f>'PSC 4-1 (Revised)'!AB77-'PSC 4-1 (As Filed)'!AB77</f>
        <v>-472385.65936199948</v>
      </c>
      <c r="AC77" s="27">
        <f>'PSC 4-1 (Revised)'!AC77-'PSC 4-1 (As Filed)'!AC77</f>
        <v>-414843.54845699947</v>
      </c>
      <c r="AD77" s="27">
        <f>'PSC 4-1 (Revised)'!AD77-'PSC 4-1 (As Filed)'!AD77</f>
        <v>-636473.21339899953</v>
      </c>
      <c r="AE77" s="27">
        <f>'PSC 4-1 (Revised)'!AE77-'PSC 4-1 (As Filed)'!AE77</f>
        <v>-537249.06109399907</v>
      </c>
      <c r="AF77" s="27">
        <f>'PSC 4-1 (Revised)'!AF77-'PSC 4-1 (As Filed)'!AF77</f>
        <v>-505100.21150400117</v>
      </c>
      <c r="AG77" s="27">
        <f>'PSC 4-1 (Revised)'!AG77-'PSC 4-1 (As Filed)'!AG77</f>
        <v>-1536770.2800149992</v>
      </c>
      <c r="AH77" s="27">
        <f>'PSC 4-1 (Revised)'!AH77-'PSC 4-1 (As Filed)'!AH77</f>
        <v>-179047.03695700038</v>
      </c>
      <c r="AI77" s="27">
        <f>'PSC 4-1 (Revised)'!AI77-'PSC 4-1 (As Filed)'!AI77</f>
        <v>-538916.75284299999</v>
      </c>
      <c r="AJ77" s="16"/>
    </row>
    <row r="78" spans="1:37">
      <c r="A78" s="50"/>
      <c r="B78" s="19"/>
      <c r="C78" s="20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3"/>
    </row>
    <row r="79" spans="1:37">
      <c r="A79" s="50" t="s">
        <v>76</v>
      </c>
      <c r="B79" s="1" t="s">
        <v>77</v>
      </c>
      <c r="C79" s="2" t="s">
        <v>78</v>
      </c>
      <c r="D79" s="27">
        <f>D69-D77</f>
        <v>0</v>
      </c>
      <c r="E79" s="27">
        <f t="shared" ref="E79:N79" si="133">E69-E77</f>
        <v>-53771.09826400131</v>
      </c>
      <c r="F79" s="27">
        <f t="shared" si="133"/>
        <v>-19633.866648999508</v>
      </c>
      <c r="G79" s="27">
        <f t="shared" si="133"/>
        <v>-6297.3788059998769</v>
      </c>
      <c r="H79" s="27">
        <f t="shared" si="133"/>
        <v>9036.7083849995397</v>
      </c>
      <c r="I79" s="27">
        <f t="shared" si="133"/>
        <v>-105967.22124300001</v>
      </c>
      <c r="J79" s="27">
        <f t="shared" si="133"/>
        <v>-162842.23495800013</v>
      </c>
      <c r="K79" s="27">
        <f t="shared" si="133"/>
        <v>-284243.40929699969</v>
      </c>
      <c r="L79" s="27">
        <f t="shared" si="133"/>
        <v>-171597.83633799967</v>
      </c>
      <c r="M79" s="27">
        <f t="shared" si="133"/>
        <v>-123742.25182599993</v>
      </c>
      <c r="N79" s="27">
        <f t="shared" si="133"/>
        <v>-97040.833885000786</v>
      </c>
      <c r="O79" s="27">
        <f t="shared" ref="O79:P79" si="134">O69-O77</f>
        <v>-419205.7896409994</v>
      </c>
      <c r="P79" s="27">
        <f t="shared" si="134"/>
        <v>-514923.33940999955</v>
      </c>
      <c r="Q79" s="27">
        <f t="shared" ref="Q79:R79" si="135">Q69-Q77</f>
        <v>-521716.14511399949</v>
      </c>
      <c r="R79" s="27">
        <f t="shared" si="135"/>
        <v>-98855.362871999387</v>
      </c>
      <c r="S79" s="27">
        <f t="shared" ref="S79:T79" si="136">S69-S77</f>
        <v>-478731.31697000097</v>
      </c>
      <c r="T79" s="27">
        <f t="shared" si="136"/>
        <v>-307826.80817900039</v>
      </c>
      <c r="U79" s="27">
        <f t="shared" ref="U79:V79" si="137">U69-U77</f>
        <v>-205109.94466000004</v>
      </c>
      <c r="V79" s="27">
        <f t="shared" si="137"/>
        <v>-248908.4613940001</v>
      </c>
      <c r="W79" s="27">
        <f t="shared" ref="W79:X79" si="138">W69-W77</f>
        <v>-245325.93673299998</v>
      </c>
      <c r="X79" s="27">
        <f t="shared" si="138"/>
        <v>-328787.95663299924</v>
      </c>
      <c r="Y79" s="27">
        <f t="shared" ref="Y79:Z79" si="139">Y69-Y77</f>
        <v>-330290.8038859996</v>
      </c>
      <c r="Z79" s="27">
        <f t="shared" si="139"/>
        <v>-471301.0955680022</v>
      </c>
      <c r="AA79" s="27">
        <f t="shared" ref="AA79:AB79" si="140">AA69-AA77</f>
        <v>-569585.11922500143</v>
      </c>
      <c r="AB79" s="27">
        <f t="shared" si="140"/>
        <v>-696421.34063800052</v>
      </c>
      <c r="AC79" s="27">
        <f t="shared" ref="AC79:AD79" si="141">AC69-AC77</f>
        <v>-482610.45154300053</v>
      </c>
      <c r="AD79" s="27">
        <f t="shared" si="141"/>
        <v>-633834.78660100047</v>
      </c>
      <c r="AE79" s="27">
        <f t="shared" ref="AE79:AF79" si="142">AE69-AE77</f>
        <v>-410562.93890600093</v>
      </c>
      <c r="AF79" s="27">
        <f t="shared" si="142"/>
        <v>-646600.78849599883</v>
      </c>
      <c r="AG79" s="27">
        <f t="shared" ref="AG79:AH79" si="143">AG69-AG77</f>
        <v>-1019119.7199850008</v>
      </c>
      <c r="AH79" s="27">
        <f t="shared" si="143"/>
        <v>-843813.96304299962</v>
      </c>
      <c r="AI79" s="27">
        <f t="shared" ref="AI79" si="144">AI69-AI77</f>
        <v>-715555.24715700001</v>
      </c>
      <c r="AJ79" s="16"/>
    </row>
    <row r="80" spans="1:37">
      <c r="A80" s="50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</row>
    <row r="81" spans="1:37">
      <c r="A81" s="50" t="s">
        <v>79</v>
      </c>
      <c r="B81" s="1" t="s">
        <v>80</v>
      </c>
      <c r="C81" s="2" t="s">
        <v>81</v>
      </c>
      <c r="D81" s="15">
        <f>'PSC 4-1 (Revised)'!D81-'PSC 4-1 (As Filed)'!D81</f>
        <v>4672086</v>
      </c>
      <c r="E81" s="15">
        <f>'PSC 4-1 (Revised)'!E81-'PSC 4-1 (As Filed)'!E81</f>
        <v>3562188</v>
      </c>
      <c r="F81" s="15">
        <f>'PSC 4-1 (Revised)'!F81-'PSC 4-1 (As Filed)'!F81</f>
        <v>3217409</v>
      </c>
      <c r="G81" s="15">
        <f>'PSC 4-1 (Revised)'!G81-'PSC 4-1 (As Filed)'!G81</f>
        <v>12690911</v>
      </c>
      <c r="H81" s="15">
        <f>'PSC 4-1 (Revised)'!H81-'PSC 4-1 (As Filed)'!H81</f>
        <v>21864366</v>
      </c>
      <c r="I81" s="15">
        <f>'PSC 4-1 (Revised)'!I81-'PSC 4-1 (As Filed)'!I81</f>
        <v>25419706</v>
      </c>
      <c r="J81" s="15">
        <f>'PSC 4-1 (Revised)'!J81-'PSC 4-1 (As Filed)'!J81</f>
        <v>28651813</v>
      </c>
      <c r="K81" s="15">
        <f>'PSC 4-1 (Revised)'!K81-'PSC 4-1 (As Filed)'!K81</f>
        <v>35492618</v>
      </c>
      <c r="L81" s="15">
        <f>'PSC 4-1 (Revised)'!L81-'PSC 4-1 (As Filed)'!L81</f>
        <v>35036362</v>
      </c>
      <c r="M81" s="15">
        <f>'PSC 4-1 (Revised)'!M81-'PSC 4-1 (As Filed)'!M81</f>
        <v>37511319</v>
      </c>
      <c r="N81" s="15">
        <f>'PSC 4-1 (Revised)'!N81-'PSC 4-1 (As Filed)'!N81</f>
        <v>32626807</v>
      </c>
      <c r="O81" s="15">
        <f>'PSC 4-1 (Revised)'!O81-'PSC 4-1 (As Filed)'!O81</f>
        <v>36051169</v>
      </c>
      <c r="P81" s="15">
        <f>'PSC 4-1 (Revised)'!P81-'PSC 4-1 (As Filed)'!P81</f>
        <v>38531720</v>
      </c>
      <c r="Q81" s="15">
        <f>'PSC 4-1 (Revised)'!Q81-'PSC 4-1 (As Filed)'!Q81</f>
        <v>38798680</v>
      </c>
      <c r="R81" s="15">
        <f>'PSC 4-1 (Revised)'!R81-'PSC 4-1 (As Filed)'!R81</f>
        <v>38627982</v>
      </c>
      <c r="S81" s="15">
        <f>'PSC 4-1 (Revised)'!S81-'PSC 4-1 (As Filed)'!S81</f>
        <v>39337385</v>
      </c>
      <c r="T81" s="15">
        <f>'PSC 4-1 (Revised)'!T81-'PSC 4-1 (As Filed)'!T81</f>
        <v>39978052</v>
      </c>
      <c r="U81" s="15">
        <f>'PSC 4-1 (Revised)'!U81-'PSC 4-1 (As Filed)'!U81</f>
        <v>41463665</v>
      </c>
      <c r="V81" s="15">
        <f>'PSC 4-1 (Revised)'!V81-'PSC 4-1 (As Filed)'!V81</f>
        <v>38958228</v>
      </c>
      <c r="W81" s="15">
        <f>'PSC 4-1 (Revised)'!W81-'PSC 4-1 (As Filed)'!W81</f>
        <v>41816277</v>
      </c>
      <c r="X81" s="15">
        <f>'PSC 4-1 (Revised)'!X81-'PSC 4-1 (As Filed)'!X81</f>
        <v>47277067</v>
      </c>
      <c r="Y81" s="15">
        <f>'PSC 4-1 (Revised)'!Y81-'PSC 4-1 (As Filed)'!Y81</f>
        <v>45876468</v>
      </c>
      <c r="Z81" s="15">
        <f>'PSC 4-1 (Revised)'!Z81-'PSC 4-1 (As Filed)'!Z81</f>
        <v>52871410</v>
      </c>
      <c r="AA81" s="15">
        <f>'PSC 4-1 (Revised)'!AA81-'PSC 4-1 (As Filed)'!AA81</f>
        <v>49787853</v>
      </c>
      <c r="AB81" s="15">
        <f>'PSC 4-1 (Revised)'!AB81-'PSC 4-1 (As Filed)'!AB81</f>
        <v>53085489</v>
      </c>
      <c r="AC81" s="15">
        <f>'PSC 4-1 (Revised)'!AC81-'PSC 4-1 (As Filed)'!AC81</f>
        <v>53452251</v>
      </c>
      <c r="AD81" s="15">
        <f>'PSC 4-1 (Revised)'!AD81-'PSC 4-1 (As Filed)'!AD81</f>
        <v>55945762</v>
      </c>
      <c r="AE81" s="15">
        <f>'PSC 4-1 (Revised)'!AE81-'PSC 4-1 (As Filed)'!AE81</f>
        <v>43739560</v>
      </c>
      <c r="AF81" s="15">
        <f>'PSC 4-1 (Revised)'!AF81-'PSC 4-1 (As Filed)'!AF81</f>
        <v>57150231</v>
      </c>
      <c r="AG81" s="15">
        <f>'PSC 4-1 (Revised)'!AG81-'PSC 4-1 (As Filed)'!AG81</f>
        <v>57239155</v>
      </c>
      <c r="AH81" s="15">
        <f>'PSC 4-1 (Revised)'!AH81-'PSC 4-1 (As Filed)'!AH81</f>
        <v>66047471</v>
      </c>
      <c r="AI81" s="15">
        <f>'PSC 4-1 (Revised)'!AI81-'PSC 4-1 (As Filed)'!AI81</f>
        <v>63560484</v>
      </c>
      <c r="AJ81" s="80" t="s">
        <v>6</v>
      </c>
      <c r="AK81" s="35"/>
    </row>
    <row r="82" spans="1:37" ht="3.75" customHeight="1">
      <c r="A82" s="50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80"/>
    </row>
    <row r="83" spans="1:37">
      <c r="A83" s="50" t="s">
        <v>82</v>
      </c>
      <c r="B83" s="1" t="s">
        <v>83</v>
      </c>
      <c r="D83" s="15">
        <f>'PSC 4-1 (Revised)'!D83-'PSC 4-1 (As Filed)'!D83</f>
        <v>4672086</v>
      </c>
      <c r="E83" s="15">
        <f>'PSC 4-1 (Revised)'!E83-'PSC 4-1 (As Filed)'!E83</f>
        <v>3562188</v>
      </c>
      <c r="F83" s="15">
        <f>'PSC 4-1 (Revised)'!F83-'PSC 4-1 (As Filed)'!F83</f>
        <v>3217409</v>
      </c>
      <c r="G83" s="15">
        <f>'PSC 4-1 (Revised)'!G83-'PSC 4-1 (As Filed)'!G83</f>
        <v>12690911</v>
      </c>
      <c r="H83" s="15">
        <f>'PSC 4-1 (Revised)'!H83-'PSC 4-1 (As Filed)'!H83</f>
        <v>21864366</v>
      </c>
      <c r="I83" s="15">
        <f>'PSC 4-1 (Revised)'!I83-'PSC 4-1 (As Filed)'!I83</f>
        <v>25419706</v>
      </c>
      <c r="J83" s="15">
        <f>'PSC 4-1 (Revised)'!J83-'PSC 4-1 (As Filed)'!J83</f>
        <v>28651813</v>
      </c>
      <c r="K83" s="15">
        <f>'PSC 4-1 (Revised)'!K83-'PSC 4-1 (As Filed)'!K83</f>
        <v>35492618</v>
      </c>
      <c r="L83" s="15">
        <f>'PSC 4-1 (Revised)'!L83-'PSC 4-1 (As Filed)'!L83</f>
        <v>35036362</v>
      </c>
      <c r="M83" s="15">
        <f>'PSC 4-1 (Revised)'!M83-'PSC 4-1 (As Filed)'!M83</f>
        <v>37511319</v>
      </c>
      <c r="N83" s="15">
        <f>'PSC 4-1 (Revised)'!N83-'PSC 4-1 (As Filed)'!N83</f>
        <v>32626807</v>
      </c>
      <c r="O83" s="15">
        <f>'PSC 4-1 (Revised)'!O83-'PSC 4-1 (As Filed)'!O83</f>
        <v>36051169</v>
      </c>
      <c r="P83" s="15">
        <f>'PSC 4-1 (Revised)'!P83-'PSC 4-1 (As Filed)'!P83</f>
        <v>38531720</v>
      </c>
      <c r="Q83" s="15">
        <f>'PSC 4-1 (Revised)'!Q83-'PSC 4-1 (As Filed)'!Q83</f>
        <v>38798680</v>
      </c>
      <c r="R83" s="15">
        <f>'PSC 4-1 (Revised)'!R83-'PSC 4-1 (As Filed)'!R83</f>
        <v>38627982</v>
      </c>
      <c r="S83" s="15">
        <f>'PSC 4-1 (Revised)'!S83-'PSC 4-1 (As Filed)'!S83</f>
        <v>39337385</v>
      </c>
      <c r="T83" s="15">
        <f>'PSC 4-1 (Revised)'!T83-'PSC 4-1 (As Filed)'!T83</f>
        <v>39978052</v>
      </c>
      <c r="U83" s="15">
        <f>'PSC 4-1 (Revised)'!U83-'PSC 4-1 (As Filed)'!U83</f>
        <v>41463665</v>
      </c>
      <c r="V83" s="15">
        <f>'PSC 4-1 (Revised)'!V83-'PSC 4-1 (As Filed)'!V83</f>
        <v>38958228</v>
      </c>
      <c r="W83" s="15">
        <f>'PSC 4-1 (Revised)'!W83-'PSC 4-1 (As Filed)'!W83</f>
        <v>41816277</v>
      </c>
      <c r="X83" s="15">
        <f>'PSC 4-1 (Revised)'!X83-'PSC 4-1 (As Filed)'!X83</f>
        <v>47277067</v>
      </c>
      <c r="Y83" s="15">
        <f>'PSC 4-1 (Revised)'!Y83-'PSC 4-1 (As Filed)'!Y83</f>
        <v>45876468</v>
      </c>
      <c r="Z83" s="15">
        <f>'PSC 4-1 (Revised)'!Z83-'PSC 4-1 (As Filed)'!Z83</f>
        <v>52871410</v>
      </c>
      <c r="AA83" s="15">
        <f>'PSC 4-1 (Revised)'!AA83-'PSC 4-1 (As Filed)'!AA83</f>
        <v>49787853</v>
      </c>
      <c r="AB83" s="15">
        <f>'PSC 4-1 (Revised)'!AB83-'PSC 4-1 (As Filed)'!AB83</f>
        <v>53085489</v>
      </c>
      <c r="AC83" s="15">
        <f>'PSC 4-1 (Revised)'!AC83-'PSC 4-1 (As Filed)'!AC83</f>
        <v>53452251</v>
      </c>
      <c r="AD83" s="15">
        <f>'PSC 4-1 (Revised)'!AD83-'PSC 4-1 (As Filed)'!AD83</f>
        <v>55945762</v>
      </c>
      <c r="AE83" s="15">
        <f>'PSC 4-1 (Revised)'!AE83-'PSC 4-1 (As Filed)'!AE83</f>
        <v>43739560</v>
      </c>
      <c r="AF83" s="15">
        <f>'PSC 4-1 (Revised)'!AF83-'PSC 4-1 (As Filed)'!AF83</f>
        <v>57150231</v>
      </c>
      <c r="AG83" s="15">
        <f>'PSC 4-1 (Revised)'!AG83-'PSC 4-1 (As Filed)'!AG83</f>
        <v>57239155</v>
      </c>
      <c r="AH83" s="15">
        <f>'PSC 4-1 (Revised)'!AH83-'PSC 4-1 (As Filed)'!AH83</f>
        <v>66047471</v>
      </c>
      <c r="AI83" s="15">
        <f>'PSC 4-1 (Revised)'!AI83-'PSC 4-1 (As Filed)'!AI83</f>
        <v>63560484</v>
      </c>
      <c r="AJ83" s="80" t="s">
        <v>6</v>
      </c>
      <c r="AK83" s="35"/>
    </row>
    <row r="84" spans="1:37" ht="3.75" customHeight="1">
      <c r="A84" s="50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55"/>
    </row>
    <row r="85" spans="1:37">
      <c r="A85" s="50" t="s">
        <v>84</v>
      </c>
      <c r="B85" s="1" t="s">
        <v>85</v>
      </c>
      <c r="C85" s="2" t="s">
        <v>86</v>
      </c>
      <c r="D85" s="15">
        <f>'PSC 4-1 (Revised)'!D85-'PSC 4-1 (As Filed)'!D85</f>
        <v>0</v>
      </c>
      <c r="E85" s="15">
        <f>'PSC 4-1 (Revised)'!E85-'PSC 4-1 (As Filed)'!E85</f>
        <v>0</v>
      </c>
      <c r="F85" s="15">
        <f>'PSC 4-1 (Revised)'!F85-'PSC 4-1 (As Filed)'!F85</f>
        <v>0</v>
      </c>
      <c r="G85" s="15">
        <f>'PSC 4-1 (Revised)'!G85-'PSC 4-1 (As Filed)'!G85</f>
        <v>0</v>
      </c>
      <c r="H85" s="15">
        <f>'PSC 4-1 (Revised)'!H85-'PSC 4-1 (As Filed)'!H85</f>
        <v>0</v>
      </c>
      <c r="I85" s="15">
        <f>'PSC 4-1 (Revised)'!I85-'PSC 4-1 (As Filed)'!I85</f>
        <v>0</v>
      </c>
      <c r="J85" s="15">
        <f>'PSC 4-1 (Revised)'!J85-'PSC 4-1 (As Filed)'!J85</f>
        <v>0</v>
      </c>
      <c r="K85" s="15">
        <f>'PSC 4-1 (Revised)'!K85-'PSC 4-1 (As Filed)'!K85</f>
        <v>0</v>
      </c>
      <c r="L85" s="15">
        <f>'PSC 4-1 (Revised)'!L85-'PSC 4-1 (As Filed)'!L85</f>
        <v>0</v>
      </c>
      <c r="M85" s="15">
        <f>'PSC 4-1 (Revised)'!M85-'PSC 4-1 (As Filed)'!M85</f>
        <v>0</v>
      </c>
      <c r="N85" s="15">
        <f>'PSC 4-1 (Revised)'!N85-'PSC 4-1 (As Filed)'!N85</f>
        <v>0</v>
      </c>
      <c r="O85" s="15">
        <f>'PSC 4-1 (Revised)'!O85-'PSC 4-1 (As Filed)'!O85</f>
        <v>0</v>
      </c>
      <c r="P85" s="15">
        <f>'PSC 4-1 (Revised)'!P85-'PSC 4-1 (As Filed)'!P85</f>
        <v>0</v>
      </c>
      <c r="Q85" s="15">
        <f>'PSC 4-1 (Revised)'!Q85-'PSC 4-1 (As Filed)'!Q85</f>
        <v>0</v>
      </c>
      <c r="R85" s="15">
        <f>'PSC 4-1 (Revised)'!R85-'PSC 4-1 (As Filed)'!R85</f>
        <v>0</v>
      </c>
      <c r="S85" s="15">
        <f>'PSC 4-1 (Revised)'!S85-'PSC 4-1 (As Filed)'!S85</f>
        <v>0</v>
      </c>
      <c r="T85" s="15">
        <f>'PSC 4-1 (Revised)'!T85-'PSC 4-1 (As Filed)'!T85</f>
        <v>0</v>
      </c>
      <c r="U85" s="15">
        <f>'PSC 4-1 (Revised)'!U85-'PSC 4-1 (As Filed)'!U85</f>
        <v>0</v>
      </c>
      <c r="V85" s="15">
        <f>'PSC 4-1 (Revised)'!V85-'PSC 4-1 (As Filed)'!V85</f>
        <v>0</v>
      </c>
      <c r="W85" s="15">
        <f>'PSC 4-1 (Revised)'!W85-'PSC 4-1 (As Filed)'!W85</f>
        <v>0</v>
      </c>
      <c r="X85" s="15">
        <f>'PSC 4-1 (Revised)'!X85-'PSC 4-1 (As Filed)'!X85</f>
        <v>0</v>
      </c>
      <c r="Y85" s="15">
        <f>'PSC 4-1 (Revised)'!Y85-'PSC 4-1 (As Filed)'!Y85</f>
        <v>0</v>
      </c>
      <c r="Z85" s="15">
        <f>'PSC 4-1 (Revised)'!Z85-'PSC 4-1 (As Filed)'!Z85</f>
        <v>0</v>
      </c>
      <c r="AA85" s="15">
        <f>'PSC 4-1 (Revised)'!AA85-'PSC 4-1 (As Filed)'!AA85</f>
        <v>0</v>
      </c>
      <c r="AB85" s="15">
        <f>'PSC 4-1 (Revised)'!AB85-'PSC 4-1 (As Filed)'!AB85</f>
        <v>0</v>
      </c>
      <c r="AC85" s="15">
        <f>'PSC 4-1 (Revised)'!AC85-'PSC 4-1 (As Filed)'!AC85</f>
        <v>0</v>
      </c>
      <c r="AD85" s="15">
        <f>'PSC 4-1 (Revised)'!AD85-'PSC 4-1 (As Filed)'!AD85</f>
        <v>0</v>
      </c>
      <c r="AE85" s="15">
        <f>'PSC 4-1 (Revised)'!AE85-'PSC 4-1 (As Filed)'!AE85</f>
        <v>0</v>
      </c>
      <c r="AF85" s="15">
        <f>'PSC 4-1 (Revised)'!AF85-'PSC 4-1 (As Filed)'!AF85</f>
        <v>0</v>
      </c>
      <c r="AG85" s="15">
        <f>'PSC 4-1 (Revised)'!AG85-'PSC 4-1 (As Filed)'!AG85</f>
        <v>0</v>
      </c>
      <c r="AH85" s="15">
        <f>'PSC 4-1 (Revised)'!AH85-'PSC 4-1 (As Filed)'!AH85</f>
        <v>0</v>
      </c>
      <c r="AI85" s="15">
        <f>'PSC 4-1 (Revised)'!AI85-'PSC 4-1 (As Filed)'!AI85</f>
        <v>0</v>
      </c>
      <c r="AJ85" s="57"/>
    </row>
    <row r="86" spans="1:37" ht="3.75" customHeight="1">
      <c r="A86" s="50"/>
      <c r="B86" s="19"/>
      <c r="C86" s="20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9"/>
    </row>
    <row r="87" spans="1:37">
      <c r="A87" s="50" t="s">
        <v>87</v>
      </c>
      <c r="B87" s="1" t="s">
        <v>88</v>
      </c>
      <c r="C87" s="2" t="s">
        <v>89</v>
      </c>
      <c r="D87" s="60">
        <f>'PSC 4-1 (Revised)'!D87-'PSC 4-1 (As Filed)'!D87</f>
        <v>0</v>
      </c>
      <c r="E87" s="60">
        <f>'PSC 4-1 (Revised)'!E87-'PSC 4-1 (As Filed)'!E87</f>
        <v>-53771</v>
      </c>
      <c r="F87" s="60">
        <f>'PSC 4-1 (Revised)'!F87-'PSC 4-1 (As Filed)'!F87</f>
        <v>-19634</v>
      </c>
      <c r="G87" s="60">
        <f>'PSC 4-1 (Revised)'!G87-'PSC 4-1 (As Filed)'!G87</f>
        <v>-6297</v>
      </c>
      <c r="H87" s="60">
        <f>'PSC 4-1 (Revised)'!H87-'PSC 4-1 (As Filed)'!H87</f>
        <v>9036</v>
      </c>
      <c r="I87" s="60">
        <f>'PSC 4-1 (Revised)'!I87-'PSC 4-1 (As Filed)'!I87</f>
        <v>-105967</v>
      </c>
      <c r="J87" s="60">
        <f>'PSC 4-1 (Revised)'!J87-'PSC 4-1 (As Filed)'!J87</f>
        <v>-162843</v>
      </c>
      <c r="K87" s="60">
        <f>'PSC 4-1 (Revised)'!K87-'PSC 4-1 (As Filed)'!K87</f>
        <v>-284244</v>
      </c>
      <c r="L87" s="60">
        <f>'PSC 4-1 (Revised)'!L87-'PSC 4-1 (As Filed)'!L87</f>
        <v>-171598</v>
      </c>
      <c r="M87" s="60">
        <f>'PSC 4-1 (Revised)'!M87-'PSC 4-1 (As Filed)'!M87</f>
        <v>-123742</v>
      </c>
      <c r="N87" s="60">
        <f>'PSC 4-1 (Revised)'!N87-'PSC 4-1 (As Filed)'!N87</f>
        <v>-97041</v>
      </c>
      <c r="O87" s="60">
        <f>'PSC 4-1 (Revised)'!O87-'PSC 4-1 (As Filed)'!O87</f>
        <v>-419206</v>
      </c>
      <c r="P87" s="60">
        <f>'PSC 4-1 (Revised)'!P87-'PSC 4-1 (As Filed)'!P87</f>
        <v>-514923</v>
      </c>
      <c r="Q87" s="60">
        <f>'PSC 4-1 (Revised)'!Q87-'PSC 4-1 (As Filed)'!Q87</f>
        <v>-521717</v>
      </c>
      <c r="R87" s="60">
        <f>'PSC 4-1 (Revised)'!R87-'PSC 4-1 (As Filed)'!R87</f>
        <v>-98855</v>
      </c>
      <c r="S87" s="60">
        <f>'PSC 4-1 (Revised)'!S87-'PSC 4-1 (As Filed)'!S87</f>
        <v>-478732</v>
      </c>
      <c r="T87" s="60">
        <f>'PSC 4-1 (Revised)'!T87-'PSC 4-1 (As Filed)'!T87</f>
        <v>-307827</v>
      </c>
      <c r="U87" s="60">
        <f>'PSC 4-1 (Revised)'!U87-'PSC 4-1 (As Filed)'!U87</f>
        <v>-205110</v>
      </c>
      <c r="V87" s="60">
        <f>'PSC 4-1 (Revised)'!V87-'PSC 4-1 (As Filed)'!V87</f>
        <v>-248909</v>
      </c>
      <c r="W87" s="60">
        <f>'PSC 4-1 (Revised)'!W87-'PSC 4-1 (As Filed)'!W87</f>
        <v>-245326</v>
      </c>
      <c r="X87" s="60">
        <f>'PSC 4-1 (Revised)'!X87-'PSC 4-1 (As Filed)'!X87</f>
        <v>-328788</v>
      </c>
      <c r="Y87" s="60">
        <f>'PSC 4-1 (Revised)'!Y87-'PSC 4-1 (As Filed)'!Y87</f>
        <v>-330291</v>
      </c>
      <c r="Z87" s="60">
        <f>'PSC 4-1 (Revised)'!Z87-'PSC 4-1 (As Filed)'!Z87</f>
        <v>-471301</v>
      </c>
      <c r="AA87" s="60">
        <f>'PSC 4-1 (Revised)'!AA87-'PSC 4-1 (As Filed)'!AA87</f>
        <v>-569585</v>
      </c>
      <c r="AB87" s="60">
        <f>'PSC 4-1 (Revised)'!AB87-'PSC 4-1 (As Filed)'!AB87</f>
        <v>-696421</v>
      </c>
      <c r="AC87" s="60">
        <f>'PSC 4-1 (Revised)'!AC87-'PSC 4-1 (As Filed)'!AC87</f>
        <v>-482611</v>
      </c>
      <c r="AD87" s="60">
        <f>'PSC 4-1 (Revised)'!AD87-'PSC 4-1 (As Filed)'!AD87</f>
        <v>-633834</v>
      </c>
      <c r="AE87" s="60">
        <f>'PSC 4-1 (Revised)'!AE87-'PSC 4-1 (As Filed)'!AE87</f>
        <v>-410563</v>
      </c>
      <c r="AF87" s="60">
        <f>'PSC 4-1 (Revised)'!AF87-'PSC 4-1 (As Filed)'!AF87</f>
        <v>-646600</v>
      </c>
      <c r="AG87" s="60">
        <f>'PSC 4-1 (Revised)'!AG87-'PSC 4-1 (As Filed)'!AG87</f>
        <v>-1019120</v>
      </c>
      <c r="AH87" s="60">
        <f>'PSC 4-1 (Revised)'!AH87-'PSC 4-1 (As Filed)'!AH87</f>
        <v>-843814</v>
      </c>
      <c r="AI87" s="60">
        <f>'PSC 4-1 (Revised)'!AI87-'PSC 4-1 (As Filed)'!AI87</f>
        <v>-715555</v>
      </c>
      <c r="AJ87" s="59"/>
    </row>
    <row r="88" spans="1:37" ht="8.25" customHeight="1">
      <c r="A88" s="61"/>
      <c r="B88" s="19"/>
      <c r="C88" s="62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4"/>
    </row>
    <row r="89" spans="1:37">
      <c r="A89" s="4"/>
      <c r="B89" s="6"/>
      <c r="C89" s="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</row>
    <row r="90" spans="1:37">
      <c r="A90" s="65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</row>
    <row r="91" spans="1:37">
      <c r="A91" s="66" t="s">
        <v>90</v>
      </c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</row>
    <row r="92" spans="1:37">
      <c r="A92" s="67" t="s">
        <v>6</v>
      </c>
      <c r="B92" s="114" t="s">
        <v>95</v>
      </c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64"/>
    </row>
    <row r="93" spans="1:37">
      <c r="A93" s="67" t="s">
        <v>93</v>
      </c>
      <c r="B93" s="114" t="s">
        <v>94</v>
      </c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64"/>
    </row>
    <row r="94" spans="1:37" ht="30" customHeight="1">
      <c r="A94" s="67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64"/>
    </row>
    <row r="95" spans="1:37">
      <c r="A95" s="6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</row>
    <row r="96" spans="1:37" ht="30" customHeight="1">
      <c r="A96" s="67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64"/>
    </row>
    <row r="97" spans="1:36">
      <c r="A97" s="65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1:36" ht="30" customHeight="1">
      <c r="A98" s="67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64"/>
    </row>
    <row r="99" spans="1:36">
      <c r="A99" s="65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</row>
    <row r="100" spans="1:36" ht="45" customHeight="1">
      <c r="A100" s="67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64"/>
    </row>
    <row r="101" spans="1:36">
      <c r="A101" s="65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</row>
  </sheetData>
  <mergeCells count="7">
    <mergeCell ref="B100:N100"/>
    <mergeCell ref="B93:N93"/>
    <mergeCell ref="A47:N47"/>
    <mergeCell ref="B92:N92"/>
    <mergeCell ref="B94:N94"/>
    <mergeCell ref="B96:N96"/>
    <mergeCell ref="B98:N98"/>
  </mergeCells>
  <pageMargins left="1" right="0.7" top="1" bottom="0.75" header="0.3" footer="0.3"/>
  <pageSetup scale="51" fitToHeight="2" orientation="portrait" r:id="rId1"/>
  <headerFooter>
    <oddFooter>&amp;R&amp;"Times New Roman,Bold"&amp;12Page &amp;P of &amp;N</oddFooter>
  </headerFooter>
  <rowBreaks count="1" manualBreakCount="1">
    <brk id="4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7BB-FEDC-41A3-897C-A6C1352CA113}">
  <sheetPr codeName="Sheet5"/>
  <dimension ref="A2:AM32"/>
  <sheetViews>
    <sheetView zoomScaleNormal="100" workbookViewId="0">
      <pane xSplit="3" ySplit="6" topLeftCell="D10" activePane="bottomRight" state="frozen"/>
      <selection activeCell="N8" sqref="N8"/>
      <selection pane="topRight" activeCell="N8" sqref="N8"/>
      <selection pane="bottomLeft" activeCell="N8" sqref="N8"/>
      <selection pane="bottomRight" activeCell="D9" sqref="D9"/>
    </sheetView>
  </sheetViews>
  <sheetFormatPr defaultColWidth="9.125" defaultRowHeight="15.75"/>
  <cols>
    <col min="1" max="1" width="8" style="1" customWidth="1"/>
    <col min="2" max="2" width="53" style="1" customWidth="1"/>
    <col min="3" max="3" width="18.125" style="2" customWidth="1"/>
    <col min="4" max="35" width="25.75" style="1" customWidth="1"/>
    <col min="36" max="36" width="1.125" style="1" customWidth="1"/>
    <col min="37" max="37" width="14.75" style="1" bestFit="1" customWidth="1"/>
    <col min="38" max="16384" width="9.125" style="1"/>
  </cols>
  <sheetData>
    <row r="2" spans="1:39" ht="14.45" customHeight="1">
      <c r="A2" s="4" t="s">
        <v>0</v>
      </c>
    </row>
    <row r="3" spans="1:39" ht="14.45" customHeight="1">
      <c r="A3" s="78"/>
      <c r="B3" s="4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9">
      <c r="A4" s="6"/>
      <c r="B4" s="4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9">
      <c r="A5" s="4"/>
      <c r="B5" s="4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9">
      <c r="A6" s="4"/>
      <c r="B6" s="4"/>
      <c r="C6" s="7" t="s">
        <v>2</v>
      </c>
      <c r="D6" s="74">
        <v>44896</v>
      </c>
      <c r="E6" s="74">
        <f t="shared" ref="E6:AI6" si="0">EOMONTH(D6,1)</f>
        <v>44957</v>
      </c>
      <c r="F6" s="74">
        <f t="shared" si="0"/>
        <v>44985</v>
      </c>
      <c r="G6" s="74">
        <f t="shared" si="0"/>
        <v>45016</v>
      </c>
      <c r="H6" s="74">
        <f t="shared" si="0"/>
        <v>45046</v>
      </c>
      <c r="I6" s="74">
        <f t="shared" si="0"/>
        <v>45077</v>
      </c>
      <c r="J6" s="74">
        <f t="shared" si="0"/>
        <v>45107</v>
      </c>
      <c r="K6" s="74">
        <f t="shared" si="0"/>
        <v>45138</v>
      </c>
      <c r="L6" s="74">
        <f t="shared" si="0"/>
        <v>45169</v>
      </c>
      <c r="M6" s="74">
        <f t="shared" si="0"/>
        <v>45199</v>
      </c>
      <c r="N6" s="74">
        <f t="shared" si="0"/>
        <v>45230</v>
      </c>
      <c r="O6" s="97">
        <f t="shared" si="0"/>
        <v>45260</v>
      </c>
      <c r="P6" s="74">
        <f t="shared" si="0"/>
        <v>45291</v>
      </c>
      <c r="Q6" s="74">
        <f t="shared" si="0"/>
        <v>45322</v>
      </c>
      <c r="R6" s="74">
        <f t="shared" si="0"/>
        <v>45351</v>
      </c>
      <c r="S6" s="74">
        <f t="shared" si="0"/>
        <v>45382</v>
      </c>
      <c r="T6" s="74">
        <f t="shared" si="0"/>
        <v>45412</v>
      </c>
      <c r="U6" s="74">
        <f t="shared" si="0"/>
        <v>45443</v>
      </c>
      <c r="V6" s="74">
        <f t="shared" si="0"/>
        <v>45473</v>
      </c>
      <c r="W6" s="74">
        <f t="shared" si="0"/>
        <v>45504</v>
      </c>
      <c r="X6" s="74">
        <f t="shared" si="0"/>
        <v>45535</v>
      </c>
      <c r="Y6" s="74">
        <f t="shared" si="0"/>
        <v>45565</v>
      </c>
      <c r="Z6" s="74">
        <f t="shared" si="0"/>
        <v>45596</v>
      </c>
      <c r="AA6" s="74">
        <f t="shared" si="0"/>
        <v>45626</v>
      </c>
      <c r="AB6" s="74">
        <f t="shared" si="0"/>
        <v>45657</v>
      </c>
      <c r="AC6" s="74">
        <f t="shared" si="0"/>
        <v>45688</v>
      </c>
      <c r="AD6" s="74">
        <f t="shared" si="0"/>
        <v>45716</v>
      </c>
      <c r="AE6" s="74">
        <f t="shared" si="0"/>
        <v>45747</v>
      </c>
      <c r="AF6" s="74">
        <f t="shared" si="0"/>
        <v>45777</v>
      </c>
      <c r="AG6" s="74">
        <f t="shared" si="0"/>
        <v>45808</v>
      </c>
      <c r="AH6" s="74">
        <f t="shared" si="0"/>
        <v>45838</v>
      </c>
      <c r="AI6" s="74">
        <f t="shared" si="0"/>
        <v>45869</v>
      </c>
      <c r="AJ6" s="5"/>
    </row>
    <row r="7" spans="1:39" ht="5.25" customHeight="1">
      <c r="A7" s="4"/>
      <c r="B7" s="4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9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2"/>
    </row>
    <row r="9" spans="1:39">
      <c r="A9" s="12"/>
      <c r="B9" s="1" t="s">
        <v>92</v>
      </c>
      <c r="D9" s="15">
        <v>4672086</v>
      </c>
      <c r="E9" s="15">
        <v>3562188</v>
      </c>
      <c r="F9" s="15">
        <v>3217409</v>
      </c>
      <c r="G9" s="15">
        <v>12690911</v>
      </c>
      <c r="H9" s="15">
        <v>21864366</v>
      </c>
      <c r="I9" s="15">
        <v>25419706</v>
      </c>
      <c r="J9" s="15">
        <v>28651813</v>
      </c>
      <c r="K9" s="15">
        <v>35492618</v>
      </c>
      <c r="L9" s="15">
        <v>35036362</v>
      </c>
      <c r="M9" s="15">
        <v>37511319</v>
      </c>
      <c r="N9" s="15">
        <v>32626807</v>
      </c>
      <c r="O9" s="15">
        <v>36051169</v>
      </c>
      <c r="P9" s="15">
        <v>38531720</v>
      </c>
      <c r="Q9" s="15">
        <v>38798680</v>
      </c>
      <c r="R9" s="15">
        <v>38627982</v>
      </c>
      <c r="S9" s="15">
        <v>39337385</v>
      </c>
      <c r="T9" s="15">
        <v>39978052</v>
      </c>
      <c r="U9" s="15">
        <v>41463665</v>
      </c>
      <c r="V9" s="15">
        <v>38958228</v>
      </c>
      <c r="W9" s="15">
        <v>41816277</v>
      </c>
      <c r="X9" s="15">
        <v>47277067</v>
      </c>
      <c r="Y9" s="15">
        <v>45876468</v>
      </c>
      <c r="Z9" s="15">
        <v>52871410</v>
      </c>
      <c r="AA9" s="15">
        <v>49787853</v>
      </c>
      <c r="AB9" s="15">
        <v>53085489</v>
      </c>
      <c r="AC9" s="15">
        <v>53452251</v>
      </c>
      <c r="AD9" s="15">
        <v>55945762</v>
      </c>
      <c r="AE9" s="15">
        <v>43739560</v>
      </c>
      <c r="AF9" s="15">
        <v>57150231</v>
      </c>
      <c r="AG9" s="15">
        <v>57239155</v>
      </c>
      <c r="AH9" s="15">
        <v>66047471</v>
      </c>
      <c r="AI9" s="15">
        <v>63560484</v>
      </c>
      <c r="AJ9" s="13"/>
      <c r="AK9" s="14"/>
    </row>
    <row r="10" spans="1:39">
      <c r="A10" s="12"/>
      <c r="B10" s="1" t="s">
        <v>109</v>
      </c>
      <c r="D10" s="21">
        <v>2.0031E-2</v>
      </c>
      <c r="E10" s="21">
        <f>'PSC 4-1 (Revised)'!D14</f>
        <v>1.3922000000000004E-2</v>
      </c>
      <c r="F10" s="21">
        <f>'PSC 4-1 (Revised)'!E14</f>
        <v>7.6530000000000001E-3</v>
      </c>
      <c r="G10" s="21">
        <f>'PSC 4-1 (Revised)'!F14</f>
        <v>1.1000000000000003E-3</v>
      </c>
      <c r="H10" s="21">
        <f>'PSC 4-1 (Revised)'!G14</f>
        <v>2.7390000000000018E-3</v>
      </c>
      <c r="I10" s="21">
        <f>'PSC 4-1 (Revised)'!H14</f>
        <v>2.5009999999999998E-3</v>
      </c>
      <c r="J10" s="21">
        <f>'PSC 4-1 (Revised)'!I14</f>
        <v>3.772000000000001E-3</v>
      </c>
      <c r="K10" s="21">
        <f>'PSC 4-1 (Revised)'!J14</f>
        <v>6.5349999999999991E-3</v>
      </c>
      <c r="L10" s="21">
        <f>'PSC 4-1 (Revised)'!K14</f>
        <v>5.3869999999999994E-3</v>
      </c>
      <c r="M10" s="21">
        <f>'PSC 4-1 (Revised)'!L14</f>
        <v>6.6130000000000008E-3</v>
      </c>
      <c r="N10" s="21">
        <f>'PSC 4-1 (Revised)'!M14</f>
        <v>4.7030000000000023E-3</v>
      </c>
      <c r="O10" s="21">
        <f>'PSC 4-1 (Revised)'!N14</f>
        <v>1.0994999999999998E-2</v>
      </c>
      <c r="P10" s="21">
        <f>'PSC 4-1 (Revised)'!O14</f>
        <v>9.7210000000000005E-3</v>
      </c>
      <c r="Q10" s="21">
        <f>'PSC 4-1 (Revised)'!P14</f>
        <v>8.0210000000000004E-3</v>
      </c>
      <c r="R10" s="21">
        <f>'PSC 4-1 (Revised)'!Q14</f>
        <v>5.62E-3</v>
      </c>
      <c r="S10" s="21">
        <f>'PSC 4-1 (Revised)'!R14</f>
        <v>1.2989000000000001E-2</v>
      </c>
      <c r="T10" s="21">
        <f>'PSC 4-1 (Revised)'!S14</f>
        <v>9.0670000000000021E-3</v>
      </c>
      <c r="U10" s="21">
        <f>'PSC 4-1 (Revised)'!T14</f>
        <v>3.4800000000000005E-3</v>
      </c>
      <c r="V10" s="21">
        <f>'PSC 4-1 (Revised)'!U14</f>
        <v>3.0570000000000007E-3</v>
      </c>
      <c r="W10" s="21">
        <f>'PSC 4-1 (Revised)'!V14</f>
        <v>5.006E-3</v>
      </c>
      <c r="X10" s="21">
        <f>'PSC 4-1 (Revised)'!W14</f>
        <v>7.6290000000000004E-3</v>
      </c>
      <c r="Y10" s="21">
        <f>'PSC 4-1 (Revised)'!X14</f>
        <v>1.0905999999999999E-2</v>
      </c>
      <c r="Z10" s="21">
        <f>'PSC 4-1 (Revised)'!Y14</f>
        <v>1.2507000000000004E-2</v>
      </c>
      <c r="AA10" s="21">
        <f>'PSC 4-1 (Revised)'!Z14</f>
        <v>1.0764000000000003E-2</v>
      </c>
      <c r="AB10" s="21">
        <f>'PSC 4-1 (Revised)'!AA14</f>
        <v>1.0054E-2</v>
      </c>
      <c r="AC10" s="21">
        <f>'PSC 4-1 (Revised)'!AB14</f>
        <v>6.5890000000000011E-3</v>
      </c>
      <c r="AD10" s="21">
        <f>'PSC 4-1 (Revised)'!AC14</f>
        <v>1.7016999999999997E-2</v>
      </c>
      <c r="AE10" s="21">
        <f>'PSC 4-1 (Revised)'!AD14</f>
        <v>9.1570000000000019E-3</v>
      </c>
      <c r="AF10" s="21">
        <f>'PSC 4-1 (Revised)'!AE14</f>
        <v>1.7065999999999998E-2</v>
      </c>
      <c r="AG10" s="21">
        <f>'PSC 4-1 (Revised)'!AF14</f>
        <v>1.5459000000000001E-2</v>
      </c>
      <c r="AH10" s="21">
        <f>'PSC 4-1 (Revised)'!AG14</f>
        <v>1.1601E-2</v>
      </c>
      <c r="AI10" s="21">
        <f>'PSC 4-1 (Revised)'!AH14</f>
        <v>8.3110000000000024E-3</v>
      </c>
      <c r="AJ10" s="16"/>
    </row>
    <row r="11" spans="1:39">
      <c r="A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2"/>
      <c r="AM11" s="1" t="s">
        <v>102</v>
      </c>
    </row>
    <row r="12" spans="1:39">
      <c r="A12" s="43"/>
      <c r="B12" s="44" t="s">
        <v>101</v>
      </c>
      <c r="C12" s="45"/>
      <c r="D12" s="81">
        <f>D9*D10</f>
        <v>93586.554665999996</v>
      </c>
      <c r="E12" s="81">
        <f t="shared" ref="E12:N12" si="1">E9*E10</f>
        <v>49592.781336000015</v>
      </c>
      <c r="F12" s="81">
        <f t="shared" si="1"/>
        <v>24622.831076999999</v>
      </c>
      <c r="G12" s="81">
        <f t="shared" si="1"/>
        <v>13960.002100000003</v>
      </c>
      <c r="H12" s="81">
        <f t="shared" si="1"/>
        <v>59886.498474000044</v>
      </c>
      <c r="I12" s="81">
        <f t="shared" si="1"/>
        <v>63574.684705999993</v>
      </c>
      <c r="J12" s="81">
        <f t="shared" si="1"/>
        <v>108074.63863600003</v>
      </c>
      <c r="K12" s="81">
        <f t="shared" si="1"/>
        <v>231944.25862999997</v>
      </c>
      <c r="L12" s="81">
        <f t="shared" si="1"/>
        <v>188740.88209399997</v>
      </c>
      <c r="M12" s="81">
        <f t="shared" si="1"/>
        <v>248062.35254700002</v>
      </c>
      <c r="N12" s="81">
        <f t="shared" si="1"/>
        <v>153443.87332100008</v>
      </c>
      <c r="O12" s="81">
        <f t="shared" ref="O12:P12" si="2">O9*O10</f>
        <v>396382.6031549999</v>
      </c>
      <c r="P12" s="81">
        <f t="shared" si="2"/>
        <v>374566.85012000002</v>
      </c>
      <c r="Q12" s="81">
        <f t="shared" ref="Q12:R12" si="3">Q9*Q10</f>
        <v>311204.21228000004</v>
      </c>
      <c r="R12" s="81">
        <f t="shared" si="3"/>
        <v>217089.25883999999</v>
      </c>
      <c r="S12" s="81">
        <f t="shared" ref="S12:T12" si="4">S9*S10</f>
        <v>510953.29376500001</v>
      </c>
      <c r="T12" s="81">
        <f t="shared" si="4"/>
        <v>362480.99748400011</v>
      </c>
      <c r="U12" s="81">
        <f t="shared" ref="U12:V12" si="5">U9*U10</f>
        <v>144293.55420000001</v>
      </c>
      <c r="V12" s="81">
        <f t="shared" si="5"/>
        <v>119095.30299600003</v>
      </c>
      <c r="W12" s="81">
        <f t="shared" ref="W12:X12" si="6">W9*W10</f>
        <v>209332.28266200001</v>
      </c>
      <c r="X12" s="81">
        <f t="shared" si="6"/>
        <v>360676.74414299999</v>
      </c>
      <c r="Y12" s="81">
        <f t="shared" ref="Y12:Z12" si="7">Y9*Y10</f>
        <v>500328.76000799995</v>
      </c>
      <c r="Z12" s="81">
        <f t="shared" si="7"/>
        <v>661262.72487000027</v>
      </c>
      <c r="AA12" s="81">
        <f t="shared" ref="AA12:AB12" si="8">AA9*AA10</f>
        <v>535916.44969200017</v>
      </c>
      <c r="AB12" s="81">
        <f t="shared" si="8"/>
        <v>533721.506406</v>
      </c>
      <c r="AC12" s="81">
        <f t="shared" ref="AC12:AD12" si="9">AC9*AC10</f>
        <v>352196.88183900004</v>
      </c>
      <c r="AD12" s="81">
        <f t="shared" si="9"/>
        <v>952029.03195399989</v>
      </c>
      <c r="AE12" s="81">
        <f t="shared" ref="AE12:AF12" si="10">AE9*AE10</f>
        <v>400523.1509200001</v>
      </c>
      <c r="AF12" s="81">
        <f t="shared" si="10"/>
        <v>975325.84224599984</v>
      </c>
      <c r="AG12" s="81">
        <f t="shared" ref="AG12:AH12" si="11">AG9*AG10</f>
        <v>884860.09714500001</v>
      </c>
      <c r="AH12" s="81">
        <f t="shared" si="11"/>
        <v>766216.71107099997</v>
      </c>
      <c r="AI12" s="81">
        <f t="shared" ref="AI12" si="12">AI9*AI10</f>
        <v>528251.18252400018</v>
      </c>
      <c r="AJ12" s="23"/>
    </row>
    <row r="13" spans="1:39" ht="35.1" customHeight="1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9">
      <c r="A14" s="8"/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2"/>
    </row>
    <row r="15" spans="1:39" ht="18" customHeight="1">
      <c r="A15" s="12"/>
      <c r="B15" s="1" t="s">
        <v>103</v>
      </c>
      <c r="C15" s="29"/>
      <c r="D15" s="39">
        <f>'PSC 4-1 (Revised)'!D69</f>
        <v>5788237</v>
      </c>
      <c r="E15" s="39">
        <f>'PSC 4-1 (Revised)'!E69</f>
        <v>3744673</v>
      </c>
      <c r="F15" s="39">
        <f>'PSC 4-1 (Revised)'!F69</f>
        <v>1732347</v>
      </c>
      <c r="G15" s="39">
        <f>'PSC 4-1 (Revised)'!G69</f>
        <v>262420</v>
      </c>
      <c r="H15" s="39">
        <f>'PSC 4-1 (Revised)'!H69</f>
        <v>556135</v>
      </c>
      <c r="I15" s="39">
        <f>'PSC 4-1 (Revised)'!I69</f>
        <v>557776</v>
      </c>
      <c r="J15" s="39">
        <f>'PSC 4-1 (Revised)'!J69</f>
        <v>831407</v>
      </c>
      <c r="K15" s="39">
        <f>'PSC 4-1 (Revised)'!K69</f>
        <v>1899873</v>
      </c>
      <c r="L15" s="39">
        <f>'PSC 4-1 (Revised)'!L69</f>
        <v>1518901</v>
      </c>
      <c r="M15" s="39">
        <f>'PSC 4-1 (Revised)'!M69</f>
        <v>1610885</v>
      </c>
      <c r="N15" s="39">
        <f>'PSC 4-1 (Revised)'!N69</f>
        <v>1037073</v>
      </c>
      <c r="O15" s="39">
        <f>'PSC 4-1 (Revised)'!O69</f>
        <v>2579749</v>
      </c>
      <c r="P15" s="39">
        <f>'PSC 4-1 (Revised)'!P69</f>
        <v>2631524</v>
      </c>
      <c r="Q15" s="39">
        <f>'PSC 4-1 (Revised)'!Q69</f>
        <v>2644866</v>
      </c>
      <c r="R15" s="39">
        <f>'PSC 4-1 (Revised)'!R69</f>
        <v>1418737</v>
      </c>
      <c r="S15" s="39">
        <f>'PSC 4-1 (Revised)'!S69</f>
        <v>3216728</v>
      </c>
      <c r="T15" s="39">
        <f>'PSC 4-1 (Revised)'!T69</f>
        <v>2089061</v>
      </c>
      <c r="U15" s="39">
        <f>'PSC 4-1 (Revised)'!U69</f>
        <v>880986</v>
      </c>
      <c r="V15" s="39">
        <f>'PSC 4-1 (Revised)'!V69</f>
        <v>893626</v>
      </c>
      <c r="W15" s="39">
        <f>'PSC 4-1 (Revised)'!W69</f>
        <v>1560023</v>
      </c>
      <c r="X15" s="39">
        <f>'PSC 4-1 (Revised)'!X69</f>
        <v>2401914</v>
      </c>
      <c r="Y15" s="39">
        <f>'PSC 4-1 (Revised)'!Y69</f>
        <v>2892685</v>
      </c>
      <c r="Z15" s="39">
        <f>'PSC 4-1 (Revised)'!Z69</f>
        <v>3034904</v>
      </c>
      <c r="AA15" s="39">
        <f>'PSC 4-1 (Revised)'!AA69</f>
        <v>2612990</v>
      </c>
      <c r="AB15" s="39">
        <f>'PSC 4-1 (Revised)'!AB69</f>
        <v>2931933</v>
      </c>
      <c r="AC15" s="39">
        <f>'PSC 4-1 (Revised)'!AC69</f>
        <v>2255270</v>
      </c>
      <c r="AD15" s="39">
        <f>'PSC 4-1 (Revised)'!AD69</f>
        <v>4785664</v>
      </c>
      <c r="AE15" s="39">
        <f>'PSC 4-1 (Revised)'!AE69</f>
        <v>2325595</v>
      </c>
      <c r="AF15" s="39">
        <f>'PSC 4-1 (Revised)'!AF69</f>
        <v>3988421</v>
      </c>
      <c r="AG15" s="39">
        <f>'PSC 4-1 (Revised)'!AG69</f>
        <v>3815325</v>
      </c>
      <c r="AH15" s="39">
        <f>'PSC 4-1 (Revised)'!AH69</f>
        <v>3473713</v>
      </c>
      <c r="AI15" s="39">
        <f>'PSC 4-1 (Revised)'!AI69</f>
        <v>2869782</v>
      </c>
      <c r="AJ15" s="40"/>
      <c r="AK15" s="35"/>
    </row>
    <row r="16" spans="1:39">
      <c r="A16" s="24"/>
      <c r="B16" s="25" t="s">
        <v>104</v>
      </c>
      <c r="C16" s="26"/>
      <c r="D16" s="82">
        <f>'PSC 4-1 (As Filed)'!D69</f>
        <v>5788237</v>
      </c>
      <c r="E16" s="82">
        <f>'PSC 4-1 (As Filed)'!E69</f>
        <v>3896375</v>
      </c>
      <c r="F16" s="82">
        <f>'PSC 4-1 (As Filed)'!F69</f>
        <v>1772866</v>
      </c>
      <c r="G16" s="82">
        <f>'PSC 4-1 (As Filed)'!G69</f>
        <v>316336</v>
      </c>
      <c r="H16" s="82">
        <f>'PSC 4-1 (As Filed)'!H69</f>
        <v>806487</v>
      </c>
      <c r="I16" s="82">
        <f>'PSC 4-1 (As Filed)'!I69</f>
        <v>1130272</v>
      </c>
      <c r="J16" s="82">
        <f>'PSC 4-1 (As Filed)'!J69</f>
        <v>1420459</v>
      </c>
      <c r="K16" s="82">
        <f>'PSC 4-1 (As Filed)'!K69</f>
        <v>2621156</v>
      </c>
      <c r="L16" s="82">
        <f>'PSC 4-1 (As Filed)'!L69</f>
        <v>2149356</v>
      </c>
      <c r="M16" s="82">
        <f>'PSC 4-1 (As Filed)'!M69</f>
        <v>2296358</v>
      </c>
      <c r="N16" s="82">
        <f>'PSC 4-1 (As Filed)'!N69</f>
        <v>1795417</v>
      </c>
      <c r="O16" s="82">
        <f>'PSC 4-1 (As Filed)'!O69</f>
        <v>3584901</v>
      </c>
      <c r="P16" s="82">
        <f>'PSC 4-1 (As Filed)'!P69</f>
        <v>3865669</v>
      </c>
      <c r="Q16" s="82">
        <f>'PSC 4-1 (As Filed)'!Q69</f>
        <v>3832599</v>
      </c>
      <c r="R16" s="82">
        <f>'PSC 4-1 (As Filed)'!R69</f>
        <v>1808007</v>
      </c>
      <c r="S16" s="82">
        <f>'PSC 4-1 (As Filed)'!S69</f>
        <v>4405201</v>
      </c>
      <c r="T16" s="82">
        <f>'PSC 4-1 (As Filed)'!T69</f>
        <v>2741561</v>
      </c>
      <c r="U16" s="82">
        <f>'PSC 4-1 (As Filed)'!U69</f>
        <v>1615140</v>
      </c>
      <c r="V16" s="82">
        <f>'PSC 4-1 (As Filed)'!V69</f>
        <v>1805376</v>
      </c>
      <c r="W16" s="82">
        <f>'PSC 4-1 (As Filed)'!W69</f>
        <v>2371821</v>
      </c>
      <c r="X16" s="82">
        <f>'PSC 4-1 (As Filed)'!X69</f>
        <v>3360601</v>
      </c>
      <c r="Y16" s="82">
        <f>'PSC 4-1 (As Filed)'!Y69</f>
        <v>3883614</v>
      </c>
      <c r="Z16" s="82">
        <f>'PSC 4-1 (As Filed)'!Z69</f>
        <v>4136078</v>
      </c>
      <c r="AA16" s="82">
        <f>'PSC 4-1 (As Filed)'!AA69</f>
        <v>3817771</v>
      </c>
      <c r="AB16" s="82">
        <f>'PSC 4-1 (As Filed)'!AB69</f>
        <v>4100740</v>
      </c>
      <c r="AC16" s="82">
        <f>'PSC 4-1 (As Filed)'!AC69</f>
        <v>3152724</v>
      </c>
      <c r="AD16" s="82">
        <f>'PSC 4-1 (As Filed)'!AD69</f>
        <v>6055972</v>
      </c>
      <c r="AE16" s="82">
        <f>'PSC 4-1 (As Filed)'!AE69</f>
        <v>3273407</v>
      </c>
      <c r="AF16" s="82">
        <f>'PSC 4-1 (As Filed)'!AF69</f>
        <v>5140122</v>
      </c>
      <c r="AG16" s="82">
        <f>'PSC 4-1 (As Filed)'!AG69</f>
        <v>6371215</v>
      </c>
      <c r="AH16" s="82">
        <f>'PSC 4-1 (As Filed)'!AH69</f>
        <v>4496574</v>
      </c>
      <c r="AI16" s="82">
        <f>'PSC 4-1 (As Filed)'!AI69</f>
        <v>4124254</v>
      </c>
      <c r="AJ16" s="25"/>
    </row>
    <row r="17" spans="1:37">
      <c r="A17" s="24"/>
      <c r="B17" s="25"/>
      <c r="C17" s="2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5"/>
    </row>
    <row r="18" spans="1:37">
      <c r="A18" s="43"/>
      <c r="B18" s="44" t="s">
        <v>96</v>
      </c>
      <c r="C18" s="45"/>
      <c r="D18" s="81">
        <f>D15-D16</f>
        <v>0</v>
      </c>
      <c r="E18" s="81">
        <f>E15-E16</f>
        <v>-151702</v>
      </c>
      <c r="F18" s="81">
        <f t="shared" ref="F18:N18" si="13">F15-F16</f>
        <v>-40519</v>
      </c>
      <c r="G18" s="81">
        <f t="shared" si="13"/>
        <v>-53916</v>
      </c>
      <c r="H18" s="81">
        <f t="shared" si="13"/>
        <v>-250352</v>
      </c>
      <c r="I18" s="81">
        <f t="shared" si="13"/>
        <v>-572496</v>
      </c>
      <c r="J18" s="81">
        <f t="shared" si="13"/>
        <v>-589052</v>
      </c>
      <c r="K18" s="81">
        <f t="shared" si="13"/>
        <v>-721283</v>
      </c>
      <c r="L18" s="81">
        <f t="shared" si="13"/>
        <v>-630455</v>
      </c>
      <c r="M18" s="81">
        <f t="shared" si="13"/>
        <v>-685473</v>
      </c>
      <c r="N18" s="81">
        <f t="shared" si="13"/>
        <v>-758344</v>
      </c>
      <c r="O18" s="81">
        <f t="shared" ref="O18:P18" si="14">O15-O16</f>
        <v>-1005152</v>
      </c>
      <c r="P18" s="81">
        <f t="shared" si="14"/>
        <v>-1234145</v>
      </c>
      <c r="Q18" s="81">
        <f t="shared" ref="Q18:R18" si="15">Q15-Q16</f>
        <v>-1187733</v>
      </c>
      <c r="R18" s="81">
        <f t="shared" si="15"/>
        <v>-389270</v>
      </c>
      <c r="S18" s="81">
        <f t="shared" ref="S18:T18" si="16">S15-S16</f>
        <v>-1188473</v>
      </c>
      <c r="T18" s="81">
        <f t="shared" si="16"/>
        <v>-652500</v>
      </c>
      <c r="U18" s="81">
        <f t="shared" ref="U18:V18" si="17">U15-U16</f>
        <v>-734154</v>
      </c>
      <c r="V18" s="81">
        <f t="shared" si="17"/>
        <v>-911750</v>
      </c>
      <c r="W18" s="81">
        <f t="shared" ref="W18:X18" si="18">W15-W16</f>
        <v>-811798</v>
      </c>
      <c r="X18" s="81">
        <f t="shared" si="18"/>
        <v>-958687</v>
      </c>
      <c r="Y18" s="81">
        <f t="shared" ref="Y18:Z18" si="19">Y15-Y16</f>
        <v>-990929</v>
      </c>
      <c r="Z18" s="81">
        <f t="shared" si="19"/>
        <v>-1101174</v>
      </c>
      <c r="AA18" s="81">
        <f t="shared" ref="AA18:AB18" si="20">AA15-AA16</f>
        <v>-1204781</v>
      </c>
      <c r="AB18" s="81">
        <f t="shared" si="20"/>
        <v>-1168807</v>
      </c>
      <c r="AC18" s="81">
        <f t="shared" ref="AC18:AD18" si="21">AC15-AC16</f>
        <v>-897454</v>
      </c>
      <c r="AD18" s="81">
        <f t="shared" si="21"/>
        <v>-1270308</v>
      </c>
      <c r="AE18" s="81">
        <f t="shared" ref="AE18:AF18" si="22">AE15-AE16</f>
        <v>-947812</v>
      </c>
      <c r="AF18" s="81">
        <f t="shared" si="22"/>
        <v>-1151701</v>
      </c>
      <c r="AG18" s="81">
        <f t="shared" ref="AG18:AH18" si="23">AG15-AG16</f>
        <v>-2555890</v>
      </c>
      <c r="AH18" s="81">
        <f t="shared" si="23"/>
        <v>-1022861</v>
      </c>
      <c r="AI18" s="81">
        <f t="shared" ref="AI18" si="24">AI15-AI16</f>
        <v>-1254472</v>
      </c>
      <c r="AJ18" s="23"/>
      <c r="AK18" s="64">
        <f>SUM(D18:AI18)</f>
        <v>-27093443</v>
      </c>
    </row>
    <row r="19" spans="1:37" ht="35.1" customHeight="1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7">
      <c r="A20" s="8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38"/>
    </row>
    <row r="21" spans="1:37" ht="18" customHeight="1">
      <c r="A21" s="12"/>
      <c r="B21" s="1" t="s">
        <v>97</v>
      </c>
      <c r="C21" s="29" t="s">
        <v>24</v>
      </c>
      <c r="D21" s="39">
        <v>0</v>
      </c>
      <c r="E21" s="39">
        <f>1354306.57+940736.85+399.67-1409171.45-978847.43-415.86</f>
        <v>-92991.650000000154</v>
      </c>
      <c r="F21" s="39">
        <f>-14659.93-10151.92-20.97</f>
        <v>-24832.82</v>
      </c>
      <c r="G21" s="39">
        <f>-19011.13-14662.49-28.18-1</f>
        <v>-33702.800000000003</v>
      </c>
      <c r="H21" s="39">
        <f>-84818.26-76009.56-397.38</f>
        <v>-161225.20000000001</v>
      </c>
      <c r="I21" s="39">
        <f>-200716.18-164016.55</f>
        <v>-364732.73</v>
      </c>
      <c r="J21" s="39">
        <f>-215257.02-153292.07</f>
        <v>-368549.08999999997</v>
      </c>
      <c r="K21" s="39">
        <f>-279263.77-163941.98</f>
        <v>-443205.75</v>
      </c>
      <c r="L21" s="39">
        <f>-241044.4-151756.8</f>
        <v>-392801.19999999995</v>
      </c>
      <c r="M21" s="39">
        <f>-183904.07-250696.27</f>
        <v>-434600.33999999997</v>
      </c>
      <c r="N21" s="39">
        <f>-261344.65-228039.09</f>
        <v>-489383.74</v>
      </c>
      <c r="O21" s="87">
        <f>-348547.96-274417.3-2789</f>
        <v>-625754.26</v>
      </c>
      <c r="P21" s="39">
        <f>-426883.83-336187.16</f>
        <v>-763070.99</v>
      </c>
      <c r="Q21" s="39">
        <f>-429728.25-282853.62</f>
        <v>-712581.87</v>
      </c>
      <c r="R21" s="39">
        <f>-127382.65-121334.66-1</f>
        <v>-248718.31</v>
      </c>
      <c r="S21" s="39">
        <f>-370288.02-416998.61</f>
        <v>-787286.63</v>
      </c>
      <c r="T21" s="39">
        <f>-203499.94-233055.58</f>
        <v>-436555.52000000002</v>
      </c>
      <c r="U21" s="39">
        <f>-242553-242818.2</f>
        <v>-485371.2</v>
      </c>
      <c r="V21" s="39">
        <f>-316941.56-274187.98</f>
        <v>-591129.54</v>
      </c>
      <c r="W21" s="39">
        <f>-293119.07-225836.48</f>
        <v>-518955.55000000005</v>
      </c>
      <c r="X21" s="39">
        <f>-336268-284334.76</f>
        <v>-620602.76</v>
      </c>
      <c r="Y21" s="39">
        <f>-340917.37-313920.69</f>
        <v>-654838.06000000006</v>
      </c>
      <c r="Z21" s="39">
        <f>-346916.98-398000.14</f>
        <v>-744917.12</v>
      </c>
      <c r="AA21" s="39">
        <f>-385347.1-410743.11</f>
        <v>-796090.21</v>
      </c>
      <c r="AB21" s="39">
        <f>-401005.53-333047.82</f>
        <v>-734053.35000000009</v>
      </c>
      <c r="AC21" s="87">
        <f>-326186.15-215005.55</f>
        <v>-541191.69999999995</v>
      </c>
      <c r="AD21" s="39">
        <f>-443618.8-350765</f>
        <v>-794383.8</v>
      </c>
      <c r="AE21" s="39">
        <f>-298934.05-329201.97</f>
        <v>-628136.02</v>
      </c>
      <c r="AF21" s="39">
        <f>-355556.21-418587.02</f>
        <v>-774143.23</v>
      </c>
      <c r="AG21" s="39">
        <f>-777458.86-966194.83</f>
        <v>-1743653.69</v>
      </c>
      <c r="AH21" s="39">
        <f>-356816.71-295334.37</f>
        <v>-652151.08000000007</v>
      </c>
      <c r="AI21" s="39">
        <f>-458217.83-329262.18</f>
        <v>-787480.01</v>
      </c>
      <c r="AJ21" s="40"/>
      <c r="AK21" s="89">
        <f>SUM(D21:AI21)+1</f>
        <v>-17447089.219999999</v>
      </c>
    </row>
    <row r="22" spans="1:37" ht="18" customHeight="1">
      <c r="A22" s="12"/>
      <c r="B22" s="1" t="s">
        <v>98</v>
      </c>
      <c r="C22" s="29" t="s">
        <v>24</v>
      </c>
      <c r="D22" s="39">
        <v>0</v>
      </c>
      <c r="E22" s="39">
        <f>751188.64+76581.42-781620.36-79683.84</f>
        <v>-33534.139999999927</v>
      </c>
      <c r="F22" s="39">
        <f>-8156.07-900.82</f>
        <v>-9056.89</v>
      </c>
      <c r="G22" s="39">
        <f>-10411.86-1242.94</f>
        <v>-11654.800000000001</v>
      </c>
      <c r="H22" s="39">
        <f>-46202.94-6880.2</f>
        <v>-53083.14</v>
      </c>
      <c r="I22" s="39">
        <f>-115034.62-14877.77</f>
        <v>-129912.39</v>
      </c>
      <c r="J22" s="39">
        <f>-127744.69-13129.89</f>
        <v>-140874.58000000002</v>
      </c>
      <c r="K22" s="87">
        <f>-156018.65-14246.66</f>
        <v>-170265.31</v>
      </c>
      <c r="L22" s="39">
        <f>-135714.98-10055.12</f>
        <v>-145770.1</v>
      </c>
      <c r="M22" s="39">
        <f>-139580.8-17817.86</f>
        <v>-157398.65999999997</v>
      </c>
      <c r="N22" s="39">
        <f>-142958.53-22686.14</f>
        <v>-165644.66999999998</v>
      </c>
      <c r="O22" s="39">
        <f>-195368.98-29121.3</f>
        <v>-224490.28</v>
      </c>
      <c r="P22" s="39">
        <f>-238237.02-35335.26</f>
        <v>-273572.27999999997</v>
      </c>
      <c r="Q22" s="39">
        <f>-238826.12-28375.71</f>
        <v>-267201.83</v>
      </c>
      <c r="R22" s="39">
        <f>-69729.29-11635.01</f>
        <v>-81364.299999999988</v>
      </c>
      <c r="S22" s="39">
        <f>-203107.12-33434.51</f>
        <v>-236541.63</v>
      </c>
      <c r="T22" s="39">
        <f>-112734.4-19391.07</f>
        <v>-132125.47</v>
      </c>
      <c r="U22" s="39">
        <f>-138207-17577.4</f>
        <v>-155784.4</v>
      </c>
      <c r="V22" s="39">
        <f>-179895.4-19224.39</f>
        <v>-199119.78999999998</v>
      </c>
      <c r="W22" s="39">
        <f>-163577.06-16330.02</f>
        <v>-179907.08</v>
      </c>
      <c r="X22" s="39">
        <f>-190261.7-19018.04</f>
        <v>-209279.74000000002</v>
      </c>
      <c r="Y22" s="39">
        <f>-185218.55-23056.22</f>
        <v>-208274.77</v>
      </c>
      <c r="Z22" s="39">
        <f>-190560-28457.1</f>
        <v>-219017.1</v>
      </c>
      <c r="AA22" s="39">
        <f>-209692.98-31266</f>
        <v>-240958.98</v>
      </c>
      <c r="AB22" s="39">
        <f>-218760.9-25853.64</f>
        <v>-244614.53999999998</v>
      </c>
      <c r="AC22" s="87">
        <f>-175739.09-15261.46</f>
        <v>-191000.55</v>
      </c>
      <c r="AD22" s="39">
        <f>-241984.91-23928.27</f>
        <v>-265913.18</v>
      </c>
      <c r="AE22" s="39">
        <f>-161931.68-23719.08</f>
        <v>-185650.76</v>
      </c>
      <c r="AF22" s="39">
        <f>-200524.62-29740.57</f>
        <v>-230265.19</v>
      </c>
      <c r="AG22" s="39">
        <f>-442065.81-62296.41</f>
        <v>-504362.22</v>
      </c>
      <c r="AH22" s="39">
        <f>-201999.43-33363.55</f>
        <v>-235362.97999999998</v>
      </c>
      <c r="AI22" s="39">
        <f>-255859.21-33588.54</f>
        <v>-289447.75</v>
      </c>
      <c r="AJ22" s="40"/>
      <c r="AK22" s="53">
        <f>SUM(D22:AI22)+1</f>
        <v>-5791448.5</v>
      </c>
    </row>
    <row r="23" spans="1:37" ht="18" customHeight="1">
      <c r="A23" s="12"/>
      <c r="B23" s="19" t="s">
        <v>99</v>
      </c>
      <c r="C23" s="31" t="s">
        <v>24</v>
      </c>
      <c r="D23" s="41"/>
      <c r="E23" s="41">
        <f>621459.38-646635.59</f>
        <v>-25176.209999999963</v>
      </c>
      <c r="F23" s="41">
        <v>-6629.05</v>
      </c>
      <c r="G23" s="41">
        <f>-8558.8</f>
        <v>-8558.7999999999993</v>
      </c>
      <c r="H23" s="41">
        <f>-36043.77</f>
        <v>-36043.769999999997</v>
      </c>
      <c r="I23" s="41">
        <v>-77850.58</v>
      </c>
      <c r="J23" s="41">
        <v>-79628.17</v>
      </c>
      <c r="K23" s="41">
        <v>-107811.87</v>
      </c>
      <c r="L23" s="41">
        <v>-91883.93</v>
      </c>
      <c r="M23" s="41">
        <v>-93473.82</v>
      </c>
      <c r="N23" s="41">
        <v>-103316.01</v>
      </c>
      <c r="O23" s="88">
        <v>-154907.51</v>
      </c>
      <c r="P23" s="41">
        <v>-197501.31</v>
      </c>
      <c r="Q23" s="41">
        <f>-207949.45</f>
        <v>-207949.45</v>
      </c>
      <c r="R23" s="41">
        <v>-59187.65</v>
      </c>
      <c r="S23" s="41">
        <v>-164644.87</v>
      </c>
      <c r="T23" s="41">
        <v>-83819.3</v>
      </c>
      <c r="U23" s="41">
        <v>-92998.25</v>
      </c>
      <c r="V23" s="41">
        <v>-121500.77</v>
      </c>
      <c r="W23" s="41">
        <v>-112935.29</v>
      </c>
      <c r="X23" s="41">
        <v>-128804.34</v>
      </c>
      <c r="Y23" s="41">
        <v>-127816.23</v>
      </c>
      <c r="Z23" s="41">
        <v>-137240.13</v>
      </c>
      <c r="AA23" s="41">
        <v>-167731.45000000001</v>
      </c>
      <c r="AB23" s="41">
        <v>-190139.26</v>
      </c>
      <c r="AC23" s="88">
        <v>-165261.41</v>
      </c>
      <c r="AD23" s="41">
        <v>-210011.04</v>
      </c>
      <c r="AE23" s="41">
        <v>-134025</v>
      </c>
      <c r="AF23" s="41">
        <v>-147293.01999999999</v>
      </c>
      <c r="AG23" s="41">
        <f>-306572.16-1302.07</f>
        <v>-307874.23</v>
      </c>
      <c r="AH23" s="41">
        <f>-135106.34-240.28</f>
        <v>-135346.62</v>
      </c>
      <c r="AI23" s="41">
        <f>-177283.1-261.37</f>
        <v>-177544.47</v>
      </c>
      <c r="AJ23" s="16"/>
      <c r="AK23" s="86">
        <f>SUM(D23:AI23)</f>
        <v>-3854903.810000001</v>
      </c>
    </row>
    <row r="24" spans="1:37">
      <c r="A24" s="1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42"/>
    </row>
    <row r="25" spans="1:37">
      <c r="A25" s="43"/>
      <c r="B25" s="44" t="s">
        <v>100</v>
      </c>
      <c r="C25" s="45"/>
      <c r="D25" s="46">
        <f>SUM(D21:D24)</f>
        <v>0</v>
      </c>
      <c r="E25" s="46">
        <f>ROUND(SUM(E21:E24),0)</f>
        <v>-151702</v>
      </c>
      <c r="F25" s="46">
        <f t="shared" ref="F25:AI25" si="25">ROUND(SUM(F21:F24),0)</f>
        <v>-40519</v>
      </c>
      <c r="G25" s="46">
        <f t="shared" si="25"/>
        <v>-53916</v>
      </c>
      <c r="H25" s="46">
        <f t="shared" si="25"/>
        <v>-250352</v>
      </c>
      <c r="I25" s="46">
        <f t="shared" si="25"/>
        <v>-572496</v>
      </c>
      <c r="J25" s="46">
        <f t="shared" si="25"/>
        <v>-589052</v>
      </c>
      <c r="K25" s="46">
        <f t="shared" si="25"/>
        <v>-721283</v>
      </c>
      <c r="L25" s="46">
        <f t="shared" si="25"/>
        <v>-630455</v>
      </c>
      <c r="M25" s="46">
        <f t="shared" si="25"/>
        <v>-685473</v>
      </c>
      <c r="N25" s="46">
        <f t="shared" si="25"/>
        <v>-758344</v>
      </c>
      <c r="O25" s="98">
        <f t="shared" si="25"/>
        <v>-1005152</v>
      </c>
      <c r="P25" s="46">
        <f t="shared" si="25"/>
        <v>-1234145</v>
      </c>
      <c r="Q25" s="46">
        <f t="shared" si="25"/>
        <v>-1187733</v>
      </c>
      <c r="R25" s="46">
        <f t="shared" si="25"/>
        <v>-389270</v>
      </c>
      <c r="S25" s="46">
        <f t="shared" si="25"/>
        <v>-1188473</v>
      </c>
      <c r="T25" s="46">
        <f t="shared" si="25"/>
        <v>-652500</v>
      </c>
      <c r="U25" s="46">
        <f t="shared" si="25"/>
        <v>-734154</v>
      </c>
      <c r="V25" s="46">
        <f t="shared" si="25"/>
        <v>-911750</v>
      </c>
      <c r="W25" s="46">
        <f t="shared" si="25"/>
        <v>-811798</v>
      </c>
      <c r="X25" s="46">
        <f t="shared" si="25"/>
        <v>-958687</v>
      </c>
      <c r="Y25" s="46">
        <f t="shared" si="25"/>
        <v>-990929</v>
      </c>
      <c r="Z25" s="46">
        <f t="shared" si="25"/>
        <v>-1101174</v>
      </c>
      <c r="AA25" s="46">
        <f t="shared" si="25"/>
        <v>-1204781</v>
      </c>
      <c r="AB25" s="46">
        <f t="shared" si="25"/>
        <v>-1168807</v>
      </c>
      <c r="AC25" s="46">
        <f t="shared" si="25"/>
        <v>-897454</v>
      </c>
      <c r="AD25" s="46">
        <f t="shared" si="25"/>
        <v>-1270308</v>
      </c>
      <c r="AE25" s="46">
        <f t="shared" si="25"/>
        <v>-947812</v>
      </c>
      <c r="AF25" s="46">
        <f t="shared" si="25"/>
        <v>-1151701</v>
      </c>
      <c r="AG25" s="46">
        <f t="shared" si="25"/>
        <v>-2555890</v>
      </c>
      <c r="AH25" s="46">
        <f t="shared" si="25"/>
        <v>-1022861</v>
      </c>
      <c r="AI25" s="46">
        <f t="shared" si="25"/>
        <v>-1254472</v>
      </c>
      <c r="AJ25" s="12"/>
      <c r="AK25" s="53">
        <f>SUM(D25:AI25)</f>
        <v>-27093443</v>
      </c>
    </row>
    <row r="26" spans="1:37" ht="35.1" customHeight="1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7">
      <c r="D27" s="4" t="s">
        <v>107</v>
      </c>
      <c r="F27" s="47">
        <f>SUM(D25:H25)</f>
        <v>-496489</v>
      </c>
      <c r="O27" s="64"/>
    </row>
    <row r="28" spans="1:37">
      <c r="D28" s="4" t="s">
        <v>106</v>
      </c>
      <c r="F28" s="47">
        <f>SUM(I25:N25)</f>
        <v>-3957103</v>
      </c>
    </row>
    <row r="29" spans="1:37">
      <c r="D29" s="4"/>
      <c r="F29" s="47"/>
    </row>
    <row r="30" spans="1:37">
      <c r="D30" s="90" t="s">
        <v>105</v>
      </c>
      <c r="E30" s="91"/>
      <c r="F30" s="92">
        <f>SUM(O25:AI25)</f>
        <v>-22639851</v>
      </c>
    </row>
    <row r="31" spans="1:37">
      <c r="D31" s="4"/>
      <c r="F31" s="4"/>
    </row>
    <row r="32" spans="1:37">
      <c r="D32" s="4" t="s">
        <v>108</v>
      </c>
      <c r="F32" s="47">
        <f>SUM(F27:F30)</f>
        <v>-27093443</v>
      </c>
    </row>
  </sheetData>
  <pageMargins left="1" right="0.7" top="1" bottom="0.75" header="0.3" footer="0.3"/>
  <pageSetup scale="51" fitToHeight="2" orientation="portrait" r:id="rId1"/>
  <headerFooter>
    <oddFooter>&amp;R&amp;"Times New Roman,Bold"&amp;12Page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PSC 4-1 (Revised)</vt:lpstr>
      <vt:lpstr>PSC 4-1 (As Filed)</vt:lpstr>
      <vt:lpstr>PSC 4 (Variances)</vt:lpstr>
      <vt:lpstr>PSC 4-1</vt:lpstr>
      <vt:lpstr>'PSC 4 (Variances)'!Print_Area</vt:lpstr>
      <vt:lpstr>'PSC 4-1'!Print_Area</vt:lpstr>
      <vt:lpstr>'PSC 4-1 (As Filed)'!Print_Area</vt:lpstr>
      <vt:lpstr>'PSC 4-1 (Revised)'!Print_Area</vt:lpstr>
      <vt:lpstr>'PSC 4 (Variances)'!Print_Titles</vt:lpstr>
      <vt:lpstr>'PSC 4-1'!Print_Titles</vt:lpstr>
      <vt:lpstr>'PSC 4-1 (As Filed)'!Print_Titles</vt:lpstr>
      <vt:lpstr>'PSC 4-1 (Revised)'!Print_Titles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Cheatham, Katie</dc:creator>
  <cp:lastModifiedBy>Santana, Senthia</cp:lastModifiedBy>
  <cp:lastPrinted>2024-10-17T14:15:23Z</cp:lastPrinted>
  <dcterms:created xsi:type="dcterms:W3CDTF">2024-10-16T20:57:10Z</dcterms:created>
  <dcterms:modified xsi:type="dcterms:W3CDTF">2025-09-11T19:19:10Z</dcterms:modified>
</cp:coreProperties>
</file>