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:\Pricing\Share\000 - PSC Cases\2024-00129 - Solar CPCNs\Post Hearing DR\"/>
    </mc:Choice>
  </mc:AlternateContent>
  <xr:revisionPtr revIDLastSave="0" documentId="8_{9833F1FE-9A59-458D-AFAA-53DAD15F0C93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Cost" sheetId="3" r:id="rId1"/>
    <sheet name="EIA Table 1" sheetId="4" r:id="rId2"/>
    <sheet name="Loan Schedule" sheetId="2" r:id="rId3"/>
  </sheets>
  <definedNames>
    <definedName name="ActualNumberOfPayments">IFERROR(IF(LoanIsGood,IF(PaymentsPerYear=1,1,MATCH(0.01,End_Bal,-1)+1)),"")</definedName>
    <definedName name="ColumnTitle1">PaymentSchedule[[#Headers],[PMT NO]]</definedName>
    <definedName name="End_Bal">PaymentSchedule[ENDING BALANCE]</definedName>
    <definedName name="ExtraPayments">'Loan Schedule'!$E$9</definedName>
    <definedName name="InterestRate">'Loan Schedule'!$E$4</definedName>
    <definedName name="LastCol">MATCH(REPT("z",255),'Loan Schedule'!$11:$11)</definedName>
    <definedName name="LastRow">MATCH(9.99E+307,'Loan Schedule'!$B:$B)</definedName>
    <definedName name="LenderName">'Loan Schedule'!$H$9:$I$9</definedName>
    <definedName name="LoanAmount">'Loan Schedule'!$E$3</definedName>
    <definedName name="LoanIsGood">('Loan Schedule'!$E$3*'Loan Schedule'!$E$4*'Loan Schedule'!$E$5*'Loan Schedule'!$E$7)&gt;0</definedName>
    <definedName name="LoanPeriod">'Loan Schedule'!$E$5</definedName>
    <definedName name="LoanStartDate">'Loan Schedule'!$E$7</definedName>
    <definedName name="PaymentsPerYear">'Loan Schedule'!$E$6</definedName>
    <definedName name="_xlnm.Print_Area" localSheetId="0">Cost!$A$1:$T$18</definedName>
    <definedName name="_xlnm.Print_Titles" localSheetId="2">'Loan Schedule'!$11:$11</definedName>
    <definedName name="PrintArea_SET">OFFSET('Loan Schedule'!$B$1,,,LastRow,LastCol)</definedName>
    <definedName name="RowTitleRegion1..E9">'Loan Schedule'!$C$3:$D$3</definedName>
    <definedName name="RowTitleRegion2..I7">'Loan Schedule'!$G$3:$H$3</definedName>
    <definedName name="RowTitleRegion3..E9">'Loan Schedule'!$C$9</definedName>
    <definedName name="RowTitleRegion4..H9">'Loan Schedule'!$G$9</definedName>
    <definedName name="ScheduledNumberOfPayments">'Loan Schedule'!$I$4</definedName>
    <definedName name="ScheduledPayment">'Loan Schedule'!$I$3</definedName>
    <definedName name="TotalEarlyPayments">SUM(PaymentSchedule[EXTRA PAYMENT])</definedName>
    <definedName name="TotalInterest">SUM(PaymentSchedule[INTEREST])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" l="1"/>
  <c r="I7" i="3" s="1"/>
  <c r="K7" i="3" l="1"/>
  <c r="L7" i="3" s="1"/>
  <c r="B28" i="3"/>
  <c r="H13" i="3"/>
  <c r="O13" i="3"/>
  <c r="K13" i="3"/>
  <c r="R13" i="3" s="1"/>
  <c r="H11" i="3"/>
  <c r="O11" i="3"/>
  <c r="I17" i="3" l="1"/>
  <c r="I11" i="3"/>
  <c r="S13" i="3"/>
  <c r="T13" i="3" s="1"/>
  <c r="M13" i="3"/>
  <c r="J17" i="3" l="1"/>
  <c r="K11" i="3"/>
  <c r="M11" i="3" l="1"/>
  <c r="R11" i="3"/>
  <c r="S11" i="3" s="1"/>
  <c r="T11" i="3" s="1"/>
  <c r="L11" i="3"/>
  <c r="L16" i="3" s="1"/>
  <c r="O9" i="3"/>
  <c r="K9" i="3"/>
  <c r="R9" i="3" s="1"/>
  <c r="H9" i="3"/>
  <c r="S9" i="3" l="1"/>
  <c r="T9" i="3" s="1"/>
  <c r="M9" i="3"/>
  <c r="O7" i="3"/>
  <c r="R7" i="3" l="1"/>
  <c r="S7" i="3" s="1"/>
  <c r="T7" i="3" s="1"/>
  <c r="M7" i="3" l="1"/>
  <c r="I4" i="2"/>
  <c r="B22" i="2" l="1"/>
  <c r="B24" i="2"/>
  <c r="B26" i="2"/>
  <c r="B28" i="2"/>
  <c r="B30" i="2"/>
  <c r="B32" i="2"/>
  <c r="B34" i="2"/>
  <c r="B36" i="2"/>
  <c r="B38" i="2"/>
  <c r="B40" i="2"/>
  <c r="B23" i="2"/>
  <c r="B25" i="2"/>
  <c r="B27" i="2"/>
  <c r="B29" i="2"/>
  <c r="B31" i="2"/>
  <c r="B33" i="2"/>
  <c r="B35" i="2"/>
  <c r="B37" i="2"/>
  <c r="B39" i="2"/>
  <c r="B41" i="2"/>
  <c r="B43" i="2"/>
  <c r="B42" i="2"/>
  <c r="B49" i="2"/>
  <c r="B50" i="2"/>
  <c r="B47" i="2"/>
  <c r="B48" i="2"/>
  <c r="B45" i="2"/>
  <c r="B46" i="2"/>
  <c r="B53" i="2"/>
  <c r="B54" i="2"/>
  <c r="B57" i="2"/>
  <c r="B58" i="2"/>
  <c r="B65" i="2"/>
  <c r="B66" i="2"/>
  <c r="B73" i="2"/>
  <c r="B74" i="2"/>
  <c r="B75" i="2"/>
  <c r="B77" i="2"/>
  <c r="B79" i="2"/>
  <c r="B81" i="2"/>
  <c r="B83" i="2"/>
  <c r="B85" i="2"/>
  <c r="B87" i="2"/>
  <c r="B89" i="2"/>
  <c r="B56" i="2"/>
  <c r="B63" i="2"/>
  <c r="B64" i="2"/>
  <c r="B71" i="2"/>
  <c r="B72" i="2"/>
  <c r="B61" i="2"/>
  <c r="B62" i="2"/>
  <c r="B69" i="2"/>
  <c r="B70" i="2"/>
  <c r="B76" i="2"/>
  <c r="B78" i="2"/>
  <c r="B80" i="2"/>
  <c r="B82" i="2"/>
  <c r="B84" i="2"/>
  <c r="B86" i="2"/>
  <c r="B88" i="2"/>
  <c r="B90" i="2"/>
  <c r="B92" i="2"/>
  <c r="B94" i="2"/>
  <c r="B96" i="2"/>
  <c r="B98" i="2"/>
  <c r="B100" i="2"/>
  <c r="B102" i="2"/>
  <c r="B104" i="2"/>
  <c r="B106" i="2"/>
  <c r="B108" i="2"/>
  <c r="B110" i="2"/>
  <c r="B112" i="2"/>
  <c r="B52" i="2"/>
  <c r="B60" i="2"/>
  <c r="B93" i="2"/>
  <c r="B101" i="2"/>
  <c r="B109" i="2"/>
  <c r="B113" i="2"/>
  <c r="B115" i="2"/>
  <c r="B117" i="2"/>
  <c r="B119" i="2"/>
  <c r="B121" i="2"/>
  <c r="B123" i="2"/>
  <c r="B125" i="2"/>
  <c r="B127" i="2"/>
  <c r="B129" i="2"/>
  <c r="B131" i="2"/>
  <c r="B67" i="2"/>
  <c r="B91" i="2"/>
  <c r="B99" i="2"/>
  <c r="B107" i="2"/>
  <c r="B59" i="2"/>
  <c r="B97" i="2"/>
  <c r="B105" i="2"/>
  <c r="B114" i="2"/>
  <c r="B116" i="2"/>
  <c r="B118" i="2"/>
  <c r="B120" i="2"/>
  <c r="B122" i="2"/>
  <c r="B124" i="2"/>
  <c r="B126" i="2"/>
  <c r="B128" i="2"/>
  <c r="B130" i="2"/>
  <c r="B132" i="2"/>
  <c r="B134" i="2"/>
  <c r="B136" i="2"/>
  <c r="B138" i="2"/>
  <c r="B140" i="2"/>
  <c r="B142" i="2"/>
  <c r="B144" i="2"/>
  <c r="B146" i="2"/>
  <c r="B148" i="2"/>
  <c r="B150" i="2"/>
  <c r="B152" i="2"/>
  <c r="B154" i="2"/>
  <c r="B44" i="2"/>
  <c r="B68" i="2"/>
  <c r="B111" i="2"/>
  <c r="B141" i="2"/>
  <c r="B149" i="2"/>
  <c r="B51" i="2"/>
  <c r="B103" i="2"/>
  <c r="B135" i="2"/>
  <c r="B139" i="2"/>
  <c r="B147" i="2"/>
  <c r="B155" i="2"/>
  <c r="B157" i="2"/>
  <c r="B159" i="2"/>
  <c r="B161" i="2"/>
  <c r="B163" i="2"/>
  <c r="B165" i="2"/>
  <c r="B167" i="2"/>
  <c r="B169" i="2"/>
  <c r="B171" i="2"/>
  <c r="B173" i="2"/>
  <c r="B175" i="2"/>
  <c r="B177" i="2"/>
  <c r="B179" i="2"/>
  <c r="B55" i="2"/>
  <c r="B95" i="2"/>
  <c r="B145" i="2"/>
  <c r="B153" i="2"/>
  <c r="B133" i="2"/>
  <c r="B156" i="2"/>
  <c r="B164" i="2"/>
  <c r="B172" i="2"/>
  <c r="B182" i="2"/>
  <c r="B186" i="2"/>
  <c r="B190" i="2"/>
  <c r="B194" i="2"/>
  <c r="B198" i="2"/>
  <c r="B199" i="2"/>
  <c r="B206" i="2"/>
  <c r="B207" i="2"/>
  <c r="B214" i="2"/>
  <c r="B215" i="2"/>
  <c r="B222" i="2"/>
  <c r="B223" i="2"/>
  <c r="B224" i="2"/>
  <c r="B226" i="2"/>
  <c r="B228" i="2"/>
  <c r="B230" i="2"/>
  <c r="B232" i="2"/>
  <c r="B234" i="2"/>
  <c r="B236" i="2"/>
  <c r="B238" i="2"/>
  <c r="B240" i="2"/>
  <c r="B242" i="2"/>
  <c r="B137" i="2"/>
  <c r="B158" i="2"/>
  <c r="B166" i="2"/>
  <c r="B174" i="2"/>
  <c r="B183" i="2"/>
  <c r="B187" i="2"/>
  <c r="B191" i="2"/>
  <c r="B195" i="2"/>
  <c r="B197" i="2"/>
  <c r="B204" i="2"/>
  <c r="B205" i="2"/>
  <c r="B212" i="2"/>
  <c r="B213" i="2"/>
  <c r="B220" i="2"/>
  <c r="B221" i="2"/>
  <c r="B151" i="2"/>
  <c r="B160" i="2"/>
  <c r="B168" i="2"/>
  <c r="B176" i="2"/>
  <c r="B180" i="2"/>
  <c r="B184" i="2"/>
  <c r="B188" i="2"/>
  <c r="B192" i="2"/>
  <c r="B196" i="2"/>
  <c r="B202" i="2"/>
  <c r="B203" i="2"/>
  <c r="B210" i="2"/>
  <c r="B211" i="2"/>
  <c r="B218" i="2"/>
  <c r="B219" i="2"/>
  <c r="B225" i="2"/>
  <c r="B227" i="2"/>
  <c r="B229" i="2"/>
  <c r="B231" i="2"/>
  <c r="B233" i="2"/>
  <c r="B235" i="2"/>
  <c r="B237" i="2"/>
  <c r="B239" i="2"/>
  <c r="B241" i="2"/>
  <c r="B243" i="2"/>
  <c r="B245" i="2"/>
  <c r="B247" i="2"/>
  <c r="B249" i="2"/>
  <c r="B251" i="2"/>
  <c r="B253" i="2"/>
  <c r="B255" i="2"/>
  <c r="B257" i="2"/>
  <c r="B259" i="2"/>
  <c r="B261" i="2"/>
  <c r="B263" i="2"/>
  <c r="B265" i="2"/>
  <c r="B267" i="2"/>
  <c r="B162" i="2"/>
  <c r="B193" i="2"/>
  <c r="B209" i="2"/>
  <c r="B252" i="2"/>
  <c r="B260" i="2"/>
  <c r="B269" i="2"/>
  <c r="B271" i="2"/>
  <c r="B273" i="2"/>
  <c r="B275" i="2"/>
  <c r="B277" i="2"/>
  <c r="B279" i="2"/>
  <c r="B281" i="2"/>
  <c r="B283" i="2"/>
  <c r="B285" i="2"/>
  <c r="B287" i="2"/>
  <c r="B289" i="2"/>
  <c r="B291" i="2"/>
  <c r="B293" i="2"/>
  <c r="B295" i="2"/>
  <c r="B297" i="2"/>
  <c r="B299" i="2"/>
  <c r="B301" i="2"/>
  <c r="B303" i="2"/>
  <c r="B305" i="2"/>
  <c r="B307" i="2"/>
  <c r="B309" i="2"/>
  <c r="B311" i="2"/>
  <c r="B313" i="2"/>
  <c r="B315" i="2"/>
  <c r="B317" i="2"/>
  <c r="B319" i="2"/>
  <c r="B321" i="2"/>
  <c r="B323" i="2"/>
  <c r="B325" i="2"/>
  <c r="B327" i="2"/>
  <c r="B329" i="2"/>
  <c r="B331" i="2"/>
  <c r="B333" i="2"/>
  <c r="B335" i="2"/>
  <c r="B337" i="2"/>
  <c r="B339" i="2"/>
  <c r="B341" i="2"/>
  <c r="B343" i="2"/>
  <c r="B345" i="2"/>
  <c r="B347" i="2"/>
  <c r="B349" i="2"/>
  <c r="B170" i="2"/>
  <c r="B181" i="2"/>
  <c r="B201" i="2"/>
  <c r="B216" i="2"/>
  <c r="B246" i="2"/>
  <c r="B250" i="2"/>
  <c r="B258" i="2"/>
  <c r="B266" i="2"/>
  <c r="B143" i="2"/>
  <c r="B178" i="2"/>
  <c r="B185" i="2"/>
  <c r="B208" i="2"/>
  <c r="B256" i="2"/>
  <c r="B264" i="2"/>
  <c r="B268" i="2"/>
  <c r="B270" i="2"/>
  <c r="B272" i="2"/>
  <c r="B274" i="2"/>
  <c r="B276" i="2"/>
  <c r="B278" i="2"/>
  <c r="B280" i="2"/>
  <c r="B282" i="2"/>
  <c r="B284" i="2"/>
  <c r="B286" i="2"/>
  <c r="B288" i="2"/>
  <c r="B290" i="2"/>
  <c r="B292" i="2"/>
  <c r="B294" i="2"/>
  <c r="B296" i="2"/>
  <c r="B298" i="2"/>
  <c r="B300" i="2"/>
  <c r="B302" i="2"/>
  <c r="B304" i="2"/>
  <c r="B306" i="2"/>
  <c r="B308" i="2"/>
  <c r="B310" i="2"/>
  <c r="B312" i="2"/>
  <c r="B314" i="2"/>
  <c r="B316" i="2"/>
  <c r="B318" i="2"/>
  <c r="B320" i="2"/>
  <c r="B322" i="2"/>
  <c r="B324" i="2"/>
  <c r="B326" i="2"/>
  <c r="B328" i="2"/>
  <c r="B330" i="2"/>
  <c r="B332" i="2"/>
  <c r="B334" i="2"/>
  <c r="B336" i="2"/>
  <c r="B338" i="2"/>
  <c r="B340" i="2"/>
  <c r="B342" i="2"/>
  <c r="B344" i="2"/>
  <c r="B346" i="2"/>
  <c r="B348" i="2"/>
  <c r="B350" i="2"/>
  <c r="B352" i="2"/>
  <c r="B354" i="2"/>
  <c r="B356" i="2"/>
  <c r="B358" i="2"/>
  <c r="B360" i="2"/>
  <c r="B362" i="2"/>
  <c r="B364" i="2"/>
  <c r="B366" i="2"/>
  <c r="B368" i="2"/>
  <c r="B262" i="2"/>
  <c r="B351" i="2"/>
  <c r="B355" i="2"/>
  <c r="B359" i="2"/>
  <c r="B363" i="2"/>
  <c r="B367" i="2"/>
  <c r="B370" i="2"/>
  <c r="B371" i="2"/>
  <c r="B254" i="2"/>
  <c r="B189" i="2"/>
  <c r="B200" i="2"/>
  <c r="B217" i="2"/>
  <c r="B244" i="2"/>
  <c r="B353" i="2"/>
  <c r="B357" i="2"/>
  <c r="B361" i="2"/>
  <c r="B365" i="2"/>
  <c r="B369" i="2"/>
  <c r="B248" i="2"/>
  <c r="B20" i="2"/>
  <c r="B19" i="2"/>
  <c r="B12" i="2"/>
  <c r="I3" i="2"/>
  <c r="B18" i="2"/>
  <c r="B17" i="2"/>
  <c r="B16" i="2"/>
  <c r="B15" i="2"/>
  <c r="B14" i="2"/>
  <c r="B21" i="2"/>
  <c r="B13" i="2"/>
  <c r="C244" i="2" l="1"/>
  <c r="E244" i="2"/>
  <c r="C262" i="2"/>
  <c r="E262" i="2"/>
  <c r="E346" i="2"/>
  <c r="C346" i="2"/>
  <c r="E322" i="2"/>
  <c r="C322" i="2"/>
  <c r="E298" i="2"/>
  <c r="C298" i="2"/>
  <c r="E274" i="2"/>
  <c r="C274" i="2"/>
  <c r="C250" i="2"/>
  <c r="E250" i="2"/>
  <c r="C337" i="2"/>
  <c r="E337" i="2"/>
  <c r="C313" i="2"/>
  <c r="E313" i="2"/>
  <c r="C289" i="2"/>
  <c r="E289" i="2"/>
  <c r="C252" i="2"/>
  <c r="E252" i="2"/>
  <c r="C251" i="2"/>
  <c r="E251" i="2"/>
  <c r="E227" i="2"/>
  <c r="C227" i="2"/>
  <c r="C180" i="2"/>
  <c r="E180" i="2"/>
  <c r="E195" i="2"/>
  <c r="C195" i="2"/>
  <c r="C234" i="2"/>
  <c r="E234" i="2"/>
  <c r="C199" i="2"/>
  <c r="E199" i="2"/>
  <c r="C156" i="2"/>
  <c r="E156" i="2"/>
  <c r="E167" i="2"/>
  <c r="C167" i="2"/>
  <c r="C149" i="2"/>
  <c r="E149" i="2"/>
  <c r="C140" i="2"/>
  <c r="E140" i="2"/>
  <c r="E124" i="2"/>
  <c r="C124" i="2"/>
  <c r="E116" i="2"/>
  <c r="C116" i="2"/>
  <c r="E67" i="2"/>
  <c r="C67" i="2"/>
  <c r="C125" i="2"/>
  <c r="E125" i="2"/>
  <c r="C101" i="2"/>
  <c r="E101" i="2"/>
  <c r="E112" i="2"/>
  <c r="C112" i="2"/>
  <c r="E104" i="2"/>
  <c r="C104" i="2"/>
  <c r="E96" i="2"/>
  <c r="C96" i="2"/>
  <c r="E88" i="2"/>
  <c r="C88" i="2"/>
  <c r="E80" i="2"/>
  <c r="C80" i="2"/>
  <c r="E69" i="2"/>
  <c r="C69" i="2"/>
  <c r="E71" i="2"/>
  <c r="C71" i="2"/>
  <c r="C89" i="2"/>
  <c r="E89" i="2"/>
  <c r="C81" i="2"/>
  <c r="E81" i="2"/>
  <c r="C74" i="2"/>
  <c r="E74" i="2"/>
  <c r="C58" i="2"/>
  <c r="E58" i="2"/>
  <c r="C46" i="2"/>
  <c r="E46" i="2"/>
  <c r="C50" i="2"/>
  <c r="E50" i="2"/>
  <c r="E41" i="2"/>
  <c r="C41" i="2"/>
  <c r="E33" i="2"/>
  <c r="C33" i="2"/>
  <c r="E25" i="2"/>
  <c r="C25" i="2"/>
  <c r="C36" i="2"/>
  <c r="E36" i="2"/>
  <c r="C28" i="2"/>
  <c r="E28" i="2"/>
  <c r="C361" i="2"/>
  <c r="E361" i="2"/>
  <c r="C217" i="2"/>
  <c r="E217" i="2"/>
  <c r="C371" i="2"/>
  <c r="E371" i="2"/>
  <c r="C359" i="2"/>
  <c r="E359" i="2"/>
  <c r="E368" i="2"/>
  <c r="C368" i="2"/>
  <c r="E360" i="2"/>
  <c r="C360" i="2"/>
  <c r="E352" i="2"/>
  <c r="C352" i="2"/>
  <c r="E344" i="2"/>
  <c r="C344" i="2"/>
  <c r="E336" i="2"/>
  <c r="C336" i="2"/>
  <c r="E328" i="2"/>
  <c r="C328" i="2"/>
  <c r="E320" i="2"/>
  <c r="C320" i="2"/>
  <c r="E312" i="2"/>
  <c r="C312" i="2"/>
  <c r="E304" i="2"/>
  <c r="C304" i="2"/>
  <c r="E296" i="2"/>
  <c r="C296" i="2"/>
  <c r="E288" i="2"/>
  <c r="C288" i="2"/>
  <c r="E280" i="2"/>
  <c r="C280" i="2"/>
  <c r="E272" i="2"/>
  <c r="C272" i="2"/>
  <c r="E256" i="2"/>
  <c r="C256" i="2"/>
  <c r="C143" i="2"/>
  <c r="E143" i="2"/>
  <c r="C246" i="2"/>
  <c r="E246" i="2"/>
  <c r="C170" i="2"/>
  <c r="E170" i="2"/>
  <c r="C343" i="2"/>
  <c r="E343" i="2"/>
  <c r="C335" i="2"/>
  <c r="E335" i="2"/>
  <c r="C327" i="2"/>
  <c r="E327" i="2"/>
  <c r="C319" i="2"/>
  <c r="E319" i="2"/>
  <c r="C311" i="2"/>
  <c r="E311" i="2"/>
  <c r="C303" i="2"/>
  <c r="E303" i="2"/>
  <c r="C295" i="2"/>
  <c r="E295" i="2"/>
  <c r="C287" i="2"/>
  <c r="E287" i="2"/>
  <c r="C279" i="2"/>
  <c r="E279" i="2"/>
  <c r="C271" i="2"/>
  <c r="E271" i="2"/>
  <c r="C209" i="2"/>
  <c r="E209" i="2"/>
  <c r="E265" i="2"/>
  <c r="C265" i="2"/>
  <c r="E257" i="2"/>
  <c r="C257" i="2"/>
  <c r="E249" i="2"/>
  <c r="C249" i="2"/>
  <c r="E241" i="2"/>
  <c r="C241" i="2"/>
  <c r="E233" i="2"/>
  <c r="C233" i="2"/>
  <c r="E225" i="2"/>
  <c r="C225" i="2"/>
  <c r="E210" i="2"/>
  <c r="C210" i="2"/>
  <c r="C192" i="2"/>
  <c r="E192" i="2"/>
  <c r="C176" i="2"/>
  <c r="E176" i="2"/>
  <c r="C221" i="2"/>
  <c r="E221" i="2"/>
  <c r="C205" i="2"/>
  <c r="E205" i="2"/>
  <c r="E191" i="2"/>
  <c r="C191" i="2"/>
  <c r="C166" i="2"/>
  <c r="E166" i="2"/>
  <c r="C240" i="2"/>
  <c r="E240" i="2"/>
  <c r="C232" i="2"/>
  <c r="E232" i="2"/>
  <c r="C224" i="2"/>
  <c r="E224" i="2"/>
  <c r="E214" i="2"/>
  <c r="C214" i="2"/>
  <c r="E198" i="2"/>
  <c r="C198" i="2"/>
  <c r="C182" i="2"/>
  <c r="E182" i="2"/>
  <c r="C133" i="2"/>
  <c r="E133" i="2"/>
  <c r="E55" i="2"/>
  <c r="C55" i="2"/>
  <c r="E173" i="2"/>
  <c r="C173" i="2"/>
  <c r="E165" i="2"/>
  <c r="C165" i="2"/>
  <c r="E157" i="2"/>
  <c r="C157" i="2"/>
  <c r="C135" i="2"/>
  <c r="E135" i="2"/>
  <c r="C141" i="2"/>
  <c r="E141" i="2"/>
  <c r="E154" i="2"/>
  <c r="C154" i="2"/>
  <c r="E146" i="2"/>
  <c r="C146" i="2"/>
  <c r="E138" i="2"/>
  <c r="C138" i="2"/>
  <c r="E130" i="2"/>
  <c r="C130" i="2"/>
  <c r="E122" i="2"/>
  <c r="C122" i="2"/>
  <c r="E114" i="2"/>
  <c r="C114" i="2"/>
  <c r="C107" i="2"/>
  <c r="E107" i="2"/>
  <c r="C131" i="2"/>
  <c r="E131" i="2"/>
  <c r="C123" i="2"/>
  <c r="E123" i="2"/>
  <c r="C115" i="2"/>
  <c r="E115" i="2"/>
  <c r="C93" i="2"/>
  <c r="E93" i="2"/>
  <c r="C110" i="2"/>
  <c r="E110" i="2"/>
  <c r="C102" i="2"/>
  <c r="E102" i="2"/>
  <c r="C94" i="2"/>
  <c r="E94" i="2"/>
  <c r="E86" i="2"/>
  <c r="C86" i="2"/>
  <c r="E78" i="2"/>
  <c r="C78" i="2"/>
  <c r="C62" i="2"/>
  <c r="E62" i="2"/>
  <c r="C64" i="2"/>
  <c r="E64" i="2"/>
  <c r="C87" i="2"/>
  <c r="E87" i="2"/>
  <c r="C79" i="2"/>
  <c r="E79" i="2"/>
  <c r="E73" i="2"/>
  <c r="C73" i="2"/>
  <c r="E57" i="2"/>
  <c r="C57" i="2"/>
  <c r="E45" i="2"/>
  <c r="C45" i="2"/>
  <c r="E49" i="2"/>
  <c r="C49" i="2"/>
  <c r="E39" i="2"/>
  <c r="C39" i="2"/>
  <c r="E31" i="2"/>
  <c r="C31" i="2"/>
  <c r="E23" i="2"/>
  <c r="C23" i="2"/>
  <c r="C34" i="2"/>
  <c r="E34" i="2"/>
  <c r="C26" i="2"/>
  <c r="E26" i="2"/>
  <c r="C365" i="2"/>
  <c r="E365" i="2"/>
  <c r="C363" i="2"/>
  <c r="E363" i="2"/>
  <c r="E362" i="2"/>
  <c r="C362" i="2"/>
  <c r="E338" i="2"/>
  <c r="C338" i="2"/>
  <c r="E306" i="2"/>
  <c r="C306" i="2"/>
  <c r="E282" i="2"/>
  <c r="C282" i="2"/>
  <c r="C178" i="2"/>
  <c r="E178" i="2"/>
  <c r="C345" i="2"/>
  <c r="E345" i="2"/>
  <c r="C321" i="2"/>
  <c r="E321" i="2"/>
  <c r="C297" i="2"/>
  <c r="E297" i="2"/>
  <c r="C273" i="2"/>
  <c r="E273" i="2"/>
  <c r="C259" i="2"/>
  <c r="E259" i="2"/>
  <c r="E235" i="2"/>
  <c r="C235" i="2"/>
  <c r="C196" i="2"/>
  <c r="E196" i="2"/>
  <c r="E212" i="2"/>
  <c r="C212" i="2"/>
  <c r="C242" i="2"/>
  <c r="E242" i="2"/>
  <c r="C215" i="2"/>
  <c r="E215" i="2"/>
  <c r="C95" i="2"/>
  <c r="E95" i="2"/>
  <c r="E159" i="2"/>
  <c r="C159" i="2"/>
  <c r="C44" i="2"/>
  <c r="E44" i="2"/>
  <c r="E59" i="2"/>
  <c r="C59" i="2"/>
  <c r="C248" i="2"/>
  <c r="E248" i="2"/>
  <c r="C357" i="2"/>
  <c r="E357" i="2"/>
  <c r="E200" i="2"/>
  <c r="C200" i="2"/>
  <c r="E370" i="2"/>
  <c r="C370" i="2"/>
  <c r="C355" i="2"/>
  <c r="E355" i="2"/>
  <c r="E366" i="2"/>
  <c r="C366" i="2"/>
  <c r="E358" i="2"/>
  <c r="C358" i="2"/>
  <c r="E350" i="2"/>
  <c r="C350" i="2"/>
  <c r="E342" i="2"/>
  <c r="C342" i="2"/>
  <c r="E334" i="2"/>
  <c r="C334" i="2"/>
  <c r="E326" i="2"/>
  <c r="C326" i="2"/>
  <c r="E318" i="2"/>
  <c r="C318" i="2"/>
  <c r="E310" i="2"/>
  <c r="C310" i="2"/>
  <c r="E302" i="2"/>
  <c r="C302" i="2"/>
  <c r="E294" i="2"/>
  <c r="C294" i="2"/>
  <c r="E286" i="2"/>
  <c r="C286" i="2"/>
  <c r="E278" i="2"/>
  <c r="C278" i="2"/>
  <c r="E270" i="2"/>
  <c r="C270" i="2"/>
  <c r="E208" i="2"/>
  <c r="C208" i="2"/>
  <c r="C266" i="2"/>
  <c r="E266" i="2"/>
  <c r="E216" i="2"/>
  <c r="C216" i="2"/>
  <c r="C349" i="2"/>
  <c r="E349" i="2"/>
  <c r="C341" i="2"/>
  <c r="E341" i="2"/>
  <c r="C333" i="2"/>
  <c r="E333" i="2"/>
  <c r="C325" i="2"/>
  <c r="E325" i="2"/>
  <c r="C317" i="2"/>
  <c r="E317" i="2"/>
  <c r="C309" i="2"/>
  <c r="E309" i="2"/>
  <c r="C301" i="2"/>
  <c r="E301" i="2"/>
  <c r="C293" i="2"/>
  <c r="E293" i="2"/>
  <c r="C285" i="2"/>
  <c r="E285" i="2"/>
  <c r="C277" i="2"/>
  <c r="E277" i="2"/>
  <c r="C269" i="2"/>
  <c r="E269" i="2"/>
  <c r="E193" i="2"/>
  <c r="C193" i="2"/>
  <c r="E263" i="2"/>
  <c r="C263" i="2"/>
  <c r="E255" i="2"/>
  <c r="C255" i="2"/>
  <c r="E247" i="2"/>
  <c r="C247" i="2"/>
  <c r="E239" i="2"/>
  <c r="C239" i="2"/>
  <c r="E231" i="2"/>
  <c r="C231" i="2"/>
  <c r="C219" i="2"/>
  <c r="E219" i="2"/>
  <c r="C203" i="2"/>
  <c r="E203" i="2"/>
  <c r="C188" i="2"/>
  <c r="E188" i="2"/>
  <c r="C168" i="2"/>
  <c r="E168" i="2"/>
  <c r="E220" i="2"/>
  <c r="C220" i="2"/>
  <c r="E204" i="2"/>
  <c r="C204" i="2"/>
  <c r="E187" i="2"/>
  <c r="C187" i="2"/>
  <c r="C158" i="2"/>
  <c r="E158" i="2"/>
  <c r="C238" i="2"/>
  <c r="E238" i="2"/>
  <c r="C230" i="2"/>
  <c r="E230" i="2"/>
  <c r="C223" i="2"/>
  <c r="E223" i="2"/>
  <c r="C207" i="2"/>
  <c r="E207" i="2"/>
  <c r="C194" i="2"/>
  <c r="E194" i="2"/>
  <c r="C172" i="2"/>
  <c r="E172" i="2"/>
  <c r="E153" i="2"/>
  <c r="C153" i="2"/>
  <c r="E179" i="2"/>
  <c r="C179" i="2"/>
  <c r="E171" i="2"/>
  <c r="C171" i="2"/>
  <c r="E163" i="2"/>
  <c r="C163" i="2"/>
  <c r="E155" i="2"/>
  <c r="C155" i="2"/>
  <c r="C103" i="2"/>
  <c r="E103" i="2"/>
  <c r="C111" i="2"/>
  <c r="E111" i="2"/>
  <c r="E152" i="2"/>
  <c r="C152" i="2"/>
  <c r="E144" i="2"/>
  <c r="C144" i="2"/>
  <c r="E136" i="2"/>
  <c r="C136" i="2"/>
  <c r="E128" i="2"/>
  <c r="C128" i="2"/>
  <c r="E120" i="2"/>
  <c r="C120" i="2"/>
  <c r="E105" i="2"/>
  <c r="C105" i="2"/>
  <c r="C99" i="2"/>
  <c r="E99" i="2"/>
  <c r="C129" i="2"/>
  <c r="E129" i="2"/>
  <c r="C121" i="2"/>
  <c r="E121" i="2"/>
  <c r="C113" i="2"/>
  <c r="E113" i="2"/>
  <c r="C60" i="2"/>
  <c r="E60" i="2"/>
  <c r="C108" i="2"/>
  <c r="E108" i="2"/>
  <c r="C100" i="2"/>
  <c r="E100" i="2"/>
  <c r="C92" i="2"/>
  <c r="E92" i="2"/>
  <c r="E84" i="2"/>
  <c r="C84" i="2"/>
  <c r="E76" i="2"/>
  <c r="C76" i="2"/>
  <c r="E61" i="2"/>
  <c r="C61" i="2"/>
  <c r="E63" i="2"/>
  <c r="C63" i="2"/>
  <c r="C85" i="2"/>
  <c r="E85" i="2"/>
  <c r="C77" i="2"/>
  <c r="E77" i="2"/>
  <c r="C66" i="2"/>
  <c r="E66" i="2"/>
  <c r="C54" i="2"/>
  <c r="E54" i="2"/>
  <c r="C48" i="2"/>
  <c r="E48" i="2"/>
  <c r="C42" i="2"/>
  <c r="E42" i="2"/>
  <c r="E37" i="2"/>
  <c r="C37" i="2"/>
  <c r="E29" i="2"/>
  <c r="C29" i="2"/>
  <c r="C40" i="2"/>
  <c r="E40" i="2"/>
  <c r="C32" i="2"/>
  <c r="E32" i="2"/>
  <c r="C24" i="2"/>
  <c r="E24" i="2"/>
  <c r="C254" i="2"/>
  <c r="E254" i="2"/>
  <c r="E354" i="2"/>
  <c r="C354" i="2"/>
  <c r="E330" i="2"/>
  <c r="C330" i="2"/>
  <c r="E314" i="2"/>
  <c r="C314" i="2"/>
  <c r="E290" i="2"/>
  <c r="C290" i="2"/>
  <c r="E264" i="2"/>
  <c r="C264" i="2"/>
  <c r="E181" i="2"/>
  <c r="C181" i="2"/>
  <c r="C329" i="2"/>
  <c r="E329" i="2"/>
  <c r="C305" i="2"/>
  <c r="E305" i="2"/>
  <c r="C281" i="2"/>
  <c r="E281" i="2"/>
  <c r="C267" i="2"/>
  <c r="E267" i="2"/>
  <c r="E243" i="2"/>
  <c r="C243" i="2"/>
  <c r="C211" i="2"/>
  <c r="E211" i="2"/>
  <c r="C151" i="2"/>
  <c r="E151" i="2"/>
  <c r="C174" i="2"/>
  <c r="E174" i="2"/>
  <c r="C226" i="2"/>
  <c r="E226" i="2"/>
  <c r="C186" i="2"/>
  <c r="E186" i="2"/>
  <c r="E175" i="2"/>
  <c r="C175" i="2"/>
  <c r="C139" i="2"/>
  <c r="E139" i="2"/>
  <c r="C148" i="2"/>
  <c r="E148" i="2"/>
  <c r="E132" i="2"/>
  <c r="C132" i="2"/>
  <c r="C117" i="2"/>
  <c r="E117" i="2"/>
  <c r="C369" i="2"/>
  <c r="E369" i="2"/>
  <c r="C353" i="2"/>
  <c r="E353" i="2"/>
  <c r="E189" i="2"/>
  <c r="C189" i="2"/>
  <c r="C367" i="2"/>
  <c r="E367" i="2"/>
  <c r="C351" i="2"/>
  <c r="E351" i="2"/>
  <c r="E364" i="2"/>
  <c r="C364" i="2"/>
  <c r="E356" i="2"/>
  <c r="C356" i="2"/>
  <c r="E348" i="2"/>
  <c r="C348" i="2"/>
  <c r="E340" i="2"/>
  <c r="C340" i="2"/>
  <c r="E332" i="2"/>
  <c r="C332" i="2"/>
  <c r="E324" i="2"/>
  <c r="C324" i="2"/>
  <c r="E316" i="2"/>
  <c r="C316" i="2"/>
  <c r="E308" i="2"/>
  <c r="C308" i="2"/>
  <c r="E300" i="2"/>
  <c r="C300" i="2"/>
  <c r="E292" i="2"/>
  <c r="C292" i="2"/>
  <c r="E284" i="2"/>
  <c r="C284" i="2"/>
  <c r="E276" i="2"/>
  <c r="C276" i="2"/>
  <c r="E268" i="2"/>
  <c r="C268" i="2"/>
  <c r="E185" i="2"/>
  <c r="C185" i="2"/>
  <c r="C258" i="2"/>
  <c r="E258" i="2"/>
  <c r="C201" i="2"/>
  <c r="E201" i="2"/>
  <c r="C347" i="2"/>
  <c r="E347" i="2"/>
  <c r="C339" i="2"/>
  <c r="E339" i="2"/>
  <c r="C331" i="2"/>
  <c r="E331" i="2"/>
  <c r="C323" i="2"/>
  <c r="E323" i="2"/>
  <c r="C315" i="2"/>
  <c r="E315" i="2"/>
  <c r="C307" i="2"/>
  <c r="E307" i="2"/>
  <c r="C299" i="2"/>
  <c r="E299" i="2"/>
  <c r="C291" i="2"/>
  <c r="E291" i="2"/>
  <c r="C283" i="2"/>
  <c r="E283" i="2"/>
  <c r="C275" i="2"/>
  <c r="E275" i="2"/>
  <c r="C260" i="2"/>
  <c r="E260" i="2"/>
  <c r="C162" i="2"/>
  <c r="E162" i="2"/>
  <c r="C261" i="2"/>
  <c r="E261" i="2"/>
  <c r="C253" i="2"/>
  <c r="E253" i="2"/>
  <c r="E245" i="2"/>
  <c r="C245" i="2"/>
  <c r="E237" i="2"/>
  <c r="C237" i="2"/>
  <c r="E229" i="2"/>
  <c r="C229" i="2"/>
  <c r="E218" i="2"/>
  <c r="C218" i="2"/>
  <c r="E202" i="2"/>
  <c r="C202" i="2"/>
  <c r="C184" i="2"/>
  <c r="E184" i="2"/>
  <c r="C160" i="2"/>
  <c r="E160" i="2"/>
  <c r="C213" i="2"/>
  <c r="E213" i="2"/>
  <c r="C197" i="2"/>
  <c r="E197" i="2"/>
  <c r="E183" i="2"/>
  <c r="C183" i="2"/>
  <c r="C137" i="2"/>
  <c r="E137" i="2"/>
  <c r="C236" i="2"/>
  <c r="E236" i="2"/>
  <c r="C228" i="2"/>
  <c r="E228" i="2"/>
  <c r="E222" i="2"/>
  <c r="C222" i="2"/>
  <c r="E206" i="2"/>
  <c r="C206" i="2"/>
  <c r="C190" i="2"/>
  <c r="E190" i="2"/>
  <c r="C164" i="2"/>
  <c r="E164" i="2"/>
  <c r="E145" i="2"/>
  <c r="C145" i="2"/>
  <c r="E177" i="2"/>
  <c r="C177" i="2"/>
  <c r="E169" i="2"/>
  <c r="C169" i="2"/>
  <c r="E161" i="2"/>
  <c r="C161" i="2"/>
  <c r="C147" i="2"/>
  <c r="E147" i="2"/>
  <c r="E51" i="2"/>
  <c r="C51" i="2"/>
  <c r="C68" i="2"/>
  <c r="E68" i="2"/>
  <c r="C150" i="2"/>
  <c r="E150" i="2"/>
  <c r="C142" i="2"/>
  <c r="E142" i="2"/>
  <c r="E134" i="2"/>
  <c r="C134" i="2"/>
  <c r="E126" i="2"/>
  <c r="C126" i="2"/>
  <c r="E118" i="2"/>
  <c r="C118" i="2"/>
  <c r="E97" i="2"/>
  <c r="C97" i="2"/>
  <c r="C91" i="2"/>
  <c r="E91" i="2"/>
  <c r="C127" i="2"/>
  <c r="E127" i="2"/>
  <c r="C119" i="2"/>
  <c r="E119" i="2"/>
  <c r="C109" i="2"/>
  <c r="E109" i="2"/>
  <c r="C52" i="2"/>
  <c r="E52" i="2"/>
  <c r="E106" i="2"/>
  <c r="C106" i="2"/>
  <c r="E98" i="2"/>
  <c r="C98" i="2"/>
  <c r="E90" i="2"/>
  <c r="C90" i="2"/>
  <c r="E82" i="2"/>
  <c r="C82" i="2"/>
  <c r="C70" i="2"/>
  <c r="E70" i="2"/>
  <c r="C72" i="2"/>
  <c r="E72" i="2"/>
  <c r="C56" i="2"/>
  <c r="E56" i="2"/>
  <c r="C83" i="2"/>
  <c r="E83" i="2"/>
  <c r="C75" i="2"/>
  <c r="E75" i="2"/>
  <c r="E65" i="2"/>
  <c r="C65" i="2"/>
  <c r="E53" i="2"/>
  <c r="C53" i="2"/>
  <c r="E47" i="2"/>
  <c r="C47" i="2"/>
  <c r="E43" i="2"/>
  <c r="C43" i="2"/>
  <c r="E35" i="2"/>
  <c r="C35" i="2"/>
  <c r="E27" i="2"/>
  <c r="C27" i="2"/>
  <c r="C38" i="2"/>
  <c r="E38" i="2"/>
  <c r="C30" i="2"/>
  <c r="E30" i="2"/>
  <c r="C22" i="2"/>
  <c r="E22" i="2"/>
  <c r="E13" i="2"/>
  <c r="E16" i="2"/>
  <c r="E17" i="2"/>
  <c r="E18" i="2"/>
  <c r="E21" i="2"/>
  <c r="E15" i="2"/>
  <c r="E19" i="2"/>
  <c r="E14" i="2"/>
  <c r="E12" i="2"/>
  <c r="D12" i="2"/>
  <c r="I12" i="2" s="1"/>
  <c r="E20" i="2"/>
  <c r="C12" i="2"/>
  <c r="C13" i="2"/>
  <c r="C14" i="2"/>
  <c r="K12" i="2" l="1"/>
  <c r="C15" i="2"/>
  <c r="C16" i="2" l="1"/>
  <c r="C17" i="2" l="1"/>
  <c r="C18" i="2" l="1"/>
  <c r="C19" i="2" l="1"/>
  <c r="C20" i="2"/>
  <c r="C21" i="2" l="1"/>
  <c r="F12" i="2" l="1"/>
  <c r="G12" i="2" l="1"/>
  <c r="H12" i="2" s="1"/>
  <c r="J12" i="2" s="1"/>
  <c r="D13" i="2" l="1"/>
  <c r="F13" i="2" s="1"/>
  <c r="I13" i="2" l="1"/>
  <c r="K13" i="2" s="1"/>
  <c r="G13" i="2"/>
  <c r="H13" i="2" l="1"/>
  <c r="J13" i="2" s="1"/>
  <c r="D14" i="2" l="1"/>
  <c r="I14" i="2" s="1"/>
  <c r="F14" i="2" l="1"/>
  <c r="G14" i="2" s="1"/>
  <c r="K14" i="2"/>
  <c r="H14" i="2" l="1"/>
  <c r="J14" i="2" s="1"/>
  <c r="D15" i="2" l="1"/>
  <c r="I15" i="2" s="1"/>
  <c r="K15" i="2" s="1"/>
  <c r="F15" i="2" l="1"/>
  <c r="G15" i="2" s="1"/>
  <c r="H15" i="2" s="1"/>
  <c r="J15" i="2" s="1"/>
  <c r="D16" i="2" l="1"/>
  <c r="I16" i="2" s="1"/>
  <c r="K16" i="2" s="1"/>
  <c r="F16" i="2" l="1"/>
  <c r="G16" i="2" s="1"/>
  <c r="H16" i="2" s="1"/>
  <c r="J16" i="2" s="1"/>
  <c r="D17" i="2" l="1"/>
  <c r="F17" i="2" s="1"/>
  <c r="G17" i="2" s="1"/>
  <c r="I17" i="2" l="1"/>
  <c r="H17" i="2" s="1"/>
  <c r="J17" i="2" s="1"/>
  <c r="D18" i="2" s="1"/>
  <c r="F18" i="2" s="1"/>
  <c r="K17" i="2" l="1"/>
  <c r="I18" i="2"/>
  <c r="K18" i="2" s="1"/>
  <c r="G18" i="2"/>
  <c r="H18" i="2" l="1"/>
  <c r="J18" i="2" s="1"/>
  <c r="D19" i="2" s="1"/>
  <c r="F19" i="2" s="1"/>
  <c r="I19" i="2" l="1"/>
  <c r="K19" i="2" s="1"/>
  <c r="G19" i="2"/>
  <c r="H19" i="2" l="1"/>
  <c r="J19" i="2" s="1"/>
  <c r="D20" i="2" s="1"/>
  <c r="F20" i="2" s="1"/>
  <c r="I20" i="2" l="1"/>
  <c r="K20" i="2" s="1"/>
  <c r="G20" i="2"/>
  <c r="H20" i="2" l="1"/>
  <c r="J20" i="2" s="1"/>
  <c r="D21" i="2" s="1"/>
  <c r="F21" i="2" s="1"/>
  <c r="I21" i="2" l="1"/>
  <c r="K21" i="2" s="1"/>
  <c r="G21" i="2"/>
  <c r="H21" i="2" l="1"/>
  <c r="J21" i="2" s="1"/>
  <c r="D22" i="2" s="1"/>
  <c r="F22" i="2" s="1"/>
  <c r="I22" i="2" l="1"/>
  <c r="K22" i="2" s="1"/>
  <c r="G22" i="2"/>
  <c r="H22" i="2" l="1"/>
  <c r="J22" i="2" s="1"/>
  <c r="D23" i="2" s="1"/>
  <c r="F23" i="2" s="1"/>
  <c r="I23" i="2" l="1"/>
  <c r="K23" i="2" s="1"/>
  <c r="G23" i="2"/>
  <c r="H23" i="2" l="1"/>
  <c r="J23" i="2" s="1"/>
  <c r="D24" i="2" s="1"/>
  <c r="F24" i="2" l="1"/>
  <c r="I24" i="2"/>
  <c r="K24" i="2" s="1"/>
  <c r="G24" i="2" l="1"/>
  <c r="H24" i="2" l="1"/>
  <c r="J24" i="2" s="1"/>
  <c r="D25" i="2" s="1"/>
  <c r="I25" i="2" l="1"/>
  <c r="K25" i="2" s="1"/>
  <c r="F25" i="2"/>
  <c r="G25" i="2" l="1"/>
  <c r="H25" i="2" l="1"/>
  <c r="J25" i="2" s="1"/>
  <c r="D26" i="2" s="1"/>
  <c r="I26" i="2" l="1"/>
  <c r="K26" i="2" s="1"/>
  <c r="F26" i="2"/>
  <c r="G26" i="2" l="1"/>
  <c r="H26" i="2" l="1"/>
  <c r="J26" i="2" s="1"/>
  <c r="D27" i="2" s="1"/>
  <c r="I27" i="2" l="1"/>
  <c r="K27" i="2" s="1"/>
  <c r="F27" i="2"/>
  <c r="G27" i="2" l="1"/>
  <c r="H27" i="2" l="1"/>
  <c r="J27" i="2" s="1"/>
  <c r="D28" i="2" s="1"/>
  <c r="I28" i="2" l="1"/>
  <c r="K28" i="2" s="1"/>
  <c r="F28" i="2"/>
  <c r="G28" i="2" l="1"/>
  <c r="H28" i="2" l="1"/>
  <c r="J28" i="2" s="1"/>
  <c r="D29" i="2" s="1"/>
  <c r="F29" i="2" l="1"/>
  <c r="I29" i="2"/>
  <c r="K29" i="2" s="1"/>
  <c r="G29" i="2" l="1"/>
  <c r="H29" i="2" s="1"/>
  <c r="J29" i="2" s="1"/>
  <c r="D30" i="2" s="1"/>
  <c r="I30" i="2" l="1"/>
  <c r="K30" i="2" s="1"/>
  <c r="F30" i="2"/>
  <c r="G30" i="2" l="1"/>
  <c r="H30" i="2" s="1"/>
  <c r="J30" i="2" s="1"/>
  <c r="D31" i="2" s="1"/>
  <c r="I31" i="2" l="1"/>
  <c r="K31" i="2" s="1"/>
  <c r="F31" i="2"/>
  <c r="G31" i="2" l="1"/>
  <c r="H31" i="2" s="1"/>
  <c r="J31" i="2" s="1"/>
  <c r="D32" i="2" s="1"/>
  <c r="I32" i="2" l="1"/>
  <c r="K32" i="2" s="1"/>
  <c r="F32" i="2"/>
  <c r="G32" i="2" l="1"/>
  <c r="H32" i="2" s="1"/>
  <c r="J32" i="2" s="1"/>
  <c r="D33" i="2" s="1"/>
  <c r="I33" i="2" l="1"/>
  <c r="K33" i="2" s="1"/>
  <c r="F33" i="2"/>
  <c r="G33" i="2" l="1"/>
  <c r="H33" i="2" s="1"/>
  <c r="J33" i="2" s="1"/>
  <c r="D34" i="2" s="1"/>
  <c r="I34" i="2" l="1"/>
  <c r="K34" i="2" s="1"/>
  <c r="F34" i="2"/>
  <c r="G34" i="2" l="1"/>
  <c r="H34" i="2" s="1"/>
  <c r="J34" i="2" s="1"/>
  <c r="D35" i="2" s="1"/>
  <c r="I35" i="2" l="1"/>
  <c r="K35" i="2" s="1"/>
  <c r="F35" i="2"/>
  <c r="G35" i="2" l="1"/>
  <c r="H35" i="2" s="1"/>
  <c r="J35" i="2" s="1"/>
  <c r="D36" i="2" s="1"/>
  <c r="I36" i="2" l="1"/>
  <c r="K36" i="2" s="1"/>
  <c r="F36" i="2"/>
  <c r="G36" i="2" l="1"/>
  <c r="H36" i="2" s="1"/>
  <c r="J36" i="2" s="1"/>
  <c r="D37" i="2" s="1"/>
  <c r="I37" i="2" l="1"/>
  <c r="K37" i="2" s="1"/>
  <c r="F37" i="2"/>
  <c r="G37" i="2" l="1"/>
  <c r="H37" i="2" s="1"/>
  <c r="J37" i="2" s="1"/>
  <c r="D38" i="2" s="1"/>
  <c r="I38" i="2" l="1"/>
  <c r="K38" i="2" s="1"/>
  <c r="F38" i="2"/>
  <c r="G38" i="2" l="1"/>
  <c r="H38" i="2" s="1"/>
  <c r="J38" i="2" s="1"/>
  <c r="D39" i="2" s="1"/>
  <c r="I39" i="2" l="1"/>
  <c r="K39" i="2" s="1"/>
  <c r="F39" i="2"/>
  <c r="G39" i="2" l="1"/>
  <c r="H39" i="2" s="1"/>
  <c r="J39" i="2" s="1"/>
  <c r="D40" i="2" s="1"/>
  <c r="F40" i="2" l="1"/>
  <c r="I40" i="2"/>
  <c r="K40" i="2" s="1"/>
  <c r="G40" i="2" l="1"/>
  <c r="H40" i="2" s="1"/>
  <c r="J40" i="2" s="1"/>
  <c r="D41" i="2" s="1"/>
  <c r="I41" i="2" l="1"/>
  <c r="K41" i="2" s="1"/>
  <c r="F41" i="2"/>
  <c r="G41" i="2" l="1"/>
  <c r="H41" i="2" s="1"/>
  <c r="J41" i="2" s="1"/>
  <c r="D42" i="2" s="1"/>
  <c r="F42" i="2" l="1"/>
  <c r="I42" i="2"/>
  <c r="K42" i="2" s="1"/>
  <c r="G42" i="2" l="1"/>
  <c r="H42" i="2" s="1"/>
  <c r="J42" i="2" s="1"/>
  <c r="D43" i="2" s="1"/>
  <c r="I43" i="2" l="1"/>
  <c r="K43" i="2" s="1"/>
  <c r="F43" i="2"/>
  <c r="G43" i="2" l="1"/>
  <c r="H43" i="2" s="1"/>
  <c r="J43" i="2" s="1"/>
  <c r="D44" i="2" s="1"/>
  <c r="I44" i="2" l="1"/>
  <c r="K44" i="2" s="1"/>
  <c r="F44" i="2"/>
  <c r="G44" i="2" l="1"/>
  <c r="H44" i="2" s="1"/>
  <c r="J44" i="2" s="1"/>
  <c r="D45" i="2" s="1"/>
  <c r="F45" i="2" l="1"/>
  <c r="I45" i="2"/>
  <c r="K45" i="2" s="1"/>
  <c r="G45" i="2" l="1"/>
  <c r="H45" i="2" s="1"/>
  <c r="J45" i="2" s="1"/>
  <c r="D46" i="2" s="1"/>
  <c r="I46" i="2" l="1"/>
  <c r="K46" i="2" s="1"/>
  <c r="F46" i="2"/>
  <c r="G46" i="2" l="1"/>
  <c r="H46" i="2" s="1"/>
  <c r="J46" i="2" s="1"/>
  <c r="D47" i="2" s="1"/>
  <c r="I47" i="2" l="1"/>
  <c r="K47" i="2" s="1"/>
  <c r="F47" i="2"/>
  <c r="G47" i="2" l="1"/>
  <c r="H47" i="2" s="1"/>
  <c r="J47" i="2" s="1"/>
  <c r="D48" i="2" s="1"/>
  <c r="I48" i="2" l="1"/>
  <c r="K48" i="2" s="1"/>
  <c r="F48" i="2"/>
  <c r="G48" i="2" l="1"/>
  <c r="H48" i="2" s="1"/>
  <c r="J48" i="2" s="1"/>
  <c r="D49" i="2" s="1"/>
  <c r="I49" i="2" l="1"/>
  <c r="K49" i="2" s="1"/>
  <c r="F49" i="2"/>
  <c r="G49" i="2" l="1"/>
  <c r="H49" i="2" s="1"/>
  <c r="J49" i="2" s="1"/>
  <c r="D50" i="2" s="1"/>
  <c r="I50" i="2" l="1"/>
  <c r="K50" i="2" s="1"/>
  <c r="F50" i="2"/>
  <c r="G50" i="2" l="1"/>
  <c r="H50" i="2" s="1"/>
  <c r="J50" i="2" s="1"/>
  <c r="D51" i="2" s="1"/>
  <c r="I51" i="2" l="1"/>
  <c r="K51" i="2" s="1"/>
  <c r="F51" i="2"/>
  <c r="G51" i="2" l="1"/>
  <c r="H51" i="2" s="1"/>
  <c r="J51" i="2" s="1"/>
  <c r="D52" i="2" s="1"/>
  <c r="I52" i="2" l="1"/>
  <c r="K52" i="2" s="1"/>
  <c r="F52" i="2"/>
  <c r="G52" i="2" l="1"/>
  <c r="H52" i="2" s="1"/>
  <c r="J52" i="2" s="1"/>
  <c r="D53" i="2" s="1"/>
  <c r="F53" i="2" l="1"/>
  <c r="I53" i="2"/>
  <c r="K53" i="2" s="1"/>
  <c r="G53" i="2" l="1"/>
  <c r="H53" i="2" s="1"/>
  <c r="J53" i="2" s="1"/>
  <c r="D54" i="2" s="1"/>
  <c r="I54" i="2" l="1"/>
  <c r="K54" i="2" s="1"/>
  <c r="F54" i="2"/>
  <c r="G54" i="2" l="1"/>
  <c r="H54" i="2" s="1"/>
  <c r="J54" i="2" s="1"/>
  <c r="D55" i="2" s="1"/>
  <c r="I55" i="2" l="1"/>
  <c r="K55" i="2" s="1"/>
  <c r="F55" i="2"/>
  <c r="G55" i="2" l="1"/>
  <c r="H55" i="2" s="1"/>
  <c r="J55" i="2" s="1"/>
  <c r="D56" i="2" s="1"/>
  <c r="I56" i="2" l="1"/>
  <c r="K56" i="2" s="1"/>
  <c r="F56" i="2"/>
  <c r="G56" i="2" l="1"/>
  <c r="H56" i="2" s="1"/>
  <c r="J56" i="2" s="1"/>
  <c r="D57" i="2" s="1"/>
  <c r="I57" i="2" l="1"/>
  <c r="K57" i="2" s="1"/>
  <c r="F57" i="2"/>
  <c r="G57" i="2" l="1"/>
  <c r="H57" i="2" s="1"/>
  <c r="J57" i="2" s="1"/>
  <c r="D58" i="2" s="1"/>
  <c r="I58" i="2" l="1"/>
  <c r="K58" i="2" s="1"/>
  <c r="F58" i="2"/>
  <c r="G58" i="2" l="1"/>
  <c r="H58" i="2" s="1"/>
  <c r="J58" i="2" s="1"/>
  <c r="D59" i="2" s="1"/>
  <c r="F59" i="2" l="1"/>
  <c r="I59" i="2"/>
  <c r="K59" i="2" s="1"/>
  <c r="G59" i="2" l="1"/>
  <c r="H59" i="2" s="1"/>
  <c r="J59" i="2" s="1"/>
  <c r="D60" i="2" s="1"/>
  <c r="I60" i="2" l="1"/>
  <c r="K60" i="2" s="1"/>
  <c r="F60" i="2"/>
  <c r="G60" i="2" l="1"/>
  <c r="H60" i="2" s="1"/>
  <c r="J60" i="2" s="1"/>
  <c r="D61" i="2" s="1"/>
  <c r="F61" i="2" l="1"/>
  <c r="I61" i="2"/>
  <c r="K61" i="2" s="1"/>
  <c r="G61" i="2" l="1"/>
  <c r="H61" i="2" s="1"/>
  <c r="J61" i="2" s="1"/>
  <c r="D62" i="2" s="1"/>
  <c r="F62" i="2" l="1"/>
  <c r="I62" i="2"/>
  <c r="K62" i="2" s="1"/>
  <c r="G62" i="2" l="1"/>
  <c r="H62" i="2" s="1"/>
  <c r="J62" i="2" s="1"/>
  <c r="D63" i="2" s="1"/>
  <c r="I63" i="2" l="1"/>
  <c r="K63" i="2" s="1"/>
  <c r="F63" i="2"/>
  <c r="G63" i="2" l="1"/>
  <c r="H63" i="2" s="1"/>
  <c r="J63" i="2" s="1"/>
  <c r="D64" i="2" s="1"/>
  <c r="I64" i="2" l="1"/>
  <c r="K64" i="2" s="1"/>
  <c r="F64" i="2"/>
  <c r="G64" i="2" l="1"/>
  <c r="H64" i="2" s="1"/>
  <c r="J64" i="2" s="1"/>
  <c r="D65" i="2" s="1"/>
  <c r="I65" i="2" l="1"/>
  <c r="K65" i="2" s="1"/>
  <c r="F65" i="2"/>
  <c r="G65" i="2" l="1"/>
  <c r="H65" i="2" s="1"/>
  <c r="J65" i="2" s="1"/>
  <c r="D66" i="2" s="1"/>
  <c r="I66" i="2" l="1"/>
  <c r="K66" i="2" s="1"/>
  <c r="F66" i="2"/>
  <c r="G66" i="2" l="1"/>
  <c r="H66" i="2" s="1"/>
  <c r="J66" i="2" s="1"/>
  <c r="D67" i="2" s="1"/>
  <c r="I67" i="2" l="1"/>
  <c r="K67" i="2" s="1"/>
  <c r="F67" i="2"/>
  <c r="G67" i="2" l="1"/>
  <c r="H67" i="2" s="1"/>
  <c r="J67" i="2" s="1"/>
  <c r="D68" i="2" s="1"/>
  <c r="I68" i="2" l="1"/>
  <c r="K68" i="2" s="1"/>
  <c r="F68" i="2"/>
  <c r="G68" i="2" l="1"/>
  <c r="H68" i="2" s="1"/>
  <c r="J68" i="2" s="1"/>
  <c r="D69" i="2" s="1"/>
  <c r="I69" i="2" l="1"/>
  <c r="K69" i="2" s="1"/>
  <c r="F69" i="2"/>
  <c r="G69" i="2" l="1"/>
  <c r="H69" i="2" s="1"/>
  <c r="J69" i="2" s="1"/>
  <c r="D70" i="2" s="1"/>
  <c r="I70" i="2" l="1"/>
  <c r="K70" i="2" s="1"/>
  <c r="F70" i="2"/>
  <c r="G70" i="2" l="1"/>
  <c r="H70" i="2" s="1"/>
  <c r="J70" i="2" s="1"/>
  <c r="D71" i="2" s="1"/>
  <c r="I71" i="2" l="1"/>
  <c r="K71" i="2" s="1"/>
  <c r="F71" i="2"/>
  <c r="G71" i="2" l="1"/>
  <c r="H71" i="2" s="1"/>
  <c r="J71" i="2" s="1"/>
  <c r="D72" i="2" s="1"/>
  <c r="I72" i="2" l="1"/>
  <c r="K72" i="2" s="1"/>
  <c r="F72" i="2"/>
  <c r="G72" i="2" l="1"/>
  <c r="H72" i="2" s="1"/>
  <c r="J72" i="2" s="1"/>
  <c r="D73" i="2" s="1"/>
  <c r="I73" i="2" l="1"/>
  <c r="K73" i="2" s="1"/>
  <c r="F73" i="2"/>
  <c r="G73" i="2" l="1"/>
  <c r="H73" i="2" s="1"/>
  <c r="J73" i="2" s="1"/>
  <c r="D74" i="2" s="1"/>
  <c r="F74" i="2" l="1"/>
  <c r="I74" i="2"/>
  <c r="K74" i="2" s="1"/>
  <c r="G74" i="2" l="1"/>
  <c r="H74" i="2" s="1"/>
  <c r="J74" i="2" s="1"/>
  <c r="D75" i="2" s="1"/>
  <c r="I75" i="2" l="1"/>
  <c r="K75" i="2" s="1"/>
  <c r="F75" i="2"/>
  <c r="G75" i="2" l="1"/>
  <c r="H75" i="2" s="1"/>
  <c r="J75" i="2" s="1"/>
  <c r="D76" i="2" s="1"/>
  <c r="I76" i="2" l="1"/>
  <c r="K76" i="2" s="1"/>
  <c r="F76" i="2"/>
  <c r="G76" i="2" l="1"/>
  <c r="H76" i="2" s="1"/>
  <c r="J76" i="2" s="1"/>
  <c r="D77" i="2" s="1"/>
  <c r="I77" i="2" l="1"/>
  <c r="K77" i="2" s="1"/>
  <c r="F77" i="2"/>
  <c r="G77" i="2" l="1"/>
  <c r="H77" i="2" s="1"/>
  <c r="J77" i="2" s="1"/>
  <c r="D78" i="2" s="1"/>
  <c r="I78" i="2" l="1"/>
  <c r="K78" i="2" s="1"/>
  <c r="F78" i="2"/>
  <c r="G78" i="2" l="1"/>
  <c r="H78" i="2" s="1"/>
  <c r="J78" i="2" s="1"/>
  <c r="D79" i="2" s="1"/>
  <c r="I79" i="2" l="1"/>
  <c r="K79" i="2" s="1"/>
  <c r="F79" i="2"/>
  <c r="G79" i="2" l="1"/>
  <c r="H79" i="2" s="1"/>
  <c r="J79" i="2" s="1"/>
  <c r="D80" i="2" s="1"/>
  <c r="I80" i="2" l="1"/>
  <c r="K80" i="2" s="1"/>
  <c r="F80" i="2"/>
  <c r="G80" i="2" l="1"/>
  <c r="H80" i="2" s="1"/>
  <c r="J80" i="2" s="1"/>
  <c r="D81" i="2" s="1"/>
  <c r="F81" i="2" l="1"/>
  <c r="I81" i="2"/>
  <c r="K81" i="2" s="1"/>
  <c r="G81" i="2" l="1"/>
  <c r="H81" i="2" s="1"/>
  <c r="J81" i="2" s="1"/>
  <c r="D82" i="2" s="1"/>
  <c r="I82" i="2" l="1"/>
  <c r="K82" i="2" s="1"/>
  <c r="F82" i="2"/>
  <c r="G82" i="2" l="1"/>
  <c r="H82" i="2" s="1"/>
  <c r="J82" i="2" s="1"/>
  <c r="D83" i="2" s="1"/>
  <c r="I83" i="2" l="1"/>
  <c r="K83" i="2" s="1"/>
  <c r="F83" i="2"/>
  <c r="G83" i="2" l="1"/>
  <c r="H83" i="2" s="1"/>
  <c r="J83" i="2" s="1"/>
  <c r="D84" i="2" s="1"/>
  <c r="I84" i="2" l="1"/>
  <c r="K84" i="2" s="1"/>
  <c r="F84" i="2"/>
  <c r="G84" i="2" l="1"/>
  <c r="H84" i="2" s="1"/>
  <c r="J84" i="2" s="1"/>
  <c r="D85" i="2" s="1"/>
  <c r="I85" i="2" l="1"/>
  <c r="K85" i="2" s="1"/>
  <c r="F85" i="2"/>
  <c r="G85" i="2" l="1"/>
  <c r="H85" i="2" s="1"/>
  <c r="J85" i="2" s="1"/>
  <c r="D86" i="2" s="1"/>
  <c r="I86" i="2" l="1"/>
  <c r="K86" i="2" s="1"/>
  <c r="F86" i="2"/>
  <c r="G86" i="2" l="1"/>
  <c r="H86" i="2" s="1"/>
  <c r="J86" i="2" s="1"/>
  <c r="D87" i="2" s="1"/>
  <c r="I87" i="2" l="1"/>
  <c r="K87" i="2" s="1"/>
  <c r="F87" i="2"/>
  <c r="G87" i="2" l="1"/>
  <c r="H87" i="2" s="1"/>
  <c r="J87" i="2" s="1"/>
  <c r="D88" i="2" s="1"/>
  <c r="I88" i="2" l="1"/>
  <c r="K88" i="2" s="1"/>
  <c r="F88" i="2"/>
  <c r="G88" i="2" l="1"/>
  <c r="H88" i="2" s="1"/>
  <c r="J88" i="2" s="1"/>
  <c r="D89" i="2" s="1"/>
  <c r="I89" i="2" l="1"/>
  <c r="K89" i="2" s="1"/>
  <c r="F89" i="2"/>
  <c r="G89" i="2" l="1"/>
  <c r="H89" i="2" s="1"/>
  <c r="J89" i="2" s="1"/>
  <c r="D90" i="2" s="1"/>
  <c r="I90" i="2" l="1"/>
  <c r="K90" i="2" s="1"/>
  <c r="F90" i="2"/>
  <c r="G90" i="2" l="1"/>
  <c r="H90" i="2" s="1"/>
  <c r="J90" i="2" s="1"/>
  <c r="D91" i="2" s="1"/>
  <c r="I91" i="2" l="1"/>
  <c r="K91" i="2" s="1"/>
  <c r="F91" i="2"/>
  <c r="G91" i="2" l="1"/>
  <c r="H91" i="2" s="1"/>
  <c r="J91" i="2" s="1"/>
  <c r="D92" i="2" s="1"/>
  <c r="I92" i="2" l="1"/>
  <c r="K92" i="2" s="1"/>
  <c r="F92" i="2"/>
  <c r="G92" i="2" l="1"/>
  <c r="H92" i="2" s="1"/>
  <c r="J92" i="2" s="1"/>
  <c r="D93" i="2" s="1"/>
  <c r="I93" i="2" l="1"/>
  <c r="K93" i="2" s="1"/>
  <c r="F93" i="2"/>
  <c r="G93" i="2" l="1"/>
  <c r="H93" i="2" s="1"/>
  <c r="J93" i="2" s="1"/>
  <c r="D94" i="2" s="1"/>
  <c r="I94" i="2" l="1"/>
  <c r="K94" i="2" s="1"/>
  <c r="F94" i="2"/>
  <c r="G94" i="2" l="1"/>
  <c r="H94" i="2" s="1"/>
  <c r="J94" i="2" s="1"/>
  <c r="D95" i="2" s="1"/>
  <c r="I95" i="2" l="1"/>
  <c r="K95" i="2" s="1"/>
  <c r="F95" i="2"/>
  <c r="G95" i="2" l="1"/>
  <c r="H95" i="2" s="1"/>
  <c r="J95" i="2" s="1"/>
  <c r="D96" i="2" s="1"/>
  <c r="I96" i="2" l="1"/>
  <c r="K96" i="2" s="1"/>
  <c r="F96" i="2"/>
  <c r="G96" i="2" l="1"/>
  <c r="H96" i="2" s="1"/>
  <c r="J96" i="2" s="1"/>
  <c r="D97" i="2" s="1"/>
  <c r="I97" i="2" l="1"/>
  <c r="K97" i="2" s="1"/>
  <c r="F97" i="2"/>
  <c r="G97" i="2" l="1"/>
  <c r="H97" i="2" s="1"/>
  <c r="J97" i="2" s="1"/>
  <c r="D98" i="2" s="1"/>
  <c r="I98" i="2" l="1"/>
  <c r="K98" i="2" s="1"/>
  <c r="F98" i="2"/>
  <c r="G98" i="2" l="1"/>
  <c r="H98" i="2" s="1"/>
  <c r="J98" i="2" s="1"/>
  <c r="D99" i="2" s="1"/>
  <c r="I99" i="2" l="1"/>
  <c r="K99" i="2" s="1"/>
  <c r="F99" i="2"/>
  <c r="G99" i="2" l="1"/>
  <c r="H99" i="2" s="1"/>
  <c r="J99" i="2" s="1"/>
  <c r="D100" i="2" s="1"/>
  <c r="I100" i="2" l="1"/>
  <c r="K100" i="2" s="1"/>
  <c r="F100" i="2"/>
  <c r="G100" i="2" l="1"/>
  <c r="H100" i="2" s="1"/>
  <c r="J100" i="2" s="1"/>
  <c r="D101" i="2" s="1"/>
  <c r="I101" i="2" l="1"/>
  <c r="K101" i="2" s="1"/>
  <c r="F101" i="2"/>
  <c r="G101" i="2" l="1"/>
  <c r="H101" i="2" s="1"/>
  <c r="J101" i="2" s="1"/>
  <c r="D102" i="2" s="1"/>
  <c r="F102" i="2" l="1"/>
  <c r="I102" i="2"/>
  <c r="K102" i="2" s="1"/>
  <c r="G102" i="2" l="1"/>
  <c r="H102" i="2" s="1"/>
  <c r="J102" i="2" s="1"/>
  <c r="D103" i="2" s="1"/>
  <c r="I103" i="2" l="1"/>
  <c r="K103" i="2" s="1"/>
  <c r="F103" i="2"/>
  <c r="G103" i="2" l="1"/>
  <c r="H103" i="2" s="1"/>
  <c r="J103" i="2" s="1"/>
  <c r="D104" i="2" s="1"/>
  <c r="I104" i="2" l="1"/>
  <c r="K104" i="2" s="1"/>
  <c r="F104" i="2"/>
  <c r="G104" i="2" l="1"/>
  <c r="H104" i="2" s="1"/>
  <c r="J104" i="2" s="1"/>
  <c r="D105" i="2" s="1"/>
  <c r="I105" i="2" l="1"/>
  <c r="K105" i="2" s="1"/>
  <c r="F105" i="2"/>
  <c r="G105" i="2" l="1"/>
  <c r="H105" i="2" s="1"/>
  <c r="J105" i="2" s="1"/>
  <c r="D106" i="2" s="1"/>
  <c r="I106" i="2" l="1"/>
  <c r="K106" i="2" s="1"/>
  <c r="F106" i="2"/>
  <c r="G106" i="2" l="1"/>
  <c r="H106" i="2" s="1"/>
  <c r="J106" i="2" s="1"/>
  <c r="D107" i="2" s="1"/>
  <c r="I107" i="2" l="1"/>
  <c r="K107" i="2" s="1"/>
  <c r="F107" i="2"/>
  <c r="G107" i="2" l="1"/>
  <c r="H107" i="2" s="1"/>
  <c r="J107" i="2" s="1"/>
  <c r="D108" i="2" s="1"/>
  <c r="I108" i="2" l="1"/>
  <c r="K108" i="2" s="1"/>
  <c r="F108" i="2"/>
  <c r="G108" i="2" l="1"/>
  <c r="H108" i="2" s="1"/>
  <c r="J108" i="2" s="1"/>
  <c r="D109" i="2" s="1"/>
  <c r="I109" i="2" l="1"/>
  <c r="K109" i="2" s="1"/>
  <c r="F109" i="2"/>
  <c r="G109" i="2" l="1"/>
  <c r="H109" i="2" s="1"/>
  <c r="J109" i="2" s="1"/>
  <c r="D110" i="2" s="1"/>
  <c r="I110" i="2" l="1"/>
  <c r="K110" i="2" s="1"/>
  <c r="F110" i="2"/>
  <c r="G110" i="2" l="1"/>
  <c r="H110" i="2" s="1"/>
  <c r="J110" i="2" s="1"/>
  <c r="D111" i="2" s="1"/>
  <c r="F111" i="2" l="1"/>
  <c r="I111" i="2"/>
  <c r="K111" i="2" s="1"/>
  <c r="G111" i="2" l="1"/>
  <c r="H111" i="2" s="1"/>
  <c r="J111" i="2" s="1"/>
  <c r="D112" i="2" s="1"/>
  <c r="I112" i="2" l="1"/>
  <c r="K112" i="2" s="1"/>
  <c r="F112" i="2"/>
  <c r="G112" i="2" l="1"/>
  <c r="H112" i="2" s="1"/>
  <c r="J112" i="2" s="1"/>
  <c r="D113" i="2" s="1"/>
  <c r="F113" i="2" l="1"/>
  <c r="I113" i="2"/>
  <c r="K113" i="2" s="1"/>
  <c r="G113" i="2" l="1"/>
  <c r="H113" i="2" s="1"/>
  <c r="J113" i="2" s="1"/>
  <c r="D114" i="2" s="1"/>
  <c r="I114" i="2" l="1"/>
  <c r="K114" i="2" s="1"/>
  <c r="F114" i="2"/>
  <c r="G114" i="2" l="1"/>
  <c r="H114" i="2" s="1"/>
  <c r="J114" i="2" s="1"/>
  <c r="D115" i="2" s="1"/>
  <c r="I115" i="2" l="1"/>
  <c r="K115" i="2" s="1"/>
  <c r="F115" i="2"/>
  <c r="G115" i="2" l="1"/>
  <c r="H115" i="2" s="1"/>
  <c r="J115" i="2" s="1"/>
  <c r="D116" i="2" s="1"/>
  <c r="I116" i="2" l="1"/>
  <c r="K116" i="2" s="1"/>
  <c r="F116" i="2"/>
  <c r="G116" i="2" l="1"/>
  <c r="H116" i="2" s="1"/>
  <c r="J116" i="2" s="1"/>
  <c r="D117" i="2" s="1"/>
  <c r="I117" i="2" l="1"/>
  <c r="K117" i="2" s="1"/>
  <c r="F117" i="2"/>
  <c r="G117" i="2" l="1"/>
  <c r="H117" i="2" s="1"/>
  <c r="J117" i="2" s="1"/>
  <c r="D118" i="2" s="1"/>
  <c r="I118" i="2" l="1"/>
  <c r="K118" i="2" s="1"/>
  <c r="F118" i="2"/>
  <c r="G118" i="2" l="1"/>
  <c r="H118" i="2" s="1"/>
  <c r="J118" i="2" s="1"/>
  <c r="D119" i="2" s="1"/>
  <c r="F119" i="2" l="1"/>
  <c r="I119" i="2"/>
  <c r="K119" i="2" s="1"/>
  <c r="G119" i="2" l="1"/>
  <c r="H119" i="2" s="1"/>
  <c r="J119" i="2" s="1"/>
  <c r="D120" i="2" s="1"/>
  <c r="I120" i="2" l="1"/>
  <c r="K120" i="2" s="1"/>
  <c r="F120" i="2"/>
  <c r="G120" i="2" l="1"/>
  <c r="H120" i="2" s="1"/>
  <c r="J120" i="2" s="1"/>
  <c r="D121" i="2" s="1"/>
  <c r="I121" i="2" l="1"/>
  <c r="K121" i="2" s="1"/>
  <c r="F121" i="2"/>
  <c r="G121" i="2" l="1"/>
  <c r="H121" i="2" s="1"/>
  <c r="J121" i="2" s="1"/>
  <c r="D122" i="2" s="1"/>
  <c r="I122" i="2" l="1"/>
  <c r="K122" i="2" s="1"/>
  <c r="F122" i="2"/>
  <c r="G122" i="2" l="1"/>
  <c r="H122" i="2" s="1"/>
  <c r="J122" i="2" s="1"/>
  <c r="D123" i="2" s="1"/>
  <c r="F123" i="2" l="1"/>
  <c r="I123" i="2"/>
  <c r="K123" i="2" s="1"/>
  <c r="G123" i="2" l="1"/>
  <c r="H123" i="2" s="1"/>
  <c r="J123" i="2" s="1"/>
  <c r="D124" i="2" s="1"/>
  <c r="I124" i="2" l="1"/>
  <c r="K124" i="2" s="1"/>
  <c r="F124" i="2"/>
  <c r="G124" i="2" l="1"/>
  <c r="H124" i="2" s="1"/>
  <c r="J124" i="2" s="1"/>
  <c r="D125" i="2" s="1"/>
  <c r="I125" i="2" l="1"/>
  <c r="K125" i="2" s="1"/>
  <c r="F125" i="2"/>
  <c r="G125" i="2" l="1"/>
  <c r="H125" i="2" s="1"/>
  <c r="J125" i="2" s="1"/>
  <c r="D126" i="2" s="1"/>
  <c r="F126" i="2" l="1"/>
  <c r="I126" i="2"/>
  <c r="K126" i="2" s="1"/>
  <c r="G126" i="2" l="1"/>
  <c r="H126" i="2" s="1"/>
  <c r="J126" i="2" s="1"/>
  <c r="D127" i="2" s="1"/>
  <c r="I127" i="2" l="1"/>
  <c r="K127" i="2" s="1"/>
  <c r="F127" i="2"/>
  <c r="G127" i="2" l="1"/>
  <c r="H127" i="2" s="1"/>
  <c r="J127" i="2" s="1"/>
  <c r="D128" i="2" s="1"/>
  <c r="I128" i="2" l="1"/>
  <c r="K128" i="2" s="1"/>
  <c r="F128" i="2"/>
  <c r="G128" i="2" l="1"/>
  <c r="H128" i="2" s="1"/>
  <c r="J128" i="2" s="1"/>
  <c r="D129" i="2" s="1"/>
  <c r="I129" i="2" l="1"/>
  <c r="K129" i="2" s="1"/>
  <c r="F129" i="2"/>
  <c r="G129" i="2" l="1"/>
  <c r="H129" i="2" s="1"/>
  <c r="J129" i="2" s="1"/>
  <c r="D130" i="2" s="1"/>
  <c r="I130" i="2" l="1"/>
  <c r="K130" i="2" s="1"/>
  <c r="F130" i="2"/>
  <c r="G130" i="2" l="1"/>
  <c r="H130" i="2" s="1"/>
  <c r="J130" i="2" s="1"/>
  <c r="D131" i="2" s="1"/>
  <c r="I131" i="2" l="1"/>
  <c r="F131" i="2"/>
  <c r="K131" i="2" l="1"/>
  <c r="G131" i="2"/>
  <c r="H131" i="2" l="1"/>
  <c r="J131" i="2" s="1"/>
  <c r="D132" i="2" s="1"/>
  <c r="I132" i="2" l="1"/>
  <c r="F132" i="2"/>
  <c r="K132" i="2" l="1"/>
  <c r="G132" i="2"/>
  <c r="H132" i="2" l="1"/>
  <c r="J132" i="2" s="1"/>
  <c r="D133" i="2" s="1"/>
  <c r="F133" i="2" l="1"/>
  <c r="I133" i="2"/>
  <c r="G133" i="2" l="1"/>
  <c r="K133" i="2"/>
  <c r="H133" i="2" l="1"/>
  <c r="J133" i="2" s="1"/>
  <c r="D134" i="2" s="1"/>
  <c r="I134" i="2" l="1"/>
  <c r="F134" i="2"/>
  <c r="K134" i="2" l="1"/>
  <c r="G134" i="2"/>
  <c r="H134" i="2" l="1"/>
  <c r="J134" i="2" s="1"/>
  <c r="D135" i="2" s="1"/>
  <c r="F135" i="2" l="1"/>
  <c r="I135" i="2"/>
  <c r="G135" i="2" l="1"/>
  <c r="K135" i="2"/>
  <c r="H135" i="2" l="1"/>
  <c r="J135" i="2" s="1"/>
  <c r="D136" i="2" s="1"/>
  <c r="I136" i="2" l="1"/>
  <c r="F136" i="2"/>
  <c r="K136" i="2" l="1"/>
  <c r="G136" i="2"/>
  <c r="H136" i="2" s="1"/>
  <c r="J136" i="2" s="1"/>
  <c r="D137" i="2" s="1"/>
  <c r="I137" i="2" l="1"/>
  <c r="K137" i="2" s="1"/>
  <c r="F137" i="2"/>
  <c r="G137" i="2" l="1"/>
  <c r="H137" i="2" s="1"/>
  <c r="J137" i="2" s="1"/>
  <c r="D138" i="2" s="1"/>
  <c r="I138" i="2" l="1"/>
  <c r="K138" i="2" s="1"/>
  <c r="F138" i="2"/>
  <c r="G138" i="2" l="1"/>
  <c r="H138" i="2" s="1"/>
  <c r="J138" i="2" s="1"/>
  <c r="D139" i="2" s="1"/>
  <c r="I139" i="2" l="1"/>
  <c r="K139" i="2" s="1"/>
  <c r="F139" i="2"/>
  <c r="G139" i="2" l="1"/>
  <c r="H139" i="2" s="1"/>
  <c r="J139" i="2" s="1"/>
  <c r="D140" i="2" s="1"/>
  <c r="F140" i="2" l="1"/>
  <c r="I140" i="2"/>
  <c r="K140" i="2" s="1"/>
  <c r="G140" i="2" l="1"/>
  <c r="H140" i="2" s="1"/>
  <c r="J140" i="2" s="1"/>
  <c r="D141" i="2" s="1"/>
  <c r="F141" i="2" l="1"/>
  <c r="I141" i="2"/>
  <c r="K141" i="2" s="1"/>
  <c r="G141" i="2" l="1"/>
  <c r="H141" i="2" s="1"/>
  <c r="J141" i="2" s="1"/>
  <c r="D142" i="2" s="1"/>
  <c r="I142" i="2" l="1"/>
  <c r="K142" i="2" s="1"/>
  <c r="F142" i="2"/>
  <c r="G142" i="2" l="1"/>
  <c r="H142" i="2" s="1"/>
  <c r="J142" i="2" s="1"/>
  <c r="D143" i="2" s="1"/>
  <c r="I143" i="2" l="1"/>
  <c r="K143" i="2" s="1"/>
  <c r="F143" i="2"/>
  <c r="G143" i="2" l="1"/>
  <c r="H143" i="2" s="1"/>
  <c r="J143" i="2" s="1"/>
  <c r="D144" i="2" s="1"/>
  <c r="I144" i="2" l="1"/>
  <c r="K144" i="2" s="1"/>
  <c r="F144" i="2"/>
  <c r="G144" i="2" l="1"/>
  <c r="H144" i="2" s="1"/>
  <c r="J144" i="2" s="1"/>
  <c r="D145" i="2" s="1"/>
  <c r="I145" i="2" l="1"/>
  <c r="K145" i="2" s="1"/>
  <c r="F145" i="2"/>
  <c r="G145" i="2" l="1"/>
  <c r="H145" i="2" s="1"/>
  <c r="J145" i="2" s="1"/>
  <c r="D146" i="2" s="1"/>
  <c r="I146" i="2" l="1"/>
  <c r="K146" i="2" s="1"/>
  <c r="F146" i="2"/>
  <c r="G146" i="2" l="1"/>
  <c r="H146" i="2" s="1"/>
  <c r="J146" i="2" s="1"/>
  <c r="D147" i="2" s="1"/>
  <c r="F147" i="2" l="1"/>
  <c r="I147" i="2"/>
  <c r="K147" i="2" s="1"/>
  <c r="G147" i="2" l="1"/>
  <c r="H147" i="2" s="1"/>
  <c r="J147" i="2" s="1"/>
  <c r="D148" i="2" s="1"/>
  <c r="F148" i="2" l="1"/>
  <c r="I148" i="2"/>
  <c r="K148" i="2" s="1"/>
  <c r="G148" i="2" l="1"/>
  <c r="H148" i="2" s="1"/>
  <c r="J148" i="2" s="1"/>
  <c r="D149" i="2" s="1"/>
  <c r="I149" i="2" l="1"/>
  <c r="K149" i="2" s="1"/>
  <c r="F149" i="2"/>
  <c r="G149" i="2" l="1"/>
  <c r="H149" i="2" s="1"/>
  <c r="J149" i="2" s="1"/>
  <c r="D150" i="2" s="1"/>
  <c r="I150" i="2" l="1"/>
  <c r="K150" i="2" s="1"/>
  <c r="F150" i="2"/>
  <c r="G150" i="2" l="1"/>
  <c r="H150" i="2" s="1"/>
  <c r="J150" i="2" s="1"/>
  <c r="D151" i="2" s="1"/>
  <c r="I151" i="2" l="1"/>
  <c r="K151" i="2" s="1"/>
  <c r="F151" i="2"/>
  <c r="G151" i="2" l="1"/>
  <c r="H151" i="2" s="1"/>
  <c r="J151" i="2" s="1"/>
  <c r="D152" i="2" s="1"/>
  <c r="I152" i="2" l="1"/>
  <c r="K152" i="2" s="1"/>
  <c r="F152" i="2"/>
  <c r="G152" i="2" l="1"/>
  <c r="H152" i="2" s="1"/>
  <c r="J152" i="2" s="1"/>
  <c r="D153" i="2" s="1"/>
  <c r="F153" i="2" l="1"/>
  <c r="I153" i="2"/>
  <c r="K153" i="2" s="1"/>
  <c r="G153" i="2" l="1"/>
  <c r="H153" i="2" s="1"/>
  <c r="J153" i="2" s="1"/>
  <c r="D154" i="2" s="1"/>
  <c r="I154" i="2" l="1"/>
  <c r="K154" i="2" s="1"/>
  <c r="F154" i="2"/>
  <c r="G154" i="2" l="1"/>
  <c r="H154" i="2" s="1"/>
  <c r="J154" i="2" s="1"/>
  <c r="D155" i="2" s="1"/>
  <c r="I155" i="2" l="1"/>
  <c r="K155" i="2" s="1"/>
  <c r="F155" i="2"/>
  <c r="G155" i="2" l="1"/>
  <c r="H155" i="2" s="1"/>
  <c r="J155" i="2" s="1"/>
  <c r="D156" i="2" s="1"/>
  <c r="F156" i="2" l="1"/>
  <c r="I156" i="2"/>
  <c r="K156" i="2" s="1"/>
  <c r="G156" i="2" l="1"/>
  <c r="H156" i="2" s="1"/>
  <c r="J156" i="2" s="1"/>
  <c r="D157" i="2" s="1"/>
  <c r="I157" i="2" l="1"/>
  <c r="K157" i="2" s="1"/>
  <c r="F157" i="2"/>
  <c r="G157" i="2" l="1"/>
  <c r="H157" i="2" s="1"/>
  <c r="J157" i="2" s="1"/>
  <c r="D158" i="2" s="1"/>
  <c r="I158" i="2" l="1"/>
  <c r="K158" i="2" s="1"/>
  <c r="F158" i="2"/>
  <c r="G158" i="2" l="1"/>
  <c r="H158" i="2" s="1"/>
  <c r="J158" i="2" s="1"/>
  <c r="D159" i="2" s="1"/>
  <c r="I159" i="2" l="1"/>
  <c r="K159" i="2" s="1"/>
  <c r="F159" i="2"/>
  <c r="G159" i="2" l="1"/>
  <c r="H159" i="2" s="1"/>
  <c r="J159" i="2" s="1"/>
  <c r="D160" i="2" s="1"/>
  <c r="I160" i="2" l="1"/>
  <c r="K160" i="2" s="1"/>
  <c r="F160" i="2"/>
  <c r="G160" i="2" l="1"/>
  <c r="H160" i="2" s="1"/>
  <c r="J160" i="2" s="1"/>
  <c r="D161" i="2" s="1"/>
  <c r="I161" i="2" l="1"/>
  <c r="K161" i="2" s="1"/>
  <c r="F161" i="2"/>
  <c r="G161" i="2" l="1"/>
  <c r="H161" i="2" s="1"/>
  <c r="J161" i="2" s="1"/>
  <c r="D162" i="2" s="1"/>
  <c r="F162" i="2" l="1"/>
  <c r="I162" i="2"/>
  <c r="K162" i="2" s="1"/>
  <c r="G162" i="2" l="1"/>
  <c r="H162" i="2" s="1"/>
  <c r="J162" i="2" s="1"/>
  <c r="D163" i="2" s="1"/>
  <c r="I163" i="2" l="1"/>
  <c r="K163" i="2" s="1"/>
  <c r="F163" i="2"/>
  <c r="G163" i="2" l="1"/>
  <c r="H163" i="2" s="1"/>
  <c r="J163" i="2" s="1"/>
  <c r="D164" i="2" s="1"/>
  <c r="I164" i="2" l="1"/>
  <c r="K164" i="2" s="1"/>
  <c r="F164" i="2"/>
  <c r="G164" i="2" l="1"/>
  <c r="H164" i="2" s="1"/>
  <c r="J164" i="2" s="1"/>
  <c r="D165" i="2" s="1"/>
  <c r="F165" i="2" l="1"/>
  <c r="I165" i="2"/>
  <c r="K165" i="2" s="1"/>
  <c r="G165" i="2" l="1"/>
  <c r="H165" i="2" s="1"/>
  <c r="J165" i="2" s="1"/>
  <c r="D166" i="2" s="1"/>
  <c r="I166" i="2" l="1"/>
  <c r="K166" i="2" s="1"/>
  <c r="F166" i="2"/>
  <c r="G166" i="2" l="1"/>
  <c r="H166" i="2" s="1"/>
  <c r="J166" i="2" s="1"/>
  <c r="D167" i="2" s="1"/>
  <c r="F167" i="2" l="1"/>
  <c r="I167" i="2"/>
  <c r="K167" i="2" s="1"/>
  <c r="G167" i="2" l="1"/>
  <c r="H167" i="2" s="1"/>
  <c r="J167" i="2" s="1"/>
  <c r="D168" i="2" s="1"/>
  <c r="F168" i="2" l="1"/>
  <c r="I168" i="2"/>
  <c r="K168" i="2" s="1"/>
  <c r="G168" i="2" l="1"/>
  <c r="H168" i="2" s="1"/>
  <c r="J168" i="2" s="1"/>
  <c r="D169" i="2" s="1"/>
  <c r="I169" i="2" l="1"/>
  <c r="K169" i="2" s="1"/>
  <c r="F169" i="2"/>
  <c r="G169" i="2" l="1"/>
  <c r="H169" i="2" s="1"/>
  <c r="J169" i="2" s="1"/>
  <c r="D170" i="2" s="1"/>
  <c r="I170" i="2" l="1"/>
  <c r="K170" i="2" s="1"/>
  <c r="F170" i="2"/>
  <c r="G170" i="2" l="1"/>
  <c r="H170" i="2" s="1"/>
  <c r="J170" i="2" s="1"/>
  <c r="D171" i="2" s="1"/>
  <c r="I171" i="2" l="1"/>
  <c r="K171" i="2" s="1"/>
  <c r="F171" i="2"/>
  <c r="G171" i="2" l="1"/>
  <c r="H171" i="2" s="1"/>
  <c r="J171" i="2" s="1"/>
  <c r="D172" i="2" s="1"/>
  <c r="I172" i="2" l="1"/>
  <c r="K172" i="2" s="1"/>
  <c r="F172" i="2"/>
  <c r="G172" i="2" l="1"/>
  <c r="H172" i="2" s="1"/>
  <c r="J172" i="2" s="1"/>
  <c r="D173" i="2" s="1"/>
  <c r="I173" i="2" l="1"/>
  <c r="K173" i="2" s="1"/>
  <c r="F173" i="2"/>
  <c r="G173" i="2" l="1"/>
  <c r="H173" i="2" s="1"/>
  <c r="J173" i="2" s="1"/>
  <c r="D174" i="2" s="1"/>
  <c r="I174" i="2" l="1"/>
  <c r="K174" i="2" s="1"/>
  <c r="F174" i="2"/>
  <c r="G174" i="2" l="1"/>
  <c r="H174" i="2" s="1"/>
  <c r="J174" i="2" s="1"/>
  <c r="D175" i="2" s="1"/>
  <c r="I175" i="2" l="1"/>
  <c r="K175" i="2" s="1"/>
  <c r="F175" i="2"/>
  <c r="G175" i="2" l="1"/>
  <c r="H175" i="2" s="1"/>
  <c r="J175" i="2" s="1"/>
  <c r="D176" i="2" s="1"/>
  <c r="I176" i="2" l="1"/>
  <c r="K176" i="2" s="1"/>
  <c r="F176" i="2"/>
  <c r="G176" i="2" l="1"/>
  <c r="H176" i="2" s="1"/>
  <c r="J176" i="2" s="1"/>
  <c r="D177" i="2" s="1"/>
  <c r="F177" i="2" l="1"/>
  <c r="I177" i="2"/>
  <c r="K177" i="2" s="1"/>
  <c r="G177" i="2" l="1"/>
  <c r="H177" i="2" s="1"/>
  <c r="J177" i="2" s="1"/>
  <c r="D178" i="2" s="1"/>
  <c r="I178" i="2" l="1"/>
  <c r="K178" i="2" s="1"/>
  <c r="F178" i="2"/>
  <c r="G178" i="2" l="1"/>
  <c r="H178" i="2" s="1"/>
  <c r="J178" i="2" s="1"/>
  <c r="D179" i="2" s="1"/>
  <c r="F179" i="2" l="1"/>
  <c r="I179" i="2"/>
  <c r="K179" i="2" s="1"/>
  <c r="G179" i="2" l="1"/>
  <c r="H179" i="2" s="1"/>
  <c r="J179" i="2" s="1"/>
  <c r="D180" i="2" s="1"/>
  <c r="I180" i="2" l="1"/>
  <c r="K180" i="2" s="1"/>
  <c r="F180" i="2"/>
  <c r="G180" i="2" l="1"/>
  <c r="H180" i="2" s="1"/>
  <c r="J180" i="2" s="1"/>
  <c r="D181" i="2" s="1"/>
  <c r="I181" i="2" l="1"/>
  <c r="K181" i="2" s="1"/>
  <c r="F181" i="2"/>
  <c r="G181" i="2" l="1"/>
  <c r="H181" i="2" s="1"/>
  <c r="J181" i="2" s="1"/>
  <c r="D182" i="2" s="1"/>
  <c r="F182" i="2" l="1"/>
  <c r="I182" i="2"/>
  <c r="K182" i="2" s="1"/>
  <c r="G182" i="2" l="1"/>
  <c r="H182" i="2" s="1"/>
  <c r="J182" i="2" s="1"/>
  <c r="D183" i="2" s="1"/>
  <c r="F183" i="2" l="1"/>
  <c r="I183" i="2"/>
  <c r="K183" i="2" s="1"/>
  <c r="G183" i="2" l="1"/>
  <c r="H183" i="2" s="1"/>
  <c r="J183" i="2" s="1"/>
  <c r="D184" i="2" s="1"/>
  <c r="I184" i="2" l="1"/>
  <c r="K184" i="2" s="1"/>
  <c r="F184" i="2"/>
  <c r="G184" i="2" l="1"/>
  <c r="H184" i="2" s="1"/>
  <c r="J184" i="2" s="1"/>
  <c r="D185" i="2" s="1"/>
  <c r="I185" i="2" l="1"/>
  <c r="K185" i="2" s="1"/>
  <c r="F185" i="2"/>
  <c r="G185" i="2" l="1"/>
  <c r="H185" i="2" s="1"/>
  <c r="J185" i="2" s="1"/>
  <c r="D186" i="2" s="1"/>
  <c r="I186" i="2" l="1"/>
  <c r="K186" i="2" s="1"/>
  <c r="F186" i="2"/>
  <c r="G186" i="2" l="1"/>
  <c r="H186" i="2" s="1"/>
  <c r="J186" i="2" s="1"/>
  <c r="D187" i="2" s="1"/>
  <c r="I187" i="2" l="1"/>
  <c r="K187" i="2" s="1"/>
  <c r="F187" i="2"/>
  <c r="G187" i="2" l="1"/>
  <c r="H187" i="2" s="1"/>
  <c r="J187" i="2" s="1"/>
  <c r="D188" i="2" s="1"/>
  <c r="I188" i="2" l="1"/>
  <c r="K188" i="2" s="1"/>
  <c r="F188" i="2"/>
  <c r="G188" i="2" l="1"/>
  <c r="H188" i="2" s="1"/>
  <c r="J188" i="2" s="1"/>
  <c r="D189" i="2" s="1"/>
  <c r="I189" i="2" l="1"/>
  <c r="K189" i="2" s="1"/>
  <c r="F189" i="2"/>
  <c r="G189" i="2" l="1"/>
  <c r="H189" i="2" s="1"/>
  <c r="J189" i="2" s="1"/>
  <c r="D190" i="2" s="1"/>
  <c r="F190" i="2" l="1"/>
  <c r="I190" i="2"/>
  <c r="K190" i="2" s="1"/>
  <c r="G190" i="2" l="1"/>
  <c r="H190" i="2" s="1"/>
  <c r="J190" i="2" s="1"/>
  <c r="D191" i="2" s="1"/>
  <c r="F191" i="2" l="1"/>
  <c r="I191" i="2"/>
  <c r="K191" i="2" s="1"/>
  <c r="G191" i="2" l="1"/>
  <c r="H191" i="2" s="1"/>
  <c r="J191" i="2" s="1"/>
  <c r="D192" i="2" s="1"/>
  <c r="I192" i="2" l="1"/>
  <c r="K192" i="2" s="1"/>
  <c r="F192" i="2"/>
  <c r="G192" i="2" l="1"/>
  <c r="H192" i="2" s="1"/>
  <c r="J192" i="2" s="1"/>
  <c r="D193" i="2" s="1"/>
  <c r="I193" i="2" l="1"/>
  <c r="K193" i="2" s="1"/>
  <c r="F193" i="2"/>
  <c r="G193" i="2" l="1"/>
  <c r="H193" i="2" s="1"/>
  <c r="J193" i="2" s="1"/>
  <c r="D194" i="2" s="1"/>
  <c r="F194" i="2" l="1"/>
  <c r="I194" i="2"/>
  <c r="K194" i="2" s="1"/>
  <c r="G194" i="2" l="1"/>
  <c r="H194" i="2" s="1"/>
  <c r="J194" i="2" s="1"/>
  <c r="D195" i="2" s="1"/>
  <c r="F195" i="2" l="1"/>
  <c r="I195" i="2"/>
  <c r="K195" i="2" s="1"/>
  <c r="G195" i="2" l="1"/>
  <c r="H195" i="2" s="1"/>
  <c r="J195" i="2" s="1"/>
  <c r="D196" i="2" s="1"/>
  <c r="I196" i="2" l="1"/>
  <c r="K196" i="2" s="1"/>
  <c r="F196" i="2"/>
  <c r="G196" i="2" l="1"/>
  <c r="H196" i="2" s="1"/>
  <c r="J196" i="2" s="1"/>
  <c r="D197" i="2" s="1"/>
  <c r="I197" i="2" l="1"/>
  <c r="K197" i="2" s="1"/>
  <c r="F197" i="2"/>
  <c r="G197" i="2" l="1"/>
  <c r="H197" i="2" s="1"/>
  <c r="J197" i="2" s="1"/>
  <c r="D198" i="2" s="1"/>
  <c r="I198" i="2" l="1"/>
  <c r="K198" i="2" s="1"/>
  <c r="F198" i="2"/>
  <c r="G198" i="2" l="1"/>
  <c r="H198" i="2" s="1"/>
  <c r="J198" i="2" s="1"/>
  <c r="D199" i="2" s="1"/>
  <c r="F199" i="2" l="1"/>
  <c r="I199" i="2"/>
  <c r="K199" i="2" s="1"/>
  <c r="G199" i="2" l="1"/>
  <c r="H199" i="2" s="1"/>
  <c r="J199" i="2" s="1"/>
  <c r="D200" i="2" s="1"/>
  <c r="I200" i="2" l="1"/>
  <c r="K200" i="2" s="1"/>
  <c r="F200" i="2"/>
  <c r="G200" i="2" l="1"/>
  <c r="H200" i="2" s="1"/>
  <c r="J200" i="2" s="1"/>
  <c r="D201" i="2" s="1"/>
  <c r="F201" i="2" l="1"/>
  <c r="I201" i="2"/>
  <c r="K201" i="2" s="1"/>
  <c r="G201" i="2" l="1"/>
  <c r="H201" i="2" s="1"/>
  <c r="J201" i="2" s="1"/>
  <c r="D202" i="2" s="1"/>
  <c r="F202" i="2" l="1"/>
  <c r="I202" i="2"/>
  <c r="K202" i="2" s="1"/>
  <c r="G202" i="2" l="1"/>
  <c r="H202" i="2" s="1"/>
  <c r="J202" i="2" s="1"/>
  <c r="D203" i="2" s="1"/>
  <c r="I203" i="2" l="1"/>
  <c r="K203" i="2" s="1"/>
  <c r="F203" i="2"/>
  <c r="G203" i="2" l="1"/>
  <c r="H203" i="2" s="1"/>
  <c r="J203" i="2" s="1"/>
  <c r="D204" i="2" s="1"/>
  <c r="I204" i="2" l="1"/>
  <c r="K204" i="2" s="1"/>
  <c r="F204" i="2"/>
  <c r="G204" i="2" l="1"/>
  <c r="H204" i="2" s="1"/>
  <c r="J204" i="2" s="1"/>
  <c r="D205" i="2" s="1"/>
  <c r="I205" i="2" l="1"/>
  <c r="K205" i="2" s="1"/>
  <c r="F205" i="2"/>
  <c r="G205" i="2" l="1"/>
  <c r="H205" i="2" s="1"/>
  <c r="J205" i="2" s="1"/>
  <c r="D206" i="2" s="1"/>
  <c r="I206" i="2" l="1"/>
  <c r="K206" i="2" s="1"/>
  <c r="F206" i="2"/>
  <c r="G206" i="2" l="1"/>
  <c r="H206" i="2" s="1"/>
  <c r="J206" i="2" s="1"/>
  <c r="D207" i="2" s="1"/>
  <c r="I207" i="2" l="1"/>
  <c r="K207" i="2" s="1"/>
  <c r="F207" i="2"/>
  <c r="G207" i="2" l="1"/>
  <c r="H207" i="2" s="1"/>
  <c r="J207" i="2" s="1"/>
  <c r="D208" i="2" s="1"/>
  <c r="I208" i="2" l="1"/>
  <c r="K208" i="2" s="1"/>
  <c r="F208" i="2"/>
  <c r="G208" i="2" l="1"/>
  <c r="H208" i="2" s="1"/>
  <c r="J208" i="2" s="1"/>
  <c r="D209" i="2" s="1"/>
  <c r="F209" i="2" l="1"/>
  <c r="I209" i="2"/>
  <c r="K209" i="2" s="1"/>
  <c r="G209" i="2" l="1"/>
  <c r="H209" i="2" s="1"/>
  <c r="J209" i="2" s="1"/>
  <c r="D210" i="2" s="1"/>
  <c r="F210" i="2" l="1"/>
  <c r="I210" i="2"/>
  <c r="K210" i="2" s="1"/>
  <c r="G210" i="2" l="1"/>
  <c r="H210" i="2" s="1"/>
  <c r="J210" i="2" s="1"/>
  <c r="D211" i="2" s="1"/>
  <c r="I211" i="2" l="1"/>
  <c r="K211" i="2" s="1"/>
  <c r="F211" i="2"/>
  <c r="G211" i="2" l="1"/>
  <c r="H211" i="2" s="1"/>
  <c r="J211" i="2" s="1"/>
  <c r="D212" i="2" s="1"/>
  <c r="I212" i="2" l="1"/>
  <c r="K212" i="2" s="1"/>
  <c r="F212" i="2"/>
  <c r="G212" i="2" l="1"/>
  <c r="H212" i="2" s="1"/>
  <c r="J212" i="2" s="1"/>
  <c r="D213" i="2" s="1"/>
  <c r="I213" i="2" l="1"/>
  <c r="K213" i="2" s="1"/>
  <c r="F213" i="2"/>
  <c r="G213" i="2" l="1"/>
  <c r="H213" i="2" s="1"/>
  <c r="J213" i="2" s="1"/>
  <c r="D214" i="2" s="1"/>
  <c r="I214" i="2" l="1"/>
  <c r="K214" i="2" s="1"/>
  <c r="F214" i="2"/>
  <c r="G214" i="2" l="1"/>
  <c r="H214" i="2" s="1"/>
  <c r="J214" i="2" s="1"/>
  <c r="D215" i="2" s="1"/>
  <c r="I215" i="2" l="1"/>
  <c r="K215" i="2" s="1"/>
  <c r="F215" i="2"/>
  <c r="G215" i="2" l="1"/>
  <c r="H215" i="2" s="1"/>
  <c r="J215" i="2" s="1"/>
  <c r="D216" i="2" s="1"/>
  <c r="F216" i="2" l="1"/>
  <c r="I216" i="2"/>
  <c r="K216" i="2" s="1"/>
  <c r="G216" i="2" l="1"/>
  <c r="H216" i="2" s="1"/>
  <c r="J216" i="2" s="1"/>
  <c r="D217" i="2" s="1"/>
  <c r="I217" i="2" l="1"/>
  <c r="K217" i="2" s="1"/>
  <c r="F217" i="2"/>
  <c r="G217" i="2" l="1"/>
  <c r="H217" i="2" s="1"/>
  <c r="J217" i="2" s="1"/>
  <c r="D218" i="2" s="1"/>
  <c r="I218" i="2" l="1"/>
  <c r="K218" i="2" s="1"/>
  <c r="F218" i="2"/>
  <c r="G218" i="2" l="1"/>
  <c r="H218" i="2" s="1"/>
  <c r="J218" i="2" s="1"/>
  <c r="D219" i="2" s="1"/>
  <c r="I219" i="2" l="1"/>
  <c r="K219" i="2" s="1"/>
  <c r="F219" i="2"/>
  <c r="G219" i="2" l="1"/>
  <c r="H219" i="2" s="1"/>
  <c r="J219" i="2" s="1"/>
  <c r="D220" i="2" s="1"/>
  <c r="I220" i="2" l="1"/>
  <c r="K220" i="2" s="1"/>
  <c r="F220" i="2"/>
  <c r="G220" i="2" l="1"/>
  <c r="H220" i="2" s="1"/>
  <c r="J220" i="2" s="1"/>
  <c r="D221" i="2" s="1"/>
  <c r="I221" i="2" l="1"/>
  <c r="K221" i="2" s="1"/>
  <c r="F221" i="2"/>
  <c r="G221" i="2" l="1"/>
  <c r="H221" i="2" s="1"/>
  <c r="J221" i="2" s="1"/>
  <c r="D222" i="2" s="1"/>
  <c r="I222" i="2" l="1"/>
  <c r="K222" i="2" s="1"/>
  <c r="F222" i="2"/>
  <c r="G222" i="2" l="1"/>
  <c r="H222" i="2" s="1"/>
  <c r="J222" i="2" s="1"/>
  <c r="D223" i="2" s="1"/>
  <c r="I223" i="2" l="1"/>
  <c r="K223" i="2" s="1"/>
  <c r="F223" i="2"/>
  <c r="G223" i="2" l="1"/>
  <c r="H223" i="2" s="1"/>
  <c r="J223" i="2" s="1"/>
  <c r="D224" i="2" s="1"/>
  <c r="I224" i="2" l="1"/>
  <c r="K224" i="2" s="1"/>
  <c r="F224" i="2"/>
  <c r="G224" i="2" l="1"/>
  <c r="H224" i="2" s="1"/>
  <c r="J224" i="2" s="1"/>
  <c r="D225" i="2" s="1"/>
  <c r="F225" i="2" l="1"/>
  <c r="I225" i="2"/>
  <c r="K225" i="2" s="1"/>
  <c r="G225" i="2" l="1"/>
  <c r="H225" i="2" s="1"/>
  <c r="J225" i="2" s="1"/>
  <c r="D226" i="2" s="1"/>
  <c r="F226" i="2" l="1"/>
  <c r="I226" i="2"/>
  <c r="K226" i="2" s="1"/>
  <c r="G226" i="2" l="1"/>
  <c r="H226" i="2" s="1"/>
  <c r="J226" i="2" s="1"/>
  <c r="D227" i="2" s="1"/>
  <c r="F227" i="2" l="1"/>
  <c r="I227" i="2"/>
  <c r="K227" i="2" s="1"/>
  <c r="G227" i="2" l="1"/>
  <c r="H227" i="2" s="1"/>
  <c r="J227" i="2" s="1"/>
  <c r="D228" i="2" s="1"/>
  <c r="I228" i="2" l="1"/>
  <c r="K228" i="2" s="1"/>
  <c r="F228" i="2"/>
  <c r="G228" i="2" l="1"/>
  <c r="H228" i="2" s="1"/>
  <c r="J228" i="2" s="1"/>
  <c r="D229" i="2" s="1"/>
  <c r="I229" i="2" l="1"/>
  <c r="K229" i="2" s="1"/>
  <c r="F229" i="2"/>
  <c r="G229" i="2" l="1"/>
  <c r="H229" i="2" s="1"/>
  <c r="J229" i="2" s="1"/>
  <c r="D230" i="2" s="1"/>
  <c r="F230" i="2" l="1"/>
  <c r="I230" i="2"/>
  <c r="K230" i="2" s="1"/>
  <c r="G230" i="2" l="1"/>
  <c r="H230" i="2" s="1"/>
  <c r="J230" i="2" s="1"/>
  <c r="D231" i="2" s="1"/>
  <c r="I231" i="2" l="1"/>
  <c r="K231" i="2" s="1"/>
  <c r="F231" i="2"/>
  <c r="G231" i="2" l="1"/>
  <c r="H231" i="2" s="1"/>
  <c r="J231" i="2" s="1"/>
  <c r="D232" i="2" s="1"/>
  <c r="I232" i="2" l="1"/>
  <c r="K232" i="2" s="1"/>
  <c r="F232" i="2"/>
  <c r="G232" i="2" l="1"/>
  <c r="H232" i="2" s="1"/>
  <c r="J232" i="2" s="1"/>
  <c r="D233" i="2" s="1"/>
  <c r="I233" i="2" l="1"/>
  <c r="K233" i="2" s="1"/>
  <c r="F233" i="2"/>
  <c r="G233" i="2" l="1"/>
  <c r="H233" i="2" s="1"/>
  <c r="J233" i="2" s="1"/>
  <c r="D234" i="2" s="1"/>
  <c r="I234" i="2" l="1"/>
  <c r="K234" i="2" s="1"/>
  <c r="F234" i="2"/>
  <c r="G234" i="2" l="1"/>
  <c r="H234" i="2" s="1"/>
  <c r="J234" i="2" s="1"/>
  <c r="D235" i="2" s="1"/>
  <c r="I235" i="2" l="1"/>
  <c r="K235" i="2" s="1"/>
  <c r="F235" i="2"/>
  <c r="G235" i="2" l="1"/>
  <c r="H235" i="2" s="1"/>
  <c r="J235" i="2" s="1"/>
  <c r="D236" i="2" s="1"/>
  <c r="I236" i="2" l="1"/>
  <c r="K236" i="2" s="1"/>
  <c r="F236" i="2"/>
  <c r="G236" i="2" l="1"/>
  <c r="H236" i="2" s="1"/>
  <c r="J236" i="2" s="1"/>
  <c r="D237" i="2" s="1"/>
  <c r="I237" i="2" l="1"/>
  <c r="K237" i="2" s="1"/>
  <c r="F237" i="2"/>
  <c r="G237" i="2" l="1"/>
  <c r="H237" i="2" s="1"/>
  <c r="J237" i="2" s="1"/>
  <c r="D238" i="2" s="1"/>
  <c r="I238" i="2" l="1"/>
  <c r="K238" i="2" s="1"/>
  <c r="F238" i="2"/>
  <c r="G238" i="2" l="1"/>
  <c r="H238" i="2" s="1"/>
  <c r="J238" i="2" s="1"/>
  <c r="D239" i="2" s="1"/>
  <c r="I239" i="2" l="1"/>
  <c r="K239" i="2" s="1"/>
  <c r="F239" i="2"/>
  <c r="G239" i="2" l="1"/>
  <c r="H239" i="2" s="1"/>
  <c r="J239" i="2" s="1"/>
  <c r="D240" i="2" s="1"/>
  <c r="F240" i="2" l="1"/>
  <c r="I240" i="2"/>
  <c r="K240" i="2" s="1"/>
  <c r="G240" i="2" l="1"/>
  <c r="H240" i="2" s="1"/>
  <c r="J240" i="2" s="1"/>
  <c r="D241" i="2" s="1"/>
  <c r="I241" i="2" l="1"/>
  <c r="K241" i="2" s="1"/>
  <c r="F241" i="2"/>
  <c r="G241" i="2" l="1"/>
  <c r="H241" i="2" s="1"/>
  <c r="J241" i="2" s="1"/>
  <c r="D242" i="2" s="1"/>
  <c r="F242" i="2" l="1"/>
  <c r="I242" i="2"/>
  <c r="K242" i="2" s="1"/>
  <c r="G242" i="2" l="1"/>
  <c r="H242" i="2" s="1"/>
  <c r="J242" i="2" s="1"/>
  <c r="D243" i="2" s="1"/>
  <c r="I243" i="2" l="1"/>
  <c r="K243" i="2" s="1"/>
  <c r="F243" i="2"/>
  <c r="G243" i="2" l="1"/>
  <c r="H243" i="2" s="1"/>
  <c r="J243" i="2" s="1"/>
  <c r="D244" i="2" s="1"/>
  <c r="I244" i="2" l="1"/>
  <c r="K244" i="2" s="1"/>
  <c r="F244" i="2"/>
  <c r="G244" i="2" l="1"/>
  <c r="H244" i="2" s="1"/>
  <c r="J244" i="2" s="1"/>
  <c r="D245" i="2" s="1"/>
  <c r="I245" i="2" l="1"/>
  <c r="K245" i="2" s="1"/>
  <c r="F245" i="2"/>
  <c r="G245" i="2" l="1"/>
  <c r="H245" i="2" s="1"/>
  <c r="J245" i="2" s="1"/>
  <c r="D246" i="2" s="1"/>
  <c r="I246" i="2" l="1"/>
  <c r="K246" i="2" s="1"/>
  <c r="F246" i="2"/>
  <c r="G246" i="2" l="1"/>
  <c r="H246" i="2" s="1"/>
  <c r="J246" i="2" s="1"/>
  <c r="D247" i="2" s="1"/>
  <c r="I247" i="2" l="1"/>
  <c r="K247" i="2" s="1"/>
  <c r="F247" i="2"/>
  <c r="G247" i="2" l="1"/>
  <c r="H247" i="2" s="1"/>
  <c r="J247" i="2" s="1"/>
  <c r="D248" i="2" s="1"/>
  <c r="F248" i="2" l="1"/>
  <c r="I248" i="2"/>
  <c r="K248" i="2" s="1"/>
  <c r="G248" i="2" l="1"/>
  <c r="H248" i="2" s="1"/>
  <c r="J248" i="2" s="1"/>
  <c r="D249" i="2" s="1"/>
  <c r="I249" i="2" l="1"/>
  <c r="K249" i="2" s="1"/>
  <c r="F249" i="2"/>
  <c r="G249" i="2" l="1"/>
  <c r="H249" i="2" s="1"/>
  <c r="J249" i="2" s="1"/>
  <c r="D250" i="2" s="1"/>
  <c r="I250" i="2" l="1"/>
  <c r="K250" i="2" s="1"/>
  <c r="F250" i="2"/>
  <c r="G250" i="2" l="1"/>
  <c r="H250" i="2" s="1"/>
  <c r="J250" i="2" s="1"/>
  <c r="D251" i="2" s="1"/>
  <c r="I251" i="2" l="1"/>
  <c r="K251" i="2" s="1"/>
  <c r="F251" i="2"/>
  <c r="G251" i="2" l="1"/>
  <c r="H251" i="2" s="1"/>
  <c r="J251" i="2" s="1"/>
  <c r="D252" i="2" s="1"/>
  <c r="F252" i="2" l="1"/>
  <c r="I252" i="2"/>
  <c r="K252" i="2" s="1"/>
  <c r="G252" i="2" l="1"/>
  <c r="H252" i="2" s="1"/>
  <c r="J252" i="2" s="1"/>
  <c r="D253" i="2" s="1"/>
  <c r="I253" i="2" l="1"/>
  <c r="K253" i="2" s="1"/>
  <c r="F253" i="2"/>
  <c r="G253" i="2" l="1"/>
  <c r="H253" i="2" s="1"/>
  <c r="J253" i="2" s="1"/>
  <c r="D254" i="2" s="1"/>
  <c r="I254" i="2" l="1"/>
  <c r="K254" i="2" s="1"/>
  <c r="F254" i="2"/>
  <c r="G254" i="2" l="1"/>
  <c r="H254" i="2" s="1"/>
  <c r="J254" i="2" s="1"/>
  <c r="D255" i="2" s="1"/>
  <c r="I255" i="2" l="1"/>
  <c r="K255" i="2" s="1"/>
  <c r="F255" i="2"/>
  <c r="G255" i="2" l="1"/>
  <c r="H255" i="2" s="1"/>
  <c r="J255" i="2" s="1"/>
  <c r="D256" i="2" s="1"/>
  <c r="F256" i="2" l="1"/>
  <c r="I256" i="2"/>
  <c r="K256" i="2" s="1"/>
  <c r="G256" i="2" l="1"/>
  <c r="H256" i="2" s="1"/>
  <c r="J256" i="2" s="1"/>
  <c r="D257" i="2" s="1"/>
  <c r="F257" i="2" l="1"/>
  <c r="I257" i="2"/>
  <c r="K257" i="2" s="1"/>
  <c r="G257" i="2" l="1"/>
  <c r="H257" i="2" s="1"/>
  <c r="J257" i="2" s="1"/>
  <c r="D258" i="2" s="1"/>
  <c r="I258" i="2" l="1"/>
  <c r="K258" i="2" s="1"/>
  <c r="F258" i="2"/>
  <c r="G258" i="2" l="1"/>
  <c r="H258" i="2" s="1"/>
  <c r="J258" i="2" s="1"/>
  <c r="D259" i="2" s="1"/>
  <c r="I259" i="2" l="1"/>
  <c r="K259" i="2" s="1"/>
  <c r="F259" i="2"/>
  <c r="G259" i="2" l="1"/>
  <c r="H259" i="2" s="1"/>
  <c r="J259" i="2" s="1"/>
  <c r="D260" i="2" s="1"/>
  <c r="I260" i="2" l="1"/>
  <c r="K260" i="2" s="1"/>
  <c r="F260" i="2"/>
  <c r="G260" i="2" l="1"/>
  <c r="H260" i="2" s="1"/>
  <c r="J260" i="2" s="1"/>
  <c r="D261" i="2" s="1"/>
  <c r="I261" i="2" l="1"/>
  <c r="K261" i="2" s="1"/>
  <c r="F261" i="2"/>
  <c r="G261" i="2" l="1"/>
  <c r="H261" i="2" s="1"/>
  <c r="J261" i="2" s="1"/>
  <c r="D262" i="2" s="1"/>
  <c r="I262" i="2" l="1"/>
  <c r="K262" i="2" s="1"/>
  <c r="F262" i="2"/>
  <c r="G262" i="2" l="1"/>
  <c r="H262" i="2" s="1"/>
  <c r="J262" i="2" s="1"/>
  <c r="D263" i="2" s="1"/>
  <c r="I263" i="2" l="1"/>
  <c r="K263" i="2" s="1"/>
  <c r="F263" i="2"/>
  <c r="G263" i="2" l="1"/>
  <c r="H263" i="2" s="1"/>
  <c r="J263" i="2" s="1"/>
  <c r="D264" i="2" s="1"/>
  <c r="I264" i="2" l="1"/>
  <c r="K264" i="2" s="1"/>
  <c r="F264" i="2"/>
  <c r="G264" i="2" l="1"/>
  <c r="H264" i="2" s="1"/>
  <c r="J264" i="2" s="1"/>
  <c r="D265" i="2" s="1"/>
  <c r="I265" i="2" l="1"/>
  <c r="K265" i="2" s="1"/>
  <c r="F265" i="2"/>
  <c r="G265" i="2" l="1"/>
  <c r="H265" i="2" s="1"/>
  <c r="J265" i="2" s="1"/>
  <c r="D266" i="2" s="1"/>
  <c r="I266" i="2" l="1"/>
  <c r="K266" i="2" s="1"/>
  <c r="F266" i="2"/>
  <c r="G266" i="2" l="1"/>
  <c r="H266" i="2" s="1"/>
  <c r="J266" i="2" s="1"/>
  <c r="D267" i="2" s="1"/>
  <c r="I267" i="2" l="1"/>
  <c r="K267" i="2" s="1"/>
  <c r="F267" i="2"/>
  <c r="G267" i="2" l="1"/>
  <c r="H267" i="2" s="1"/>
  <c r="J267" i="2" s="1"/>
  <c r="D268" i="2" s="1"/>
  <c r="I268" i="2" l="1"/>
  <c r="K268" i="2" s="1"/>
  <c r="F268" i="2"/>
  <c r="G268" i="2" l="1"/>
  <c r="H268" i="2" s="1"/>
  <c r="J268" i="2" s="1"/>
  <c r="D269" i="2" s="1"/>
  <c r="I269" i="2" l="1"/>
  <c r="K269" i="2" s="1"/>
  <c r="F269" i="2"/>
  <c r="G269" i="2" l="1"/>
  <c r="H269" i="2" s="1"/>
  <c r="J269" i="2" s="1"/>
  <c r="D270" i="2" s="1"/>
  <c r="I270" i="2" l="1"/>
  <c r="K270" i="2" s="1"/>
  <c r="F270" i="2"/>
  <c r="G270" i="2" l="1"/>
  <c r="H270" i="2" s="1"/>
  <c r="J270" i="2" s="1"/>
  <c r="D271" i="2" s="1"/>
  <c r="I271" i="2" l="1"/>
  <c r="K271" i="2" s="1"/>
  <c r="F271" i="2"/>
  <c r="G271" i="2" l="1"/>
  <c r="H271" i="2" s="1"/>
  <c r="J271" i="2" s="1"/>
  <c r="D272" i="2" s="1"/>
  <c r="I272" i="2" l="1"/>
  <c r="K272" i="2" s="1"/>
  <c r="F272" i="2"/>
  <c r="G272" i="2" l="1"/>
  <c r="H272" i="2" s="1"/>
  <c r="J272" i="2" s="1"/>
  <c r="D273" i="2" s="1"/>
  <c r="F273" i="2" l="1"/>
  <c r="I273" i="2"/>
  <c r="K273" i="2" s="1"/>
  <c r="G273" i="2" l="1"/>
  <c r="H273" i="2" s="1"/>
  <c r="J273" i="2" s="1"/>
  <c r="D274" i="2" s="1"/>
  <c r="I274" i="2" l="1"/>
  <c r="K274" i="2" s="1"/>
  <c r="F274" i="2"/>
  <c r="G274" i="2" l="1"/>
  <c r="H274" i="2" s="1"/>
  <c r="J274" i="2" s="1"/>
  <c r="D275" i="2" s="1"/>
  <c r="F275" i="2" l="1"/>
  <c r="I275" i="2"/>
  <c r="K275" i="2" s="1"/>
  <c r="G275" i="2" l="1"/>
  <c r="H275" i="2" s="1"/>
  <c r="J275" i="2" s="1"/>
  <c r="D276" i="2" s="1"/>
  <c r="I276" i="2" l="1"/>
  <c r="K276" i="2" s="1"/>
  <c r="F276" i="2"/>
  <c r="G276" i="2" l="1"/>
  <c r="H276" i="2" s="1"/>
  <c r="J276" i="2" s="1"/>
  <c r="D277" i="2" s="1"/>
  <c r="I277" i="2" l="1"/>
  <c r="K277" i="2" s="1"/>
  <c r="F277" i="2"/>
  <c r="G277" i="2" l="1"/>
  <c r="H277" i="2" s="1"/>
  <c r="J277" i="2" s="1"/>
  <c r="D278" i="2" s="1"/>
  <c r="I278" i="2" l="1"/>
  <c r="K278" i="2" s="1"/>
  <c r="F278" i="2"/>
  <c r="G278" i="2" l="1"/>
  <c r="H278" i="2" s="1"/>
  <c r="J278" i="2" s="1"/>
  <c r="D279" i="2" s="1"/>
  <c r="F279" i="2" l="1"/>
  <c r="I279" i="2"/>
  <c r="K279" i="2" s="1"/>
  <c r="G279" i="2" l="1"/>
  <c r="H279" i="2" s="1"/>
  <c r="J279" i="2" s="1"/>
  <c r="D280" i="2" s="1"/>
  <c r="I280" i="2" l="1"/>
  <c r="K280" i="2" s="1"/>
  <c r="F280" i="2"/>
  <c r="G280" i="2" l="1"/>
  <c r="H280" i="2" s="1"/>
  <c r="J280" i="2" s="1"/>
  <c r="D281" i="2" s="1"/>
  <c r="F281" i="2" l="1"/>
  <c r="I281" i="2"/>
  <c r="K281" i="2" s="1"/>
  <c r="G281" i="2" l="1"/>
  <c r="H281" i="2" s="1"/>
  <c r="J281" i="2" s="1"/>
  <c r="D282" i="2" s="1"/>
  <c r="I282" i="2" l="1"/>
  <c r="K282" i="2" s="1"/>
  <c r="F282" i="2"/>
  <c r="G282" i="2" l="1"/>
  <c r="H282" i="2" s="1"/>
  <c r="J282" i="2" s="1"/>
  <c r="D283" i="2" s="1"/>
  <c r="I283" i="2" l="1"/>
  <c r="K283" i="2" s="1"/>
  <c r="F283" i="2"/>
  <c r="G283" i="2" l="1"/>
  <c r="H283" i="2" s="1"/>
  <c r="J283" i="2" s="1"/>
  <c r="D284" i="2" s="1"/>
  <c r="I284" i="2" l="1"/>
  <c r="K284" i="2" s="1"/>
  <c r="F284" i="2"/>
  <c r="G284" i="2" l="1"/>
  <c r="H284" i="2" s="1"/>
  <c r="J284" i="2" s="1"/>
  <c r="D285" i="2" s="1"/>
  <c r="I285" i="2" l="1"/>
  <c r="K285" i="2" s="1"/>
  <c r="F285" i="2"/>
  <c r="G285" i="2" l="1"/>
  <c r="H285" i="2" s="1"/>
  <c r="J285" i="2" s="1"/>
  <c r="D286" i="2" s="1"/>
  <c r="I286" i="2" l="1"/>
  <c r="K286" i="2" s="1"/>
  <c r="F286" i="2"/>
  <c r="G286" i="2" l="1"/>
  <c r="H286" i="2" s="1"/>
  <c r="J286" i="2" s="1"/>
  <c r="D287" i="2" s="1"/>
  <c r="I287" i="2" l="1"/>
  <c r="K287" i="2" s="1"/>
  <c r="F287" i="2"/>
  <c r="G287" i="2" l="1"/>
  <c r="H287" i="2" s="1"/>
  <c r="J287" i="2" s="1"/>
  <c r="D288" i="2" s="1"/>
  <c r="I288" i="2" l="1"/>
  <c r="K288" i="2" s="1"/>
  <c r="F288" i="2"/>
  <c r="G288" i="2" l="1"/>
  <c r="H288" i="2" s="1"/>
  <c r="J288" i="2" s="1"/>
  <c r="D289" i="2" s="1"/>
  <c r="I289" i="2" l="1"/>
  <c r="K289" i="2" s="1"/>
  <c r="F289" i="2"/>
  <c r="G289" i="2" l="1"/>
  <c r="H289" i="2" s="1"/>
  <c r="J289" i="2" s="1"/>
  <c r="D290" i="2" s="1"/>
  <c r="I290" i="2" l="1"/>
  <c r="K290" i="2" s="1"/>
  <c r="F290" i="2"/>
  <c r="G290" i="2" l="1"/>
  <c r="H290" i="2" s="1"/>
  <c r="J290" i="2" s="1"/>
  <c r="D291" i="2" s="1"/>
  <c r="F291" i="2" l="1"/>
  <c r="I291" i="2"/>
  <c r="K291" i="2" s="1"/>
  <c r="G291" i="2" l="1"/>
  <c r="H291" i="2" s="1"/>
  <c r="J291" i="2" s="1"/>
  <c r="D292" i="2" s="1"/>
  <c r="I292" i="2" l="1"/>
  <c r="K292" i="2" s="1"/>
  <c r="F292" i="2"/>
  <c r="G292" i="2" l="1"/>
  <c r="H292" i="2" s="1"/>
  <c r="J292" i="2" s="1"/>
  <c r="D293" i="2" s="1"/>
  <c r="I293" i="2" l="1"/>
  <c r="K293" i="2" s="1"/>
  <c r="F293" i="2"/>
  <c r="G293" i="2" l="1"/>
  <c r="H293" i="2" s="1"/>
  <c r="J293" i="2" s="1"/>
  <c r="D294" i="2" s="1"/>
  <c r="F294" i="2" l="1"/>
  <c r="I294" i="2"/>
  <c r="K294" i="2" s="1"/>
  <c r="G294" i="2" l="1"/>
  <c r="H294" i="2" s="1"/>
  <c r="J294" i="2" s="1"/>
  <c r="D295" i="2" s="1"/>
  <c r="I295" i="2" l="1"/>
  <c r="K295" i="2" s="1"/>
  <c r="F295" i="2"/>
  <c r="G295" i="2" l="1"/>
  <c r="H295" i="2" s="1"/>
  <c r="J295" i="2" s="1"/>
  <c r="D296" i="2" s="1"/>
  <c r="F296" i="2" l="1"/>
  <c r="I296" i="2"/>
  <c r="K296" i="2" s="1"/>
  <c r="G296" i="2" l="1"/>
  <c r="H296" i="2" s="1"/>
  <c r="J296" i="2" s="1"/>
  <c r="D297" i="2" s="1"/>
  <c r="I297" i="2" l="1"/>
  <c r="K297" i="2" s="1"/>
  <c r="F297" i="2"/>
  <c r="G297" i="2" l="1"/>
  <c r="H297" i="2" s="1"/>
  <c r="J297" i="2" s="1"/>
  <c r="D298" i="2" s="1"/>
  <c r="F298" i="2" l="1"/>
  <c r="I298" i="2"/>
  <c r="K298" i="2" s="1"/>
  <c r="G298" i="2" l="1"/>
  <c r="H298" i="2" s="1"/>
  <c r="J298" i="2" s="1"/>
  <c r="D299" i="2" s="1"/>
  <c r="I299" i="2" l="1"/>
  <c r="K299" i="2" s="1"/>
  <c r="F299" i="2"/>
  <c r="G299" i="2" l="1"/>
  <c r="H299" i="2" s="1"/>
  <c r="J299" i="2" s="1"/>
  <c r="D300" i="2" s="1"/>
  <c r="I300" i="2" l="1"/>
  <c r="K300" i="2" s="1"/>
  <c r="F300" i="2"/>
  <c r="G300" i="2" l="1"/>
  <c r="H300" i="2" s="1"/>
  <c r="J300" i="2" s="1"/>
  <c r="D301" i="2" s="1"/>
  <c r="I301" i="2" l="1"/>
  <c r="K301" i="2" s="1"/>
  <c r="F301" i="2"/>
  <c r="G301" i="2" l="1"/>
  <c r="H301" i="2" s="1"/>
  <c r="J301" i="2" s="1"/>
  <c r="D302" i="2" s="1"/>
  <c r="I302" i="2" l="1"/>
  <c r="K302" i="2" s="1"/>
  <c r="F302" i="2"/>
  <c r="G302" i="2" l="1"/>
  <c r="H302" i="2" s="1"/>
  <c r="J302" i="2" s="1"/>
  <c r="D303" i="2" s="1"/>
  <c r="I303" i="2" l="1"/>
  <c r="K303" i="2" s="1"/>
  <c r="F303" i="2"/>
  <c r="G303" i="2" l="1"/>
  <c r="H303" i="2" s="1"/>
  <c r="J303" i="2" s="1"/>
  <c r="D304" i="2" s="1"/>
  <c r="I304" i="2" l="1"/>
  <c r="K304" i="2" s="1"/>
  <c r="F304" i="2"/>
  <c r="G304" i="2" l="1"/>
  <c r="H304" i="2" s="1"/>
  <c r="J304" i="2" s="1"/>
  <c r="D305" i="2" s="1"/>
  <c r="I305" i="2" l="1"/>
  <c r="K305" i="2" s="1"/>
  <c r="F305" i="2"/>
  <c r="G305" i="2" l="1"/>
  <c r="H305" i="2" s="1"/>
  <c r="J305" i="2" s="1"/>
  <c r="D306" i="2" s="1"/>
  <c r="I306" i="2" l="1"/>
  <c r="K306" i="2" s="1"/>
  <c r="F306" i="2"/>
  <c r="G306" i="2" l="1"/>
  <c r="H306" i="2" s="1"/>
  <c r="J306" i="2" s="1"/>
  <c r="D307" i="2" s="1"/>
  <c r="F307" i="2" l="1"/>
  <c r="I307" i="2"/>
  <c r="K307" i="2" s="1"/>
  <c r="G307" i="2" l="1"/>
  <c r="H307" i="2" s="1"/>
  <c r="J307" i="2" s="1"/>
  <c r="D308" i="2" s="1"/>
  <c r="I308" i="2" l="1"/>
  <c r="K308" i="2" s="1"/>
  <c r="F308" i="2"/>
  <c r="G308" i="2" l="1"/>
  <c r="H308" i="2" s="1"/>
  <c r="J308" i="2" s="1"/>
  <c r="D309" i="2" s="1"/>
  <c r="I309" i="2" l="1"/>
  <c r="K309" i="2" s="1"/>
  <c r="F309" i="2"/>
  <c r="G309" i="2" l="1"/>
  <c r="H309" i="2" s="1"/>
  <c r="J309" i="2" s="1"/>
  <c r="D310" i="2" s="1"/>
  <c r="I310" i="2" l="1"/>
  <c r="K310" i="2" s="1"/>
  <c r="F310" i="2"/>
  <c r="G310" i="2" l="1"/>
  <c r="H310" i="2" s="1"/>
  <c r="J310" i="2" s="1"/>
  <c r="D311" i="2" s="1"/>
  <c r="F311" i="2" l="1"/>
  <c r="I311" i="2"/>
  <c r="K311" i="2" s="1"/>
  <c r="G311" i="2" l="1"/>
  <c r="H311" i="2" s="1"/>
  <c r="J311" i="2" s="1"/>
  <c r="D312" i="2" s="1"/>
  <c r="I312" i="2" l="1"/>
  <c r="K312" i="2" s="1"/>
  <c r="F312" i="2"/>
  <c r="G312" i="2" l="1"/>
  <c r="H312" i="2" s="1"/>
  <c r="J312" i="2" s="1"/>
  <c r="D313" i="2" s="1"/>
  <c r="F313" i="2" l="1"/>
  <c r="I313" i="2"/>
  <c r="K313" i="2" s="1"/>
  <c r="G313" i="2" l="1"/>
  <c r="H313" i="2" s="1"/>
  <c r="J313" i="2" s="1"/>
  <c r="D314" i="2" s="1"/>
  <c r="I314" i="2" l="1"/>
  <c r="K314" i="2" s="1"/>
  <c r="F314" i="2"/>
  <c r="G314" i="2" l="1"/>
  <c r="H314" i="2" s="1"/>
  <c r="J314" i="2" s="1"/>
  <c r="D315" i="2" s="1"/>
  <c r="I315" i="2" l="1"/>
  <c r="K315" i="2" s="1"/>
  <c r="F315" i="2"/>
  <c r="G315" i="2" l="1"/>
  <c r="H315" i="2" s="1"/>
  <c r="J315" i="2" s="1"/>
  <c r="D316" i="2" s="1"/>
  <c r="I316" i="2" l="1"/>
  <c r="K316" i="2" s="1"/>
  <c r="F316" i="2"/>
  <c r="G316" i="2" l="1"/>
  <c r="H316" i="2" s="1"/>
  <c r="J316" i="2" s="1"/>
  <c r="D317" i="2" s="1"/>
  <c r="I317" i="2" l="1"/>
  <c r="K317" i="2" s="1"/>
  <c r="F317" i="2"/>
  <c r="G317" i="2" l="1"/>
  <c r="H317" i="2" s="1"/>
  <c r="J317" i="2" s="1"/>
  <c r="D318" i="2" s="1"/>
  <c r="I318" i="2" l="1"/>
  <c r="K318" i="2" s="1"/>
  <c r="F318" i="2"/>
  <c r="G318" i="2" l="1"/>
  <c r="H318" i="2" s="1"/>
  <c r="J318" i="2" s="1"/>
  <c r="D319" i="2" s="1"/>
  <c r="I319" i="2" l="1"/>
  <c r="K319" i="2" s="1"/>
  <c r="F319" i="2"/>
  <c r="G319" i="2" l="1"/>
  <c r="H319" i="2" s="1"/>
  <c r="J319" i="2" s="1"/>
  <c r="D320" i="2" s="1"/>
  <c r="I320" i="2" l="1"/>
  <c r="K320" i="2" s="1"/>
  <c r="F320" i="2"/>
  <c r="G320" i="2" l="1"/>
  <c r="H320" i="2" s="1"/>
  <c r="J320" i="2" s="1"/>
  <c r="D321" i="2" s="1"/>
  <c r="I321" i="2" l="1"/>
  <c r="K321" i="2" s="1"/>
  <c r="F321" i="2"/>
  <c r="G321" i="2" l="1"/>
  <c r="H321" i="2" s="1"/>
  <c r="J321" i="2" s="1"/>
  <c r="D322" i="2" s="1"/>
  <c r="I322" i="2" l="1"/>
  <c r="K322" i="2" s="1"/>
  <c r="F322" i="2"/>
  <c r="G322" i="2" l="1"/>
  <c r="H322" i="2" s="1"/>
  <c r="J322" i="2" s="1"/>
  <c r="D323" i="2" s="1"/>
  <c r="F323" i="2" l="1"/>
  <c r="I323" i="2"/>
  <c r="K323" i="2" s="1"/>
  <c r="G323" i="2" l="1"/>
  <c r="H323" i="2" s="1"/>
  <c r="J323" i="2" s="1"/>
  <c r="D324" i="2" s="1"/>
  <c r="I324" i="2" l="1"/>
  <c r="K324" i="2" s="1"/>
  <c r="F324" i="2"/>
  <c r="G324" i="2" l="1"/>
  <c r="H324" i="2" s="1"/>
  <c r="J324" i="2" s="1"/>
  <c r="D325" i="2" s="1"/>
  <c r="I325" i="2" l="1"/>
  <c r="K325" i="2" s="1"/>
  <c r="F325" i="2"/>
  <c r="G325" i="2" l="1"/>
  <c r="H325" i="2" s="1"/>
  <c r="J325" i="2" s="1"/>
  <c r="D326" i="2" s="1"/>
  <c r="F326" i="2" l="1"/>
  <c r="I326" i="2"/>
  <c r="K326" i="2" s="1"/>
  <c r="G326" i="2" l="1"/>
  <c r="H326" i="2" s="1"/>
  <c r="J326" i="2" s="1"/>
  <c r="D327" i="2" s="1"/>
  <c r="I327" i="2" l="1"/>
  <c r="K327" i="2" s="1"/>
  <c r="F327" i="2"/>
  <c r="G327" i="2" l="1"/>
  <c r="H327" i="2" s="1"/>
  <c r="J327" i="2" s="1"/>
  <c r="D328" i="2" s="1"/>
  <c r="F328" i="2" l="1"/>
  <c r="I328" i="2"/>
  <c r="K328" i="2" s="1"/>
  <c r="G328" i="2" l="1"/>
  <c r="H328" i="2" s="1"/>
  <c r="J328" i="2" s="1"/>
  <c r="D329" i="2" s="1"/>
  <c r="F329" i="2" l="1"/>
  <c r="I329" i="2"/>
  <c r="K329" i="2" s="1"/>
  <c r="G329" i="2" l="1"/>
  <c r="H329" i="2" s="1"/>
  <c r="J329" i="2" s="1"/>
  <c r="D330" i="2" s="1"/>
  <c r="I330" i="2" l="1"/>
  <c r="K330" i="2" s="1"/>
  <c r="F330" i="2"/>
  <c r="G330" i="2" l="1"/>
  <c r="H330" i="2" s="1"/>
  <c r="J330" i="2" s="1"/>
  <c r="D331" i="2" s="1"/>
  <c r="I331" i="2" l="1"/>
  <c r="K331" i="2" s="1"/>
  <c r="F331" i="2"/>
  <c r="G331" i="2" l="1"/>
  <c r="H331" i="2" s="1"/>
  <c r="J331" i="2" s="1"/>
  <c r="D332" i="2" s="1"/>
  <c r="I332" i="2" l="1"/>
  <c r="K332" i="2" s="1"/>
  <c r="F332" i="2"/>
  <c r="G332" i="2" l="1"/>
  <c r="H332" i="2" s="1"/>
  <c r="J332" i="2" s="1"/>
  <c r="D333" i="2" s="1"/>
  <c r="I333" i="2" l="1"/>
  <c r="K333" i="2" s="1"/>
  <c r="F333" i="2"/>
  <c r="G333" i="2" l="1"/>
  <c r="H333" i="2" s="1"/>
  <c r="J333" i="2" s="1"/>
  <c r="D334" i="2" s="1"/>
  <c r="I334" i="2" l="1"/>
  <c r="K334" i="2" s="1"/>
  <c r="F334" i="2"/>
  <c r="G334" i="2" l="1"/>
  <c r="H334" i="2" s="1"/>
  <c r="J334" i="2" s="1"/>
  <c r="D335" i="2" s="1"/>
  <c r="I335" i="2" l="1"/>
  <c r="K335" i="2" s="1"/>
  <c r="F335" i="2"/>
  <c r="G335" i="2" l="1"/>
  <c r="H335" i="2" s="1"/>
  <c r="J335" i="2" s="1"/>
  <c r="D336" i="2" s="1"/>
  <c r="I336" i="2" l="1"/>
  <c r="K336" i="2" s="1"/>
  <c r="F336" i="2"/>
  <c r="G336" i="2" l="1"/>
  <c r="H336" i="2" s="1"/>
  <c r="J336" i="2" s="1"/>
  <c r="D337" i="2" s="1"/>
  <c r="F337" i="2" l="1"/>
  <c r="I337" i="2"/>
  <c r="K337" i="2" s="1"/>
  <c r="G337" i="2" l="1"/>
  <c r="H337" i="2" s="1"/>
  <c r="J337" i="2" s="1"/>
  <c r="D338" i="2" s="1"/>
  <c r="I338" i="2" l="1"/>
  <c r="K338" i="2" s="1"/>
  <c r="F338" i="2"/>
  <c r="G338" i="2" l="1"/>
  <c r="H338" i="2" s="1"/>
  <c r="J338" i="2" s="1"/>
  <c r="D339" i="2" s="1"/>
  <c r="F339" i="2" l="1"/>
  <c r="I339" i="2"/>
  <c r="K339" i="2" s="1"/>
  <c r="G339" i="2" l="1"/>
  <c r="H339" i="2" s="1"/>
  <c r="J339" i="2" s="1"/>
  <c r="D340" i="2" s="1"/>
  <c r="I340" i="2" l="1"/>
  <c r="K340" i="2" s="1"/>
  <c r="F340" i="2"/>
  <c r="G340" i="2" l="1"/>
  <c r="H340" i="2" s="1"/>
  <c r="J340" i="2" s="1"/>
  <c r="D341" i="2" s="1"/>
  <c r="I341" i="2" l="1"/>
  <c r="K341" i="2" s="1"/>
  <c r="F341" i="2"/>
  <c r="G341" i="2" l="1"/>
  <c r="H341" i="2" s="1"/>
  <c r="J341" i="2" s="1"/>
  <c r="D342" i="2" s="1"/>
  <c r="I342" i="2" l="1"/>
  <c r="K342" i="2" s="1"/>
  <c r="F342" i="2"/>
  <c r="G342" i="2" l="1"/>
  <c r="H342" i="2" s="1"/>
  <c r="J342" i="2" s="1"/>
  <c r="D343" i="2" s="1"/>
  <c r="F343" i="2" l="1"/>
  <c r="I343" i="2"/>
  <c r="K343" i="2" s="1"/>
  <c r="G343" i="2" l="1"/>
  <c r="H343" i="2" s="1"/>
  <c r="J343" i="2" s="1"/>
  <c r="D344" i="2" s="1"/>
  <c r="I344" i="2" l="1"/>
  <c r="K344" i="2" s="1"/>
  <c r="F344" i="2"/>
  <c r="G344" i="2" l="1"/>
  <c r="H344" i="2" s="1"/>
  <c r="J344" i="2" s="1"/>
  <c r="D345" i="2" s="1"/>
  <c r="F345" i="2" l="1"/>
  <c r="I345" i="2"/>
  <c r="K345" i="2" s="1"/>
  <c r="G345" i="2" l="1"/>
  <c r="H345" i="2" s="1"/>
  <c r="J345" i="2" s="1"/>
  <c r="D346" i="2" s="1"/>
  <c r="I346" i="2" l="1"/>
  <c r="K346" i="2" s="1"/>
  <c r="F346" i="2"/>
  <c r="G346" i="2" l="1"/>
  <c r="H346" i="2" s="1"/>
  <c r="J346" i="2" s="1"/>
  <c r="D347" i="2" s="1"/>
  <c r="I347" i="2" l="1"/>
  <c r="K347" i="2" s="1"/>
  <c r="F347" i="2"/>
  <c r="G347" i="2" l="1"/>
  <c r="H347" i="2" s="1"/>
  <c r="J347" i="2" s="1"/>
  <c r="D348" i="2" s="1"/>
  <c r="I348" i="2" l="1"/>
  <c r="K348" i="2" s="1"/>
  <c r="F348" i="2"/>
  <c r="G348" i="2" l="1"/>
  <c r="H348" i="2" s="1"/>
  <c r="J348" i="2" s="1"/>
  <c r="D349" i="2" s="1"/>
  <c r="F349" i="2" l="1"/>
  <c r="I349" i="2"/>
  <c r="K349" i="2" s="1"/>
  <c r="G349" i="2" l="1"/>
  <c r="H349" i="2" s="1"/>
  <c r="J349" i="2" s="1"/>
  <c r="D350" i="2" s="1"/>
  <c r="I350" i="2" l="1"/>
  <c r="K350" i="2" s="1"/>
  <c r="F350" i="2"/>
  <c r="G350" i="2" l="1"/>
  <c r="H350" i="2" s="1"/>
  <c r="J350" i="2" s="1"/>
  <c r="D351" i="2" s="1"/>
  <c r="I351" i="2" l="1"/>
  <c r="K351" i="2" s="1"/>
  <c r="F351" i="2"/>
  <c r="G351" i="2" l="1"/>
  <c r="H351" i="2" s="1"/>
  <c r="J351" i="2" s="1"/>
  <c r="D352" i="2" s="1"/>
  <c r="I352" i="2" l="1"/>
  <c r="K352" i="2" s="1"/>
  <c r="F352" i="2"/>
  <c r="G352" i="2" l="1"/>
  <c r="H352" i="2" s="1"/>
  <c r="J352" i="2" s="1"/>
  <c r="D353" i="2" s="1"/>
  <c r="I353" i="2" l="1"/>
  <c r="K353" i="2" s="1"/>
  <c r="F353" i="2"/>
  <c r="G353" i="2" l="1"/>
  <c r="H353" i="2" s="1"/>
  <c r="J353" i="2" s="1"/>
  <c r="D354" i="2" s="1"/>
  <c r="I354" i="2" l="1"/>
  <c r="K354" i="2" s="1"/>
  <c r="F354" i="2"/>
  <c r="G354" i="2" l="1"/>
  <c r="H354" i="2" s="1"/>
  <c r="J354" i="2" s="1"/>
  <c r="D355" i="2" s="1"/>
  <c r="I355" i="2" l="1"/>
  <c r="K355" i="2" s="1"/>
  <c r="F355" i="2"/>
  <c r="G355" i="2" l="1"/>
  <c r="H355" i="2" s="1"/>
  <c r="J355" i="2" s="1"/>
  <c r="D356" i="2" s="1"/>
  <c r="I356" i="2" l="1"/>
  <c r="K356" i="2" s="1"/>
  <c r="F356" i="2"/>
  <c r="G356" i="2" l="1"/>
  <c r="H356" i="2" s="1"/>
  <c r="J356" i="2" s="1"/>
  <c r="D357" i="2" s="1"/>
  <c r="F357" i="2" l="1"/>
  <c r="I357" i="2"/>
  <c r="K357" i="2" s="1"/>
  <c r="G357" i="2" l="1"/>
  <c r="H357" i="2" s="1"/>
  <c r="J357" i="2" s="1"/>
  <c r="D358" i="2" s="1"/>
  <c r="I358" i="2" l="1"/>
  <c r="K358" i="2" s="1"/>
  <c r="F358" i="2"/>
  <c r="G358" i="2" l="1"/>
  <c r="H358" i="2" s="1"/>
  <c r="J358" i="2" s="1"/>
  <c r="D359" i="2" s="1"/>
  <c r="F359" i="2" l="1"/>
  <c r="I359" i="2"/>
  <c r="K359" i="2" s="1"/>
  <c r="G359" i="2" l="1"/>
  <c r="H359" i="2" s="1"/>
  <c r="J359" i="2" s="1"/>
  <c r="D360" i="2" s="1"/>
  <c r="I360" i="2" l="1"/>
  <c r="K360" i="2" s="1"/>
  <c r="F360" i="2"/>
  <c r="G360" i="2" l="1"/>
  <c r="H360" i="2" s="1"/>
  <c r="J360" i="2" s="1"/>
  <c r="D361" i="2" s="1"/>
  <c r="F361" i="2" l="1"/>
  <c r="I361" i="2"/>
  <c r="K361" i="2" s="1"/>
  <c r="G361" i="2" l="1"/>
  <c r="H361" i="2" s="1"/>
  <c r="J361" i="2" s="1"/>
  <c r="D362" i="2" s="1"/>
  <c r="I362" i="2" l="1"/>
  <c r="K362" i="2" s="1"/>
  <c r="F362" i="2"/>
  <c r="G362" i="2" l="1"/>
  <c r="H362" i="2" s="1"/>
  <c r="J362" i="2" s="1"/>
  <c r="D363" i="2" s="1"/>
  <c r="I363" i="2" l="1"/>
  <c r="K363" i="2" s="1"/>
  <c r="F363" i="2"/>
  <c r="G363" i="2" l="1"/>
  <c r="H363" i="2" s="1"/>
  <c r="J363" i="2" s="1"/>
  <c r="D364" i="2" s="1"/>
  <c r="I364" i="2" l="1"/>
  <c r="K364" i="2" s="1"/>
  <c r="F364" i="2"/>
  <c r="G364" i="2" l="1"/>
  <c r="H364" i="2" s="1"/>
  <c r="J364" i="2" s="1"/>
  <c r="D365" i="2" s="1"/>
  <c r="I365" i="2" l="1"/>
  <c r="K365" i="2" s="1"/>
  <c r="F365" i="2"/>
  <c r="G365" i="2" l="1"/>
  <c r="H365" i="2" s="1"/>
  <c r="J365" i="2" s="1"/>
  <c r="D366" i="2" s="1"/>
  <c r="I366" i="2" l="1"/>
  <c r="K366" i="2" s="1"/>
  <c r="F366" i="2"/>
  <c r="G366" i="2" l="1"/>
  <c r="H366" i="2" s="1"/>
  <c r="J366" i="2" s="1"/>
  <c r="D367" i="2" s="1"/>
  <c r="I367" i="2" l="1"/>
  <c r="K367" i="2" s="1"/>
  <c r="F367" i="2"/>
  <c r="G367" i="2" l="1"/>
  <c r="H367" i="2" s="1"/>
  <c r="J367" i="2" s="1"/>
  <c r="D368" i="2" s="1"/>
  <c r="I368" i="2" l="1"/>
  <c r="K368" i="2" s="1"/>
  <c r="F368" i="2"/>
  <c r="G368" i="2" l="1"/>
  <c r="H368" i="2" s="1"/>
  <c r="J368" i="2" s="1"/>
  <c r="D369" i="2" s="1"/>
  <c r="I369" i="2" l="1"/>
  <c r="K369" i="2" s="1"/>
  <c r="F369" i="2"/>
  <c r="G369" i="2" l="1"/>
  <c r="H369" i="2" s="1"/>
  <c r="J369" i="2" s="1"/>
  <c r="D370" i="2" s="1"/>
  <c r="I370" i="2" l="1"/>
  <c r="K370" i="2" s="1"/>
  <c r="F370" i="2"/>
  <c r="G370" i="2" l="1"/>
  <c r="H370" i="2" s="1"/>
  <c r="J370" i="2" s="1"/>
  <c r="D371" i="2" s="1"/>
  <c r="I371" i="2" l="1"/>
  <c r="F371" i="2"/>
  <c r="I6" i="2" s="1"/>
  <c r="J371" i="2" l="1"/>
  <c r="I5" i="2" s="1"/>
  <c r="G371" i="2"/>
  <c r="K371" i="2"/>
  <c r="I7" i="2"/>
  <c r="J7" i="2" s="1"/>
  <c r="H371" i="2" l="1"/>
</calcChain>
</file>

<file path=xl/sharedStrings.xml><?xml version="1.0" encoding="utf-8"?>
<sst xmlns="http://schemas.openxmlformats.org/spreadsheetml/2006/main" count="65" uniqueCount="61">
  <si>
    <t>Proposed EKPC Solar Projects - Total Production Cost Summary</t>
  </si>
  <si>
    <t>Updated - November 14, 2024</t>
  </si>
  <si>
    <t>Solar Facility</t>
  </si>
  <si>
    <t>Rating</t>
  </si>
  <si>
    <t>Acreage</t>
  </si>
  <si>
    <t>County</t>
  </si>
  <si>
    <t>Transfer Costs</t>
  </si>
  <si>
    <t>Capital Cost</t>
  </si>
  <si>
    <t>Network Upgrades</t>
  </si>
  <si>
    <t>Total Capital Cost</t>
  </si>
  <si>
    <t>IRA Credit</t>
  </si>
  <si>
    <t>Eff. Capital Cost</t>
  </si>
  <si>
    <t>Const</t>
  </si>
  <si>
    <t>Fixed O&amp;M</t>
  </si>
  <si>
    <t>Annual O&amp;M</t>
  </si>
  <si>
    <t>Generation</t>
  </si>
  <si>
    <r>
      <t>Annual Interest</t>
    </r>
    <r>
      <rPr>
        <vertAlign val="superscript"/>
        <sz val="11"/>
        <rFont val="Arial"/>
        <family val="2"/>
        <scheme val="minor"/>
      </rPr>
      <t>2</t>
    </r>
  </si>
  <si>
    <t>Depreciation</t>
  </si>
  <si>
    <t>Total Prod Cost</t>
  </si>
  <si>
    <t>Mwac</t>
  </si>
  <si>
    <t>(no contingency)</t>
  </si>
  <si>
    <t>$/Kwac</t>
  </si>
  <si>
    <r>
      <t>$/kw-yr</t>
    </r>
    <r>
      <rPr>
        <vertAlign val="superscript"/>
        <sz val="11"/>
        <rFont val="Arial"/>
        <family val="2"/>
        <scheme val="minor"/>
      </rPr>
      <t>1</t>
    </r>
  </si>
  <si>
    <t>MW-hr</t>
  </si>
  <si>
    <t>$/MW-hr</t>
  </si>
  <si>
    <t xml:space="preserve">Bluegrass </t>
  </si>
  <si>
    <t>Fayette</t>
  </si>
  <si>
    <t>Northern Bobwhite</t>
  </si>
  <si>
    <t>Marion</t>
  </si>
  <si>
    <t>`</t>
  </si>
  <si>
    <t>apa</t>
  </si>
  <si>
    <r>
      <t>Northern Bobwhite</t>
    </r>
    <r>
      <rPr>
        <vertAlign val="superscript"/>
        <sz val="11"/>
        <rFont val="Arial"/>
        <family val="2"/>
        <scheme val="minor"/>
      </rPr>
      <t>3</t>
    </r>
  </si>
  <si>
    <t>Makers</t>
  </si>
  <si>
    <t>1, Fixed O&amp;M is from EIA Dcoument, "Capital Cost and Performance Characteristics for Utility-Scale Electric Power Generating Technologies, January 2024"</t>
  </si>
  <si>
    <t>2, Loan assumed on 30-year term at 4.50% interest on the Effective Capital Cost</t>
  </si>
  <si>
    <t>LOAN AMORTIZATION SCHEDULE</t>
  </si>
  <si>
    <t>ENTER VALUES</t>
  </si>
  <si>
    <t>LOAN SUMMARY</t>
  </si>
  <si>
    <t>Loan amount</t>
  </si>
  <si>
    <t>Scheduled payment</t>
  </si>
  <si>
    <t>Annual interest rate</t>
  </si>
  <si>
    <t>Scheduled number of payments</t>
  </si>
  <si>
    <t>Loan period in years</t>
  </si>
  <si>
    <t>Actual number of payments</t>
  </si>
  <si>
    <t>Number of payments per year</t>
  </si>
  <si>
    <t>Total early payments</t>
  </si>
  <si>
    <t>Start date of loan</t>
  </si>
  <si>
    <t>Total interest</t>
  </si>
  <si>
    <t>Optional extra payments</t>
  </si>
  <si>
    <t>LENDER NAME</t>
  </si>
  <si>
    <t>RUS</t>
  </si>
  <si>
    <t>PMT NO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</si>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</sst>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_);_(&quot;$&quot;* \(#,##0.0\);_(&quot;$&quot;* &quot;-&quot;?_);_(@_)"/>
  </numFmts>
  <fonts count="11" x14ac:knownFonts="1">
    <font>
      <sz val="11"/>
      <name val="Arial"/>
      <family val="2"/>
      <scheme val="minor"/>
    </font>
    <font>
      <b/>
      <sz val="16"/>
      <color theme="1" tint="0.24994659260841701"/>
      <name val="Microsoft Sans Serif"/>
      <family val="2"/>
      <scheme val="major"/>
    </font>
    <font>
      <b/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11"/>
      <color theme="1" tint="0.24994659260841701"/>
      <name val="Microsoft Sans Serif"/>
      <family val="2"/>
      <scheme val="major"/>
    </font>
    <font>
      <i/>
      <sz val="11"/>
      <color theme="1" tint="0.34998626667073579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vertAlign val="superscript"/>
      <sz val="1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4" tint="-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0" fontId="1" fillId="0" borderId="1" applyNumberFormat="0" applyFill="0" applyProtection="0">
      <alignment vertical="center"/>
    </xf>
    <xf numFmtId="0" fontId="4" fillId="0" borderId="2" applyNumberFormat="0" applyFill="0" applyProtection="0">
      <alignment vertical="center"/>
    </xf>
    <xf numFmtId="0" fontId="2" fillId="0" borderId="3" applyNumberFormat="0" applyFill="0" applyProtection="0">
      <alignment vertical="center"/>
    </xf>
    <xf numFmtId="0" fontId="3" fillId="2" borderId="4" applyNumberFormat="0" applyProtection="0">
      <alignment horizontal="right"/>
    </xf>
    <xf numFmtId="0" fontId="5" fillId="0" borderId="4" applyNumberFormat="0" applyProtection="0">
      <alignment vertical="center"/>
    </xf>
    <xf numFmtId="10" fontId="6" fillId="0" borderId="0" applyFont="0" applyFill="0" applyBorder="0" applyAlignment="0" applyProtection="0"/>
    <xf numFmtId="164" fontId="3" fillId="2" borderId="0" applyFont="0" applyFill="0" applyBorder="0" applyAlignment="0" applyProtection="0"/>
    <xf numFmtId="0" fontId="3" fillId="3" borderId="0" applyNumberFormat="0" applyFont="0" applyAlignment="0">
      <alignment horizontal="center" vertical="center" wrapText="1"/>
    </xf>
    <xf numFmtId="0" fontId="7" fillId="4" borderId="0" applyNumberFormat="0" applyBorder="0" applyProtection="0">
      <alignment vertical="center" wrapText="1"/>
    </xf>
    <xf numFmtId="1" fontId="3" fillId="3" borderId="0" applyFont="0" applyFill="0" applyBorder="0" applyAlignment="0"/>
    <xf numFmtId="14" fontId="3" fillId="0" borderId="0" applyFont="0" applyFill="0" applyBorder="0" applyAlignment="0"/>
    <xf numFmtId="164" fontId="3" fillId="2" borderId="0" applyFont="0" applyFill="0" applyBorder="0" applyProtection="0">
      <alignment horizontal="right" indent="2"/>
    </xf>
    <xf numFmtId="0" fontId="7" fillId="4" borderId="0" applyBorder="0" applyProtection="0">
      <alignment horizontal="right" vertical="center" wrapText="1" indent="2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1">
      <alignment vertical="center"/>
    </xf>
    <xf numFmtId="0" fontId="4" fillId="0" borderId="2" xfId="2">
      <alignment vertical="center"/>
    </xf>
    <xf numFmtId="0" fontId="2" fillId="0" borderId="3" xfId="3">
      <alignment vertical="center"/>
    </xf>
    <xf numFmtId="164" fontId="3" fillId="2" borderId="4" xfId="7" applyFont="1" applyFill="1" applyBorder="1"/>
    <xf numFmtId="164" fontId="3" fillId="3" borderId="0" xfId="8" applyNumberFormat="1" applyAlignment="1"/>
    <xf numFmtId="164" fontId="3" fillId="3" borderId="4" xfId="8" applyNumberFormat="1" applyBorder="1" applyAlignment="1"/>
    <xf numFmtId="1" fontId="3" fillId="2" borderId="0" xfId="10" applyFill="1"/>
    <xf numFmtId="1" fontId="3" fillId="2" borderId="4" xfId="10" applyFill="1" applyBorder="1"/>
    <xf numFmtId="1" fontId="3" fillId="3" borderId="4" xfId="10" applyBorder="1" applyAlignment="1"/>
    <xf numFmtId="1" fontId="0" fillId="0" borderId="0" xfId="10" applyFont="1" applyFill="1" applyBorder="1" applyAlignment="1">
      <alignment horizontal="left"/>
    </xf>
    <xf numFmtId="14" fontId="3" fillId="2" borderId="4" xfId="11" applyFill="1" applyBorder="1"/>
    <xf numFmtId="14" fontId="0" fillId="0" borderId="0" xfId="11" applyFont="1" applyFill="1" applyBorder="1" applyAlignment="1">
      <alignment horizontal="left"/>
    </xf>
    <xf numFmtId="0" fontId="7" fillId="4" borderId="0" xfId="9">
      <alignment vertical="center" wrapText="1"/>
    </xf>
    <xf numFmtId="164" fontId="0" fillId="0" borderId="0" xfId="12" applyFont="1" applyFill="1" applyBorder="1">
      <alignment horizontal="right" indent="2"/>
    </xf>
    <xf numFmtId="0" fontId="7" fillId="4" borderId="0" xfId="13">
      <alignment horizontal="right" vertical="center" wrapText="1" indent="2"/>
    </xf>
    <xf numFmtId="10" fontId="3" fillId="2" borderId="4" xfId="6" applyFont="1" applyFill="1" applyBorder="1" applyAlignment="1">
      <alignment horizontal="right"/>
    </xf>
    <xf numFmtId="166" fontId="0" fillId="0" borderId="0" xfId="15" applyNumberFormat="1" applyFont="1"/>
    <xf numFmtId="166" fontId="0" fillId="0" borderId="0" xfId="0" applyNumberForma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166" fontId="0" fillId="0" borderId="13" xfId="15" applyNumberFormat="1" applyFont="1" applyFill="1" applyBorder="1" applyAlignment="1">
      <alignment horizontal="center"/>
    </xf>
    <xf numFmtId="165" fontId="0" fillId="0" borderId="13" xfId="14" applyNumberFormat="1" applyFont="1" applyBorder="1" applyAlignment="1">
      <alignment horizontal="center"/>
    </xf>
    <xf numFmtId="166" fontId="0" fillId="0" borderId="13" xfId="15" applyNumberFormat="1" applyFont="1" applyBorder="1" applyAlignment="1">
      <alignment horizontal="center"/>
    </xf>
    <xf numFmtId="44" fontId="0" fillId="0" borderId="14" xfId="15" applyFont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166" fontId="0" fillId="0" borderId="16" xfId="15" applyNumberFormat="1" applyFont="1" applyFill="1" applyBorder="1" applyAlignment="1">
      <alignment horizontal="center"/>
    </xf>
    <xf numFmtId="165" fontId="0" fillId="0" borderId="16" xfId="14" applyNumberFormat="1" applyFont="1" applyBorder="1" applyAlignment="1">
      <alignment horizontal="center"/>
    </xf>
    <xf numFmtId="44" fontId="0" fillId="0" borderId="16" xfId="0" applyNumberFormat="1" applyBorder="1" applyAlignment="1">
      <alignment horizontal="center"/>
    </xf>
    <xf numFmtId="44" fontId="0" fillId="0" borderId="17" xfId="15" applyFont="1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166" fontId="0" fillId="0" borderId="19" xfId="15" applyNumberFormat="1" applyFont="1" applyBorder="1" applyAlignment="1">
      <alignment horizontal="center"/>
    </xf>
    <xf numFmtId="166" fontId="0" fillId="0" borderId="19" xfId="15" applyNumberFormat="1" applyFont="1" applyFill="1" applyBorder="1" applyAlignment="1">
      <alignment horizontal="center"/>
    </xf>
    <xf numFmtId="165" fontId="0" fillId="0" borderId="19" xfId="14" applyNumberFormat="1" applyFont="1" applyBorder="1" applyAlignment="1">
      <alignment horizontal="center"/>
    </xf>
    <xf numFmtId="44" fontId="0" fillId="0" borderId="19" xfId="0" applyNumberFormat="1" applyBorder="1" applyAlignment="1">
      <alignment horizontal="center"/>
    </xf>
    <xf numFmtId="44" fontId="0" fillId="0" borderId="20" xfId="15" applyFont="1" applyBorder="1" applyAlignment="1">
      <alignment horizontal="center"/>
    </xf>
    <xf numFmtId="164" fontId="0" fillId="0" borderId="0" xfId="0" applyNumberFormat="1"/>
    <xf numFmtId="0" fontId="9" fillId="0" borderId="0" xfId="0" applyFont="1" applyAlignment="1">
      <alignment horizontal="center"/>
    </xf>
    <xf numFmtId="3" fontId="0" fillId="0" borderId="0" xfId="0" applyNumberFormat="1"/>
    <xf numFmtId="44" fontId="0" fillId="0" borderId="16" xfId="15" applyFont="1" applyFill="1" applyBorder="1" applyAlignment="1">
      <alignment horizontal="center"/>
    </xf>
    <xf numFmtId="167" fontId="0" fillId="0" borderId="0" xfId="0" applyNumberFormat="1"/>
    <xf numFmtId="44" fontId="0" fillId="0" borderId="0" xfId="0" applyNumberForma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4" xfId="5" applyAlignment="1">
      <alignment vertical="center"/>
    </xf>
    <xf numFmtId="0" fontId="5" fillId="0" borderId="5" xfId="5" applyBorder="1" applyAlignment="1">
      <alignment vertical="center"/>
    </xf>
    <xf numFmtId="0" fontId="3" fillId="2" borderId="4" xfId="4" applyAlignment="1">
      <alignment horizontal="right"/>
    </xf>
  </cellXfs>
  <cellStyles count="16">
    <cellStyle name="Amount" xfId="7" xr:uid="{00000000-0005-0000-0000-000000000000}"/>
    <cellStyle name="Comma" xfId="14" builtinId="3"/>
    <cellStyle name="Currency" xfId="15" builtinId="4"/>
    <cellStyle name="Date" xfId="11" xr:uid="{00000000-0005-0000-0000-000003000000}"/>
    <cellStyle name="Explanatory Text" xfId="5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9" builtinId="19" customBuiltin="1"/>
    <cellStyle name="Heading 4 Right aligned" xfId="13" xr:uid="{00000000-0005-0000-0000-000009000000}"/>
    <cellStyle name="Input" xfId="4" builtinId="20" customBuiltin="1"/>
    <cellStyle name="Loan Summary" xfId="8" xr:uid="{00000000-0005-0000-0000-00000B000000}"/>
    <cellStyle name="Normal" xfId="0" builtinId="0" customBuiltin="1"/>
    <cellStyle name="Number" xfId="10" xr:uid="{00000000-0005-0000-0000-00000D000000}"/>
    <cellStyle name="Percent" xfId="6" builtinId="5" customBuiltin="1"/>
    <cellStyle name="Table Amount" xfId="12" xr:uid="{00000000-0005-0000-0000-00000F000000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Loan Amortization Schedule" pivot="0" count="7" xr9:uid="{00000000-0011-0000-FFFF-FFFF00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12</xdr:col>
      <xdr:colOff>601290</xdr:colOff>
      <xdr:row>60</xdr:row>
      <xdr:rowOff>163463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8707065" cy="110219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ymentSchedule" displayName="PaymentSchedule" ref="B11:K371" totalsRowShown="0" headerRowCellStyle="Amount">
  <tableColumns count="10">
    <tableColumn id="1" xr3:uid="{00000000-0010-0000-0000-000001000000}" name="PMT NO" dataCellStyle="Number">
      <calculatedColumnFormula>IF(LoanIsGood,IF(ROW()-ROW(PaymentSchedule[[#Headers],[PMT NO]])&gt;ScheduledNumberOfPayments,"",ROW()-ROW(PaymentSchedule[[#Headers],[PMT NO]])),"")</calculatedColumnFormula>
    </tableColumn>
    <tableColumn id="2" xr3:uid="{00000000-0010-0000-0000-000002000000}" name="PAYMENT DATE" dataCellStyle="Date">
      <calculatedColumnFormula>IF(PaymentSchedule[[#This Row],[PMT NO]]&lt;&gt;"",EOMONTH(LoanStartDate,ROW(PaymentSchedule[[#This Row],[PMT NO]])-ROW(PaymentSchedule[[#Headers],[PMT NO]])-2)+DAY(LoanStartDate),"")</calculatedColumnFormula>
    </tableColumn>
    <tableColumn id="3" xr3:uid="{00000000-0010-0000-0000-000003000000}" name="BEGINNING BALANCE" dataCellStyle="Table Amount">
      <calculatedColumnFormula>IF(PaymentSchedule[[#This Row],[PMT NO]]&lt;&gt;"",IF(ROW()-ROW(PaymentSchedule[[#Headers],[BEGINNING BALANCE]])=1,LoanAmount,INDEX(PaymentSchedule[ENDING BALANCE],ROW()-ROW(PaymentSchedule[[#Headers],[BEGINNING BALANCE]])-1)),"")</calculatedColumnFormula>
    </tableColumn>
    <tableColumn id="4" xr3:uid="{00000000-0010-0000-0000-000004000000}" name="SCHEDULED PAYMENT" dataCellStyle="Table Amount">
      <calculatedColumnFormula>IF(PaymentSchedule[[#This Row],[PMT NO]]&lt;&gt;"",ScheduledPayment,"")</calculatedColumnFormula>
    </tableColumn>
    <tableColumn id="5" xr3:uid="{00000000-0010-0000-0000-000005000000}" name="EXTRA PAYMENT" dataCellStyle="Table Amount">
      <calculatedColumnFormula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calculatedColumnFormula>
    </tableColumn>
    <tableColumn id="6" xr3:uid="{00000000-0010-0000-0000-000006000000}" name="TOTAL PAYMENT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calculatedColumnFormula>
    </tableColumn>
    <tableColumn id="7" xr3:uid="{00000000-0010-0000-0000-000007000000}" name="PRINCIPAL" dataCellStyle="Table Amount">
      <calculatedColumnFormula>IF(PaymentSchedule[[#This Row],[PMT NO]]&lt;&gt;"",PaymentSchedule[[#This Row],[TOTAL PAYMENT]]-PaymentSchedule[[#This Row],[INTEREST]],"")</calculatedColumnFormula>
    </tableColumn>
    <tableColumn id="8" xr3:uid="{00000000-0010-0000-0000-000008000000}" name="INTEREST" dataCellStyle="Table Amount">
      <calculatedColumnFormula>IF(PaymentSchedule[[#This Row],[PMT NO]]&lt;&gt;"",PaymentSchedule[[#This Row],[BEGINNING BALANCE]]*(InterestRate/PaymentsPerYear),"")</calculatedColumnFormula>
    </tableColumn>
    <tableColumn id="9" xr3:uid="{00000000-0010-0000-0000-000009000000}" name="ENDING BALANCE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calculatedColumnFormula>
    </tableColumn>
    <tableColumn id="10" xr3:uid="{00000000-0010-0000-0000-00000A000000}" name="CUMULATIVE INTEREST" dataCellStyle="Table Amount">
      <calculatedColumnFormula>IF(PaymentSchedule[[#This Row],[PMT NO]]&lt;&gt;"",SUM(INDEX(PaymentSchedule[INTEREST],1,1):PaymentSchedule[[#This Row],[INTEREST]]),"")</calculatedColumnFormula>
    </tableColumn>
  </tableColumns>
  <tableStyleInfo name="Loan Amortization Schedule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heme/theme1.xml><?xml version="1.0" encoding="utf-8"?>
<a:theme xmlns:a="http://schemas.openxmlformats.org/drawingml/2006/main" name="Office Theme">
  <a:themeElements>
    <a:clrScheme name="Loan Amortization Schedule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Loan Amortization Schedule">
      <a:majorFont>
        <a:latin typeface="Microsoft Sans Serif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33"/>
  <sheetViews>
    <sheetView tabSelected="1" view="pageBreakPreview" zoomScale="70" zoomScaleNormal="70" zoomScaleSheetLayoutView="70" workbookViewId="0">
      <selection activeCell="J18" sqref="J18"/>
    </sheetView>
  </sheetViews>
  <sheetFormatPr defaultRowHeight="14.25" x14ac:dyDescent="0.2"/>
  <cols>
    <col min="1" max="1" width="17" customWidth="1"/>
    <col min="2" max="2" width="7.875" bestFit="1" customWidth="1"/>
    <col min="3" max="3" width="8.375" customWidth="1"/>
    <col min="4" max="4" width="8.875" customWidth="1"/>
    <col min="5" max="5" width="13.25" bestFit="1" customWidth="1"/>
    <col min="6" max="6" width="14.75" bestFit="1" customWidth="1"/>
    <col min="7" max="7" width="16.375" bestFit="1" customWidth="1"/>
    <col min="8" max="8" width="15.625" hidden="1" customWidth="1"/>
    <col min="9" max="9" width="15.625" customWidth="1"/>
    <col min="10" max="10" width="14.75" bestFit="1" customWidth="1"/>
    <col min="11" max="11" width="15.75" bestFit="1" customWidth="1"/>
    <col min="12" max="12" width="15.75" hidden="1" customWidth="1"/>
    <col min="13" max="13" width="9" customWidth="1"/>
    <col min="14" max="14" width="10.125" bestFit="1" customWidth="1"/>
    <col min="15" max="15" width="11.875" bestFit="1" customWidth="1"/>
    <col min="16" max="16" width="10.5" bestFit="1" customWidth="1"/>
    <col min="17" max="17" width="13.5" bestFit="1" customWidth="1"/>
    <col min="18" max="18" width="14.75" bestFit="1" customWidth="1"/>
    <col min="19" max="19" width="15.125" bestFit="1" customWidth="1"/>
    <col min="20" max="20" width="13.75" bestFit="1" customWidth="1"/>
  </cols>
  <sheetData>
    <row r="2" spans="1:20" ht="20.25" x14ac:dyDescent="0.3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ht="15.75" customHeight="1" x14ac:dyDescent="0.3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45"/>
    </row>
    <row r="4" spans="1:20" ht="15" thickBot="1" x14ac:dyDescent="0.25"/>
    <row r="5" spans="1:20" ht="16.5" x14ac:dyDescent="0.2">
      <c r="A5" s="19" t="s">
        <v>2</v>
      </c>
      <c r="B5" s="20" t="s">
        <v>3</v>
      </c>
      <c r="C5" s="20" t="s">
        <v>4</v>
      </c>
      <c r="D5" s="20" t="s">
        <v>5</v>
      </c>
      <c r="E5" s="20" t="s">
        <v>6</v>
      </c>
      <c r="F5" s="20" t="s">
        <v>7</v>
      </c>
      <c r="G5" s="20" t="s">
        <v>8</v>
      </c>
      <c r="H5" s="20" t="s">
        <v>9</v>
      </c>
      <c r="I5" s="20" t="s">
        <v>9</v>
      </c>
      <c r="J5" s="20" t="s">
        <v>10</v>
      </c>
      <c r="K5" s="20" t="s">
        <v>11</v>
      </c>
      <c r="L5" s="20"/>
      <c r="M5" s="20" t="s">
        <v>12</v>
      </c>
      <c r="N5" s="20" t="s">
        <v>13</v>
      </c>
      <c r="O5" s="20" t="s">
        <v>14</v>
      </c>
      <c r="P5" s="20" t="s">
        <v>15</v>
      </c>
      <c r="Q5" s="20" t="s">
        <v>16</v>
      </c>
      <c r="R5" s="20" t="s">
        <v>17</v>
      </c>
      <c r="S5" s="20" t="s">
        <v>18</v>
      </c>
      <c r="T5" s="21" t="s">
        <v>18</v>
      </c>
    </row>
    <row r="6" spans="1:20" ht="17.25" thickBot="1" x14ac:dyDescent="0.25">
      <c r="A6" s="22"/>
      <c r="B6" s="23" t="s">
        <v>19</v>
      </c>
      <c r="C6" s="23"/>
      <c r="D6" s="23"/>
      <c r="E6" s="23"/>
      <c r="F6" s="23"/>
      <c r="G6" s="23"/>
      <c r="H6" s="23" t="s">
        <v>20</v>
      </c>
      <c r="I6" s="23"/>
      <c r="J6" s="23"/>
      <c r="K6" s="23"/>
      <c r="L6" s="23"/>
      <c r="M6" s="23" t="s">
        <v>21</v>
      </c>
      <c r="N6" s="23" t="s">
        <v>22</v>
      </c>
      <c r="O6" s="23"/>
      <c r="P6" s="23" t="s">
        <v>23</v>
      </c>
      <c r="Q6" s="23"/>
      <c r="R6" s="23"/>
      <c r="S6" s="23"/>
      <c r="T6" s="24" t="s">
        <v>24</v>
      </c>
    </row>
    <row r="7" spans="1:20" x14ac:dyDescent="0.2">
      <c r="A7" s="31" t="s">
        <v>25</v>
      </c>
      <c r="B7" s="32">
        <v>40</v>
      </c>
      <c r="C7" s="32">
        <v>388</v>
      </c>
      <c r="D7" s="32" t="s">
        <v>26</v>
      </c>
      <c r="E7" s="33">
        <v>3000000</v>
      </c>
      <c r="F7" s="33">
        <v>85130122</v>
      </c>
      <c r="G7" s="33">
        <v>965000</v>
      </c>
      <c r="H7" s="33">
        <f>SUM(E7:G7)+3400000</f>
        <v>92495122</v>
      </c>
      <c r="I7" s="33">
        <f>H7*1.1</f>
        <v>101744634.2</v>
      </c>
      <c r="J7" s="32">
        <v>0.4</v>
      </c>
      <c r="K7" s="47">
        <f>I7-I7*J7</f>
        <v>61046780.519999996</v>
      </c>
      <c r="L7" s="47">
        <f>I7-K7</f>
        <v>40697853.680000007</v>
      </c>
      <c r="M7" s="33">
        <f>K7/(B7*1000)</f>
        <v>1526.1695129999998</v>
      </c>
      <c r="N7" s="38">
        <v>20.23</v>
      </c>
      <c r="O7" s="33">
        <f>N7*(B7*1000)</f>
        <v>809200</v>
      </c>
      <c r="P7" s="34">
        <v>84701</v>
      </c>
      <c r="Q7" s="33">
        <v>1676888.1441978472</v>
      </c>
      <c r="R7" s="35">
        <f>K7/30</f>
        <v>2034892.6839999999</v>
      </c>
      <c r="S7" s="35">
        <f>O7+Q7+R7</f>
        <v>4520980.8281978471</v>
      </c>
      <c r="T7" s="36">
        <f>S7/P7</f>
        <v>53.375766852786235</v>
      </c>
    </row>
    <row r="8" spans="1:20" x14ac:dyDescent="0.2">
      <c r="A8" s="25"/>
      <c r="B8" s="26"/>
      <c r="C8" s="26"/>
      <c r="D8" s="26"/>
      <c r="E8" s="29"/>
      <c r="F8" s="29"/>
      <c r="G8" s="29"/>
      <c r="H8" s="29"/>
      <c r="I8" s="29"/>
      <c r="J8" s="26"/>
      <c r="K8" s="27"/>
      <c r="L8" s="27"/>
      <c r="M8" s="29"/>
      <c r="N8" s="26"/>
      <c r="O8" s="29"/>
      <c r="P8" s="28"/>
      <c r="Q8" s="27"/>
      <c r="R8" s="26"/>
      <c r="S8" s="26"/>
      <c r="T8" s="30"/>
    </row>
    <row r="9" spans="1:20" hidden="1" x14ac:dyDescent="0.2">
      <c r="A9" s="37" t="s">
        <v>27</v>
      </c>
      <c r="B9" s="38">
        <v>96</v>
      </c>
      <c r="C9" s="38">
        <v>1825</v>
      </c>
      <c r="D9" s="38" t="s">
        <v>28</v>
      </c>
      <c r="E9" s="39" t="s">
        <v>29</v>
      </c>
      <c r="F9" s="39">
        <v>178862345</v>
      </c>
      <c r="G9" s="39">
        <v>0</v>
      </c>
      <c r="H9" s="40">
        <f>SUM(E9:G9)</f>
        <v>178862345</v>
      </c>
      <c r="I9" s="40"/>
      <c r="J9" s="38">
        <v>0.3</v>
      </c>
      <c r="K9" s="40" t="e">
        <f>F9+G9+E9-((F9+G9+E9)*J9)</f>
        <v>#VALUE!</v>
      </c>
      <c r="L9" s="40"/>
      <c r="M9" s="39" t="e">
        <f>K9/(B9*1000)</f>
        <v>#VALUE!</v>
      </c>
      <c r="N9" s="38">
        <v>16</v>
      </c>
      <c r="O9" s="39">
        <f>N9*(B9*1000)+C9*600</f>
        <v>2631000</v>
      </c>
      <c r="P9" s="41">
        <v>215407</v>
      </c>
      <c r="Q9" s="40">
        <v>4121938</v>
      </c>
      <c r="R9" s="42" t="e">
        <f>K9/30</f>
        <v>#VALUE!</v>
      </c>
      <c r="S9" s="42" t="e">
        <f>O9+Q9+R9</f>
        <v>#VALUE!</v>
      </c>
      <c r="T9" s="43" t="e">
        <f>S9/P9</f>
        <v>#VALUE!</v>
      </c>
    </row>
    <row r="10" spans="1:20" ht="15" hidden="1" thickBot="1" x14ac:dyDescent="0.25">
      <c r="A10" s="22" t="s">
        <v>30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4"/>
    </row>
    <row r="11" spans="1:20" ht="16.5" x14ac:dyDescent="0.2">
      <c r="A11" s="37" t="s">
        <v>31</v>
      </c>
      <c r="B11" s="38">
        <v>96</v>
      </c>
      <c r="C11" s="38">
        <v>1825</v>
      </c>
      <c r="D11" s="38" t="s">
        <v>28</v>
      </c>
      <c r="E11" s="39">
        <v>0</v>
      </c>
      <c r="F11" s="39">
        <v>212400000</v>
      </c>
      <c r="G11" s="39">
        <v>0</v>
      </c>
      <c r="H11" s="40">
        <f>SUM(E11:G11)</f>
        <v>212400000</v>
      </c>
      <c r="I11" s="33">
        <f>H11*1.1</f>
        <v>233640000.00000003</v>
      </c>
      <c r="J11" s="38">
        <v>0.4</v>
      </c>
      <c r="K11" s="47">
        <f>I11-I11*J11</f>
        <v>140184000</v>
      </c>
      <c r="L11" s="47">
        <f>I11-K11</f>
        <v>93456000.00000003</v>
      </c>
      <c r="M11" s="39">
        <f>K11/(B11*1000)</f>
        <v>1460.25</v>
      </c>
      <c r="N11" s="38">
        <v>20.23</v>
      </c>
      <c r="O11" s="39">
        <f>N11*(B11*1000)+C11*600</f>
        <v>3037080</v>
      </c>
      <c r="P11" s="41">
        <v>215407</v>
      </c>
      <c r="Q11" s="40">
        <v>3850700.8167157476</v>
      </c>
      <c r="R11" s="42">
        <f>K11/30</f>
        <v>4672800</v>
      </c>
      <c r="S11" s="42">
        <f>O11+Q11+R11</f>
        <v>11560580.816715747</v>
      </c>
      <c r="T11" s="43">
        <f>S11/P11</f>
        <v>53.668547524991048</v>
      </c>
    </row>
    <row r="12" spans="1:20" ht="15" thickBot="1" x14ac:dyDescent="0.2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4"/>
    </row>
    <row r="13" spans="1:20" hidden="1" x14ac:dyDescent="0.2">
      <c r="A13" s="37" t="s">
        <v>32</v>
      </c>
      <c r="B13" s="38">
        <v>0.5</v>
      </c>
      <c r="C13" s="38">
        <v>3</v>
      </c>
      <c r="D13" s="38" t="s">
        <v>28</v>
      </c>
      <c r="E13" s="39">
        <v>0</v>
      </c>
      <c r="F13" s="39">
        <v>2250000</v>
      </c>
      <c r="G13" s="39">
        <v>0</v>
      </c>
      <c r="H13" s="40">
        <f>SUM(E13:G13)</f>
        <v>2250000</v>
      </c>
      <c r="I13" s="40"/>
      <c r="J13" s="38">
        <v>0.3</v>
      </c>
      <c r="K13" s="40">
        <f>F13+G13+E13-((F13+G13+E13)*J13)</f>
        <v>1575000</v>
      </c>
      <c r="L13" s="40"/>
      <c r="M13" s="39">
        <f>K13/(B13*1000)</f>
        <v>3150</v>
      </c>
      <c r="N13" s="38">
        <v>16</v>
      </c>
      <c r="O13" s="39">
        <f>N13*(B13*1000)</f>
        <v>8000</v>
      </c>
      <c r="P13" s="41">
        <v>798</v>
      </c>
      <c r="Q13" s="40">
        <v>61806</v>
      </c>
      <c r="R13" s="42">
        <f>K13/30</f>
        <v>52500</v>
      </c>
      <c r="S13" s="42">
        <f>O13+Q13+R13</f>
        <v>122306</v>
      </c>
      <c r="T13" s="43">
        <f>S13/P13</f>
        <v>153.265664160401</v>
      </c>
    </row>
    <row r="14" spans="1:20" ht="15" hidden="1" thickBot="1" x14ac:dyDescent="0.25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4"/>
    </row>
    <row r="15" spans="1:20" x14ac:dyDescent="0.2">
      <c r="A15" t="s">
        <v>33</v>
      </c>
    </row>
    <row r="16" spans="1:20" x14ac:dyDescent="0.2">
      <c r="A16" t="s">
        <v>34</v>
      </c>
      <c r="L16" s="49">
        <f>SUM(L7:L11)</f>
        <v>134153853.68000004</v>
      </c>
    </row>
    <row r="17" spans="2:19" hidden="1" x14ac:dyDescent="0.2">
      <c r="I17" s="48">
        <f>H11*0.6</f>
        <v>127440000</v>
      </c>
      <c r="J17" s="48">
        <f>I11*0.6</f>
        <v>140184000</v>
      </c>
    </row>
    <row r="21" spans="2:19" x14ac:dyDescent="0.2">
      <c r="K21" s="18"/>
      <c r="L21" s="18"/>
    </row>
    <row r="25" spans="2:19" x14ac:dyDescent="0.2">
      <c r="S25" s="18"/>
    </row>
    <row r="26" spans="2:19" x14ac:dyDescent="0.2">
      <c r="B26">
        <v>1202881</v>
      </c>
      <c r="J26" s="18"/>
    </row>
    <row r="27" spans="2:19" x14ac:dyDescent="0.2">
      <c r="B27">
        <v>144152</v>
      </c>
    </row>
    <row r="28" spans="2:19" x14ac:dyDescent="0.2">
      <c r="B28">
        <f>B26-B27</f>
        <v>1058729</v>
      </c>
    </row>
    <row r="29" spans="2:19" x14ac:dyDescent="0.2">
      <c r="J29" s="46"/>
      <c r="K29" s="18"/>
      <c r="L29" s="18"/>
    </row>
    <row r="30" spans="2:19" x14ac:dyDescent="0.2">
      <c r="J30" s="46"/>
    </row>
    <row r="31" spans="2:19" x14ac:dyDescent="0.2">
      <c r="J31" s="46"/>
    </row>
    <row r="33" spans="10:10" x14ac:dyDescent="0.2">
      <c r="J33" s="46"/>
    </row>
  </sheetData>
  <mergeCells count="2">
    <mergeCell ref="A2:T2"/>
    <mergeCell ref="A3:S3"/>
  </mergeCells>
  <pageMargins left="0.7" right="0.7" top="0.75" bottom="0.75" header="0.3" footer="0.3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view="pageBreakPreview" zoomScale="60" zoomScaleNormal="100" workbookViewId="0">
      <selection activeCell="AL59" sqref="AL59"/>
    </sheetView>
  </sheetViews>
  <sheetFormatPr defaultRowHeight="14.25" x14ac:dyDescent="0.2"/>
  <sheetData/>
  <pageMargins left="0.7" right="0.7" top="0.75" bottom="0.75" header="0.3" footer="0.3"/>
  <pageSetup scale="71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autoPageBreaks="0" fitToPage="1"/>
  </sheetPr>
  <dimension ref="B1:K371"/>
  <sheetViews>
    <sheetView showGridLines="0" zoomScaleNormal="100" workbookViewId="0">
      <pane ySplit="11" topLeftCell="A12" activePane="bottomLeft" state="frozen"/>
      <selection pane="bottomLeft" activeCell="E3" sqref="E3"/>
    </sheetView>
  </sheetViews>
  <sheetFormatPr defaultRowHeight="14.25" x14ac:dyDescent="0.2"/>
  <cols>
    <col min="1" max="1" width="2.625" customWidth="1"/>
    <col min="2" max="2" width="6.875" customWidth="1"/>
    <col min="3" max="3" width="15" customWidth="1"/>
    <col min="4" max="4" width="20.375" customWidth="1"/>
    <col min="5" max="9" width="15.625" customWidth="1"/>
    <col min="10" max="10" width="21.875" customWidth="1"/>
    <col min="11" max="11" width="17.625" customWidth="1"/>
  </cols>
  <sheetData>
    <row r="1" spans="2:11" ht="30" customHeight="1" thickBot="1" x14ac:dyDescent="0.25">
      <c r="B1" s="1" t="s">
        <v>35</v>
      </c>
      <c r="C1" s="1"/>
      <c r="D1" s="1"/>
      <c r="E1" s="1"/>
      <c r="F1" s="1"/>
      <c r="G1" s="1"/>
      <c r="H1" s="1"/>
      <c r="I1" s="1"/>
      <c r="J1" s="1"/>
      <c r="K1" s="1"/>
    </row>
    <row r="2" spans="2:11" ht="20.100000000000001" customHeight="1" thickTop="1" thickBot="1" x14ac:dyDescent="0.25">
      <c r="C2" s="2" t="s">
        <v>36</v>
      </c>
      <c r="D2" s="2"/>
      <c r="E2" s="2"/>
      <c r="G2" s="2" t="s">
        <v>37</v>
      </c>
      <c r="H2" s="2"/>
      <c r="I2" s="2"/>
    </row>
    <row r="3" spans="2:11" ht="14.25" customHeight="1" x14ac:dyDescent="0.2">
      <c r="C3" s="53" t="s">
        <v>38</v>
      </c>
      <c r="D3" s="53"/>
      <c r="E3" s="17">
        <v>2250000</v>
      </c>
      <c r="G3" s="53" t="s">
        <v>39</v>
      </c>
      <c r="H3" s="53"/>
      <c r="I3" s="5">
        <f>IF(LoanIsGood,-PMT(InterestRate/PaymentsPerYear,ScheduledNumberOfPayments,LoanAmount),"")</f>
        <v>11400.419471082316</v>
      </c>
    </row>
    <row r="4" spans="2:11" x14ac:dyDescent="0.2">
      <c r="C4" s="52" t="s">
        <v>40</v>
      </c>
      <c r="D4" s="52"/>
      <c r="E4" s="16">
        <v>4.4999999999999998E-2</v>
      </c>
      <c r="G4" s="52" t="s">
        <v>41</v>
      </c>
      <c r="H4" s="52"/>
      <c r="I4" s="9">
        <f>IF(LoanIsGood,LoanPeriod*PaymentsPerYear,"")</f>
        <v>360</v>
      </c>
    </row>
    <row r="5" spans="2:11" x14ac:dyDescent="0.2">
      <c r="C5" s="52" t="s">
        <v>42</v>
      </c>
      <c r="D5" s="52"/>
      <c r="E5" s="7">
        <v>30</v>
      </c>
      <c r="G5" s="52" t="s">
        <v>43</v>
      </c>
      <c r="H5" s="52"/>
      <c r="I5" s="9">
        <f>ActualNumberOfPayments</f>
        <v>360</v>
      </c>
    </row>
    <row r="6" spans="2:11" x14ac:dyDescent="0.2">
      <c r="C6" s="52" t="s">
        <v>44</v>
      </c>
      <c r="D6" s="52"/>
      <c r="E6" s="8">
        <v>12</v>
      </c>
      <c r="G6" s="52" t="s">
        <v>45</v>
      </c>
      <c r="H6" s="52"/>
      <c r="I6" s="6">
        <f>TotalEarlyPayments</f>
        <v>0</v>
      </c>
    </row>
    <row r="7" spans="2:11" x14ac:dyDescent="0.2">
      <c r="C7" s="52" t="s">
        <v>46</v>
      </c>
      <c r="D7" s="52"/>
      <c r="E7" s="11">
        <v>44927</v>
      </c>
      <c r="G7" s="52" t="s">
        <v>47</v>
      </c>
      <c r="H7" s="52"/>
      <c r="I7" s="6">
        <f>TotalInterest</f>
        <v>1854151.0095896362</v>
      </c>
      <c r="J7" s="44">
        <f>I7/30</f>
        <v>61805.033652987877</v>
      </c>
    </row>
    <row r="9" spans="2:11" ht="15" x14ac:dyDescent="0.2">
      <c r="C9" s="52" t="s">
        <v>48</v>
      </c>
      <c r="D9" s="52"/>
      <c r="E9" s="4">
        <v>0</v>
      </c>
      <c r="G9" s="3" t="s">
        <v>49</v>
      </c>
      <c r="H9" s="54" t="s">
        <v>50</v>
      </c>
      <c r="I9" s="54"/>
    </row>
    <row r="11" spans="2:11" ht="35.1" customHeight="1" x14ac:dyDescent="0.2">
      <c r="B11" s="13" t="s">
        <v>51</v>
      </c>
      <c r="C11" s="13" t="s">
        <v>52</v>
      </c>
      <c r="D11" s="15" t="s">
        <v>53</v>
      </c>
      <c r="E11" s="15" t="s">
        <v>54</v>
      </c>
      <c r="F11" s="15" t="s">
        <v>55</v>
      </c>
      <c r="G11" s="15" t="s">
        <v>56</v>
      </c>
      <c r="H11" s="15" t="s">
        <v>57</v>
      </c>
      <c r="I11" s="15" t="s">
        <v>58</v>
      </c>
      <c r="J11" s="15" t="s">
        <v>59</v>
      </c>
      <c r="K11" s="15" t="s">
        <v>60</v>
      </c>
    </row>
    <row r="12" spans="2:11" x14ac:dyDescent="0.2">
      <c r="B12" s="10">
        <f>IF(LoanIsGood,IF(ROW()-ROW(PaymentSchedule[[#Headers],[PMT NO]])&gt;ScheduledNumberOfPayments,"",ROW()-ROW(PaymentSchedule[[#Headers],[PMT NO]])),"")</f>
        <v>1</v>
      </c>
      <c r="C12" s="12">
        <f>IF(PaymentSchedule[[#This Row],[PMT NO]]&lt;&gt;"",EOMONTH(LoanStartDate,ROW(PaymentSchedule[[#This Row],[PMT NO]])-ROW(PaymentSchedule[[#Headers],[PMT NO]])-2)+DAY(LoanStartDate),"")</f>
        <v>44927</v>
      </c>
      <c r="D12" s="14">
        <f>IF(PaymentSchedule[[#This Row],[PMT NO]]&lt;&gt;"",IF(ROW()-ROW(PaymentSchedule[[#Headers],[BEGINNING BALANCE]])=1,LoanAmount,INDEX(PaymentSchedule[ENDING BALANCE],ROW()-ROW(PaymentSchedule[[#Headers],[BEGINNING BALANCE]])-1)),"")</f>
        <v>2250000</v>
      </c>
      <c r="E12" s="14">
        <f>IF(PaymentSchedule[[#This Row],[PMT NO]]&lt;&gt;"",ScheduledPayment,"")</f>
        <v>11400.419471082316</v>
      </c>
      <c r="F1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2" s="14">
        <f>IF(PaymentSchedule[[#This Row],[PMT NO]]&lt;&gt;"",PaymentSchedule[[#This Row],[TOTAL PAYMENT]]-PaymentSchedule[[#This Row],[INTEREST]],"")</f>
        <v>2962.9194710823158</v>
      </c>
      <c r="I12" s="14">
        <f>IF(PaymentSchedule[[#This Row],[PMT NO]]&lt;&gt;"",PaymentSchedule[[#This Row],[BEGINNING BALANCE]]*(InterestRate/PaymentsPerYear),"")</f>
        <v>8437.5</v>
      </c>
      <c r="J1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2247037.0805289177</v>
      </c>
      <c r="K12" s="14">
        <f>IF(PaymentSchedule[[#This Row],[PMT NO]]&lt;&gt;"",SUM(INDEX(PaymentSchedule[INTEREST],1,1):PaymentSchedule[[#This Row],[INTEREST]]),"")</f>
        <v>8437.5</v>
      </c>
    </row>
    <row r="13" spans="2:11" x14ac:dyDescent="0.2">
      <c r="B13" s="10">
        <f>IF(LoanIsGood,IF(ROW()-ROW(PaymentSchedule[[#Headers],[PMT NO]])&gt;ScheduledNumberOfPayments,"",ROW()-ROW(PaymentSchedule[[#Headers],[PMT NO]])),"")</f>
        <v>2</v>
      </c>
      <c r="C13" s="12">
        <f>IF(PaymentSchedule[[#This Row],[PMT NO]]&lt;&gt;"",EOMONTH(LoanStartDate,ROW(PaymentSchedule[[#This Row],[PMT NO]])-ROW(PaymentSchedule[[#Headers],[PMT NO]])-2)+DAY(LoanStartDate),"")</f>
        <v>44958</v>
      </c>
      <c r="D13" s="14">
        <f>IF(PaymentSchedule[[#This Row],[PMT NO]]&lt;&gt;"",IF(ROW()-ROW(PaymentSchedule[[#Headers],[BEGINNING BALANCE]])=1,LoanAmount,INDEX(PaymentSchedule[ENDING BALANCE],ROW()-ROW(PaymentSchedule[[#Headers],[BEGINNING BALANCE]])-1)),"")</f>
        <v>2247037.0805289177</v>
      </c>
      <c r="E13" s="14">
        <f>IF(PaymentSchedule[[#This Row],[PMT NO]]&lt;&gt;"",ScheduledPayment,"")</f>
        <v>11400.419471082316</v>
      </c>
      <c r="F1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3" s="14">
        <f>IF(PaymentSchedule[[#This Row],[PMT NO]]&lt;&gt;"",PaymentSchedule[[#This Row],[TOTAL PAYMENT]]-PaymentSchedule[[#This Row],[INTEREST]],"")</f>
        <v>2974.0304190988754</v>
      </c>
      <c r="I13" s="14">
        <f>IF(PaymentSchedule[[#This Row],[PMT NO]]&lt;&gt;"",PaymentSchedule[[#This Row],[BEGINNING BALANCE]]*(InterestRate/PaymentsPerYear),"")</f>
        <v>8426.3890519834404</v>
      </c>
      <c r="J1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2244063.050109819</v>
      </c>
      <c r="K13" s="14">
        <f>IF(PaymentSchedule[[#This Row],[PMT NO]]&lt;&gt;"",SUM(INDEX(PaymentSchedule[INTEREST],1,1):PaymentSchedule[[#This Row],[INTEREST]]),"")</f>
        <v>16863.889051983439</v>
      </c>
    </row>
    <row r="14" spans="2:11" x14ac:dyDescent="0.2">
      <c r="B14" s="10">
        <f>IF(LoanIsGood,IF(ROW()-ROW(PaymentSchedule[[#Headers],[PMT NO]])&gt;ScheduledNumberOfPayments,"",ROW()-ROW(PaymentSchedule[[#Headers],[PMT NO]])),"")</f>
        <v>3</v>
      </c>
      <c r="C14" s="12">
        <f>IF(PaymentSchedule[[#This Row],[PMT NO]]&lt;&gt;"",EOMONTH(LoanStartDate,ROW(PaymentSchedule[[#This Row],[PMT NO]])-ROW(PaymentSchedule[[#Headers],[PMT NO]])-2)+DAY(LoanStartDate),"")</f>
        <v>44986</v>
      </c>
      <c r="D14" s="14">
        <f>IF(PaymentSchedule[[#This Row],[PMT NO]]&lt;&gt;"",IF(ROW()-ROW(PaymentSchedule[[#Headers],[BEGINNING BALANCE]])=1,LoanAmount,INDEX(PaymentSchedule[ENDING BALANCE],ROW()-ROW(PaymentSchedule[[#Headers],[BEGINNING BALANCE]])-1)),"")</f>
        <v>2244063.050109819</v>
      </c>
      <c r="E14" s="14">
        <f>IF(PaymentSchedule[[#This Row],[PMT NO]]&lt;&gt;"",ScheduledPayment,"")</f>
        <v>11400.419471082316</v>
      </c>
      <c r="F1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4" s="14">
        <f>IF(PaymentSchedule[[#This Row],[PMT NO]]&lt;&gt;"",PaymentSchedule[[#This Row],[TOTAL PAYMENT]]-PaymentSchedule[[#This Row],[INTEREST]],"")</f>
        <v>2985.183033170495</v>
      </c>
      <c r="I14" s="14">
        <f>IF(PaymentSchedule[[#This Row],[PMT NO]]&lt;&gt;"",PaymentSchedule[[#This Row],[BEGINNING BALANCE]]*(InterestRate/PaymentsPerYear),"")</f>
        <v>8415.2364379118208</v>
      </c>
      <c r="J1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2241077.8670766484</v>
      </c>
      <c r="K14" s="14">
        <f>IF(PaymentSchedule[[#This Row],[PMT NO]]&lt;&gt;"",SUM(INDEX(PaymentSchedule[INTEREST],1,1):PaymentSchedule[[#This Row],[INTEREST]]),"")</f>
        <v>25279.125489895261</v>
      </c>
    </row>
    <row r="15" spans="2:11" x14ac:dyDescent="0.2">
      <c r="B15" s="10">
        <f>IF(LoanIsGood,IF(ROW()-ROW(PaymentSchedule[[#Headers],[PMT NO]])&gt;ScheduledNumberOfPayments,"",ROW()-ROW(PaymentSchedule[[#Headers],[PMT NO]])),"")</f>
        <v>4</v>
      </c>
      <c r="C15" s="12">
        <f>IF(PaymentSchedule[[#This Row],[PMT NO]]&lt;&gt;"",EOMONTH(LoanStartDate,ROW(PaymentSchedule[[#This Row],[PMT NO]])-ROW(PaymentSchedule[[#Headers],[PMT NO]])-2)+DAY(LoanStartDate),"")</f>
        <v>45017</v>
      </c>
      <c r="D15" s="14">
        <f>IF(PaymentSchedule[[#This Row],[PMT NO]]&lt;&gt;"",IF(ROW()-ROW(PaymentSchedule[[#Headers],[BEGINNING BALANCE]])=1,LoanAmount,INDEX(PaymentSchedule[ENDING BALANCE],ROW()-ROW(PaymentSchedule[[#Headers],[BEGINNING BALANCE]])-1)),"")</f>
        <v>2241077.8670766484</v>
      </c>
      <c r="E15" s="14">
        <f>IF(PaymentSchedule[[#This Row],[PMT NO]]&lt;&gt;"",ScheduledPayment,"")</f>
        <v>11400.419471082316</v>
      </c>
      <c r="F1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5" s="14">
        <f>IF(PaymentSchedule[[#This Row],[PMT NO]]&lt;&gt;"",PaymentSchedule[[#This Row],[TOTAL PAYMENT]]-PaymentSchedule[[#This Row],[INTEREST]],"")</f>
        <v>2996.3774695448847</v>
      </c>
      <c r="I15" s="14">
        <f>IF(PaymentSchedule[[#This Row],[PMT NO]]&lt;&gt;"",PaymentSchedule[[#This Row],[BEGINNING BALANCE]]*(InterestRate/PaymentsPerYear),"")</f>
        <v>8404.0420015374311</v>
      </c>
      <c r="J1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2238081.4896071036</v>
      </c>
      <c r="K15" s="14">
        <f>IF(PaymentSchedule[[#This Row],[PMT NO]]&lt;&gt;"",SUM(INDEX(PaymentSchedule[INTEREST],1,1):PaymentSchedule[[#This Row],[INTEREST]]),"")</f>
        <v>33683.167491432694</v>
      </c>
    </row>
    <row r="16" spans="2:11" x14ac:dyDescent="0.2">
      <c r="B16" s="10">
        <f>IF(LoanIsGood,IF(ROW()-ROW(PaymentSchedule[[#Headers],[PMT NO]])&gt;ScheduledNumberOfPayments,"",ROW()-ROW(PaymentSchedule[[#Headers],[PMT NO]])),"")</f>
        <v>5</v>
      </c>
      <c r="C16" s="12">
        <f>IF(PaymentSchedule[[#This Row],[PMT NO]]&lt;&gt;"",EOMONTH(LoanStartDate,ROW(PaymentSchedule[[#This Row],[PMT NO]])-ROW(PaymentSchedule[[#Headers],[PMT NO]])-2)+DAY(LoanStartDate),"")</f>
        <v>45047</v>
      </c>
      <c r="D16" s="14">
        <f>IF(PaymentSchedule[[#This Row],[PMT NO]]&lt;&gt;"",IF(ROW()-ROW(PaymentSchedule[[#Headers],[BEGINNING BALANCE]])=1,LoanAmount,INDEX(PaymentSchedule[ENDING BALANCE],ROW()-ROW(PaymentSchedule[[#Headers],[BEGINNING BALANCE]])-1)),"")</f>
        <v>2238081.4896071036</v>
      </c>
      <c r="E16" s="14">
        <f>IF(PaymentSchedule[[#This Row],[PMT NO]]&lt;&gt;"",ScheduledPayment,"")</f>
        <v>11400.419471082316</v>
      </c>
      <c r="F1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6" s="14">
        <f>IF(PaymentSchedule[[#This Row],[PMT NO]]&lt;&gt;"",PaymentSchedule[[#This Row],[TOTAL PAYMENT]]-PaymentSchedule[[#This Row],[INTEREST]],"")</f>
        <v>3007.6138850556781</v>
      </c>
      <c r="I16" s="14">
        <f>IF(PaymentSchedule[[#This Row],[PMT NO]]&lt;&gt;"",PaymentSchedule[[#This Row],[BEGINNING BALANCE]]*(InterestRate/PaymentsPerYear),"")</f>
        <v>8392.8055860266377</v>
      </c>
      <c r="J1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2235073.8757220479</v>
      </c>
      <c r="K16" s="14">
        <f>IF(PaymentSchedule[[#This Row],[PMT NO]]&lt;&gt;"",SUM(INDEX(PaymentSchedule[INTEREST],1,1):PaymentSchedule[[#This Row],[INTEREST]]),"")</f>
        <v>42075.973077459334</v>
      </c>
    </row>
    <row r="17" spans="2:11" x14ac:dyDescent="0.2">
      <c r="B17" s="10">
        <f>IF(LoanIsGood,IF(ROW()-ROW(PaymentSchedule[[#Headers],[PMT NO]])&gt;ScheduledNumberOfPayments,"",ROW()-ROW(PaymentSchedule[[#Headers],[PMT NO]])),"")</f>
        <v>6</v>
      </c>
      <c r="C17" s="12">
        <f>IF(PaymentSchedule[[#This Row],[PMT NO]]&lt;&gt;"",EOMONTH(LoanStartDate,ROW(PaymentSchedule[[#This Row],[PMT NO]])-ROW(PaymentSchedule[[#Headers],[PMT NO]])-2)+DAY(LoanStartDate),"")</f>
        <v>45078</v>
      </c>
      <c r="D17" s="14">
        <f>IF(PaymentSchedule[[#This Row],[PMT NO]]&lt;&gt;"",IF(ROW()-ROW(PaymentSchedule[[#Headers],[BEGINNING BALANCE]])=1,LoanAmount,INDEX(PaymentSchedule[ENDING BALANCE],ROW()-ROW(PaymentSchedule[[#Headers],[BEGINNING BALANCE]])-1)),"")</f>
        <v>2235073.8757220479</v>
      </c>
      <c r="E17" s="14">
        <f>IF(PaymentSchedule[[#This Row],[PMT NO]]&lt;&gt;"",ScheduledPayment,"")</f>
        <v>11400.419471082316</v>
      </c>
      <c r="F1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7" s="14">
        <f>IF(PaymentSchedule[[#This Row],[PMT NO]]&lt;&gt;"",PaymentSchedule[[#This Row],[TOTAL PAYMENT]]-PaymentSchedule[[#This Row],[INTEREST]],"")</f>
        <v>3018.8924371246358</v>
      </c>
      <c r="I17" s="14">
        <f>IF(PaymentSchedule[[#This Row],[PMT NO]]&lt;&gt;"",PaymentSchedule[[#This Row],[BEGINNING BALANCE]]*(InterestRate/PaymentsPerYear),"")</f>
        <v>8381.52703395768</v>
      </c>
      <c r="J1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2232054.9832849232</v>
      </c>
      <c r="K17" s="14">
        <f>IF(PaymentSchedule[[#This Row],[PMT NO]]&lt;&gt;"",SUM(INDEX(PaymentSchedule[INTEREST],1,1):PaymentSchedule[[#This Row],[INTEREST]]),"")</f>
        <v>50457.500111417015</v>
      </c>
    </row>
    <row r="18" spans="2:11" x14ac:dyDescent="0.2">
      <c r="B18" s="10">
        <f>IF(LoanIsGood,IF(ROW()-ROW(PaymentSchedule[[#Headers],[PMT NO]])&gt;ScheduledNumberOfPayments,"",ROW()-ROW(PaymentSchedule[[#Headers],[PMT NO]])),"")</f>
        <v>7</v>
      </c>
      <c r="C18" s="12">
        <f>IF(PaymentSchedule[[#This Row],[PMT NO]]&lt;&gt;"",EOMONTH(LoanStartDate,ROW(PaymentSchedule[[#This Row],[PMT NO]])-ROW(PaymentSchedule[[#Headers],[PMT NO]])-2)+DAY(LoanStartDate),"")</f>
        <v>45108</v>
      </c>
      <c r="D18" s="14">
        <f>IF(PaymentSchedule[[#This Row],[PMT NO]]&lt;&gt;"",IF(ROW()-ROW(PaymentSchedule[[#Headers],[BEGINNING BALANCE]])=1,LoanAmount,INDEX(PaymentSchedule[ENDING BALANCE],ROW()-ROW(PaymentSchedule[[#Headers],[BEGINNING BALANCE]])-1)),"")</f>
        <v>2232054.9832849232</v>
      </c>
      <c r="E18" s="14">
        <f>IF(PaymentSchedule[[#This Row],[PMT NO]]&lt;&gt;"",ScheduledPayment,"")</f>
        <v>11400.419471082316</v>
      </c>
      <c r="F1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8" s="14">
        <f>IF(PaymentSchedule[[#This Row],[PMT NO]]&lt;&gt;"",PaymentSchedule[[#This Row],[TOTAL PAYMENT]]-PaymentSchedule[[#This Row],[INTEREST]],"")</f>
        <v>3030.2132837638546</v>
      </c>
      <c r="I18" s="14">
        <f>IF(PaymentSchedule[[#This Row],[PMT NO]]&lt;&gt;"",PaymentSchedule[[#This Row],[BEGINNING BALANCE]]*(InterestRate/PaymentsPerYear),"")</f>
        <v>8370.2061873184612</v>
      </c>
      <c r="J1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2229024.7700011595</v>
      </c>
      <c r="K18" s="14">
        <f>IF(PaymentSchedule[[#This Row],[PMT NO]]&lt;&gt;"",SUM(INDEX(PaymentSchedule[INTEREST],1,1):PaymentSchedule[[#This Row],[INTEREST]]),"")</f>
        <v>58827.706298735473</v>
      </c>
    </row>
    <row r="19" spans="2:11" x14ac:dyDescent="0.2">
      <c r="B19" s="10">
        <f>IF(LoanIsGood,IF(ROW()-ROW(PaymentSchedule[[#Headers],[PMT NO]])&gt;ScheduledNumberOfPayments,"",ROW()-ROW(PaymentSchedule[[#Headers],[PMT NO]])),"")</f>
        <v>8</v>
      </c>
      <c r="C19" s="12">
        <f>IF(PaymentSchedule[[#This Row],[PMT NO]]&lt;&gt;"",EOMONTH(LoanStartDate,ROW(PaymentSchedule[[#This Row],[PMT NO]])-ROW(PaymentSchedule[[#Headers],[PMT NO]])-2)+DAY(LoanStartDate),"")</f>
        <v>45139</v>
      </c>
      <c r="D19" s="14">
        <f>IF(PaymentSchedule[[#This Row],[PMT NO]]&lt;&gt;"",IF(ROW()-ROW(PaymentSchedule[[#Headers],[BEGINNING BALANCE]])=1,LoanAmount,INDEX(PaymentSchedule[ENDING BALANCE],ROW()-ROW(PaymentSchedule[[#Headers],[BEGINNING BALANCE]])-1)),"")</f>
        <v>2229024.7700011595</v>
      </c>
      <c r="E19" s="14">
        <f>IF(PaymentSchedule[[#This Row],[PMT NO]]&lt;&gt;"",ScheduledPayment,"")</f>
        <v>11400.419471082316</v>
      </c>
      <c r="F1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9" s="14">
        <f>IF(PaymentSchedule[[#This Row],[PMT NO]]&lt;&gt;"",PaymentSchedule[[#This Row],[TOTAL PAYMENT]]-PaymentSchedule[[#This Row],[INTEREST]],"")</f>
        <v>3041.5765835779675</v>
      </c>
      <c r="I19" s="14">
        <f>IF(PaymentSchedule[[#This Row],[PMT NO]]&lt;&gt;"",PaymentSchedule[[#This Row],[BEGINNING BALANCE]]*(InterestRate/PaymentsPerYear),"")</f>
        <v>8358.8428875043483</v>
      </c>
      <c r="J1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2225983.1934175817</v>
      </c>
      <c r="K19" s="14">
        <f>IF(PaymentSchedule[[#This Row],[PMT NO]]&lt;&gt;"",SUM(INDEX(PaymentSchedule[INTEREST],1,1):PaymentSchedule[[#This Row],[INTEREST]]),"")</f>
        <v>67186.549186239819</v>
      </c>
    </row>
    <row r="20" spans="2:11" x14ac:dyDescent="0.2">
      <c r="B20" s="10">
        <f>IF(LoanIsGood,IF(ROW()-ROW(PaymentSchedule[[#Headers],[PMT NO]])&gt;ScheduledNumberOfPayments,"",ROW()-ROW(PaymentSchedule[[#Headers],[PMT NO]])),"")</f>
        <v>9</v>
      </c>
      <c r="C20" s="12">
        <f>IF(PaymentSchedule[[#This Row],[PMT NO]]&lt;&gt;"",EOMONTH(LoanStartDate,ROW(PaymentSchedule[[#This Row],[PMT NO]])-ROW(PaymentSchedule[[#Headers],[PMT NO]])-2)+DAY(LoanStartDate),"")</f>
        <v>45170</v>
      </c>
      <c r="D20" s="14">
        <f>IF(PaymentSchedule[[#This Row],[PMT NO]]&lt;&gt;"",IF(ROW()-ROW(PaymentSchedule[[#Headers],[BEGINNING BALANCE]])=1,LoanAmount,INDEX(PaymentSchedule[ENDING BALANCE],ROW()-ROW(PaymentSchedule[[#Headers],[BEGINNING BALANCE]])-1)),"")</f>
        <v>2225983.1934175817</v>
      </c>
      <c r="E20" s="14">
        <f>IF(PaymentSchedule[[#This Row],[PMT NO]]&lt;&gt;"",ScheduledPayment,"")</f>
        <v>11400.419471082316</v>
      </c>
      <c r="F2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0" s="14">
        <f>IF(PaymentSchedule[[#This Row],[PMT NO]]&lt;&gt;"",PaymentSchedule[[#This Row],[TOTAL PAYMENT]]-PaymentSchedule[[#This Row],[INTEREST]],"")</f>
        <v>3052.9824957663841</v>
      </c>
      <c r="I20" s="14">
        <f>IF(PaymentSchedule[[#This Row],[PMT NO]]&lt;&gt;"",PaymentSchedule[[#This Row],[BEGINNING BALANCE]]*(InterestRate/PaymentsPerYear),"")</f>
        <v>8347.4369753159317</v>
      </c>
      <c r="J2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2222930.2109218151</v>
      </c>
      <c r="K20" s="14">
        <f>IF(PaymentSchedule[[#This Row],[PMT NO]]&lt;&gt;"",SUM(INDEX(PaymentSchedule[INTEREST],1,1):PaymentSchedule[[#This Row],[INTEREST]]),"")</f>
        <v>75533.986161555746</v>
      </c>
    </row>
    <row r="21" spans="2:11" x14ac:dyDescent="0.2">
      <c r="B21" s="10">
        <f>IF(LoanIsGood,IF(ROW()-ROW(PaymentSchedule[[#Headers],[PMT NO]])&gt;ScheduledNumberOfPayments,"",ROW()-ROW(PaymentSchedule[[#Headers],[PMT NO]])),"")</f>
        <v>10</v>
      </c>
      <c r="C21" s="12">
        <f>IF(PaymentSchedule[[#This Row],[PMT NO]]&lt;&gt;"",EOMONTH(LoanStartDate,ROW(PaymentSchedule[[#This Row],[PMT NO]])-ROW(PaymentSchedule[[#Headers],[PMT NO]])-2)+DAY(LoanStartDate),"")</f>
        <v>45200</v>
      </c>
      <c r="D21" s="14">
        <f>IF(PaymentSchedule[[#This Row],[PMT NO]]&lt;&gt;"",IF(ROW()-ROW(PaymentSchedule[[#Headers],[BEGINNING BALANCE]])=1,LoanAmount,INDEX(PaymentSchedule[ENDING BALANCE],ROW()-ROW(PaymentSchedule[[#Headers],[BEGINNING BALANCE]])-1)),"")</f>
        <v>2222930.2109218151</v>
      </c>
      <c r="E21" s="14">
        <f>IF(PaymentSchedule[[#This Row],[PMT NO]]&lt;&gt;"",ScheduledPayment,"")</f>
        <v>11400.419471082316</v>
      </c>
      <c r="F2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1" s="14">
        <f>IF(PaymentSchedule[[#This Row],[PMT NO]]&lt;&gt;"",PaymentSchedule[[#This Row],[TOTAL PAYMENT]]-PaymentSchedule[[#This Row],[INTEREST]],"")</f>
        <v>3064.4311801255099</v>
      </c>
      <c r="I21" s="14">
        <f>IF(PaymentSchedule[[#This Row],[PMT NO]]&lt;&gt;"",PaymentSchedule[[#This Row],[BEGINNING BALANCE]]*(InterestRate/PaymentsPerYear),"")</f>
        <v>8335.9882909568059</v>
      </c>
      <c r="J2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2219865.7797416896</v>
      </c>
      <c r="K21" s="14">
        <f>IF(PaymentSchedule[[#This Row],[PMT NO]]&lt;&gt;"",SUM(INDEX(PaymentSchedule[INTEREST],1,1):PaymentSchedule[[#This Row],[INTEREST]]),"")</f>
        <v>83869.974452512557</v>
      </c>
    </row>
    <row r="22" spans="2:11" x14ac:dyDescent="0.2">
      <c r="B22" s="10">
        <f>IF(LoanIsGood,IF(ROW()-ROW(PaymentSchedule[[#Headers],[PMT NO]])&gt;ScheduledNumberOfPayments,"",ROW()-ROW(PaymentSchedule[[#Headers],[PMT NO]])),"")</f>
        <v>11</v>
      </c>
      <c r="C22" s="12">
        <f>IF(PaymentSchedule[[#This Row],[PMT NO]]&lt;&gt;"",EOMONTH(LoanStartDate,ROW(PaymentSchedule[[#This Row],[PMT NO]])-ROW(PaymentSchedule[[#Headers],[PMT NO]])-2)+DAY(LoanStartDate),"")</f>
        <v>45231</v>
      </c>
      <c r="D22" s="14">
        <f>IF(PaymentSchedule[[#This Row],[PMT NO]]&lt;&gt;"",IF(ROW()-ROW(PaymentSchedule[[#Headers],[BEGINNING BALANCE]])=1,LoanAmount,INDEX(PaymentSchedule[ENDING BALANCE],ROW()-ROW(PaymentSchedule[[#Headers],[BEGINNING BALANCE]])-1)),"")</f>
        <v>2219865.7797416896</v>
      </c>
      <c r="E22" s="14">
        <f>IF(PaymentSchedule[[#This Row],[PMT NO]]&lt;&gt;"",ScheduledPayment,"")</f>
        <v>11400.419471082316</v>
      </c>
      <c r="F2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2" s="14">
        <f>IF(PaymentSchedule[[#This Row],[PMT NO]]&lt;&gt;"",PaymentSchedule[[#This Row],[TOTAL PAYMENT]]-PaymentSchedule[[#This Row],[INTEREST]],"")</f>
        <v>3075.9227970509801</v>
      </c>
      <c r="I22" s="14">
        <f>IF(PaymentSchedule[[#This Row],[PMT NO]]&lt;&gt;"",PaymentSchedule[[#This Row],[BEGINNING BALANCE]]*(InterestRate/PaymentsPerYear),"")</f>
        <v>8324.4966740313357</v>
      </c>
      <c r="J2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2216789.8569446388</v>
      </c>
      <c r="K22" s="14">
        <f>IF(PaymentSchedule[[#This Row],[PMT NO]]&lt;&gt;"",SUM(INDEX(PaymentSchedule[INTEREST],1,1):PaymentSchedule[[#This Row],[INTEREST]]),"")</f>
        <v>92194.471126543896</v>
      </c>
    </row>
    <row r="23" spans="2:11" x14ac:dyDescent="0.2">
      <c r="B23" s="10">
        <f>IF(LoanIsGood,IF(ROW()-ROW(PaymentSchedule[[#Headers],[PMT NO]])&gt;ScheduledNumberOfPayments,"",ROW()-ROW(PaymentSchedule[[#Headers],[PMT NO]])),"")</f>
        <v>12</v>
      </c>
      <c r="C23" s="12">
        <f>IF(PaymentSchedule[[#This Row],[PMT NO]]&lt;&gt;"",EOMONTH(LoanStartDate,ROW(PaymentSchedule[[#This Row],[PMT NO]])-ROW(PaymentSchedule[[#Headers],[PMT NO]])-2)+DAY(LoanStartDate),"")</f>
        <v>45261</v>
      </c>
      <c r="D23" s="14">
        <f>IF(PaymentSchedule[[#This Row],[PMT NO]]&lt;&gt;"",IF(ROW()-ROW(PaymentSchedule[[#Headers],[BEGINNING BALANCE]])=1,LoanAmount,INDEX(PaymentSchedule[ENDING BALANCE],ROW()-ROW(PaymentSchedule[[#Headers],[BEGINNING BALANCE]])-1)),"")</f>
        <v>2216789.8569446388</v>
      </c>
      <c r="E23" s="14">
        <f>IF(PaymentSchedule[[#This Row],[PMT NO]]&lt;&gt;"",ScheduledPayment,"")</f>
        <v>11400.419471082316</v>
      </c>
      <c r="F2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3" s="14">
        <f>IF(PaymentSchedule[[#This Row],[PMT NO]]&lt;&gt;"",PaymentSchedule[[#This Row],[TOTAL PAYMENT]]-PaymentSchedule[[#This Row],[INTEREST]],"")</f>
        <v>3087.4575075399207</v>
      </c>
      <c r="I23" s="14">
        <f>IF(PaymentSchedule[[#This Row],[PMT NO]]&lt;&gt;"",PaymentSchedule[[#This Row],[BEGINNING BALANCE]]*(InterestRate/PaymentsPerYear),"")</f>
        <v>8312.9619635423951</v>
      </c>
      <c r="J2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2213702.3994370988</v>
      </c>
      <c r="K23" s="14">
        <f>IF(PaymentSchedule[[#This Row],[PMT NO]]&lt;&gt;"",SUM(INDEX(PaymentSchedule[INTEREST],1,1):PaymentSchedule[[#This Row],[INTEREST]]),"")</f>
        <v>100507.4330900863</v>
      </c>
    </row>
    <row r="24" spans="2:11" x14ac:dyDescent="0.2">
      <c r="B24" s="10">
        <f>IF(LoanIsGood,IF(ROW()-ROW(PaymentSchedule[[#Headers],[PMT NO]])&gt;ScheduledNumberOfPayments,"",ROW()-ROW(PaymentSchedule[[#Headers],[PMT NO]])),"")</f>
        <v>13</v>
      </c>
      <c r="C24" s="12">
        <f>IF(PaymentSchedule[[#This Row],[PMT NO]]&lt;&gt;"",EOMONTH(LoanStartDate,ROW(PaymentSchedule[[#This Row],[PMT NO]])-ROW(PaymentSchedule[[#Headers],[PMT NO]])-2)+DAY(LoanStartDate),"")</f>
        <v>45292</v>
      </c>
      <c r="D24" s="14">
        <f>IF(PaymentSchedule[[#This Row],[PMT NO]]&lt;&gt;"",IF(ROW()-ROW(PaymentSchedule[[#Headers],[BEGINNING BALANCE]])=1,LoanAmount,INDEX(PaymentSchedule[ENDING BALANCE],ROW()-ROW(PaymentSchedule[[#Headers],[BEGINNING BALANCE]])-1)),"")</f>
        <v>2213702.3994370988</v>
      </c>
      <c r="E24" s="14">
        <f>IF(PaymentSchedule[[#This Row],[PMT NO]]&lt;&gt;"",ScheduledPayment,"")</f>
        <v>11400.419471082316</v>
      </c>
      <c r="F2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4" s="14">
        <f>IF(PaymentSchedule[[#This Row],[PMT NO]]&lt;&gt;"",PaymentSchedule[[#This Row],[TOTAL PAYMENT]]-PaymentSchedule[[#This Row],[INTEREST]],"")</f>
        <v>3099.0354731931966</v>
      </c>
      <c r="I24" s="14">
        <f>IF(PaymentSchedule[[#This Row],[PMT NO]]&lt;&gt;"",PaymentSchedule[[#This Row],[BEGINNING BALANCE]]*(InterestRate/PaymentsPerYear),"")</f>
        <v>8301.3839978891192</v>
      </c>
      <c r="J2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2210603.3639639057</v>
      </c>
      <c r="K24" s="14">
        <f>IF(PaymentSchedule[[#This Row],[PMT NO]]&lt;&gt;"",SUM(INDEX(PaymentSchedule[INTEREST],1,1):PaymentSchedule[[#This Row],[INTEREST]]),"")</f>
        <v>108808.81708797542</v>
      </c>
    </row>
    <row r="25" spans="2:11" x14ac:dyDescent="0.2">
      <c r="B25" s="10">
        <f>IF(LoanIsGood,IF(ROW()-ROW(PaymentSchedule[[#Headers],[PMT NO]])&gt;ScheduledNumberOfPayments,"",ROW()-ROW(PaymentSchedule[[#Headers],[PMT NO]])),"")</f>
        <v>14</v>
      </c>
      <c r="C25" s="12">
        <f>IF(PaymentSchedule[[#This Row],[PMT NO]]&lt;&gt;"",EOMONTH(LoanStartDate,ROW(PaymentSchedule[[#This Row],[PMT NO]])-ROW(PaymentSchedule[[#Headers],[PMT NO]])-2)+DAY(LoanStartDate),"")</f>
        <v>45323</v>
      </c>
      <c r="D25" s="14">
        <f>IF(PaymentSchedule[[#This Row],[PMT NO]]&lt;&gt;"",IF(ROW()-ROW(PaymentSchedule[[#Headers],[BEGINNING BALANCE]])=1,LoanAmount,INDEX(PaymentSchedule[ENDING BALANCE],ROW()-ROW(PaymentSchedule[[#Headers],[BEGINNING BALANCE]])-1)),"")</f>
        <v>2210603.3639639057</v>
      </c>
      <c r="E25" s="14">
        <f>IF(PaymentSchedule[[#This Row],[PMT NO]]&lt;&gt;"",ScheduledPayment,"")</f>
        <v>11400.419471082316</v>
      </c>
      <c r="F2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5" s="14">
        <f>IF(PaymentSchedule[[#This Row],[PMT NO]]&lt;&gt;"",PaymentSchedule[[#This Row],[TOTAL PAYMENT]]-PaymentSchedule[[#This Row],[INTEREST]],"")</f>
        <v>3110.656856217669</v>
      </c>
      <c r="I25" s="14">
        <f>IF(PaymentSchedule[[#This Row],[PMT NO]]&lt;&gt;"",PaymentSchedule[[#This Row],[BEGINNING BALANCE]]*(InterestRate/PaymentsPerYear),"")</f>
        <v>8289.7626148646468</v>
      </c>
      <c r="J2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2207492.7071076878</v>
      </c>
      <c r="K25" s="14">
        <f>IF(PaymentSchedule[[#This Row],[PMT NO]]&lt;&gt;"",SUM(INDEX(PaymentSchedule[INTEREST],1,1):PaymentSchedule[[#This Row],[INTEREST]]),"")</f>
        <v>117098.57970284007</v>
      </c>
    </row>
    <row r="26" spans="2:11" x14ac:dyDescent="0.2">
      <c r="B26" s="10">
        <f>IF(LoanIsGood,IF(ROW()-ROW(PaymentSchedule[[#Headers],[PMT NO]])&gt;ScheduledNumberOfPayments,"",ROW()-ROW(PaymentSchedule[[#Headers],[PMT NO]])),"")</f>
        <v>15</v>
      </c>
      <c r="C26" s="12">
        <f>IF(PaymentSchedule[[#This Row],[PMT NO]]&lt;&gt;"",EOMONTH(LoanStartDate,ROW(PaymentSchedule[[#This Row],[PMT NO]])-ROW(PaymentSchedule[[#Headers],[PMT NO]])-2)+DAY(LoanStartDate),"")</f>
        <v>45352</v>
      </c>
      <c r="D26" s="14">
        <f>IF(PaymentSchedule[[#This Row],[PMT NO]]&lt;&gt;"",IF(ROW()-ROW(PaymentSchedule[[#Headers],[BEGINNING BALANCE]])=1,LoanAmount,INDEX(PaymentSchedule[ENDING BALANCE],ROW()-ROW(PaymentSchedule[[#Headers],[BEGINNING BALANCE]])-1)),"")</f>
        <v>2207492.7071076878</v>
      </c>
      <c r="E26" s="14">
        <f>IF(PaymentSchedule[[#This Row],[PMT NO]]&lt;&gt;"",ScheduledPayment,"")</f>
        <v>11400.419471082316</v>
      </c>
      <c r="F2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6" s="14">
        <f>IF(PaymentSchedule[[#This Row],[PMT NO]]&lt;&gt;"",PaymentSchedule[[#This Row],[TOTAL PAYMENT]]-PaymentSchedule[[#This Row],[INTEREST]],"")</f>
        <v>3122.3218194284873</v>
      </c>
      <c r="I26" s="14">
        <f>IF(PaymentSchedule[[#This Row],[PMT NO]]&lt;&gt;"",PaymentSchedule[[#This Row],[BEGINNING BALANCE]]*(InterestRate/PaymentsPerYear),"")</f>
        <v>8278.0976516538285</v>
      </c>
      <c r="J2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2204370.3852882595</v>
      </c>
      <c r="K26" s="14">
        <f>IF(PaymentSchedule[[#This Row],[PMT NO]]&lt;&gt;"",SUM(INDEX(PaymentSchedule[INTEREST],1,1):PaymentSchedule[[#This Row],[INTEREST]]),"")</f>
        <v>125376.67735449391</v>
      </c>
    </row>
    <row r="27" spans="2:11" x14ac:dyDescent="0.2">
      <c r="B27" s="10">
        <f>IF(LoanIsGood,IF(ROW()-ROW(PaymentSchedule[[#Headers],[PMT NO]])&gt;ScheduledNumberOfPayments,"",ROW()-ROW(PaymentSchedule[[#Headers],[PMT NO]])),"")</f>
        <v>16</v>
      </c>
      <c r="C27" s="12">
        <f>IF(PaymentSchedule[[#This Row],[PMT NO]]&lt;&gt;"",EOMONTH(LoanStartDate,ROW(PaymentSchedule[[#This Row],[PMT NO]])-ROW(PaymentSchedule[[#Headers],[PMT NO]])-2)+DAY(LoanStartDate),"")</f>
        <v>45383</v>
      </c>
      <c r="D27" s="14">
        <f>IF(PaymentSchedule[[#This Row],[PMT NO]]&lt;&gt;"",IF(ROW()-ROW(PaymentSchedule[[#Headers],[BEGINNING BALANCE]])=1,LoanAmount,INDEX(PaymentSchedule[ENDING BALANCE],ROW()-ROW(PaymentSchedule[[#Headers],[BEGINNING BALANCE]])-1)),"")</f>
        <v>2204370.3852882595</v>
      </c>
      <c r="E27" s="14">
        <f>IF(PaymentSchedule[[#This Row],[PMT NO]]&lt;&gt;"",ScheduledPayment,"")</f>
        <v>11400.419471082316</v>
      </c>
      <c r="F2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7" s="14">
        <f>IF(PaymentSchedule[[#This Row],[PMT NO]]&lt;&gt;"",PaymentSchedule[[#This Row],[TOTAL PAYMENT]]-PaymentSchedule[[#This Row],[INTEREST]],"")</f>
        <v>3134.030526251343</v>
      </c>
      <c r="I27" s="14">
        <f>IF(PaymentSchedule[[#This Row],[PMT NO]]&lt;&gt;"",PaymentSchedule[[#This Row],[BEGINNING BALANCE]]*(InterestRate/PaymentsPerYear),"")</f>
        <v>8266.3889448309728</v>
      </c>
      <c r="J2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2201236.3547620079</v>
      </c>
      <c r="K27" s="14">
        <f>IF(PaymentSchedule[[#This Row],[PMT NO]]&lt;&gt;"",SUM(INDEX(PaymentSchedule[INTEREST],1,1):PaymentSchedule[[#This Row],[INTEREST]]),"")</f>
        <v>133643.06629932488</v>
      </c>
    </row>
    <row r="28" spans="2:11" x14ac:dyDescent="0.2">
      <c r="B28" s="10">
        <f>IF(LoanIsGood,IF(ROW()-ROW(PaymentSchedule[[#Headers],[PMT NO]])&gt;ScheduledNumberOfPayments,"",ROW()-ROW(PaymentSchedule[[#Headers],[PMT NO]])),"")</f>
        <v>17</v>
      </c>
      <c r="C28" s="12">
        <f>IF(PaymentSchedule[[#This Row],[PMT NO]]&lt;&gt;"",EOMONTH(LoanStartDate,ROW(PaymentSchedule[[#This Row],[PMT NO]])-ROW(PaymentSchedule[[#Headers],[PMT NO]])-2)+DAY(LoanStartDate),"")</f>
        <v>45413</v>
      </c>
      <c r="D28" s="14">
        <f>IF(PaymentSchedule[[#This Row],[PMT NO]]&lt;&gt;"",IF(ROW()-ROW(PaymentSchedule[[#Headers],[BEGINNING BALANCE]])=1,LoanAmount,INDEX(PaymentSchedule[ENDING BALANCE],ROW()-ROW(PaymentSchedule[[#Headers],[BEGINNING BALANCE]])-1)),"")</f>
        <v>2201236.3547620079</v>
      </c>
      <c r="E28" s="14">
        <f>IF(PaymentSchedule[[#This Row],[PMT NO]]&lt;&gt;"",ScheduledPayment,"")</f>
        <v>11400.419471082316</v>
      </c>
      <c r="F2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8" s="14">
        <f>IF(PaymentSchedule[[#This Row],[PMT NO]]&lt;&gt;"",PaymentSchedule[[#This Row],[TOTAL PAYMENT]]-PaymentSchedule[[#This Row],[INTEREST]],"")</f>
        <v>3145.7831407247868</v>
      </c>
      <c r="I28" s="14">
        <f>IF(PaymentSchedule[[#This Row],[PMT NO]]&lt;&gt;"",PaymentSchedule[[#This Row],[BEGINNING BALANCE]]*(InterestRate/PaymentsPerYear),"")</f>
        <v>8254.636330357529</v>
      </c>
      <c r="J2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2198090.571621283</v>
      </c>
      <c r="K28" s="14">
        <f>IF(PaymentSchedule[[#This Row],[PMT NO]]&lt;&gt;"",SUM(INDEX(PaymentSchedule[INTEREST],1,1):PaymentSchedule[[#This Row],[INTEREST]]),"")</f>
        <v>141897.7026296824</v>
      </c>
    </row>
    <row r="29" spans="2:11" x14ac:dyDescent="0.2">
      <c r="B29" s="10">
        <f>IF(LoanIsGood,IF(ROW()-ROW(PaymentSchedule[[#Headers],[PMT NO]])&gt;ScheduledNumberOfPayments,"",ROW()-ROW(PaymentSchedule[[#Headers],[PMT NO]])),"")</f>
        <v>18</v>
      </c>
      <c r="C29" s="12">
        <f>IF(PaymentSchedule[[#This Row],[PMT NO]]&lt;&gt;"",EOMONTH(LoanStartDate,ROW(PaymentSchedule[[#This Row],[PMT NO]])-ROW(PaymentSchedule[[#Headers],[PMT NO]])-2)+DAY(LoanStartDate),"")</f>
        <v>45444</v>
      </c>
      <c r="D29" s="14">
        <f>IF(PaymentSchedule[[#This Row],[PMT NO]]&lt;&gt;"",IF(ROW()-ROW(PaymentSchedule[[#Headers],[BEGINNING BALANCE]])=1,LoanAmount,INDEX(PaymentSchedule[ENDING BALANCE],ROW()-ROW(PaymentSchedule[[#Headers],[BEGINNING BALANCE]])-1)),"")</f>
        <v>2198090.571621283</v>
      </c>
      <c r="E29" s="14">
        <f>IF(PaymentSchedule[[#This Row],[PMT NO]]&lt;&gt;"",ScheduledPayment,"")</f>
        <v>11400.419471082316</v>
      </c>
      <c r="F2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9" s="14">
        <f>IF(PaymentSchedule[[#This Row],[PMT NO]]&lt;&gt;"",PaymentSchedule[[#This Row],[TOTAL PAYMENT]]-PaymentSchedule[[#This Row],[INTEREST]],"")</f>
        <v>3157.5798275025045</v>
      </c>
      <c r="I29" s="14">
        <f>IF(PaymentSchedule[[#This Row],[PMT NO]]&lt;&gt;"",PaymentSchedule[[#This Row],[BEGINNING BALANCE]]*(InterestRate/PaymentsPerYear),"")</f>
        <v>8242.8396435798113</v>
      </c>
      <c r="J2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2194932.9917937806</v>
      </c>
      <c r="K29" s="14">
        <f>IF(PaymentSchedule[[#This Row],[PMT NO]]&lt;&gt;"",SUM(INDEX(PaymentSchedule[INTEREST],1,1):PaymentSchedule[[#This Row],[INTEREST]]),"")</f>
        <v>150140.54227326222</v>
      </c>
    </row>
    <row r="30" spans="2:11" x14ac:dyDescent="0.2">
      <c r="B30" s="10">
        <f>IF(LoanIsGood,IF(ROW()-ROW(PaymentSchedule[[#Headers],[PMT NO]])&gt;ScheduledNumberOfPayments,"",ROW()-ROW(PaymentSchedule[[#Headers],[PMT NO]])),"")</f>
        <v>19</v>
      </c>
      <c r="C30" s="12">
        <f>IF(PaymentSchedule[[#This Row],[PMT NO]]&lt;&gt;"",EOMONTH(LoanStartDate,ROW(PaymentSchedule[[#This Row],[PMT NO]])-ROW(PaymentSchedule[[#Headers],[PMT NO]])-2)+DAY(LoanStartDate),"")</f>
        <v>45474</v>
      </c>
      <c r="D30" s="14">
        <f>IF(PaymentSchedule[[#This Row],[PMT NO]]&lt;&gt;"",IF(ROW()-ROW(PaymentSchedule[[#Headers],[BEGINNING BALANCE]])=1,LoanAmount,INDEX(PaymentSchedule[ENDING BALANCE],ROW()-ROW(PaymentSchedule[[#Headers],[BEGINNING BALANCE]])-1)),"")</f>
        <v>2194932.9917937806</v>
      </c>
      <c r="E30" s="14">
        <f>IF(PaymentSchedule[[#This Row],[PMT NO]]&lt;&gt;"",ScheduledPayment,"")</f>
        <v>11400.419471082316</v>
      </c>
      <c r="F3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0" s="14">
        <f>IF(PaymentSchedule[[#This Row],[PMT NO]]&lt;&gt;"",PaymentSchedule[[#This Row],[TOTAL PAYMENT]]-PaymentSchedule[[#This Row],[INTEREST]],"")</f>
        <v>3169.4207518556395</v>
      </c>
      <c r="I30" s="14">
        <f>IF(PaymentSchedule[[#This Row],[PMT NO]]&lt;&gt;"",PaymentSchedule[[#This Row],[BEGINNING BALANCE]]*(InterestRate/PaymentsPerYear),"")</f>
        <v>8230.9987192266763</v>
      </c>
      <c r="J3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2191763.5710419249</v>
      </c>
      <c r="K30" s="14">
        <f>IF(PaymentSchedule[[#This Row],[PMT NO]]&lt;&gt;"",SUM(INDEX(PaymentSchedule[INTEREST],1,1):PaymentSchedule[[#This Row],[INTEREST]]),"")</f>
        <v>158371.54099248891</v>
      </c>
    </row>
    <row r="31" spans="2:11" x14ac:dyDescent="0.2">
      <c r="B31" s="10">
        <f>IF(LoanIsGood,IF(ROW()-ROW(PaymentSchedule[[#Headers],[PMT NO]])&gt;ScheduledNumberOfPayments,"",ROW()-ROW(PaymentSchedule[[#Headers],[PMT NO]])),"")</f>
        <v>20</v>
      </c>
      <c r="C31" s="12">
        <f>IF(PaymentSchedule[[#This Row],[PMT NO]]&lt;&gt;"",EOMONTH(LoanStartDate,ROW(PaymentSchedule[[#This Row],[PMT NO]])-ROW(PaymentSchedule[[#Headers],[PMT NO]])-2)+DAY(LoanStartDate),"")</f>
        <v>45505</v>
      </c>
      <c r="D31" s="14">
        <f>IF(PaymentSchedule[[#This Row],[PMT NO]]&lt;&gt;"",IF(ROW()-ROW(PaymentSchedule[[#Headers],[BEGINNING BALANCE]])=1,LoanAmount,INDEX(PaymentSchedule[ENDING BALANCE],ROW()-ROW(PaymentSchedule[[#Headers],[BEGINNING BALANCE]])-1)),"")</f>
        <v>2191763.5710419249</v>
      </c>
      <c r="E31" s="14">
        <f>IF(PaymentSchedule[[#This Row],[PMT NO]]&lt;&gt;"",ScheduledPayment,"")</f>
        <v>11400.419471082316</v>
      </c>
      <c r="F3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1" s="14">
        <f>IF(PaymentSchedule[[#This Row],[PMT NO]]&lt;&gt;"",PaymentSchedule[[#This Row],[TOTAL PAYMENT]]-PaymentSchedule[[#This Row],[INTEREST]],"")</f>
        <v>3181.3060796750979</v>
      </c>
      <c r="I31" s="14">
        <f>IF(PaymentSchedule[[#This Row],[PMT NO]]&lt;&gt;"",PaymentSchedule[[#This Row],[BEGINNING BALANCE]]*(InterestRate/PaymentsPerYear),"")</f>
        <v>8219.1133914072179</v>
      </c>
      <c r="J3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2188582.2649622499</v>
      </c>
      <c r="K31" s="14">
        <f>IF(PaymentSchedule[[#This Row],[PMT NO]]&lt;&gt;"",SUM(INDEX(PaymentSchedule[INTEREST],1,1):PaymentSchedule[[#This Row],[INTEREST]]),"")</f>
        <v>166590.65438389612</v>
      </c>
    </row>
    <row r="32" spans="2:11" x14ac:dyDescent="0.2">
      <c r="B32" s="10">
        <f>IF(LoanIsGood,IF(ROW()-ROW(PaymentSchedule[[#Headers],[PMT NO]])&gt;ScheduledNumberOfPayments,"",ROW()-ROW(PaymentSchedule[[#Headers],[PMT NO]])),"")</f>
        <v>21</v>
      </c>
      <c r="C32" s="12">
        <f>IF(PaymentSchedule[[#This Row],[PMT NO]]&lt;&gt;"",EOMONTH(LoanStartDate,ROW(PaymentSchedule[[#This Row],[PMT NO]])-ROW(PaymentSchedule[[#Headers],[PMT NO]])-2)+DAY(LoanStartDate),"")</f>
        <v>45536</v>
      </c>
      <c r="D32" s="14">
        <f>IF(PaymentSchedule[[#This Row],[PMT NO]]&lt;&gt;"",IF(ROW()-ROW(PaymentSchedule[[#Headers],[BEGINNING BALANCE]])=1,LoanAmount,INDEX(PaymentSchedule[ENDING BALANCE],ROW()-ROW(PaymentSchedule[[#Headers],[BEGINNING BALANCE]])-1)),"")</f>
        <v>2188582.2649622499</v>
      </c>
      <c r="E32" s="14">
        <f>IF(PaymentSchedule[[#This Row],[PMT NO]]&lt;&gt;"",ScheduledPayment,"")</f>
        <v>11400.419471082316</v>
      </c>
      <c r="F3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2" s="14">
        <f>IF(PaymentSchedule[[#This Row],[PMT NO]]&lt;&gt;"",PaymentSchedule[[#This Row],[TOTAL PAYMENT]]-PaymentSchedule[[#This Row],[INTEREST]],"")</f>
        <v>3193.2359774738798</v>
      </c>
      <c r="I32" s="14">
        <f>IF(PaymentSchedule[[#This Row],[PMT NO]]&lt;&gt;"",PaymentSchedule[[#This Row],[BEGINNING BALANCE]]*(InterestRate/PaymentsPerYear),"")</f>
        <v>8207.183493608436</v>
      </c>
      <c r="J3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2185389.0289847762</v>
      </c>
      <c r="K32" s="14">
        <f>IF(PaymentSchedule[[#This Row],[PMT NO]]&lt;&gt;"",SUM(INDEX(PaymentSchedule[INTEREST],1,1):PaymentSchedule[[#This Row],[INTEREST]]),"")</f>
        <v>174797.83787750456</v>
      </c>
    </row>
    <row r="33" spans="2:11" x14ac:dyDescent="0.2">
      <c r="B33" s="10">
        <f>IF(LoanIsGood,IF(ROW()-ROW(PaymentSchedule[[#Headers],[PMT NO]])&gt;ScheduledNumberOfPayments,"",ROW()-ROW(PaymentSchedule[[#Headers],[PMT NO]])),"")</f>
        <v>22</v>
      </c>
      <c r="C33" s="12">
        <f>IF(PaymentSchedule[[#This Row],[PMT NO]]&lt;&gt;"",EOMONTH(LoanStartDate,ROW(PaymentSchedule[[#This Row],[PMT NO]])-ROW(PaymentSchedule[[#Headers],[PMT NO]])-2)+DAY(LoanStartDate),"")</f>
        <v>45566</v>
      </c>
      <c r="D33" s="14">
        <f>IF(PaymentSchedule[[#This Row],[PMT NO]]&lt;&gt;"",IF(ROW()-ROW(PaymentSchedule[[#Headers],[BEGINNING BALANCE]])=1,LoanAmount,INDEX(PaymentSchedule[ENDING BALANCE],ROW()-ROW(PaymentSchedule[[#Headers],[BEGINNING BALANCE]])-1)),"")</f>
        <v>2185389.0289847762</v>
      </c>
      <c r="E33" s="14">
        <f>IF(PaymentSchedule[[#This Row],[PMT NO]]&lt;&gt;"",ScheduledPayment,"")</f>
        <v>11400.419471082316</v>
      </c>
      <c r="F3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3" s="14">
        <f>IF(PaymentSchedule[[#This Row],[PMT NO]]&lt;&gt;"",PaymentSchedule[[#This Row],[TOTAL PAYMENT]]-PaymentSchedule[[#This Row],[INTEREST]],"")</f>
        <v>3205.2106123894046</v>
      </c>
      <c r="I33" s="14">
        <f>IF(PaymentSchedule[[#This Row],[PMT NO]]&lt;&gt;"",PaymentSchedule[[#This Row],[BEGINNING BALANCE]]*(InterestRate/PaymentsPerYear),"")</f>
        <v>8195.2088586929112</v>
      </c>
      <c r="J3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2182183.818372387</v>
      </c>
      <c r="K33" s="14">
        <f>IF(PaymentSchedule[[#This Row],[PMT NO]]&lt;&gt;"",SUM(INDEX(PaymentSchedule[INTEREST],1,1):PaymentSchedule[[#This Row],[INTEREST]]),"")</f>
        <v>182993.04673619746</v>
      </c>
    </row>
    <row r="34" spans="2:11" x14ac:dyDescent="0.2">
      <c r="B34" s="10">
        <f>IF(LoanIsGood,IF(ROW()-ROW(PaymentSchedule[[#Headers],[PMT NO]])&gt;ScheduledNumberOfPayments,"",ROW()-ROW(PaymentSchedule[[#Headers],[PMT NO]])),"")</f>
        <v>23</v>
      </c>
      <c r="C34" s="12">
        <f>IF(PaymentSchedule[[#This Row],[PMT NO]]&lt;&gt;"",EOMONTH(LoanStartDate,ROW(PaymentSchedule[[#This Row],[PMT NO]])-ROW(PaymentSchedule[[#Headers],[PMT NO]])-2)+DAY(LoanStartDate),"")</f>
        <v>45597</v>
      </c>
      <c r="D34" s="14">
        <f>IF(PaymentSchedule[[#This Row],[PMT NO]]&lt;&gt;"",IF(ROW()-ROW(PaymentSchedule[[#Headers],[BEGINNING BALANCE]])=1,LoanAmount,INDEX(PaymentSchedule[ENDING BALANCE],ROW()-ROW(PaymentSchedule[[#Headers],[BEGINNING BALANCE]])-1)),"")</f>
        <v>2182183.818372387</v>
      </c>
      <c r="E34" s="14">
        <f>IF(PaymentSchedule[[#This Row],[PMT NO]]&lt;&gt;"",ScheduledPayment,"")</f>
        <v>11400.419471082316</v>
      </c>
      <c r="F3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4" s="14">
        <f>IF(PaymentSchedule[[#This Row],[PMT NO]]&lt;&gt;"",PaymentSchedule[[#This Row],[TOTAL PAYMENT]]-PaymentSchedule[[#This Row],[INTEREST]],"")</f>
        <v>3217.2301521858653</v>
      </c>
      <c r="I34" s="14">
        <f>IF(PaymentSchedule[[#This Row],[PMT NO]]&lt;&gt;"",PaymentSchedule[[#This Row],[BEGINNING BALANCE]]*(InterestRate/PaymentsPerYear),"")</f>
        <v>8183.1893188964505</v>
      </c>
      <c r="J3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2178966.588220201</v>
      </c>
      <c r="K34" s="14">
        <f>IF(PaymentSchedule[[#This Row],[PMT NO]]&lt;&gt;"",SUM(INDEX(PaymentSchedule[INTEREST],1,1):PaymentSchedule[[#This Row],[INTEREST]]),"")</f>
        <v>191176.2360550939</v>
      </c>
    </row>
    <row r="35" spans="2:11" x14ac:dyDescent="0.2">
      <c r="B35" s="10">
        <f>IF(LoanIsGood,IF(ROW()-ROW(PaymentSchedule[[#Headers],[PMT NO]])&gt;ScheduledNumberOfPayments,"",ROW()-ROW(PaymentSchedule[[#Headers],[PMT NO]])),"")</f>
        <v>24</v>
      </c>
      <c r="C35" s="12">
        <f>IF(PaymentSchedule[[#This Row],[PMT NO]]&lt;&gt;"",EOMONTH(LoanStartDate,ROW(PaymentSchedule[[#This Row],[PMT NO]])-ROW(PaymentSchedule[[#Headers],[PMT NO]])-2)+DAY(LoanStartDate),"")</f>
        <v>45627</v>
      </c>
      <c r="D35" s="14">
        <f>IF(PaymentSchedule[[#This Row],[PMT NO]]&lt;&gt;"",IF(ROW()-ROW(PaymentSchedule[[#Headers],[BEGINNING BALANCE]])=1,LoanAmount,INDEX(PaymentSchedule[ENDING BALANCE],ROW()-ROW(PaymentSchedule[[#Headers],[BEGINNING BALANCE]])-1)),"")</f>
        <v>2178966.588220201</v>
      </c>
      <c r="E35" s="14">
        <f>IF(PaymentSchedule[[#This Row],[PMT NO]]&lt;&gt;"",ScheduledPayment,"")</f>
        <v>11400.419471082316</v>
      </c>
      <c r="F3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5" s="14">
        <f>IF(PaymentSchedule[[#This Row],[PMT NO]]&lt;&gt;"",PaymentSchedule[[#This Row],[TOTAL PAYMENT]]-PaymentSchedule[[#This Row],[INTEREST]],"")</f>
        <v>3229.2947652565626</v>
      </c>
      <c r="I35" s="14">
        <f>IF(PaymentSchedule[[#This Row],[PMT NO]]&lt;&gt;"",PaymentSchedule[[#This Row],[BEGINNING BALANCE]]*(InterestRate/PaymentsPerYear),"")</f>
        <v>8171.1247058257532</v>
      </c>
      <c r="J3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2175737.2934549446</v>
      </c>
      <c r="K35" s="14">
        <f>IF(PaymentSchedule[[#This Row],[PMT NO]]&lt;&gt;"",SUM(INDEX(PaymentSchedule[INTEREST],1,1):PaymentSchedule[[#This Row],[INTEREST]]),"")</f>
        <v>199347.36076091966</v>
      </c>
    </row>
    <row r="36" spans="2:11" x14ac:dyDescent="0.2">
      <c r="B36" s="10">
        <f>IF(LoanIsGood,IF(ROW()-ROW(PaymentSchedule[[#Headers],[PMT NO]])&gt;ScheduledNumberOfPayments,"",ROW()-ROW(PaymentSchedule[[#Headers],[PMT NO]])),"")</f>
        <v>25</v>
      </c>
      <c r="C36" s="12">
        <f>IF(PaymentSchedule[[#This Row],[PMT NO]]&lt;&gt;"",EOMONTH(LoanStartDate,ROW(PaymentSchedule[[#This Row],[PMT NO]])-ROW(PaymentSchedule[[#Headers],[PMT NO]])-2)+DAY(LoanStartDate),"")</f>
        <v>45658</v>
      </c>
      <c r="D36" s="14">
        <f>IF(PaymentSchedule[[#This Row],[PMT NO]]&lt;&gt;"",IF(ROW()-ROW(PaymentSchedule[[#Headers],[BEGINNING BALANCE]])=1,LoanAmount,INDEX(PaymentSchedule[ENDING BALANCE],ROW()-ROW(PaymentSchedule[[#Headers],[BEGINNING BALANCE]])-1)),"")</f>
        <v>2175737.2934549446</v>
      </c>
      <c r="E36" s="14">
        <f>IF(PaymentSchedule[[#This Row],[PMT NO]]&lt;&gt;"",ScheduledPayment,"")</f>
        <v>11400.419471082316</v>
      </c>
      <c r="F3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6" s="14">
        <f>IF(PaymentSchedule[[#This Row],[PMT NO]]&lt;&gt;"",PaymentSchedule[[#This Row],[TOTAL PAYMENT]]-PaymentSchedule[[#This Row],[INTEREST]],"")</f>
        <v>3241.4046206262738</v>
      </c>
      <c r="I36" s="14">
        <f>IF(PaymentSchedule[[#This Row],[PMT NO]]&lt;&gt;"",PaymentSchedule[[#This Row],[BEGINNING BALANCE]]*(InterestRate/PaymentsPerYear),"")</f>
        <v>8159.014850456042</v>
      </c>
      <c r="J3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2172495.8888343181</v>
      </c>
      <c r="K36" s="14">
        <f>IF(PaymentSchedule[[#This Row],[PMT NO]]&lt;&gt;"",SUM(INDEX(PaymentSchedule[INTEREST],1,1):PaymentSchedule[[#This Row],[INTEREST]]),"")</f>
        <v>207506.3756113757</v>
      </c>
    </row>
    <row r="37" spans="2:11" x14ac:dyDescent="0.2">
      <c r="B37" s="10">
        <f>IF(LoanIsGood,IF(ROW()-ROW(PaymentSchedule[[#Headers],[PMT NO]])&gt;ScheduledNumberOfPayments,"",ROW()-ROW(PaymentSchedule[[#Headers],[PMT NO]])),"")</f>
        <v>26</v>
      </c>
      <c r="C37" s="12">
        <f>IF(PaymentSchedule[[#This Row],[PMT NO]]&lt;&gt;"",EOMONTH(LoanStartDate,ROW(PaymentSchedule[[#This Row],[PMT NO]])-ROW(PaymentSchedule[[#Headers],[PMT NO]])-2)+DAY(LoanStartDate),"")</f>
        <v>45689</v>
      </c>
      <c r="D37" s="14">
        <f>IF(PaymentSchedule[[#This Row],[PMT NO]]&lt;&gt;"",IF(ROW()-ROW(PaymentSchedule[[#Headers],[BEGINNING BALANCE]])=1,LoanAmount,INDEX(PaymentSchedule[ENDING BALANCE],ROW()-ROW(PaymentSchedule[[#Headers],[BEGINNING BALANCE]])-1)),"")</f>
        <v>2172495.8888343181</v>
      </c>
      <c r="E37" s="14">
        <f>IF(PaymentSchedule[[#This Row],[PMT NO]]&lt;&gt;"",ScheduledPayment,"")</f>
        <v>11400.419471082316</v>
      </c>
      <c r="F3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7" s="14">
        <f>IF(PaymentSchedule[[#This Row],[PMT NO]]&lt;&gt;"",PaymentSchedule[[#This Row],[TOTAL PAYMENT]]-PaymentSchedule[[#This Row],[INTEREST]],"")</f>
        <v>3253.5598879536228</v>
      </c>
      <c r="I37" s="14">
        <f>IF(PaymentSchedule[[#This Row],[PMT NO]]&lt;&gt;"",PaymentSchedule[[#This Row],[BEGINNING BALANCE]]*(InterestRate/PaymentsPerYear),"")</f>
        <v>8146.859583128693</v>
      </c>
      <c r="J3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2169242.3289463646</v>
      </c>
      <c r="K37" s="14">
        <f>IF(PaymentSchedule[[#This Row],[PMT NO]]&lt;&gt;"",SUM(INDEX(PaymentSchedule[INTEREST],1,1):PaymentSchedule[[#This Row],[INTEREST]]),"")</f>
        <v>215653.23519450438</v>
      </c>
    </row>
    <row r="38" spans="2:11" x14ac:dyDescent="0.2">
      <c r="B38" s="10">
        <f>IF(LoanIsGood,IF(ROW()-ROW(PaymentSchedule[[#Headers],[PMT NO]])&gt;ScheduledNumberOfPayments,"",ROW()-ROW(PaymentSchedule[[#Headers],[PMT NO]])),"")</f>
        <v>27</v>
      </c>
      <c r="C38" s="12">
        <f>IF(PaymentSchedule[[#This Row],[PMT NO]]&lt;&gt;"",EOMONTH(LoanStartDate,ROW(PaymentSchedule[[#This Row],[PMT NO]])-ROW(PaymentSchedule[[#Headers],[PMT NO]])-2)+DAY(LoanStartDate),"")</f>
        <v>45717</v>
      </c>
      <c r="D38" s="14">
        <f>IF(PaymentSchedule[[#This Row],[PMT NO]]&lt;&gt;"",IF(ROW()-ROW(PaymentSchedule[[#Headers],[BEGINNING BALANCE]])=1,LoanAmount,INDEX(PaymentSchedule[ENDING BALANCE],ROW()-ROW(PaymentSchedule[[#Headers],[BEGINNING BALANCE]])-1)),"")</f>
        <v>2169242.3289463646</v>
      </c>
      <c r="E38" s="14">
        <f>IF(PaymentSchedule[[#This Row],[PMT NO]]&lt;&gt;"",ScheduledPayment,"")</f>
        <v>11400.419471082316</v>
      </c>
      <c r="F3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8" s="14">
        <f>IF(PaymentSchedule[[#This Row],[PMT NO]]&lt;&gt;"",PaymentSchedule[[#This Row],[TOTAL PAYMENT]]-PaymentSchedule[[#This Row],[INTEREST]],"")</f>
        <v>3265.7607375334492</v>
      </c>
      <c r="I38" s="14">
        <f>IF(PaymentSchedule[[#This Row],[PMT NO]]&lt;&gt;"",PaymentSchedule[[#This Row],[BEGINNING BALANCE]]*(InterestRate/PaymentsPerYear),"")</f>
        <v>8134.6587335488666</v>
      </c>
      <c r="J3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2165976.5682088309</v>
      </c>
      <c r="K38" s="14">
        <f>IF(PaymentSchedule[[#This Row],[PMT NO]]&lt;&gt;"",SUM(INDEX(PaymentSchedule[INTEREST],1,1):PaymentSchedule[[#This Row],[INTEREST]]),"")</f>
        <v>223787.89392805324</v>
      </c>
    </row>
    <row r="39" spans="2:11" x14ac:dyDescent="0.2">
      <c r="B39" s="10">
        <f>IF(LoanIsGood,IF(ROW()-ROW(PaymentSchedule[[#Headers],[PMT NO]])&gt;ScheduledNumberOfPayments,"",ROW()-ROW(PaymentSchedule[[#Headers],[PMT NO]])),"")</f>
        <v>28</v>
      </c>
      <c r="C39" s="12">
        <f>IF(PaymentSchedule[[#This Row],[PMT NO]]&lt;&gt;"",EOMONTH(LoanStartDate,ROW(PaymentSchedule[[#This Row],[PMT NO]])-ROW(PaymentSchedule[[#Headers],[PMT NO]])-2)+DAY(LoanStartDate),"")</f>
        <v>45748</v>
      </c>
      <c r="D39" s="14">
        <f>IF(PaymentSchedule[[#This Row],[PMT NO]]&lt;&gt;"",IF(ROW()-ROW(PaymentSchedule[[#Headers],[BEGINNING BALANCE]])=1,LoanAmount,INDEX(PaymentSchedule[ENDING BALANCE],ROW()-ROW(PaymentSchedule[[#Headers],[BEGINNING BALANCE]])-1)),"")</f>
        <v>2165976.5682088309</v>
      </c>
      <c r="E39" s="14">
        <f>IF(PaymentSchedule[[#This Row],[PMT NO]]&lt;&gt;"",ScheduledPayment,"")</f>
        <v>11400.419471082316</v>
      </c>
      <c r="F3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9" s="14">
        <f>IF(PaymentSchedule[[#This Row],[PMT NO]]&lt;&gt;"",PaymentSchedule[[#This Row],[TOTAL PAYMENT]]-PaymentSchedule[[#This Row],[INTEREST]],"")</f>
        <v>3278.0073402992002</v>
      </c>
      <c r="I39" s="14">
        <f>IF(PaymentSchedule[[#This Row],[PMT NO]]&lt;&gt;"",PaymentSchedule[[#This Row],[BEGINNING BALANCE]]*(InterestRate/PaymentsPerYear),"")</f>
        <v>8122.4121307831156</v>
      </c>
      <c r="J3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2162698.5608685315</v>
      </c>
      <c r="K39" s="14">
        <f>IF(PaymentSchedule[[#This Row],[PMT NO]]&lt;&gt;"",SUM(INDEX(PaymentSchedule[INTEREST],1,1):PaymentSchedule[[#This Row],[INTEREST]]),"")</f>
        <v>231910.30605883634</v>
      </c>
    </row>
    <row r="40" spans="2:11" x14ac:dyDescent="0.2">
      <c r="B40" s="10">
        <f>IF(LoanIsGood,IF(ROW()-ROW(PaymentSchedule[[#Headers],[PMT NO]])&gt;ScheduledNumberOfPayments,"",ROW()-ROW(PaymentSchedule[[#Headers],[PMT NO]])),"")</f>
        <v>29</v>
      </c>
      <c r="C40" s="12">
        <f>IF(PaymentSchedule[[#This Row],[PMT NO]]&lt;&gt;"",EOMONTH(LoanStartDate,ROW(PaymentSchedule[[#This Row],[PMT NO]])-ROW(PaymentSchedule[[#Headers],[PMT NO]])-2)+DAY(LoanStartDate),"")</f>
        <v>45778</v>
      </c>
      <c r="D40" s="14">
        <f>IF(PaymentSchedule[[#This Row],[PMT NO]]&lt;&gt;"",IF(ROW()-ROW(PaymentSchedule[[#Headers],[BEGINNING BALANCE]])=1,LoanAmount,INDEX(PaymentSchedule[ENDING BALANCE],ROW()-ROW(PaymentSchedule[[#Headers],[BEGINNING BALANCE]])-1)),"")</f>
        <v>2162698.5608685315</v>
      </c>
      <c r="E40" s="14">
        <f>IF(PaymentSchedule[[#This Row],[PMT NO]]&lt;&gt;"",ScheduledPayment,"")</f>
        <v>11400.419471082316</v>
      </c>
      <c r="F4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40" s="14">
        <f>IF(PaymentSchedule[[#This Row],[PMT NO]]&lt;&gt;"",PaymentSchedule[[#This Row],[TOTAL PAYMENT]]-PaymentSchedule[[#This Row],[INTEREST]],"")</f>
        <v>3290.2998678253234</v>
      </c>
      <c r="I40" s="14">
        <f>IF(PaymentSchedule[[#This Row],[PMT NO]]&lt;&gt;"",PaymentSchedule[[#This Row],[BEGINNING BALANCE]]*(InterestRate/PaymentsPerYear),"")</f>
        <v>8110.1196032569924</v>
      </c>
      <c r="J4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2159408.2610007063</v>
      </c>
      <c r="K40" s="14">
        <f>IF(PaymentSchedule[[#This Row],[PMT NO]]&lt;&gt;"",SUM(INDEX(PaymentSchedule[INTEREST],1,1):PaymentSchedule[[#This Row],[INTEREST]]),"")</f>
        <v>240020.42566209333</v>
      </c>
    </row>
    <row r="41" spans="2:11" x14ac:dyDescent="0.2">
      <c r="B41" s="10">
        <f>IF(LoanIsGood,IF(ROW()-ROW(PaymentSchedule[[#Headers],[PMT NO]])&gt;ScheduledNumberOfPayments,"",ROW()-ROW(PaymentSchedule[[#Headers],[PMT NO]])),"")</f>
        <v>30</v>
      </c>
      <c r="C41" s="12">
        <f>IF(PaymentSchedule[[#This Row],[PMT NO]]&lt;&gt;"",EOMONTH(LoanStartDate,ROW(PaymentSchedule[[#This Row],[PMT NO]])-ROW(PaymentSchedule[[#Headers],[PMT NO]])-2)+DAY(LoanStartDate),"")</f>
        <v>45809</v>
      </c>
      <c r="D41" s="14">
        <f>IF(PaymentSchedule[[#This Row],[PMT NO]]&lt;&gt;"",IF(ROW()-ROW(PaymentSchedule[[#Headers],[BEGINNING BALANCE]])=1,LoanAmount,INDEX(PaymentSchedule[ENDING BALANCE],ROW()-ROW(PaymentSchedule[[#Headers],[BEGINNING BALANCE]])-1)),"")</f>
        <v>2159408.2610007063</v>
      </c>
      <c r="E41" s="14">
        <f>IF(PaymentSchedule[[#This Row],[PMT NO]]&lt;&gt;"",ScheduledPayment,"")</f>
        <v>11400.419471082316</v>
      </c>
      <c r="F4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41" s="14">
        <f>IF(PaymentSchedule[[#This Row],[PMT NO]]&lt;&gt;"",PaymentSchedule[[#This Row],[TOTAL PAYMENT]]-PaymentSchedule[[#This Row],[INTEREST]],"")</f>
        <v>3302.6384923296673</v>
      </c>
      <c r="I41" s="14">
        <f>IF(PaymentSchedule[[#This Row],[PMT NO]]&lt;&gt;"",PaymentSchedule[[#This Row],[BEGINNING BALANCE]]*(InterestRate/PaymentsPerYear),"")</f>
        <v>8097.7809787526485</v>
      </c>
      <c r="J4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2156105.6225083768</v>
      </c>
      <c r="K41" s="14">
        <f>IF(PaymentSchedule[[#This Row],[PMT NO]]&lt;&gt;"",SUM(INDEX(PaymentSchedule[INTEREST],1,1):PaymentSchedule[[#This Row],[INTEREST]]),"")</f>
        <v>248118.20664084598</v>
      </c>
    </row>
    <row r="42" spans="2:11" x14ac:dyDescent="0.2">
      <c r="B42" s="10">
        <f>IF(LoanIsGood,IF(ROW()-ROW(PaymentSchedule[[#Headers],[PMT NO]])&gt;ScheduledNumberOfPayments,"",ROW()-ROW(PaymentSchedule[[#Headers],[PMT NO]])),"")</f>
        <v>31</v>
      </c>
      <c r="C42" s="12">
        <f>IF(PaymentSchedule[[#This Row],[PMT NO]]&lt;&gt;"",EOMONTH(LoanStartDate,ROW(PaymentSchedule[[#This Row],[PMT NO]])-ROW(PaymentSchedule[[#Headers],[PMT NO]])-2)+DAY(LoanStartDate),"")</f>
        <v>45839</v>
      </c>
      <c r="D42" s="14">
        <f>IF(PaymentSchedule[[#This Row],[PMT NO]]&lt;&gt;"",IF(ROW()-ROW(PaymentSchedule[[#Headers],[BEGINNING BALANCE]])=1,LoanAmount,INDEX(PaymentSchedule[ENDING BALANCE],ROW()-ROW(PaymentSchedule[[#Headers],[BEGINNING BALANCE]])-1)),"")</f>
        <v>2156105.6225083768</v>
      </c>
      <c r="E42" s="14">
        <f>IF(PaymentSchedule[[#This Row],[PMT NO]]&lt;&gt;"",ScheduledPayment,"")</f>
        <v>11400.419471082316</v>
      </c>
      <c r="F4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42" s="14">
        <f>IF(PaymentSchedule[[#This Row],[PMT NO]]&lt;&gt;"",PaymentSchedule[[#This Row],[TOTAL PAYMENT]]-PaymentSchedule[[#This Row],[INTEREST]],"")</f>
        <v>3315.0233866759027</v>
      </c>
      <c r="I42" s="14">
        <f>IF(PaymentSchedule[[#This Row],[PMT NO]]&lt;&gt;"",PaymentSchedule[[#This Row],[BEGINNING BALANCE]]*(InterestRate/PaymentsPerYear),"")</f>
        <v>8085.3960844064131</v>
      </c>
      <c r="J4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2152790.599121701</v>
      </c>
      <c r="K42" s="14">
        <f>IF(PaymentSchedule[[#This Row],[PMT NO]]&lt;&gt;"",SUM(INDEX(PaymentSchedule[INTEREST],1,1):PaymentSchedule[[#This Row],[INTEREST]]),"")</f>
        <v>256203.60272525239</v>
      </c>
    </row>
    <row r="43" spans="2:11" x14ac:dyDescent="0.2">
      <c r="B43" s="10">
        <f>IF(LoanIsGood,IF(ROW()-ROW(PaymentSchedule[[#Headers],[PMT NO]])&gt;ScheduledNumberOfPayments,"",ROW()-ROW(PaymentSchedule[[#Headers],[PMT NO]])),"")</f>
        <v>32</v>
      </c>
      <c r="C43" s="12">
        <f>IF(PaymentSchedule[[#This Row],[PMT NO]]&lt;&gt;"",EOMONTH(LoanStartDate,ROW(PaymentSchedule[[#This Row],[PMT NO]])-ROW(PaymentSchedule[[#Headers],[PMT NO]])-2)+DAY(LoanStartDate),"")</f>
        <v>45870</v>
      </c>
      <c r="D43" s="14">
        <f>IF(PaymentSchedule[[#This Row],[PMT NO]]&lt;&gt;"",IF(ROW()-ROW(PaymentSchedule[[#Headers],[BEGINNING BALANCE]])=1,LoanAmount,INDEX(PaymentSchedule[ENDING BALANCE],ROW()-ROW(PaymentSchedule[[#Headers],[BEGINNING BALANCE]])-1)),"")</f>
        <v>2152790.599121701</v>
      </c>
      <c r="E43" s="14">
        <f>IF(PaymentSchedule[[#This Row],[PMT NO]]&lt;&gt;"",ScheduledPayment,"")</f>
        <v>11400.419471082316</v>
      </c>
      <c r="F4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43" s="14">
        <f>IF(PaymentSchedule[[#This Row],[PMT NO]]&lt;&gt;"",PaymentSchedule[[#This Row],[TOTAL PAYMENT]]-PaymentSchedule[[#This Row],[INTEREST]],"")</f>
        <v>3327.4547243759371</v>
      </c>
      <c r="I43" s="14">
        <f>IF(PaymentSchedule[[#This Row],[PMT NO]]&lt;&gt;"",PaymentSchedule[[#This Row],[BEGINNING BALANCE]]*(InterestRate/PaymentsPerYear),"")</f>
        <v>8072.9647467063787</v>
      </c>
      <c r="J4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2149463.1443973249</v>
      </c>
      <c r="K43" s="14">
        <f>IF(PaymentSchedule[[#This Row],[PMT NO]]&lt;&gt;"",SUM(INDEX(PaymentSchedule[INTEREST],1,1):PaymentSchedule[[#This Row],[INTEREST]]),"")</f>
        <v>264276.56747195876</v>
      </c>
    </row>
    <row r="44" spans="2:11" x14ac:dyDescent="0.2">
      <c r="B44" s="10">
        <f>IF(LoanIsGood,IF(ROW()-ROW(PaymentSchedule[[#Headers],[PMT NO]])&gt;ScheduledNumberOfPayments,"",ROW()-ROW(PaymentSchedule[[#Headers],[PMT NO]])),"")</f>
        <v>33</v>
      </c>
      <c r="C44" s="12">
        <f>IF(PaymentSchedule[[#This Row],[PMT NO]]&lt;&gt;"",EOMONTH(LoanStartDate,ROW(PaymentSchedule[[#This Row],[PMT NO]])-ROW(PaymentSchedule[[#Headers],[PMT NO]])-2)+DAY(LoanStartDate),"")</f>
        <v>45901</v>
      </c>
      <c r="D44" s="14">
        <f>IF(PaymentSchedule[[#This Row],[PMT NO]]&lt;&gt;"",IF(ROW()-ROW(PaymentSchedule[[#Headers],[BEGINNING BALANCE]])=1,LoanAmount,INDEX(PaymentSchedule[ENDING BALANCE],ROW()-ROW(PaymentSchedule[[#Headers],[BEGINNING BALANCE]])-1)),"")</f>
        <v>2149463.1443973249</v>
      </c>
      <c r="E44" s="14">
        <f>IF(PaymentSchedule[[#This Row],[PMT NO]]&lt;&gt;"",ScheduledPayment,"")</f>
        <v>11400.419471082316</v>
      </c>
      <c r="F4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44" s="14">
        <f>IF(PaymentSchedule[[#This Row],[PMT NO]]&lt;&gt;"",PaymentSchedule[[#This Row],[TOTAL PAYMENT]]-PaymentSchedule[[#This Row],[INTEREST]],"")</f>
        <v>3339.932679592348</v>
      </c>
      <c r="I44" s="14">
        <f>IF(PaymentSchedule[[#This Row],[PMT NO]]&lt;&gt;"",PaymentSchedule[[#This Row],[BEGINNING BALANCE]]*(InterestRate/PaymentsPerYear),"")</f>
        <v>8060.4867914899678</v>
      </c>
      <c r="J4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2146123.2117177327</v>
      </c>
      <c r="K44" s="14">
        <f>IF(PaymentSchedule[[#This Row],[PMT NO]]&lt;&gt;"",SUM(INDEX(PaymentSchedule[INTEREST],1,1):PaymentSchedule[[#This Row],[INTEREST]]),"")</f>
        <v>272337.05426344875</v>
      </c>
    </row>
    <row r="45" spans="2:11" x14ac:dyDescent="0.2">
      <c r="B45" s="10">
        <f>IF(LoanIsGood,IF(ROW()-ROW(PaymentSchedule[[#Headers],[PMT NO]])&gt;ScheduledNumberOfPayments,"",ROW()-ROW(PaymentSchedule[[#Headers],[PMT NO]])),"")</f>
        <v>34</v>
      </c>
      <c r="C45" s="12">
        <f>IF(PaymentSchedule[[#This Row],[PMT NO]]&lt;&gt;"",EOMONTH(LoanStartDate,ROW(PaymentSchedule[[#This Row],[PMT NO]])-ROW(PaymentSchedule[[#Headers],[PMT NO]])-2)+DAY(LoanStartDate),"")</f>
        <v>45931</v>
      </c>
      <c r="D45" s="14">
        <f>IF(PaymentSchedule[[#This Row],[PMT NO]]&lt;&gt;"",IF(ROW()-ROW(PaymentSchedule[[#Headers],[BEGINNING BALANCE]])=1,LoanAmount,INDEX(PaymentSchedule[ENDING BALANCE],ROW()-ROW(PaymentSchedule[[#Headers],[BEGINNING BALANCE]])-1)),"")</f>
        <v>2146123.2117177327</v>
      </c>
      <c r="E45" s="14">
        <f>IF(PaymentSchedule[[#This Row],[PMT NO]]&lt;&gt;"",ScheduledPayment,"")</f>
        <v>11400.419471082316</v>
      </c>
      <c r="F4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45" s="14">
        <f>IF(PaymentSchedule[[#This Row],[PMT NO]]&lt;&gt;"",PaymentSchedule[[#This Row],[TOTAL PAYMENT]]-PaymentSchedule[[#This Row],[INTEREST]],"")</f>
        <v>3352.4574271408183</v>
      </c>
      <c r="I45" s="14">
        <f>IF(PaymentSchedule[[#This Row],[PMT NO]]&lt;&gt;"",PaymentSchedule[[#This Row],[BEGINNING BALANCE]]*(InterestRate/PaymentsPerYear),"")</f>
        <v>8047.9620439414975</v>
      </c>
      <c r="J4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2142770.7542905919</v>
      </c>
      <c r="K45" s="14">
        <f>IF(PaymentSchedule[[#This Row],[PMT NO]]&lt;&gt;"",SUM(INDEX(PaymentSchedule[INTEREST],1,1):PaymentSchedule[[#This Row],[INTEREST]]),"")</f>
        <v>280385.01630739024</v>
      </c>
    </row>
    <row r="46" spans="2:11" x14ac:dyDescent="0.2">
      <c r="B46" s="10">
        <f>IF(LoanIsGood,IF(ROW()-ROW(PaymentSchedule[[#Headers],[PMT NO]])&gt;ScheduledNumberOfPayments,"",ROW()-ROW(PaymentSchedule[[#Headers],[PMT NO]])),"")</f>
        <v>35</v>
      </c>
      <c r="C46" s="12">
        <f>IF(PaymentSchedule[[#This Row],[PMT NO]]&lt;&gt;"",EOMONTH(LoanStartDate,ROW(PaymentSchedule[[#This Row],[PMT NO]])-ROW(PaymentSchedule[[#Headers],[PMT NO]])-2)+DAY(LoanStartDate),"")</f>
        <v>45962</v>
      </c>
      <c r="D46" s="14">
        <f>IF(PaymentSchedule[[#This Row],[PMT NO]]&lt;&gt;"",IF(ROW()-ROW(PaymentSchedule[[#Headers],[BEGINNING BALANCE]])=1,LoanAmount,INDEX(PaymentSchedule[ENDING BALANCE],ROW()-ROW(PaymentSchedule[[#Headers],[BEGINNING BALANCE]])-1)),"")</f>
        <v>2142770.7542905919</v>
      </c>
      <c r="E46" s="14">
        <f>IF(PaymentSchedule[[#This Row],[PMT NO]]&lt;&gt;"",ScheduledPayment,"")</f>
        <v>11400.419471082316</v>
      </c>
      <c r="F4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46" s="14">
        <f>IF(PaymentSchedule[[#This Row],[PMT NO]]&lt;&gt;"",PaymentSchedule[[#This Row],[TOTAL PAYMENT]]-PaymentSchedule[[#This Row],[INTEREST]],"")</f>
        <v>3365.0291424925963</v>
      </c>
      <c r="I46" s="14">
        <f>IF(PaymentSchedule[[#This Row],[PMT NO]]&lt;&gt;"",PaymentSchedule[[#This Row],[BEGINNING BALANCE]]*(InterestRate/PaymentsPerYear),"")</f>
        <v>8035.3903285897195</v>
      </c>
      <c r="J4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2139405.7251480995</v>
      </c>
      <c r="K46" s="14">
        <f>IF(PaymentSchedule[[#This Row],[PMT NO]]&lt;&gt;"",SUM(INDEX(PaymentSchedule[INTEREST],1,1):PaymentSchedule[[#This Row],[INTEREST]]),"")</f>
        <v>288420.40663597995</v>
      </c>
    </row>
    <row r="47" spans="2:11" x14ac:dyDescent="0.2">
      <c r="B47" s="10">
        <f>IF(LoanIsGood,IF(ROW()-ROW(PaymentSchedule[[#Headers],[PMT NO]])&gt;ScheduledNumberOfPayments,"",ROW()-ROW(PaymentSchedule[[#Headers],[PMT NO]])),"")</f>
        <v>36</v>
      </c>
      <c r="C47" s="12">
        <f>IF(PaymentSchedule[[#This Row],[PMT NO]]&lt;&gt;"",EOMONTH(LoanStartDate,ROW(PaymentSchedule[[#This Row],[PMT NO]])-ROW(PaymentSchedule[[#Headers],[PMT NO]])-2)+DAY(LoanStartDate),"")</f>
        <v>45992</v>
      </c>
      <c r="D47" s="14">
        <f>IF(PaymentSchedule[[#This Row],[PMT NO]]&lt;&gt;"",IF(ROW()-ROW(PaymentSchedule[[#Headers],[BEGINNING BALANCE]])=1,LoanAmount,INDEX(PaymentSchedule[ENDING BALANCE],ROW()-ROW(PaymentSchedule[[#Headers],[BEGINNING BALANCE]])-1)),"")</f>
        <v>2139405.7251480995</v>
      </c>
      <c r="E47" s="14">
        <f>IF(PaymentSchedule[[#This Row],[PMT NO]]&lt;&gt;"",ScheduledPayment,"")</f>
        <v>11400.419471082316</v>
      </c>
      <c r="F4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47" s="14">
        <f>IF(PaymentSchedule[[#This Row],[PMT NO]]&lt;&gt;"",PaymentSchedule[[#This Row],[TOTAL PAYMENT]]-PaymentSchedule[[#This Row],[INTEREST]],"")</f>
        <v>3377.6480017769427</v>
      </c>
      <c r="I47" s="14">
        <f>IF(PaymentSchedule[[#This Row],[PMT NO]]&lt;&gt;"",PaymentSchedule[[#This Row],[BEGINNING BALANCE]]*(InterestRate/PaymentsPerYear),"")</f>
        <v>8022.7714693053731</v>
      </c>
      <c r="J4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2136028.0771463225</v>
      </c>
      <c r="K47" s="14">
        <f>IF(PaymentSchedule[[#This Row],[PMT NO]]&lt;&gt;"",SUM(INDEX(PaymentSchedule[INTEREST],1,1):PaymentSchedule[[#This Row],[INTEREST]]),"")</f>
        <v>296443.17810528533</v>
      </c>
    </row>
    <row r="48" spans="2:11" x14ac:dyDescent="0.2">
      <c r="B48" s="10">
        <f>IF(LoanIsGood,IF(ROW()-ROW(PaymentSchedule[[#Headers],[PMT NO]])&gt;ScheduledNumberOfPayments,"",ROW()-ROW(PaymentSchedule[[#Headers],[PMT NO]])),"")</f>
        <v>37</v>
      </c>
      <c r="C48" s="12">
        <f>IF(PaymentSchedule[[#This Row],[PMT NO]]&lt;&gt;"",EOMONTH(LoanStartDate,ROW(PaymentSchedule[[#This Row],[PMT NO]])-ROW(PaymentSchedule[[#Headers],[PMT NO]])-2)+DAY(LoanStartDate),"")</f>
        <v>46023</v>
      </c>
      <c r="D48" s="14">
        <f>IF(PaymentSchedule[[#This Row],[PMT NO]]&lt;&gt;"",IF(ROW()-ROW(PaymentSchedule[[#Headers],[BEGINNING BALANCE]])=1,LoanAmount,INDEX(PaymentSchedule[ENDING BALANCE],ROW()-ROW(PaymentSchedule[[#Headers],[BEGINNING BALANCE]])-1)),"")</f>
        <v>2136028.0771463225</v>
      </c>
      <c r="E48" s="14">
        <f>IF(PaymentSchedule[[#This Row],[PMT NO]]&lt;&gt;"",ScheduledPayment,"")</f>
        <v>11400.419471082316</v>
      </c>
      <c r="F4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48" s="14">
        <f>IF(PaymentSchedule[[#This Row],[PMT NO]]&lt;&gt;"",PaymentSchedule[[#This Row],[TOTAL PAYMENT]]-PaymentSchedule[[#This Row],[INTEREST]],"")</f>
        <v>3390.3141817836067</v>
      </c>
      <c r="I48" s="14">
        <f>IF(PaymentSchedule[[#This Row],[PMT NO]]&lt;&gt;"",PaymentSchedule[[#This Row],[BEGINNING BALANCE]]*(InterestRate/PaymentsPerYear),"")</f>
        <v>8010.1052892987091</v>
      </c>
      <c r="J4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2132637.7629645388</v>
      </c>
      <c r="K48" s="14">
        <f>IF(PaymentSchedule[[#This Row],[PMT NO]]&lt;&gt;"",SUM(INDEX(PaymentSchedule[INTEREST],1,1):PaymentSchedule[[#This Row],[INTEREST]]),"")</f>
        <v>304453.28339458402</v>
      </c>
    </row>
    <row r="49" spans="2:11" x14ac:dyDescent="0.2">
      <c r="B49" s="10">
        <f>IF(LoanIsGood,IF(ROW()-ROW(PaymentSchedule[[#Headers],[PMT NO]])&gt;ScheduledNumberOfPayments,"",ROW()-ROW(PaymentSchedule[[#Headers],[PMT NO]])),"")</f>
        <v>38</v>
      </c>
      <c r="C49" s="12">
        <f>IF(PaymentSchedule[[#This Row],[PMT NO]]&lt;&gt;"",EOMONTH(LoanStartDate,ROW(PaymentSchedule[[#This Row],[PMT NO]])-ROW(PaymentSchedule[[#Headers],[PMT NO]])-2)+DAY(LoanStartDate),"")</f>
        <v>46054</v>
      </c>
      <c r="D49" s="14">
        <f>IF(PaymentSchedule[[#This Row],[PMT NO]]&lt;&gt;"",IF(ROW()-ROW(PaymentSchedule[[#Headers],[BEGINNING BALANCE]])=1,LoanAmount,INDEX(PaymentSchedule[ENDING BALANCE],ROW()-ROW(PaymentSchedule[[#Headers],[BEGINNING BALANCE]])-1)),"")</f>
        <v>2132637.7629645388</v>
      </c>
      <c r="E49" s="14">
        <f>IF(PaymentSchedule[[#This Row],[PMT NO]]&lt;&gt;"",ScheduledPayment,"")</f>
        <v>11400.419471082316</v>
      </c>
      <c r="F4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49" s="14">
        <f>IF(PaymentSchedule[[#This Row],[PMT NO]]&lt;&gt;"",PaymentSchedule[[#This Row],[TOTAL PAYMENT]]-PaymentSchedule[[#This Row],[INTEREST]],"")</f>
        <v>3403.0278599652956</v>
      </c>
      <c r="I49" s="14">
        <f>IF(PaymentSchedule[[#This Row],[PMT NO]]&lt;&gt;"",PaymentSchedule[[#This Row],[BEGINNING BALANCE]]*(InterestRate/PaymentsPerYear),"")</f>
        <v>7997.3916111170201</v>
      </c>
      <c r="J4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2129234.7351045734</v>
      </c>
      <c r="K49" s="14">
        <f>IF(PaymentSchedule[[#This Row],[PMT NO]]&lt;&gt;"",SUM(INDEX(PaymentSchedule[INTEREST],1,1):PaymentSchedule[[#This Row],[INTEREST]]),"")</f>
        <v>312450.67500570102</v>
      </c>
    </row>
    <row r="50" spans="2:11" x14ac:dyDescent="0.2">
      <c r="B50" s="10">
        <f>IF(LoanIsGood,IF(ROW()-ROW(PaymentSchedule[[#Headers],[PMT NO]])&gt;ScheduledNumberOfPayments,"",ROW()-ROW(PaymentSchedule[[#Headers],[PMT NO]])),"")</f>
        <v>39</v>
      </c>
      <c r="C50" s="12">
        <f>IF(PaymentSchedule[[#This Row],[PMT NO]]&lt;&gt;"",EOMONTH(LoanStartDate,ROW(PaymentSchedule[[#This Row],[PMT NO]])-ROW(PaymentSchedule[[#Headers],[PMT NO]])-2)+DAY(LoanStartDate),"")</f>
        <v>46082</v>
      </c>
      <c r="D50" s="14">
        <f>IF(PaymentSchedule[[#This Row],[PMT NO]]&lt;&gt;"",IF(ROW()-ROW(PaymentSchedule[[#Headers],[BEGINNING BALANCE]])=1,LoanAmount,INDEX(PaymentSchedule[ENDING BALANCE],ROW()-ROW(PaymentSchedule[[#Headers],[BEGINNING BALANCE]])-1)),"")</f>
        <v>2129234.7351045734</v>
      </c>
      <c r="E50" s="14">
        <f>IF(PaymentSchedule[[#This Row],[PMT NO]]&lt;&gt;"",ScheduledPayment,"")</f>
        <v>11400.419471082316</v>
      </c>
      <c r="F5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50" s="14">
        <f>IF(PaymentSchedule[[#This Row],[PMT NO]]&lt;&gt;"",PaymentSchedule[[#This Row],[TOTAL PAYMENT]]-PaymentSchedule[[#This Row],[INTEREST]],"")</f>
        <v>3415.7892144401658</v>
      </c>
      <c r="I50" s="14">
        <f>IF(PaymentSchedule[[#This Row],[PMT NO]]&lt;&gt;"",PaymentSchedule[[#This Row],[BEGINNING BALANCE]]*(InterestRate/PaymentsPerYear),"")</f>
        <v>7984.63025664215</v>
      </c>
      <c r="J5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2125818.9458901333</v>
      </c>
      <c r="K50" s="14">
        <f>IF(PaymentSchedule[[#This Row],[PMT NO]]&lt;&gt;"",SUM(INDEX(PaymentSchedule[INTEREST],1,1):PaymentSchedule[[#This Row],[INTEREST]]),"")</f>
        <v>320435.30526234314</v>
      </c>
    </row>
    <row r="51" spans="2:11" x14ac:dyDescent="0.2">
      <c r="B51" s="10">
        <f>IF(LoanIsGood,IF(ROW()-ROW(PaymentSchedule[[#Headers],[PMT NO]])&gt;ScheduledNumberOfPayments,"",ROW()-ROW(PaymentSchedule[[#Headers],[PMT NO]])),"")</f>
        <v>40</v>
      </c>
      <c r="C51" s="12">
        <f>IF(PaymentSchedule[[#This Row],[PMT NO]]&lt;&gt;"",EOMONTH(LoanStartDate,ROW(PaymentSchedule[[#This Row],[PMT NO]])-ROW(PaymentSchedule[[#Headers],[PMT NO]])-2)+DAY(LoanStartDate),"")</f>
        <v>46113</v>
      </c>
      <c r="D51" s="14">
        <f>IF(PaymentSchedule[[#This Row],[PMT NO]]&lt;&gt;"",IF(ROW()-ROW(PaymentSchedule[[#Headers],[BEGINNING BALANCE]])=1,LoanAmount,INDEX(PaymentSchedule[ENDING BALANCE],ROW()-ROW(PaymentSchedule[[#Headers],[BEGINNING BALANCE]])-1)),"")</f>
        <v>2125818.9458901333</v>
      </c>
      <c r="E51" s="14">
        <f>IF(PaymentSchedule[[#This Row],[PMT NO]]&lt;&gt;"",ScheduledPayment,"")</f>
        <v>11400.419471082316</v>
      </c>
      <c r="F5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51" s="14">
        <f>IF(PaymentSchedule[[#This Row],[PMT NO]]&lt;&gt;"",PaymentSchedule[[#This Row],[TOTAL PAYMENT]]-PaymentSchedule[[#This Row],[INTEREST]],"")</f>
        <v>3428.5984239943164</v>
      </c>
      <c r="I51" s="14">
        <f>IF(PaymentSchedule[[#This Row],[PMT NO]]&lt;&gt;"",PaymentSchedule[[#This Row],[BEGINNING BALANCE]]*(InterestRate/PaymentsPerYear),"")</f>
        <v>7971.8210470879994</v>
      </c>
      <c r="J5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2122390.3474661391</v>
      </c>
      <c r="K51" s="14">
        <f>IF(PaymentSchedule[[#This Row],[PMT NO]]&lt;&gt;"",SUM(INDEX(PaymentSchedule[INTEREST],1,1):PaymentSchedule[[#This Row],[INTEREST]]),"")</f>
        <v>328407.12630943116</v>
      </c>
    </row>
    <row r="52" spans="2:11" x14ac:dyDescent="0.2">
      <c r="B52" s="10">
        <f>IF(LoanIsGood,IF(ROW()-ROW(PaymentSchedule[[#Headers],[PMT NO]])&gt;ScheduledNumberOfPayments,"",ROW()-ROW(PaymentSchedule[[#Headers],[PMT NO]])),"")</f>
        <v>41</v>
      </c>
      <c r="C52" s="12">
        <f>IF(PaymentSchedule[[#This Row],[PMT NO]]&lt;&gt;"",EOMONTH(LoanStartDate,ROW(PaymentSchedule[[#This Row],[PMT NO]])-ROW(PaymentSchedule[[#Headers],[PMT NO]])-2)+DAY(LoanStartDate),"")</f>
        <v>46143</v>
      </c>
      <c r="D52" s="14">
        <f>IF(PaymentSchedule[[#This Row],[PMT NO]]&lt;&gt;"",IF(ROW()-ROW(PaymentSchedule[[#Headers],[BEGINNING BALANCE]])=1,LoanAmount,INDEX(PaymentSchedule[ENDING BALANCE],ROW()-ROW(PaymentSchedule[[#Headers],[BEGINNING BALANCE]])-1)),"")</f>
        <v>2122390.3474661391</v>
      </c>
      <c r="E52" s="14">
        <f>IF(PaymentSchedule[[#This Row],[PMT NO]]&lt;&gt;"",ScheduledPayment,"")</f>
        <v>11400.419471082316</v>
      </c>
      <c r="F5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52" s="14">
        <f>IF(PaymentSchedule[[#This Row],[PMT NO]]&lt;&gt;"",PaymentSchedule[[#This Row],[TOTAL PAYMENT]]-PaymentSchedule[[#This Row],[INTEREST]],"")</f>
        <v>3441.4556680842943</v>
      </c>
      <c r="I52" s="14">
        <f>IF(PaymentSchedule[[#This Row],[PMT NO]]&lt;&gt;"",PaymentSchedule[[#This Row],[BEGINNING BALANCE]]*(InterestRate/PaymentsPerYear),"")</f>
        <v>7958.9638029980215</v>
      </c>
      <c r="J5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2118948.8917980548</v>
      </c>
      <c r="K52" s="14">
        <f>IF(PaymentSchedule[[#This Row],[PMT NO]]&lt;&gt;"",SUM(INDEX(PaymentSchedule[INTEREST],1,1):PaymentSchedule[[#This Row],[INTEREST]]),"")</f>
        <v>336366.09011242917</v>
      </c>
    </row>
    <row r="53" spans="2:11" x14ac:dyDescent="0.2">
      <c r="B53" s="10">
        <f>IF(LoanIsGood,IF(ROW()-ROW(PaymentSchedule[[#Headers],[PMT NO]])&gt;ScheduledNumberOfPayments,"",ROW()-ROW(PaymentSchedule[[#Headers],[PMT NO]])),"")</f>
        <v>42</v>
      </c>
      <c r="C53" s="12">
        <f>IF(PaymentSchedule[[#This Row],[PMT NO]]&lt;&gt;"",EOMONTH(LoanStartDate,ROW(PaymentSchedule[[#This Row],[PMT NO]])-ROW(PaymentSchedule[[#Headers],[PMT NO]])-2)+DAY(LoanStartDate),"")</f>
        <v>46174</v>
      </c>
      <c r="D53" s="14">
        <f>IF(PaymentSchedule[[#This Row],[PMT NO]]&lt;&gt;"",IF(ROW()-ROW(PaymentSchedule[[#Headers],[BEGINNING BALANCE]])=1,LoanAmount,INDEX(PaymentSchedule[ENDING BALANCE],ROW()-ROW(PaymentSchedule[[#Headers],[BEGINNING BALANCE]])-1)),"")</f>
        <v>2118948.8917980548</v>
      </c>
      <c r="E53" s="14">
        <f>IF(PaymentSchedule[[#This Row],[PMT NO]]&lt;&gt;"",ScheduledPayment,"")</f>
        <v>11400.419471082316</v>
      </c>
      <c r="F5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53" s="14">
        <f>IF(PaymentSchedule[[#This Row],[PMT NO]]&lt;&gt;"",PaymentSchedule[[#This Row],[TOTAL PAYMENT]]-PaymentSchedule[[#This Row],[INTEREST]],"")</f>
        <v>3454.3611268396107</v>
      </c>
      <c r="I53" s="14">
        <f>IF(PaymentSchedule[[#This Row],[PMT NO]]&lt;&gt;"",PaymentSchedule[[#This Row],[BEGINNING BALANCE]]*(InterestRate/PaymentsPerYear),"")</f>
        <v>7946.0583442427051</v>
      </c>
      <c r="J5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2115494.5306712152</v>
      </c>
      <c r="K53" s="14">
        <f>IF(PaymentSchedule[[#This Row],[PMT NO]]&lt;&gt;"",SUM(INDEX(PaymentSchedule[INTEREST],1,1):PaymentSchedule[[#This Row],[INTEREST]]),"")</f>
        <v>344312.14845667186</v>
      </c>
    </row>
    <row r="54" spans="2:11" x14ac:dyDescent="0.2">
      <c r="B54" s="10">
        <f>IF(LoanIsGood,IF(ROW()-ROW(PaymentSchedule[[#Headers],[PMT NO]])&gt;ScheduledNumberOfPayments,"",ROW()-ROW(PaymentSchedule[[#Headers],[PMT NO]])),"")</f>
        <v>43</v>
      </c>
      <c r="C54" s="12">
        <f>IF(PaymentSchedule[[#This Row],[PMT NO]]&lt;&gt;"",EOMONTH(LoanStartDate,ROW(PaymentSchedule[[#This Row],[PMT NO]])-ROW(PaymentSchedule[[#Headers],[PMT NO]])-2)+DAY(LoanStartDate),"")</f>
        <v>46204</v>
      </c>
      <c r="D54" s="14">
        <f>IF(PaymentSchedule[[#This Row],[PMT NO]]&lt;&gt;"",IF(ROW()-ROW(PaymentSchedule[[#Headers],[BEGINNING BALANCE]])=1,LoanAmount,INDEX(PaymentSchedule[ENDING BALANCE],ROW()-ROW(PaymentSchedule[[#Headers],[BEGINNING BALANCE]])-1)),"")</f>
        <v>2115494.5306712152</v>
      </c>
      <c r="E54" s="14">
        <f>IF(PaymentSchedule[[#This Row],[PMT NO]]&lt;&gt;"",ScheduledPayment,"")</f>
        <v>11400.419471082316</v>
      </c>
      <c r="F5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54" s="14">
        <f>IF(PaymentSchedule[[#This Row],[PMT NO]]&lt;&gt;"",PaymentSchedule[[#This Row],[TOTAL PAYMENT]]-PaymentSchedule[[#This Row],[INTEREST]],"")</f>
        <v>3467.3149810652594</v>
      </c>
      <c r="I54" s="14">
        <f>IF(PaymentSchedule[[#This Row],[PMT NO]]&lt;&gt;"",PaymentSchedule[[#This Row],[BEGINNING BALANCE]]*(InterestRate/PaymentsPerYear),"")</f>
        <v>7933.1044900170564</v>
      </c>
      <c r="J5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2112027.2156901499</v>
      </c>
      <c r="K54" s="14">
        <f>IF(PaymentSchedule[[#This Row],[PMT NO]]&lt;&gt;"",SUM(INDEX(PaymentSchedule[INTEREST],1,1):PaymentSchedule[[#This Row],[INTEREST]]),"")</f>
        <v>352245.25294668891</v>
      </c>
    </row>
    <row r="55" spans="2:11" x14ac:dyDescent="0.2">
      <c r="B55" s="10">
        <f>IF(LoanIsGood,IF(ROW()-ROW(PaymentSchedule[[#Headers],[PMT NO]])&gt;ScheduledNumberOfPayments,"",ROW()-ROW(PaymentSchedule[[#Headers],[PMT NO]])),"")</f>
        <v>44</v>
      </c>
      <c r="C55" s="12">
        <f>IF(PaymentSchedule[[#This Row],[PMT NO]]&lt;&gt;"",EOMONTH(LoanStartDate,ROW(PaymentSchedule[[#This Row],[PMT NO]])-ROW(PaymentSchedule[[#Headers],[PMT NO]])-2)+DAY(LoanStartDate),"")</f>
        <v>46235</v>
      </c>
      <c r="D55" s="14">
        <f>IF(PaymentSchedule[[#This Row],[PMT NO]]&lt;&gt;"",IF(ROW()-ROW(PaymentSchedule[[#Headers],[BEGINNING BALANCE]])=1,LoanAmount,INDEX(PaymentSchedule[ENDING BALANCE],ROW()-ROW(PaymentSchedule[[#Headers],[BEGINNING BALANCE]])-1)),"")</f>
        <v>2112027.2156901499</v>
      </c>
      <c r="E55" s="14">
        <f>IF(PaymentSchedule[[#This Row],[PMT NO]]&lt;&gt;"",ScheduledPayment,"")</f>
        <v>11400.419471082316</v>
      </c>
      <c r="F5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55" s="14">
        <f>IF(PaymentSchedule[[#This Row],[PMT NO]]&lt;&gt;"",PaymentSchedule[[#This Row],[TOTAL PAYMENT]]-PaymentSchedule[[#This Row],[INTEREST]],"")</f>
        <v>3480.3174122442542</v>
      </c>
      <c r="I55" s="14">
        <f>IF(PaymentSchedule[[#This Row],[PMT NO]]&lt;&gt;"",PaymentSchedule[[#This Row],[BEGINNING BALANCE]]*(InterestRate/PaymentsPerYear),"")</f>
        <v>7920.1020588380616</v>
      </c>
      <c r="J5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2108546.8982779058</v>
      </c>
      <c r="K55" s="14">
        <f>IF(PaymentSchedule[[#This Row],[PMT NO]]&lt;&gt;"",SUM(INDEX(PaymentSchedule[INTEREST],1,1):PaymentSchedule[[#This Row],[INTEREST]]),"")</f>
        <v>360165.35500552697</v>
      </c>
    </row>
    <row r="56" spans="2:11" x14ac:dyDescent="0.2">
      <c r="B56" s="10">
        <f>IF(LoanIsGood,IF(ROW()-ROW(PaymentSchedule[[#Headers],[PMT NO]])&gt;ScheduledNumberOfPayments,"",ROW()-ROW(PaymentSchedule[[#Headers],[PMT NO]])),"")</f>
        <v>45</v>
      </c>
      <c r="C56" s="12">
        <f>IF(PaymentSchedule[[#This Row],[PMT NO]]&lt;&gt;"",EOMONTH(LoanStartDate,ROW(PaymentSchedule[[#This Row],[PMT NO]])-ROW(PaymentSchedule[[#Headers],[PMT NO]])-2)+DAY(LoanStartDate),"")</f>
        <v>46266</v>
      </c>
      <c r="D56" s="14">
        <f>IF(PaymentSchedule[[#This Row],[PMT NO]]&lt;&gt;"",IF(ROW()-ROW(PaymentSchedule[[#Headers],[BEGINNING BALANCE]])=1,LoanAmount,INDEX(PaymentSchedule[ENDING BALANCE],ROW()-ROW(PaymentSchedule[[#Headers],[BEGINNING BALANCE]])-1)),"")</f>
        <v>2108546.8982779058</v>
      </c>
      <c r="E56" s="14">
        <f>IF(PaymentSchedule[[#This Row],[PMT NO]]&lt;&gt;"",ScheduledPayment,"")</f>
        <v>11400.419471082316</v>
      </c>
      <c r="F5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56" s="14">
        <f>IF(PaymentSchedule[[#This Row],[PMT NO]]&lt;&gt;"",PaymentSchedule[[#This Row],[TOTAL PAYMENT]]-PaymentSchedule[[#This Row],[INTEREST]],"")</f>
        <v>3493.3686025401694</v>
      </c>
      <c r="I56" s="14">
        <f>IF(PaymentSchedule[[#This Row],[PMT NO]]&lt;&gt;"",PaymentSchedule[[#This Row],[BEGINNING BALANCE]]*(InterestRate/PaymentsPerYear),"")</f>
        <v>7907.0508685421464</v>
      </c>
      <c r="J5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2105053.5296753654</v>
      </c>
      <c r="K56" s="14">
        <f>IF(PaymentSchedule[[#This Row],[PMT NO]]&lt;&gt;"",SUM(INDEX(PaymentSchedule[INTEREST],1,1):PaymentSchedule[[#This Row],[INTEREST]]),"")</f>
        <v>368072.40587406914</v>
      </c>
    </row>
    <row r="57" spans="2:11" x14ac:dyDescent="0.2">
      <c r="B57" s="10">
        <f>IF(LoanIsGood,IF(ROW()-ROW(PaymentSchedule[[#Headers],[PMT NO]])&gt;ScheduledNumberOfPayments,"",ROW()-ROW(PaymentSchedule[[#Headers],[PMT NO]])),"")</f>
        <v>46</v>
      </c>
      <c r="C57" s="12">
        <f>IF(PaymentSchedule[[#This Row],[PMT NO]]&lt;&gt;"",EOMONTH(LoanStartDate,ROW(PaymentSchedule[[#This Row],[PMT NO]])-ROW(PaymentSchedule[[#Headers],[PMT NO]])-2)+DAY(LoanStartDate),"")</f>
        <v>46296</v>
      </c>
      <c r="D57" s="14">
        <f>IF(PaymentSchedule[[#This Row],[PMT NO]]&lt;&gt;"",IF(ROW()-ROW(PaymentSchedule[[#Headers],[BEGINNING BALANCE]])=1,LoanAmount,INDEX(PaymentSchedule[ENDING BALANCE],ROW()-ROW(PaymentSchedule[[#Headers],[BEGINNING BALANCE]])-1)),"")</f>
        <v>2105053.5296753654</v>
      </c>
      <c r="E57" s="14">
        <f>IF(PaymentSchedule[[#This Row],[PMT NO]]&lt;&gt;"",ScheduledPayment,"")</f>
        <v>11400.419471082316</v>
      </c>
      <c r="F5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57" s="14">
        <f>IF(PaymentSchedule[[#This Row],[PMT NO]]&lt;&gt;"",PaymentSchedule[[#This Row],[TOTAL PAYMENT]]-PaymentSchedule[[#This Row],[INTEREST]],"")</f>
        <v>3506.468734799696</v>
      </c>
      <c r="I57" s="14">
        <f>IF(PaymentSchedule[[#This Row],[PMT NO]]&lt;&gt;"",PaymentSchedule[[#This Row],[BEGINNING BALANCE]]*(InterestRate/PaymentsPerYear),"")</f>
        <v>7893.9507362826198</v>
      </c>
      <c r="J5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2101547.0609405655</v>
      </c>
      <c r="K57" s="14">
        <f>IF(PaymentSchedule[[#This Row],[PMT NO]]&lt;&gt;"",SUM(INDEX(PaymentSchedule[INTEREST],1,1):PaymentSchedule[[#This Row],[INTEREST]]),"")</f>
        <v>375966.35661035177</v>
      </c>
    </row>
    <row r="58" spans="2:11" x14ac:dyDescent="0.2">
      <c r="B58" s="10">
        <f>IF(LoanIsGood,IF(ROW()-ROW(PaymentSchedule[[#Headers],[PMT NO]])&gt;ScheduledNumberOfPayments,"",ROW()-ROW(PaymentSchedule[[#Headers],[PMT NO]])),"")</f>
        <v>47</v>
      </c>
      <c r="C58" s="12">
        <f>IF(PaymentSchedule[[#This Row],[PMT NO]]&lt;&gt;"",EOMONTH(LoanStartDate,ROW(PaymentSchedule[[#This Row],[PMT NO]])-ROW(PaymentSchedule[[#Headers],[PMT NO]])-2)+DAY(LoanStartDate),"")</f>
        <v>46327</v>
      </c>
      <c r="D58" s="14">
        <f>IF(PaymentSchedule[[#This Row],[PMT NO]]&lt;&gt;"",IF(ROW()-ROW(PaymentSchedule[[#Headers],[BEGINNING BALANCE]])=1,LoanAmount,INDEX(PaymentSchedule[ENDING BALANCE],ROW()-ROW(PaymentSchedule[[#Headers],[BEGINNING BALANCE]])-1)),"")</f>
        <v>2101547.0609405655</v>
      </c>
      <c r="E58" s="14">
        <f>IF(PaymentSchedule[[#This Row],[PMT NO]]&lt;&gt;"",ScheduledPayment,"")</f>
        <v>11400.419471082316</v>
      </c>
      <c r="F5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58" s="14">
        <f>IF(PaymentSchedule[[#This Row],[PMT NO]]&lt;&gt;"",PaymentSchedule[[#This Row],[TOTAL PAYMENT]]-PaymentSchedule[[#This Row],[INTEREST]],"")</f>
        <v>3519.6179925551951</v>
      </c>
      <c r="I58" s="14">
        <f>IF(PaymentSchedule[[#This Row],[PMT NO]]&lt;&gt;"",PaymentSchedule[[#This Row],[BEGINNING BALANCE]]*(InterestRate/PaymentsPerYear),"")</f>
        <v>7880.8014785271207</v>
      </c>
      <c r="J5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2098027.4429480103</v>
      </c>
      <c r="K58" s="14">
        <f>IF(PaymentSchedule[[#This Row],[PMT NO]]&lt;&gt;"",SUM(INDEX(PaymentSchedule[INTEREST],1,1):PaymentSchedule[[#This Row],[INTEREST]]),"")</f>
        <v>383847.1580888789</v>
      </c>
    </row>
    <row r="59" spans="2:11" x14ac:dyDescent="0.2">
      <c r="B59" s="10">
        <f>IF(LoanIsGood,IF(ROW()-ROW(PaymentSchedule[[#Headers],[PMT NO]])&gt;ScheduledNumberOfPayments,"",ROW()-ROW(PaymentSchedule[[#Headers],[PMT NO]])),"")</f>
        <v>48</v>
      </c>
      <c r="C59" s="12">
        <f>IF(PaymentSchedule[[#This Row],[PMT NO]]&lt;&gt;"",EOMONTH(LoanStartDate,ROW(PaymentSchedule[[#This Row],[PMT NO]])-ROW(PaymentSchedule[[#Headers],[PMT NO]])-2)+DAY(LoanStartDate),"")</f>
        <v>46357</v>
      </c>
      <c r="D59" s="14">
        <f>IF(PaymentSchedule[[#This Row],[PMT NO]]&lt;&gt;"",IF(ROW()-ROW(PaymentSchedule[[#Headers],[BEGINNING BALANCE]])=1,LoanAmount,INDEX(PaymentSchedule[ENDING BALANCE],ROW()-ROW(PaymentSchedule[[#Headers],[BEGINNING BALANCE]])-1)),"")</f>
        <v>2098027.4429480103</v>
      </c>
      <c r="E59" s="14">
        <f>IF(PaymentSchedule[[#This Row],[PMT NO]]&lt;&gt;"",ScheduledPayment,"")</f>
        <v>11400.419471082316</v>
      </c>
      <c r="F5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59" s="14">
        <f>IF(PaymentSchedule[[#This Row],[PMT NO]]&lt;&gt;"",PaymentSchedule[[#This Row],[TOTAL PAYMENT]]-PaymentSchedule[[#This Row],[INTEREST]],"")</f>
        <v>3532.8165600272778</v>
      </c>
      <c r="I59" s="14">
        <f>IF(PaymentSchedule[[#This Row],[PMT NO]]&lt;&gt;"",PaymentSchedule[[#This Row],[BEGINNING BALANCE]]*(InterestRate/PaymentsPerYear),"")</f>
        <v>7867.602911055038</v>
      </c>
      <c r="J5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2094494.6263879831</v>
      </c>
      <c r="K59" s="14">
        <f>IF(PaymentSchedule[[#This Row],[PMT NO]]&lt;&gt;"",SUM(INDEX(PaymentSchedule[INTEREST],1,1):PaymentSchedule[[#This Row],[INTEREST]]),"")</f>
        <v>391714.76099993393</v>
      </c>
    </row>
    <row r="60" spans="2:11" x14ac:dyDescent="0.2">
      <c r="B60" s="10">
        <f>IF(LoanIsGood,IF(ROW()-ROW(PaymentSchedule[[#Headers],[PMT NO]])&gt;ScheduledNumberOfPayments,"",ROW()-ROW(PaymentSchedule[[#Headers],[PMT NO]])),"")</f>
        <v>49</v>
      </c>
      <c r="C60" s="12">
        <f>IF(PaymentSchedule[[#This Row],[PMT NO]]&lt;&gt;"",EOMONTH(LoanStartDate,ROW(PaymentSchedule[[#This Row],[PMT NO]])-ROW(PaymentSchedule[[#Headers],[PMT NO]])-2)+DAY(LoanStartDate),"")</f>
        <v>46388</v>
      </c>
      <c r="D60" s="14">
        <f>IF(PaymentSchedule[[#This Row],[PMT NO]]&lt;&gt;"",IF(ROW()-ROW(PaymentSchedule[[#Headers],[BEGINNING BALANCE]])=1,LoanAmount,INDEX(PaymentSchedule[ENDING BALANCE],ROW()-ROW(PaymentSchedule[[#Headers],[BEGINNING BALANCE]])-1)),"")</f>
        <v>2094494.6263879831</v>
      </c>
      <c r="E60" s="14">
        <f>IF(PaymentSchedule[[#This Row],[PMT NO]]&lt;&gt;"",ScheduledPayment,"")</f>
        <v>11400.419471082316</v>
      </c>
      <c r="F6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60" s="14">
        <f>IF(PaymentSchedule[[#This Row],[PMT NO]]&lt;&gt;"",PaymentSchedule[[#This Row],[TOTAL PAYMENT]]-PaymentSchedule[[#This Row],[INTEREST]],"")</f>
        <v>3546.0646221273792</v>
      </c>
      <c r="I60" s="14">
        <f>IF(PaymentSchedule[[#This Row],[PMT NO]]&lt;&gt;"",PaymentSchedule[[#This Row],[BEGINNING BALANCE]]*(InterestRate/PaymentsPerYear),"")</f>
        <v>7854.3548489549366</v>
      </c>
      <c r="J6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2090948.5617658556</v>
      </c>
      <c r="K60" s="14">
        <f>IF(PaymentSchedule[[#This Row],[PMT NO]]&lt;&gt;"",SUM(INDEX(PaymentSchedule[INTEREST],1,1):PaymentSchedule[[#This Row],[INTEREST]]),"")</f>
        <v>399569.11584888888</v>
      </c>
    </row>
    <row r="61" spans="2:11" x14ac:dyDescent="0.2">
      <c r="B61" s="10">
        <f>IF(LoanIsGood,IF(ROW()-ROW(PaymentSchedule[[#Headers],[PMT NO]])&gt;ScheduledNumberOfPayments,"",ROW()-ROW(PaymentSchedule[[#Headers],[PMT NO]])),"")</f>
        <v>50</v>
      </c>
      <c r="C61" s="12">
        <f>IF(PaymentSchedule[[#This Row],[PMT NO]]&lt;&gt;"",EOMONTH(LoanStartDate,ROW(PaymentSchedule[[#This Row],[PMT NO]])-ROW(PaymentSchedule[[#Headers],[PMT NO]])-2)+DAY(LoanStartDate),"")</f>
        <v>46419</v>
      </c>
      <c r="D61" s="14">
        <f>IF(PaymentSchedule[[#This Row],[PMT NO]]&lt;&gt;"",IF(ROW()-ROW(PaymentSchedule[[#Headers],[BEGINNING BALANCE]])=1,LoanAmount,INDEX(PaymentSchedule[ENDING BALANCE],ROW()-ROW(PaymentSchedule[[#Headers],[BEGINNING BALANCE]])-1)),"")</f>
        <v>2090948.5617658556</v>
      </c>
      <c r="E61" s="14">
        <f>IF(PaymentSchedule[[#This Row],[PMT NO]]&lt;&gt;"",ScheduledPayment,"")</f>
        <v>11400.419471082316</v>
      </c>
      <c r="F6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61" s="14">
        <f>IF(PaymentSchedule[[#This Row],[PMT NO]]&lt;&gt;"",PaymentSchedule[[#This Row],[TOTAL PAYMENT]]-PaymentSchedule[[#This Row],[INTEREST]],"")</f>
        <v>3559.3623644603576</v>
      </c>
      <c r="I61" s="14">
        <f>IF(PaymentSchedule[[#This Row],[PMT NO]]&lt;&gt;"",PaymentSchedule[[#This Row],[BEGINNING BALANCE]]*(InterestRate/PaymentsPerYear),"")</f>
        <v>7841.0571066219582</v>
      </c>
      <c r="J6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2087389.1994013954</v>
      </c>
      <c r="K61" s="14">
        <f>IF(PaymentSchedule[[#This Row],[PMT NO]]&lt;&gt;"",SUM(INDEX(PaymentSchedule[INTEREST],1,1):PaymentSchedule[[#This Row],[INTEREST]]),"")</f>
        <v>407410.17295551085</v>
      </c>
    </row>
    <row r="62" spans="2:11" x14ac:dyDescent="0.2">
      <c r="B62" s="10">
        <f>IF(LoanIsGood,IF(ROW()-ROW(PaymentSchedule[[#Headers],[PMT NO]])&gt;ScheduledNumberOfPayments,"",ROW()-ROW(PaymentSchedule[[#Headers],[PMT NO]])),"")</f>
        <v>51</v>
      </c>
      <c r="C62" s="12">
        <f>IF(PaymentSchedule[[#This Row],[PMT NO]]&lt;&gt;"",EOMONTH(LoanStartDate,ROW(PaymentSchedule[[#This Row],[PMT NO]])-ROW(PaymentSchedule[[#Headers],[PMT NO]])-2)+DAY(LoanStartDate),"")</f>
        <v>46447</v>
      </c>
      <c r="D62" s="14">
        <f>IF(PaymentSchedule[[#This Row],[PMT NO]]&lt;&gt;"",IF(ROW()-ROW(PaymentSchedule[[#Headers],[BEGINNING BALANCE]])=1,LoanAmount,INDEX(PaymentSchedule[ENDING BALANCE],ROW()-ROW(PaymentSchedule[[#Headers],[BEGINNING BALANCE]])-1)),"")</f>
        <v>2087389.1994013954</v>
      </c>
      <c r="E62" s="14">
        <f>IF(PaymentSchedule[[#This Row],[PMT NO]]&lt;&gt;"",ScheduledPayment,"")</f>
        <v>11400.419471082316</v>
      </c>
      <c r="F6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62" s="14">
        <f>IF(PaymentSchedule[[#This Row],[PMT NO]]&lt;&gt;"",PaymentSchedule[[#This Row],[TOTAL PAYMENT]]-PaymentSchedule[[#This Row],[INTEREST]],"")</f>
        <v>3572.7099733270834</v>
      </c>
      <c r="I62" s="14">
        <f>IF(PaymentSchedule[[#This Row],[PMT NO]]&lt;&gt;"",PaymentSchedule[[#This Row],[BEGINNING BALANCE]]*(InterestRate/PaymentsPerYear),"")</f>
        <v>7827.7094977552324</v>
      </c>
      <c r="J6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2083816.4894280683</v>
      </c>
      <c r="K62" s="14">
        <f>IF(PaymentSchedule[[#This Row],[PMT NO]]&lt;&gt;"",SUM(INDEX(PaymentSchedule[INTEREST],1,1):PaymentSchedule[[#This Row],[INTEREST]]),"")</f>
        <v>415237.88245326607</v>
      </c>
    </row>
    <row r="63" spans="2:11" x14ac:dyDescent="0.2">
      <c r="B63" s="10">
        <f>IF(LoanIsGood,IF(ROW()-ROW(PaymentSchedule[[#Headers],[PMT NO]])&gt;ScheduledNumberOfPayments,"",ROW()-ROW(PaymentSchedule[[#Headers],[PMT NO]])),"")</f>
        <v>52</v>
      </c>
      <c r="C63" s="12">
        <f>IF(PaymentSchedule[[#This Row],[PMT NO]]&lt;&gt;"",EOMONTH(LoanStartDate,ROW(PaymentSchedule[[#This Row],[PMT NO]])-ROW(PaymentSchedule[[#Headers],[PMT NO]])-2)+DAY(LoanStartDate),"")</f>
        <v>46478</v>
      </c>
      <c r="D63" s="14">
        <f>IF(PaymentSchedule[[#This Row],[PMT NO]]&lt;&gt;"",IF(ROW()-ROW(PaymentSchedule[[#Headers],[BEGINNING BALANCE]])=1,LoanAmount,INDEX(PaymentSchedule[ENDING BALANCE],ROW()-ROW(PaymentSchedule[[#Headers],[BEGINNING BALANCE]])-1)),"")</f>
        <v>2083816.4894280683</v>
      </c>
      <c r="E63" s="14">
        <f>IF(PaymentSchedule[[#This Row],[PMT NO]]&lt;&gt;"",ScheduledPayment,"")</f>
        <v>11400.419471082316</v>
      </c>
      <c r="F6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63" s="14">
        <f>IF(PaymentSchedule[[#This Row],[PMT NO]]&lt;&gt;"",PaymentSchedule[[#This Row],[TOTAL PAYMENT]]-PaymentSchedule[[#This Row],[INTEREST]],"")</f>
        <v>3586.1076357270604</v>
      </c>
      <c r="I63" s="14">
        <f>IF(PaymentSchedule[[#This Row],[PMT NO]]&lt;&gt;"",PaymentSchedule[[#This Row],[BEGINNING BALANCE]]*(InterestRate/PaymentsPerYear),"")</f>
        <v>7814.3118353552554</v>
      </c>
      <c r="J6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2080230.3817923411</v>
      </c>
      <c r="K63" s="14">
        <f>IF(PaymentSchedule[[#This Row],[PMT NO]]&lt;&gt;"",SUM(INDEX(PaymentSchedule[INTEREST],1,1):PaymentSchedule[[#This Row],[INTEREST]]),"")</f>
        <v>423052.19428862131</v>
      </c>
    </row>
    <row r="64" spans="2:11" x14ac:dyDescent="0.2">
      <c r="B64" s="10">
        <f>IF(LoanIsGood,IF(ROW()-ROW(PaymentSchedule[[#Headers],[PMT NO]])&gt;ScheduledNumberOfPayments,"",ROW()-ROW(PaymentSchedule[[#Headers],[PMT NO]])),"")</f>
        <v>53</v>
      </c>
      <c r="C64" s="12">
        <f>IF(PaymentSchedule[[#This Row],[PMT NO]]&lt;&gt;"",EOMONTH(LoanStartDate,ROW(PaymentSchedule[[#This Row],[PMT NO]])-ROW(PaymentSchedule[[#Headers],[PMT NO]])-2)+DAY(LoanStartDate),"")</f>
        <v>46508</v>
      </c>
      <c r="D64" s="14">
        <f>IF(PaymentSchedule[[#This Row],[PMT NO]]&lt;&gt;"",IF(ROW()-ROW(PaymentSchedule[[#Headers],[BEGINNING BALANCE]])=1,LoanAmount,INDEX(PaymentSchedule[ENDING BALANCE],ROW()-ROW(PaymentSchedule[[#Headers],[BEGINNING BALANCE]])-1)),"")</f>
        <v>2080230.3817923411</v>
      </c>
      <c r="E64" s="14">
        <f>IF(PaymentSchedule[[#This Row],[PMT NO]]&lt;&gt;"",ScheduledPayment,"")</f>
        <v>11400.419471082316</v>
      </c>
      <c r="F6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64" s="14">
        <f>IF(PaymentSchedule[[#This Row],[PMT NO]]&lt;&gt;"",PaymentSchedule[[#This Row],[TOTAL PAYMENT]]-PaymentSchedule[[#This Row],[INTEREST]],"")</f>
        <v>3599.5555393610366</v>
      </c>
      <c r="I64" s="14">
        <f>IF(PaymentSchedule[[#This Row],[PMT NO]]&lt;&gt;"",PaymentSchedule[[#This Row],[BEGINNING BALANCE]]*(InterestRate/PaymentsPerYear),"")</f>
        <v>7800.8639317212792</v>
      </c>
      <c r="J6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2076630.8262529802</v>
      </c>
      <c r="K64" s="14">
        <f>IF(PaymentSchedule[[#This Row],[PMT NO]]&lt;&gt;"",SUM(INDEX(PaymentSchedule[INTEREST],1,1):PaymentSchedule[[#This Row],[INTEREST]]),"")</f>
        <v>430853.05822034256</v>
      </c>
    </row>
    <row r="65" spans="2:11" x14ac:dyDescent="0.2">
      <c r="B65" s="10">
        <f>IF(LoanIsGood,IF(ROW()-ROW(PaymentSchedule[[#Headers],[PMT NO]])&gt;ScheduledNumberOfPayments,"",ROW()-ROW(PaymentSchedule[[#Headers],[PMT NO]])),"")</f>
        <v>54</v>
      </c>
      <c r="C65" s="12">
        <f>IF(PaymentSchedule[[#This Row],[PMT NO]]&lt;&gt;"",EOMONTH(LoanStartDate,ROW(PaymentSchedule[[#This Row],[PMT NO]])-ROW(PaymentSchedule[[#Headers],[PMT NO]])-2)+DAY(LoanStartDate),"")</f>
        <v>46539</v>
      </c>
      <c r="D65" s="14">
        <f>IF(PaymentSchedule[[#This Row],[PMT NO]]&lt;&gt;"",IF(ROW()-ROW(PaymentSchedule[[#Headers],[BEGINNING BALANCE]])=1,LoanAmount,INDEX(PaymentSchedule[ENDING BALANCE],ROW()-ROW(PaymentSchedule[[#Headers],[BEGINNING BALANCE]])-1)),"")</f>
        <v>2076630.8262529802</v>
      </c>
      <c r="E65" s="14">
        <f>IF(PaymentSchedule[[#This Row],[PMT NO]]&lt;&gt;"",ScheduledPayment,"")</f>
        <v>11400.419471082316</v>
      </c>
      <c r="F6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65" s="14">
        <f>IF(PaymentSchedule[[#This Row],[PMT NO]]&lt;&gt;"",PaymentSchedule[[#This Row],[TOTAL PAYMENT]]-PaymentSchedule[[#This Row],[INTEREST]],"")</f>
        <v>3613.0538726336408</v>
      </c>
      <c r="I65" s="14">
        <f>IF(PaymentSchedule[[#This Row],[PMT NO]]&lt;&gt;"",PaymentSchedule[[#This Row],[BEGINNING BALANCE]]*(InterestRate/PaymentsPerYear),"")</f>
        <v>7787.365598448675</v>
      </c>
      <c r="J6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2073017.7723803464</v>
      </c>
      <c r="K65" s="14">
        <f>IF(PaymentSchedule[[#This Row],[PMT NO]]&lt;&gt;"",SUM(INDEX(PaymentSchedule[INTEREST],1,1):PaymentSchedule[[#This Row],[INTEREST]]),"")</f>
        <v>438640.42381879123</v>
      </c>
    </row>
    <row r="66" spans="2:11" x14ac:dyDescent="0.2">
      <c r="B66" s="10">
        <f>IF(LoanIsGood,IF(ROW()-ROW(PaymentSchedule[[#Headers],[PMT NO]])&gt;ScheduledNumberOfPayments,"",ROW()-ROW(PaymentSchedule[[#Headers],[PMT NO]])),"")</f>
        <v>55</v>
      </c>
      <c r="C66" s="12">
        <f>IF(PaymentSchedule[[#This Row],[PMT NO]]&lt;&gt;"",EOMONTH(LoanStartDate,ROW(PaymentSchedule[[#This Row],[PMT NO]])-ROW(PaymentSchedule[[#Headers],[PMT NO]])-2)+DAY(LoanStartDate),"")</f>
        <v>46569</v>
      </c>
      <c r="D66" s="14">
        <f>IF(PaymentSchedule[[#This Row],[PMT NO]]&lt;&gt;"",IF(ROW()-ROW(PaymentSchedule[[#Headers],[BEGINNING BALANCE]])=1,LoanAmount,INDEX(PaymentSchedule[ENDING BALANCE],ROW()-ROW(PaymentSchedule[[#Headers],[BEGINNING BALANCE]])-1)),"")</f>
        <v>2073017.7723803464</v>
      </c>
      <c r="E66" s="14">
        <f>IF(PaymentSchedule[[#This Row],[PMT NO]]&lt;&gt;"",ScheduledPayment,"")</f>
        <v>11400.419471082316</v>
      </c>
      <c r="F6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66" s="14">
        <f>IF(PaymentSchedule[[#This Row],[PMT NO]]&lt;&gt;"",PaymentSchedule[[#This Row],[TOTAL PAYMENT]]-PaymentSchedule[[#This Row],[INTEREST]],"")</f>
        <v>3626.6028246560172</v>
      </c>
      <c r="I66" s="14">
        <f>IF(PaymentSchedule[[#This Row],[PMT NO]]&lt;&gt;"",PaymentSchedule[[#This Row],[BEGINNING BALANCE]]*(InterestRate/PaymentsPerYear),"")</f>
        <v>7773.8166464262986</v>
      </c>
      <c r="J6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2069391.1695556904</v>
      </c>
      <c r="K66" s="14">
        <f>IF(PaymentSchedule[[#This Row],[PMT NO]]&lt;&gt;"",SUM(INDEX(PaymentSchedule[INTEREST],1,1):PaymentSchedule[[#This Row],[INTEREST]]),"")</f>
        <v>446414.2404652175</v>
      </c>
    </row>
    <row r="67" spans="2:11" x14ac:dyDescent="0.2">
      <c r="B67" s="10">
        <f>IF(LoanIsGood,IF(ROW()-ROW(PaymentSchedule[[#Headers],[PMT NO]])&gt;ScheduledNumberOfPayments,"",ROW()-ROW(PaymentSchedule[[#Headers],[PMT NO]])),"")</f>
        <v>56</v>
      </c>
      <c r="C67" s="12">
        <f>IF(PaymentSchedule[[#This Row],[PMT NO]]&lt;&gt;"",EOMONTH(LoanStartDate,ROW(PaymentSchedule[[#This Row],[PMT NO]])-ROW(PaymentSchedule[[#Headers],[PMT NO]])-2)+DAY(LoanStartDate),"")</f>
        <v>46600</v>
      </c>
      <c r="D67" s="14">
        <f>IF(PaymentSchedule[[#This Row],[PMT NO]]&lt;&gt;"",IF(ROW()-ROW(PaymentSchedule[[#Headers],[BEGINNING BALANCE]])=1,LoanAmount,INDEX(PaymentSchedule[ENDING BALANCE],ROW()-ROW(PaymentSchedule[[#Headers],[BEGINNING BALANCE]])-1)),"")</f>
        <v>2069391.1695556904</v>
      </c>
      <c r="E67" s="14">
        <f>IF(PaymentSchedule[[#This Row],[PMT NO]]&lt;&gt;"",ScheduledPayment,"")</f>
        <v>11400.419471082316</v>
      </c>
      <c r="F6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67" s="14">
        <f>IF(PaymentSchedule[[#This Row],[PMT NO]]&lt;&gt;"",PaymentSchedule[[#This Row],[TOTAL PAYMENT]]-PaymentSchedule[[#This Row],[INTEREST]],"")</f>
        <v>3640.2025852484776</v>
      </c>
      <c r="I67" s="14">
        <f>IF(PaymentSchedule[[#This Row],[PMT NO]]&lt;&gt;"",PaymentSchedule[[#This Row],[BEGINNING BALANCE]]*(InterestRate/PaymentsPerYear),"")</f>
        <v>7760.2168858338382</v>
      </c>
      <c r="J6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2065750.9669704419</v>
      </c>
      <c r="K67" s="14">
        <f>IF(PaymentSchedule[[#This Row],[PMT NO]]&lt;&gt;"",SUM(INDEX(PaymentSchedule[INTEREST],1,1):PaymentSchedule[[#This Row],[INTEREST]]),"")</f>
        <v>454174.45735105133</v>
      </c>
    </row>
    <row r="68" spans="2:11" x14ac:dyDescent="0.2">
      <c r="B68" s="10">
        <f>IF(LoanIsGood,IF(ROW()-ROW(PaymentSchedule[[#Headers],[PMT NO]])&gt;ScheduledNumberOfPayments,"",ROW()-ROW(PaymentSchedule[[#Headers],[PMT NO]])),"")</f>
        <v>57</v>
      </c>
      <c r="C68" s="12">
        <f>IF(PaymentSchedule[[#This Row],[PMT NO]]&lt;&gt;"",EOMONTH(LoanStartDate,ROW(PaymentSchedule[[#This Row],[PMT NO]])-ROW(PaymentSchedule[[#Headers],[PMT NO]])-2)+DAY(LoanStartDate),"")</f>
        <v>46631</v>
      </c>
      <c r="D68" s="14">
        <f>IF(PaymentSchedule[[#This Row],[PMT NO]]&lt;&gt;"",IF(ROW()-ROW(PaymentSchedule[[#Headers],[BEGINNING BALANCE]])=1,LoanAmount,INDEX(PaymentSchedule[ENDING BALANCE],ROW()-ROW(PaymentSchedule[[#Headers],[BEGINNING BALANCE]])-1)),"")</f>
        <v>2065750.9669704419</v>
      </c>
      <c r="E68" s="14">
        <f>IF(PaymentSchedule[[#This Row],[PMT NO]]&lt;&gt;"",ScheduledPayment,"")</f>
        <v>11400.419471082316</v>
      </c>
      <c r="F6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68" s="14">
        <f>IF(PaymentSchedule[[#This Row],[PMT NO]]&lt;&gt;"",PaymentSchedule[[#This Row],[TOTAL PAYMENT]]-PaymentSchedule[[#This Row],[INTEREST]],"")</f>
        <v>3653.8533449431588</v>
      </c>
      <c r="I68" s="14">
        <f>IF(PaymentSchedule[[#This Row],[PMT NO]]&lt;&gt;"",PaymentSchedule[[#This Row],[BEGINNING BALANCE]]*(InterestRate/PaymentsPerYear),"")</f>
        <v>7746.5661261391569</v>
      </c>
      <c r="J6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2062097.1136254987</v>
      </c>
      <c r="K68" s="14">
        <f>IF(PaymentSchedule[[#This Row],[PMT NO]]&lt;&gt;"",SUM(INDEX(PaymentSchedule[INTEREST],1,1):PaymentSchedule[[#This Row],[INTEREST]]),"")</f>
        <v>461921.02347719047</v>
      </c>
    </row>
    <row r="69" spans="2:11" x14ac:dyDescent="0.2">
      <c r="B69" s="10">
        <f>IF(LoanIsGood,IF(ROW()-ROW(PaymentSchedule[[#Headers],[PMT NO]])&gt;ScheduledNumberOfPayments,"",ROW()-ROW(PaymentSchedule[[#Headers],[PMT NO]])),"")</f>
        <v>58</v>
      </c>
      <c r="C69" s="12">
        <f>IF(PaymentSchedule[[#This Row],[PMT NO]]&lt;&gt;"",EOMONTH(LoanStartDate,ROW(PaymentSchedule[[#This Row],[PMT NO]])-ROW(PaymentSchedule[[#Headers],[PMT NO]])-2)+DAY(LoanStartDate),"")</f>
        <v>46661</v>
      </c>
      <c r="D69" s="14">
        <f>IF(PaymentSchedule[[#This Row],[PMT NO]]&lt;&gt;"",IF(ROW()-ROW(PaymentSchedule[[#Headers],[BEGINNING BALANCE]])=1,LoanAmount,INDEX(PaymentSchedule[ENDING BALANCE],ROW()-ROW(PaymentSchedule[[#Headers],[BEGINNING BALANCE]])-1)),"")</f>
        <v>2062097.1136254987</v>
      </c>
      <c r="E69" s="14">
        <f>IF(PaymentSchedule[[#This Row],[PMT NO]]&lt;&gt;"",ScheduledPayment,"")</f>
        <v>11400.419471082316</v>
      </c>
      <c r="F6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69" s="14">
        <f>IF(PaymentSchedule[[#This Row],[PMT NO]]&lt;&gt;"",PaymentSchedule[[#This Row],[TOTAL PAYMENT]]-PaymentSchedule[[#This Row],[INTEREST]],"")</f>
        <v>3667.555294986696</v>
      </c>
      <c r="I69" s="14">
        <f>IF(PaymentSchedule[[#This Row],[PMT NO]]&lt;&gt;"",PaymentSchedule[[#This Row],[BEGINNING BALANCE]]*(InterestRate/PaymentsPerYear),"")</f>
        <v>7732.8641760956198</v>
      </c>
      <c r="J6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2058429.5583305121</v>
      </c>
      <c r="K69" s="14">
        <f>IF(PaymentSchedule[[#This Row],[PMT NO]]&lt;&gt;"",SUM(INDEX(PaymentSchedule[INTEREST],1,1):PaymentSchedule[[#This Row],[INTEREST]]),"")</f>
        <v>469653.8876532861</v>
      </c>
    </row>
    <row r="70" spans="2:11" x14ac:dyDescent="0.2">
      <c r="B70" s="10">
        <f>IF(LoanIsGood,IF(ROW()-ROW(PaymentSchedule[[#Headers],[PMT NO]])&gt;ScheduledNumberOfPayments,"",ROW()-ROW(PaymentSchedule[[#Headers],[PMT NO]])),"")</f>
        <v>59</v>
      </c>
      <c r="C70" s="12">
        <f>IF(PaymentSchedule[[#This Row],[PMT NO]]&lt;&gt;"",EOMONTH(LoanStartDate,ROW(PaymentSchedule[[#This Row],[PMT NO]])-ROW(PaymentSchedule[[#Headers],[PMT NO]])-2)+DAY(LoanStartDate),"")</f>
        <v>46692</v>
      </c>
      <c r="D70" s="14">
        <f>IF(PaymentSchedule[[#This Row],[PMT NO]]&lt;&gt;"",IF(ROW()-ROW(PaymentSchedule[[#Headers],[BEGINNING BALANCE]])=1,LoanAmount,INDEX(PaymentSchedule[ENDING BALANCE],ROW()-ROW(PaymentSchedule[[#Headers],[BEGINNING BALANCE]])-1)),"")</f>
        <v>2058429.5583305121</v>
      </c>
      <c r="E70" s="14">
        <f>IF(PaymentSchedule[[#This Row],[PMT NO]]&lt;&gt;"",ScheduledPayment,"")</f>
        <v>11400.419471082316</v>
      </c>
      <c r="F7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70" s="14">
        <f>IF(PaymentSchedule[[#This Row],[PMT NO]]&lt;&gt;"",PaymentSchedule[[#This Row],[TOTAL PAYMENT]]-PaymentSchedule[[#This Row],[INTEREST]],"")</f>
        <v>3681.3086273428953</v>
      </c>
      <c r="I70" s="14">
        <f>IF(PaymentSchedule[[#This Row],[PMT NO]]&lt;&gt;"",PaymentSchedule[[#This Row],[BEGINNING BALANCE]]*(InterestRate/PaymentsPerYear),"")</f>
        <v>7719.1108437394205</v>
      </c>
      <c r="J7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2054748.2497031693</v>
      </c>
      <c r="K70" s="14">
        <f>IF(PaymentSchedule[[#This Row],[PMT NO]]&lt;&gt;"",SUM(INDEX(PaymentSchedule[INTEREST],1,1):PaymentSchedule[[#This Row],[INTEREST]]),"")</f>
        <v>477372.99849702552</v>
      </c>
    </row>
    <row r="71" spans="2:11" x14ac:dyDescent="0.2">
      <c r="B71" s="10">
        <f>IF(LoanIsGood,IF(ROW()-ROW(PaymentSchedule[[#Headers],[PMT NO]])&gt;ScheduledNumberOfPayments,"",ROW()-ROW(PaymentSchedule[[#Headers],[PMT NO]])),"")</f>
        <v>60</v>
      </c>
      <c r="C71" s="12">
        <f>IF(PaymentSchedule[[#This Row],[PMT NO]]&lt;&gt;"",EOMONTH(LoanStartDate,ROW(PaymentSchedule[[#This Row],[PMT NO]])-ROW(PaymentSchedule[[#Headers],[PMT NO]])-2)+DAY(LoanStartDate),"")</f>
        <v>46722</v>
      </c>
      <c r="D71" s="14">
        <f>IF(PaymentSchedule[[#This Row],[PMT NO]]&lt;&gt;"",IF(ROW()-ROW(PaymentSchedule[[#Headers],[BEGINNING BALANCE]])=1,LoanAmount,INDEX(PaymentSchedule[ENDING BALANCE],ROW()-ROW(PaymentSchedule[[#Headers],[BEGINNING BALANCE]])-1)),"")</f>
        <v>2054748.2497031693</v>
      </c>
      <c r="E71" s="14">
        <f>IF(PaymentSchedule[[#This Row],[PMT NO]]&lt;&gt;"",ScheduledPayment,"")</f>
        <v>11400.419471082316</v>
      </c>
      <c r="F7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71" s="14">
        <f>IF(PaymentSchedule[[#This Row],[PMT NO]]&lt;&gt;"",PaymentSchedule[[#This Row],[TOTAL PAYMENT]]-PaymentSchedule[[#This Row],[INTEREST]],"")</f>
        <v>3695.1135346954306</v>
      </c>
      <c r="I71" s="14">
        <f>IF(PaymentSchedule[[#This Row],[PMT NO]]&lt;&gt;"",PaymentSchedule[[#This Row],[BEGINNING BALANCE]]*(InterestRate/PaymentsPerYear),"")</f>
        <v>7705.3059363868852</v>
      </c>
      <c r="J7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2051053.1361684739</v>
      </c>
      <c r="K71" s="14">
        <f>IF(PaymentSchedule[[#This Row],[PMT NO]]&lt;&gt;"",SUM(INDEX(PaymentSchedule[INTEREST],1,1):PaymentSchedule[[#This Row],[INTEREST]]),"")</f>
        <v>485078.30443341238</v>
      </c>
    </row>
    <row r="72" spans="2:11" x14ac:dyDescent="0.2">
      <c r="B72" s="10">
        <f>IF(LoanIsGood,IF(ROW()-ROW(PaymentSchedule[[#Headers],[PMT NO]])&gt;ScheduledNumberOfPayments,"",ROW()-ROW(PaymentSchedule[[#Headers],[PMT NO]])),"")</f>
        <v>61</v>
      </c>
      <c r="C72" s="12">
        <f>IF(PaymentSchedule[[#This Row],[PMT NO]]&lt;&gt;"",EOMONTH(LoanStartDate,ROW(PaymentSchedule[[#This Row],[PMT NO]])-ROW(PaymentSchedule[[#Headers],[PMT NO]])-2)+DAY(LoanStartDate),"")</f>
        <v>46753</v>
      </c>
      <c r="D72" s="14">
        <f>IF(PaymentSchedule[[#This Row],[PMT NO]]&lt;&gt;"",IF(ROW()-ROW(PaymentSchedule[[#Headers],[BEGINNING BALANCE]])=1,LoanAmount,INDEX(PaymentSchedule[ENDING BALANCE],ROW()-ROW(PaymentSchedule[[#Headers],[BEGINNING BALANCE]])-1)),"")</f>
        <v>2051053.1361684739</v>
      </c>
      <c r="E72" s="14">
        <f>IF(PaymentSchedule[[#This Row],[PMT NO]]&lt;&gt;"",ScheduledPayment,"")</f>
        <v>11400.419471082316</v>
      </c>
      <c r="F7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72" s="14">
        <f>IF(PaymentSchedule[[#This Row],[PMT NO]]&lt;&gt;"",PaymentSchedule[[#This Row],[TOTAL PAYMENT]]-PaymentSchedule[[#This Row],[INTEREST]],"")</f>
        <v>3708.9702104505395</v>
      </c>
      <c r="I72" s="14">
        <f>IF(PaymentSchedule[[#This Row],[PMT NO]]&lt;&gt;"",PaymentSchedule[[#This Row],[BEGINNING BALANCE]]*(InterestRate/PaymentsPerYear),"")</f>
        <v>7691.4492606317763</v>
      </c>
      <c r="J7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2047344.1659580234</v>
      </c>
      <c r="K72" s="14">
        <f>IF(PaymentSchedule[[#This Row],[PMT NO]]&lt;&gt;"",SUM(INDEX(PaymentSchedule[INTEREST],1,1):PaymentSchedule[[#This Row],[INTEREST]]),"")</f>
        <v>492769.75369404414</v>
      </c>
    </row>
    <row r="73" spans="2:11" x14ac:dyDescent="0.2">
      <c r="B73" s="10">
        <f>IF(LoanIsGood,IF(ROW()-ROW(PaymentSchedule[[#Headers],[PMT NO]])&gt;ScheduledNumberOfPayments,"",ROW()-ROW(PaymentSchedule[[#Headers],[PMT NO]])),"")</f>
        <v>62</v>
      </c>
      <c r="C73" s="12">
        <f>IF(PaymentSchedule[[#This Row],[PMT NO]]&lt;&gt;"",EOMONTH(LoanStartDate,ROW(PaymentSchedule[[#This Row],[PMT NO]])-ROW(PaymentSchedule[[#Headers],[PMT NO]])-2)+DAY(LoanStartDate),"")</f>
        <v>46784</v>
      </c>
      <c r="D73" s="14">
        <f>IF(PaymentSchedule[[#This Row],[PMT NO]]&lt;&gt;"",IF(ROW()-ROW(PaymentSchedule[[#Headers],[BEGINNING BALANCE]])=1,LoanAmount,INDEX(PaymentSchedule[ENDING BALANCE],ROW()-ROW(PaymentSchedule[[#Headers],[BEGINNING BALANCE]])-1)),"")</f>
        <v>2047344.1659580234</v>
      </c>
      <c r="E73" s="14">
        <f>IF(PaymentSchedule[[#This Row],[PMT NO]]&lt;&gt;"",ScheduledPayment,"")</f>
        <v>11400.419471082316</v>
      </c>
      <c r="F7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73" s="14">
        <f>IF(PaymentSchedule[[#This Row],[PMT NO]]&lt;&gt;"",PaymentSchedule[[#This Row],[TOTAL PAYMENT]]-PaymentSchedule[[#This Row],[INTEREST]],"")</f>
        <v>3722.8788487397287</v>
      </c>
      <c r="I73" s="14">
        <f>IF(PaymentSchedule[[#This Row],[PMT NO]]&lt;&gt;"",PaymentSchedule[[#This Row],[BEGINNING BALANCE]]*(InterestRate/PaymentsPerYear),"")</f>
        <v>7677.5406223425871</v>
      </c>
      <c r="J7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2043621.2871092837</v>
      </c>
      <c r="K73" s="14">
        <f>IF(PaymentSchedule[[#This Row],[PMT NO]]&lt;&gt;"",SUM(INDEX(PaymentSchedule[INTEREST],1,1):PaymentSchedule[[#This Row],[INTEREST]]),"")</f>
        <v>500447.29431638675</v>
      </c>
    </row>
    <row r="74" spans="2:11" x14ac:dyDescent="0.2">
      <c r="B74" s="10">
        <f>IF(LoanIsGood,IF(ROW()-ROW(PaymentSchedule[[#Headers],[PMT NO]])&gt;ScheduledNumberOfPayments,"",ROW()-ROW(PaymentSchedule[[#Headers],[PMT NO]])),"")</f>
        <v>63</v>
      </c>
      <c r="C74" s="12">
        <f>IF(PaymentSchedule[[#This Row],[PMT NO]]&lt;&gt;"",EOMONTH(LoanStartDate,ROW(PaymentSchedule[[#This Row],[PMT NO]])-ROW(PaymentSchedule[[#Headers],[PMT NO]])-2)+DAY(LoanStartDate),"")</f>
        <v>46813</v>
      </c>
      <c r="D74" s="14">
        <f>IF(PaymentSchedule[[#This Row],[PMT NO]]&lt;&gt;"",IF(ROW()-ROW(PaymentSchedule[[#Headers],[BEGINNING BALANCE]])=1,LoanAmount,INDEX(PaymentSchedule[ENDING BALANCE],ROW()-ROW(PaymentSchedule[[#Headers],[BEGINNING BALANCE]])-1)),"")</f>
        <v>2043621.2871092837</v>
      </c>
      <c r="E74" s="14">
        <f>IF(PaymentSchedule[[#This Row],[PMT NO]]&lt;&gt;"",ScheduledPayment,"")</f>
        <v>11400.419471082316</v>
      </c>
      <c r="F7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74" s="14">
        <f>IF(PaymentSchedule[[#This Row],[PMT NO]]&lt;&gt;"",PaymentSchedule[[#This Row],[TOTAL PAYMENT]]-PaymentSchedule[[#This Row],[INTEREST]],"")</f>
        <v>3736.8396444225018</v>
      </c>
      <c r="I74" s="14">
        <f>IF(PaymentSchedule[[#This Row],[PMT NO]]&lt;&gt;"",PaymentSchedule[[#This Row],[BEGINNING BALANCE]]*(InterestRate/PaymentsPerYear),"")</f>
        <v>7663.579826659814</v>
      </c>
      <c r="J7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2039884.4474648612</v>
      </c>
      <c r="K74" s="14">
        <f>IF(PaymentSchedule[[#This Row],[PMT NO]]&lt;&gt;"",SUM(INDEX(PaymentSchedule[INTEREST],1,1):PaymentSchedule[[#This Row],[INTEREST]]),"")</f>
        <v>508110.87414304656</v>
      </c>
    </row>
    <row r="75" spans="2:11" x14ac:dyDescent="0.2">
      <c r="B75" s="10">
        <f>IF(LoanIsGood,IF(ROW()-ROW(PaymentSchedule[[#Headers],[PMT NO]])&gt;ScheduledNumberOfPayments,"",ROW()-ROW(PaymentSchedule[[#Headers],[PMT NO]])),"")</f>
        <v>64</v>
      </c>
      <c r="C75" s="12">
        <f>IF(PaymentSchedule[[#This Row],[PMT NO]]&lt;&gt;"",EOMONTH(LoanStartDate,ROW(PaymentSchedule[[#This Row],[PMT NO]])-ROW(PaymentSchedule[[#Headers],[PMT NO]])-2)+DAY(LoanStartDate),"")</f>
        <v>46844</v>
      </c>
      <c r="D75" s="14">
        <f>IF(PaymentSchedule[[#This Row],[PMT NO]]&lt;&gt;"",IF(ROW()-ROW(PaymentSchedule[[#Headers],[BEGINNING BALANCE]])=1,LoanAmount,INDEX(PaymentSchedule[ENDING BALANCE],ROW()-ROW(PaymentSchedule[[#Headers],[BEGINNING BALANCE]])-1)),"")</f>
        <v>2039884.4474648612</v>
      </c>
      <c r="E75" s="14">
        <f>IF(PaymentSchedule[[#This Row],[PMT NO]]&lt;&gt;"",ScheduledPayment,"")</f>
        <v>11400.419471082316</v>
      </c>
      <c r="F7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75" s="14">
        <f>IF(PaymentSchedule[[#This Row],[PMT NO]]&lt;&gt;"",PaymentSchedule[[#This Row],[TOTAL PAYMENT]]-PaymentSchedule[[#This Row],[INTEREST]],"")</f>
        <v>3750.8527930890868</v>
      </c>
      <c r="I75" s="14">
        <f>IF(PaymentSchedule[[#This Row],[PMT NO]]&lt;&gt;"",PaymentSchedule[[#This Row],[BEGINNING BALANCE]]*(InterestRate/PaymentsPerYear),"")</f>
        <v>7649.566677993229</v>
      </c>
      <c r="J7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2036133.5946717721</v>
      </c>
      <c r="K75" s="14">
        <f>IF(PaymentSchedule[[#This Row],[PMT NO]]&lt;&gt;"",SUM(INDEX(PaymentSchedule[INTEREST],1,1):PaymentSchedule[[#This Row],[INTEREST]]),"")</f>
        <v>515760.44082103978</v>
      </c>
    </row>
    <row r="76" spans="2:11" x14ac:dyDescent="0.2">
      <c r="B76" s="10">
        <f>IF(LoanIsGood,IF(ROW()-ROW(PaymentSchedule[[#Headers],[PMT NO]])&gt;ScheduledNumberOfPayments,"",ROW()-ROW(PaymentSchedule[[#Headers],[PMT NO]])),"")</f>
        <v>65</v>
      </c>
      <c r="C76" s="12">
        <f>IF(PaymentSchedule[[#This Row],[PMT NO]]&lt;&gt;"",EOMONTH(LoanStartDate,ROW(PaymentSchedule[[#This Row],[PMT NO]])-ROW(PaymentSchedule[[#Headers],[PMT NO]])-2)+DAY(LoanStartDate),"")</f>
        <v>46874</v>
      </c>
      <c r="D76" s="14">
        <f>IF(PaymentSchedule[[#This Row],[PMT NO]]&lt;&gt;"",IF(ROW()-ROW(PaymentSchedule[[#Headers],[BEGINNING BALANCE]])=1,LoanAmount,INDEX(PaymentSchedule[ENDING BALANCE],ROW()-ROW(PaymentSchedule[[#Headers],[BEGINNING BALANCE]])-1)),"")</f>
        <v>2036133.5946717721</v>
      </c>
      <c r="E76" s="14">
        <f>IF(PaymentSchedule[[#This Row],[PMT NO]]&lt;&gt;"",ScheduledPayment,"")</f>
        <v>11400.419471082316</v>
      </c>
      <c r="F7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76" s="14">
        <f>IF(PaymentSchedule[[#This Row],[PMT NO]]&lt;&gt;"",PaymentSchedule[[#This Row],[TOTAL PAYMENT]]-PaymentSchedule[[#This Row],[INTEREST]],"")</f>
        <v>3764.9184910631711</v>
      </c>
      <c r="I76" s="14">
        <f>IF(PaymentSchedule[[#This Row],[PMT NO]]&lt;&gt;"",PaymentSchedule[[#This Row],[BEGINNING BALANCE]]*(InterestRate/PaymentsPerYear),"")</f>
        <v>7635.5009800191447</v>
      </c>
      <c r="J7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2032368.6761807089</v>
      </c>
      <c r="K76" s="14">
        <f>IF(PaymentSchedule[[#This Row],[PMT NO]]&lt;&gt;"",SUM(INDEX(PaymentSchedule[INTEREST],1,1):PaymentSchedule[[#This Row],[INTEREST]]),"")</f>
        <v>523395.94180105894</v>
      </c>
    </row>
    <row r="77" spans="2:11" x14ac:dyDescent="0.2">
      <c r="B77" s="10">
        <f>IF(LoanIsGood,IF(ROW()-ROW(PaymentSchedule[[#Headers],[PMT NO]])&gt;ScheduledNumberOfPayments,"",ROW()-ROW(PaymentSchedule[[#Headers],[PMT NO]])),"")</f>
        <v>66</v>
      </c>
      <c r="C77" s="12">
        <f>IF(PaymentSchedule[[#This Row],[PMT NO]]&lt;&gt;"",EOMONTH(LoanStartDate,ROW(PaymentSchedule[[#This Row],[PMT NO]])-ROW(PaymentSchedule[[#Headers],[PMT NO]])-2)+DAY(LoanStartDate),"")</f>
        <v>46905</v>
      </c>
      <c r="D77" s="14">
        <f>IF(PaymentSchedule[[#This Row],[PMT NO]]&lt;&gt;"",IF(ROW()-ROW(PaymentSchedule[[#Headers],[BEGINNING BALANCE]])=1,LoanAmount,INDEX(PaymentSchedule[ENDING BALANCE],ROW()-ROW(PaymentSchedule[[#Headers],[BEGINNING BALANCE]])-1)),"")</f>
        <v>2032368.6761807089</v>
      </c>
      <c r="E77" s="14">
        <f>IF(PaymentSchedule[[#This Row],[PMT NO]]&lt;&gt;"",ScheduledPayment,"")</f>
        <v>11400.419471082316</v>
      </c>
      <c r="F7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77" s="14">
        <f>IF(PaymentSchedule[[#This Row],[PMT NO]]&lt;&gt;"",PaymentSchedule[[#This Row],[TOTAL PAYMENT]]-PaymentSchedule[[#This Row],[INTEREST]],"")</f>
        <v>3779.0369354046579</v>
      </c>
      <c r="I77" s="14">
        <f>IF(PaymentSchedule[[#This Row],[PMT NO]]&lt;&gt;"",PaymentSchedule[[#This Row],[BEGINNING BALANCE]]*(InterestRate/PaymentsPerYear),"")</f>
        <v>7621.3825356776579</v>
      </c>
      <c r="J7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2028589.6392453043</v>
      </c>
      <c r="K77" s="14">
        <f>IF(PaymentSchedule[[#This Row],[PMT NO]]&lt;&gt;"",SUM(INDEX(PaymentSchedule[INTEREST],1,1):PaymentSchedule[[#This Row],[INTEREST]]),"")</f>
        <v>531017.32433673658</v>
      </c>
    </row>
    <row r="78" spans="2:11" x14ac:dyDescent="0.2">
      <c r="B78" s="10">
        <f>IF(LoanIsGood,IF(ROW()-ROW(PaymentSchedule[[#Headers],[PMT NO]])&gt;ScheduledNumberOfPayments,"",ROW()-ROW(PaymentSchedule[[#Headers],[PMT NO]])),"")</f>
        <v>67</v>
      </c>
      <c r="C78" s="12">
        <f>IF(PaymentSchedule[[#This Row],[PMT NO]]&lt;&gt;"",EOMONTH(LoanStartDate,ROW(PaymentSchedule[[#This Row],[PMT NO]])-ROW(PaymentSchedule[[#Headers],[PMT NO]])-2)+DAY(LoanStartDate),"")</f>
        <v>46935</v>
      </c>
      <c r="D78" s="14">
        <f>IF(PaymentSchedule[[#This Row],[PMT NO]]&lt;&gt;"",IF(ROW()-ROW(PaymentSchedule[[#Headers],[BEGINNING BALANCE]])=1,LoanAmount,INDEX(PaymentSchedule[ENDING BALANCE],ROW()-ROW(PaymentSchedule[[#Headers],[BEGINNING BALANCE]])-1)),"")</f>
        <v>2028589.6392453043</v>
      </c>
      <c r="E78" s="14">
        <f>IF(PaymentSchedule[[#This Row],[PMT NO]]&lt;&gt;"",ScheduledPayment,"")</f>
        <v>11400.419471082316</v>
      </c>
      <c r="F7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78" s="14">
        <f>IF(PaymentSchedule[[#This Row],[PMT NO]]&lt;&gt;"",PaymentSchedule[[#This Row],[TOTAL PAYMENT]]-PaymentSchedule[[#This Row],[INTEREST]],"")</f>
        <v>3793.2083239124249</v>
      </c>
      <c r="I78" s="14">
        <f>IF(PaymentSchedule[[#This Row],[PMT NO]]&lt;&gt;"",PaymentSchedule[[#This Row],[BEGINNING BALANCE]]*(InterestRate/PaymentsPerYear),"")</f>
        <v>7607.2111471698909</v>
      </c>
      <c r="J7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2024796.4309213918</v>
      </c>
      <c r="K78" s="14">
        <f>IF(PaymentSchedule[[#This Row],[PMT NO]]&lt;&gt;"",SUM(INDEX(PaymentSchedule[INTEREST],1,1):PaymentSchedule[[#This Row],[INTEREST]]),"")</f>
        <v>538624.53548390651</v>
      </c>
    </row>
    <row r="79" spans="2:11" x14ac:dyDescent="0.2">
      <c r="B79" s="10">
        <f>IF(LoanIsGood,IF(ROW()-ROW(PaymentSchedule[[#Headers],[PMT NO]])&gt;ScheduledNumberOfPayments,"",ROW()-ROW(PaymentSchedule[[#Headers],[PMT NO]])),"")</f>
        <v>68</v>
      </c>
      <c r="C79" s="12">
        <f>IF(PaymentSchedule[[#This Row],[PMT NO]]&lt;&gt;"",EOMONTH(LoanStartDate,ROW(PaymentSchedule[[#This Row],[PMT NO]])-ROW(PaymentSchedule[[#Headers],[PMT NO]])-2)+DAY(LoanStartDate),"")</f>
        <v>46966</v>
      </c>
      <c r="D79" s="14">
        <f>IF(PaymentSchedule[[#This Row],[PMT NO]]&lt;&gt;"",IF(ROW()-ROW(PaymentSchedule[[#Headers],[BEGINNING BALANCE]])=1,LoanAmount,INDEX(PaymentSchedule[ENDING BALANCE],ROW()-ROW(PaymentSchedule[[#Headers],[BEGINNING BALANCE]])-1)),"")</f>
        <v>2024796.4309213918</v>
      </c>
      <c r="E79" s="14">
        <f>IF(PaymentSchedule[[#This Row],[PMT NO]]&lt;&gt;"",ScheduledPayment,"")</f>
        <v>11400.419471082316</v>
      </c>
      <c r="F7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79" s="14">
        <f>IF(PaymentSchedule[[#This Row],[PMT NO]]&lt;&gt;"",PaymentSchedule[[#This Row],[TOTAL PAYMENT]]-PaymentSchedule[[#This Row],[INTEREST]],"")</f>
        <v>3807.4328551270964</v>
      </c>
      <c r="I79" s="14">
        <f>IF(PaymentSchedule[[#This Row],[PMT NO]]&lt;&gt;"",PaymentSchedule[[#This Row],[BEGINNING BALANCE]]*(InterestRate/PaymentsPerYear),"")</f>
        <v>7592.9866159552193</v>
      </c>
      <c r="J7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2020988.9980662647</v>
      </c>
      <c r="K79" s="14">
        <f>IF(PaymentSchedule[[#This Row],[PMT NO]]&lt;&gt;"",SUM(INDEX(PaymentSchedule[INTEREST],1,1):PaymentSchedule[[#This Row],[INTEREST]]),"")</f>
        <v>546217.52209986176</v>
      </c>
    </row>
    <row r="80" spans="2:11" x14ac:dyDescent="0.2">
      <c r="B80" s="10">
        <f>IF(LoanIsGood,IF(ROW()-ROW(PaymentSchedule[[#Headers],[PMT NO]])&gt;ScheduledNumberOfPayments,"",ROW()-ROW(PaymentSchedule[[#Headers],[PMT NO]])),"")</f>
        <v>69</v>
      </c>
      <c r="C80" s="12">
        <f>IF(PaymentSchedule[[#This Row],[PMT NO]]&lt;&gt;"",EOMONTH(LoanStartDate,ROW(PaymentSchedule[[#This Row],[PMT NO]])-ROW(PaymentSchedule[[#Headers],[PMT NO]])-2)+DAY(LoanStartDate),"")</f>
        <v>46997</v>
      </c>
      <c r="D80" s="14">
        <f>IF(PaymentSchedule[[#This Row],[PMT NO]]&lt;&gt;"",IF(ROW()-ROW(PaymentSchedule[[#Headers],[BEGINNING BALANCE]])=1,LoanAmount,INDEX(PaymentSchedule[ENDING BALANCE],ROW()-ROW(PaymentSchedule[[#Headers],[BEGINNING BALANCE]])-1)),"")</f>
        <v>2020988.9980662647</v>
      </c>
      <c r="E80" s="14">
        <f>IF(PaymentSchedule[[#This Row],[PMT NO]]&lt;&gt;"",ScheduledPayment,"")</f>
        <v>11400.419471082316</v>
      </c>
      <c r="F8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80" s="14">
        <f>IF(PaymentSchedule[[#This Row],[PMT NO]]&lt;&gt;"",PaymentSchedule[[#This Row],[TOTAL PAYMENT]]-PaymentSchedule[[#This Row],[INTEREST]],"")</f>
        <v>3821.7107283338237</v>
      </c>
      <c r="I80" s="14">
        <f>IF(PaymentSchedule[[#This Row],[PMT NO]]&lt;&gt;"",PaymentSchedule[[#This Row],[BEGINNING BALANCE]]*(InterestRate/PaymentsPerYear),"")</f>
        <v>7578.7087427484921</v>
      </c>
      <c r="J8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2017167.2873379309</v>
      </c>
      <c r="K80" s="14">
        <f>IF(PaymentSchedule[[#This Row],[PMT NO]]&lt;&gt;"",SUM(INDEX(PaymentSchedule[INTEREST],1,1):PaymentSchedule[[#This Row],[INTEREST]]),"")</f>
        <v>553796.23084261024</v>
      </c>
    </row>
    <row r="81" spans="2:11" x14ac:dyDescent="0.2">
      <c r="B81" s="10">
        <f>IF(LoanIsGood,IF(ROW()-ROW(PaymentSchedule[[#Headers],[PMT NO]])&gt;ScheduledNumberOfPayments,"",ROW()-ROW(PaymentSchedule[[#Headers],[PMT NO]])),"")</f>
        <v>70</v>
      </c>
      <c r="C81" s="12">
        <f>IF(PaymentSchedule[[#This Row],[PMT NO]]&lt;&gt;"",EOMONTH(LoanStartDate,ROW(PaymentSchedule[[#This Row],[PMT NO]])-ROW(PaymentSchedule[[#Headers],[PMT NO]])-2)+DAY(LoanStartDate),"")</f>
        <v>47027</v>
      </c>
      <c r="D81" s="14">
        <f>IF(PaymentSchedule[[#This Row],[PMT NO]]&lt;&gt;"",IF(ROW()-ROW(PaymentSchedule[[#Headers],[BEGINNING BALANCE]])=1,LoanAmount,INDEX(PaymentSchedule[ENDING BALANCE],ROW()-ROW(PaymentSchedule[[#Headers],[BEGINNING BALANCE]])-1)),"")</f>
        <v>2017167.2873379309</v>
      </c>
      <c r="E81" s="14">
        <f>IF(PaymentSchedule[[#This Row],[PMT NO]]&lt;&gt;"",ScheduledPayment,"")</f>
        <v>11400.419471082316</v>
      </c>
      <c r="F8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81" s="14">
        <f>IF(PaymentSchedule[[#This Row],[PMT NO]]&lt;&gt;"",PaymentSchedule[[#This Row],[TOTAL PAYMENT]]-PaymentSchedule[[#This Row],[INTEREST]],"")</f>
        <v>3836.0421435650751</v>
      </c>
      <c r="I81" s="14">
        <f>IF(PaymentSchedule[[#This Row],[PMT NO]]&lt;&gt;"",PaymentSchedule[[#This Row],[BEGINNING BALANCE]]*(InterestRate/PaymentsPerYear),"")</f>
        <v>7564.3773275172407</v>
      </c>
      <c r="J8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2013331.2451943657</v>
      </c>
      <c r="K81" s="14">
        <f>IF(PaymentSchedule[[#This Row],[PMT NO]]&lt;&gt;"",SUM(INDEX(PaymentSchedule[INTEREST],1,1):PaymentSchedule[[#This Row],[INTEREST]]),"")</f>
        <v>561360.6081701275</v>
      </c>
    </row>
    <row r="82" spans="2:11" x14ac:dyDescent="0.2">
      <c r="B82" s="10">
        <f>IF(LoanIsGood,IF(ROW()-ROW(PaymentSchedule[[#Headers],[PMT NO]])&gt;ScheduledNumberOfPayments,"",ROW()-ROW(PaymentSchedule[[#Headers],[PMT NO]])),"")</f>
        <v>71</v>
      </c>
      <c r="C82" s="12">
        <f>IF(PaymentSchedule[[#This Row],[PMT NO]]&lt;&gt;"",EOMONTH(LoanStartDate,ROW(PaymentSchedule[[#This Row],[PMT NO]])-ROW(PaymentSchedule[[#Headers],[PMT NO]])-2)+DAY(LoanStartDate),"")</f>
        <v>47058</v>
      </c>
      <c r="D82" s="14">
        <f>IF(PaymentSchedule[[#This Row],[PMT NO]]&lt;&gt;"",IF(ROW()-ROW(PaymentSchedule[[#Headers],[BEGINNING BALANCE]])=1,LoanAmount,INDEX(PaymentSchedule[ENDING BALANCE],ROW()-ROW(PaymentSchedule[[#Headers],[BEGINNING BALANCE]])-1)),"")</f>
        <v>2013331.2451943657</v>
      </c>
      <c r="E82" s="14">
        <f>IF(PaymentSchedule[[#This Row],[PMT NO]]&lt;&gt;"",ScheduledPayment,"")</f>
        <v>11400.419471082316</v>
      </c>
      <c r="F8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82" s="14">
        <f>IF(PaymentSchedule[[#This Row],[PMT NO]]&lt;&gt;"",PaymentSchedule[[#This Row],[TOTAL PAYMENT]]-PaymentSchedule[[#This Row],[INTEREST]],"")</f>
        <v>3850.4273016034449</v>
      </c>
      <c r="I82" s="14">
        <f>IF(PaymentSchedule[[#This Row],[PMT NO]]&lt;&gt;"",PaymentSchedule[[#This Row],[BEGINNING BALANCE]]*(InterestRate/PaymentsPerYear),"")</f>
        <v>7549.9921694788709</v>
      </c>
      <c r="J8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2009480.8178927624</v>
      </c>
      <c r="K82" s="14">
        <f>IF(PaymentSchedule[[#This Row],[PMT NO]]&lt;&gt;"",SUM(INDEX(PaymentSchedule[INTEREST],1,1):PaymentSchedule[[#This Row],[INTEREST]]),"")</f>
        <v>568910.6003396064</v>
      </c>
    </row>
    <row r="83" spans="2:11" x14ac:dyDescent="0.2">
      <c r="B83" s="10">
        <f>IF(LoanIsGood,IF(ROW()-ROW(PaymentSchedule[[#Headers],[PMT NO]])&gt;ScheduledNumberOfPayments,"",ROW()-ROW(PaymentSchedule[[#Headers],[PMT NO]])),"")</f>
        <v>72</v>
      </c>
      <c r="C83" s="12">
        <f>IF(PaymentSchedule[[#This Row],[PMT NO]]&lt;&gt;"",EOMONTH(LoanStartDate,ROW(PaymentSchedule[[#This Row],[PMT NO]])-ROW(PaymentSchedule[[#Headers],[PMT NO]])-2)+DAY(LoanStartDate),"")</f>
        <v>47088</v>
      </c>
      <c r="D83" s="14">
        <f>IF(PaymentSchedule[[#This Row],[PMT NO]]&lt;&gt;"",IF(ROW()-ROW(PaymentSchedule[[#Headers],[BEGINNING BALANCE]])=1,LoanAmount,INDEX(PaymentSchedule[ENDING BALANCE],ROW()-ROW(PaymentSchedule[[#Headers],[BEGINNING BALANCE]])-1)),"")</f>
        <v>2009480.8178927624</v>
      </c>
      <c r="E83" s="14">
        <f>IF(PaymentSchedule[[#This Row],[PMT NO]]&lt;&gt;"",ScheduledPayment,"")</f>
        <v>11400.419471082316</v>
      </c>
      <c r="F8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83" s="14">
        <f>IF(PaymentSchedule[[#This Row],[PMT NO]]&lt;&gt;"",PaymentSchedule[[#This Row],[TOTAL PAYMENT]]-PaymentSchedule[[#This Row],[INTEREST]],"")</f>
        <v>3864.8664039844571</v>
      </c>
      <c r="I83" s="14">
        <f>IF(PaymentSchedule[[#This Row],[PMT NO]]&lt;&gt;"",PaymentSchedule[[#This Row],[BEGINNING BALANCE]]*(InterestRate/PaymentsPerYear),"")</f>
        <v>7535.5530670978587</v>
      </c>
      <c r="J8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2005615.951488778</v>
      </c>
      <c r="K83" s="14">
        <f>IF(PaymentSchedule[[#This Row],[PMT NO]]&lt;&gt;"",SUM(INDEX(PaymentSchedule[INTEREST],1,1):PaymentSchedule[[#This Row],[INTEREST]]),"")</f>
        <v>576446.15340670431</v>
      </c>
    </row>
    <row r="84" spans="2:11" x14ac:dyDescent="0.2">
      <c r="B84" s="10">
        <f>IF(LoanIsGood,IF(ROW()-ROW(PaymentSchedule[[#Headers],[PMT NO]])&gt;ScheduledNumberOfPayments,"",ROW()-ROW(PaymentSchedule[[#Headers],[PMT NO]])),"")</f>
        <v>73</v>
      </c>
      <c r="C84" s="12">
        <f>IF(PaymentSchedule[[#This Row],[PMT NO]]&lt;&gt;"",EOMONTH(LoanStartDate,ROW(PaymentSchedule[[#This Row],[PMT NO]])-ROW(PaymentSchedule[[#Headers],[PMT NO]])-2)+DAY(LoanStartDate),"")</f>
        <v>47119</v>
      </c>
      <c r="D84" s="14">
        <f>IF(PaymentSchedule[[#This Row],[PMT NO]]&lt;&gt;"",IF(ROW()-ROW(PaymentSchedule[[#Headers],[BEGINNING BALANCE]])=1,LoanAmount,INDEX(PaymentSchedule[ENDING BALANCE],ROW()-ROW(PaymentSchedule[[#Headers],[BEGINNING BALANCE]])-1)),"")</f>
        <v>2005615.951488778</v>
      </c>
      <c r="E84" s="14">
        <f>IF(PaymentSchedule[[#This Row],[PMT NO]]&lt;&gt;"",ScheduledPayment,"")</f>
        <v>11400.419471082316</v>
      </c>
      <c r="F8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84" s="14">
        <f>IF(PaymentSchedule[[#This Row],[PMT NO]]&lt;&gt;"",PaymentSchedule[[#This Row],[TOTAL PAYMENT]]-PaymentSchedule[[#This Row],[INTEREST]],"")</f>
        <v>3879.3596529993983</v>
      </c>
      <c r="I84" s="14">
        <f>IF(PaymentSchedule[[#This Row],[PMT NO]]&lt;&gt;"",PaymentSchedule[[#This Row],[BEGINNING BALANCE]]*(InterestRate/PaymentsPerYear),"")</f>
        <v>7521.0598180829174</v>
      </c>
      <c r="J8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2001736.5918357787</v>
      </c>
      <c r="K84" s="14">
        <f>IF(PaymentSchedule[[#This Row],[PMT NO]]&lt;&gt;"",SUM(INDEX(PaymentSchedule[INTEREST],1,1):PaymentSchedule[[#This Row],[INTEREST]]),"")</f>
        <v>583967.21322478727</v>
      </c>
    </row>
    <row r="85" spans="2:11" x14ac:dyDescent="0.2">
      <c r="B85" s="10">
        <f>IF(LoanIsGood,IF(ROW()-ROW(PaymentSchedule[[#Headers],[PMT NO]])&gt;ScheduledNumberOfPayments,"",ROW()-ROW(PaymentSchedule[[#Headers],[PMT NO]])),"")</f>
        <v>74</v>
      </c>
      <c r="C85" s="12">
        <f>IF(PaymentSchedule[[#This Row],[PMT NO]]&lt;&gt;"",EOMONTH(LoanStartDate,ROW(PaymentSchedule[[#This Row],[PMT NO]])-ROW(PaymentSchedule[[#Headers],[PMT NO]])-2)+DAY(LoanStartDate),"")</f>
        <v>47150</v>
      </c>
      <c r="D85" s="14">
        <f>IF(PaymentSchedule[[#This Row],[PMT NO]]&lt;&gt;"",IF(ROW()-ROW(PaymentSchedule[[#Headers],[BEGINNING BALANCE]])=1,LoanAmount,INDEX(PaymentSchedule[ENDING BALANCE],ROW()-ROW(PaymentSchedule[[#Headers],[BEGINNING BALANCE]])-1)),"")</f>
        <v>2001736.5918357787</v>
      </c>
      <c r="E85" s="14">
        <f>IF(PaymentSchedule[[#This Row],[PMT NO]]&lt;&gt;"",ScheduledPayment,"")</f>
        <v>11400.419471082316</v>
      </c>
      <c r="F8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85" s="14">
        <f>IF(PaymentSchedule[[#This Row],[PMT NO]]&lt;&gt;"",PaymentSchedule[[#This Row],[TOTAL PAYMENT]]-PaymentSchedule[[#This Row],[INTEREST]],"")</f>
        <v>3893.907251698146</v>
      </c>
      <c r="I85" s="14">
        <f>IF(PaymentSchedule[[#This Row],[PMT NO]]&lt;&gt;"",PaymentSchedule[[#This Row],[BEGINNING BALANCE]]*(InterestRate/PaymentsPerYear),"")</f>
        <v>7506.5122193841698</v>
      </c>
      <c r="J8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1997842.6845840805</v>
      </c>
      <c r="K85" s="14">
        <f>IF(PaymentSchedule[[#This Row],[PMT NO]]&lt;&gt;"",SUM(INDEX(PaymentSchedule[INTEREST],1,1):PaymentSchedule[[#This Row],[INTEREST]]),"")</f>
        <v>591473.72544417146</v>
      </c>
    </row>
    <row r="86" spans="2:11" x14ac:dyDescent="0.2">
      <c r="B86" s="10">
        <f>IF(LoanIsGood,IF(ROW()-ROW(PaymentSchedule[[#Headers],[PMT NO]])&gt;ScheduledNumberOfPayments,"",ROW()-ROW(PaymentSchedule[[#Headers],[PMT NO]])),"")</f>
        <v>75</v>
      </c>
      <c r="C86" s="12">
        <f>IF(PaymentSchedule[[#This Row],[PMT NO]]&lt;&gt;"",EOMONTH(LoanStartDate,ROW(PaymentSchedule[[#This Row],[PMT NO]])-ROW(PaymentSchedule[[#Headers],[PMT NO]])-2)+DAY(LoanStartDate),"")</f>
        <v>47178</v>
      </c>
      <c r="D86" s="14">
        <f>IF(PaymentSchedule[[#This Row],[PMT NO]]&lt;&gt;"",IF(ROW()-ROW(PaymentSchedule[[#Headers],[BEGINNING BALANCE]])=1,LoanAmount,INDEX(PaymentSchedule[ENDING BALANCE],ROW()-ROW(PaymentSchedule[[#Headers],[BEGINNING BALANCE]])-1)),"")</f>
        <v>1997842.6845840805</v>
      </c>
      <c r="E86" s="14">
        <f>IF(PaymentSchedule[[#This Row],[PMT NO]]&lt;&gt;"",ScheduledPayment,"")</f>
        <v>11400.419471082316</v>
      </c>
      <c r="F8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86" s="14">
        <f>IF(PaymentSchedule[[#This Row],[PMT NO]]&lt;&gt;"",PaymentSchedule[[#This Row],[TOTAL PAYMENT]]-PaymentSchedule[[#This Row],[INTEREST]],"")</f>
        <v>3908.5094038920142</v>
      </c>
      <c r="I86" s="14">
        <f>IF(PaymentSchedule[[#This Row],[PMT NO]]&lt;&gt;"",PaymentSchedule[[#This Row],[BEGINNING BALANCE]]*(InterestRate/PaymentsPerYear),"")</f>
        <v>7491.9100671903016</v>
      </c>
      <c r="J8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1993934.1751801884</v>
      </c>
      <c r="K86" s="14">
        <f>IF(PaymentSchedule[[#This Row],[PMT NO]]&lt;&gt;"",SUM(INDEX(PaymentSchedule[INTEREST],1,1):PaymentSchedule[[#This Row],[INTEREST]]),"")</f>
        <v>598965.63551136176</v>
      </c>
    </row>
    <row r="87" spans="2:11" x14ac:dyDescent="0.2">
      <c r="B87" s="10">
        <f>IF(LoanIsGood,IF(ROW()-ROW(PaymentSchedule[[#Headers],[PMT NO]])&gt;ScheduledNumberOfPayments,"",ROW()-ROW(PaymentSchedule[[#Headers],[PMT NO]])),"")</f>
        <v>76</v>
      </c>
      <c r="C87" s="12">
        <f>IF(PaymentSchedule[[#This Row],[PMT NO]]&lt;&gt;"",EOMONTH(LoanStartDate,ROW(PaymentSchedule[[#This Row],[PMT NO]])-ROW(PaymentSchedule[[#Headers],[PMT NO]])-2)+DAY(LoanStartDate),"")</f>
        <v>47209</v>
      </c>
      <c r="D87" s="14">
        <f>IF(PaymentSchedule[[#This Row],[PMT NO]]&lt;&gt;"",IF(ROW()-ROW(PaymentSchedule[[#Headers],[BEGINNING BALANCE]])=1,LoanAmount,INDEX(PaymentSchedule[ENDING BALANCE],ROW()-ROW(PaymentSchedule[[#Headers],[BEGINNING BALANCE]])-1)),"")</f>
        <v>1993934.1751801884</v>
      </c>
      <c r="E87" s="14">
        <f>IF(PaymentSchedule[[#This Row],[PMT NO]]&lt;&gt;"",ScheduledPayment,"")</f>
        <v>11400.419471082316</v>
      </c>
      <c r="F8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87" s="14">
        <f>IF(PaymentSchedule[[#This Row],[PMT NO]]&lt;&gt;"",PaymentSchedule[[#This Row],[TOTAL PAYMENT]]-PaymentSchedule[[#This Row],[INTEREST]],"")</f>
        <v>3923.1663141566096</v>
      </c>
      <c r="I87" s="14">
        <f>IF(PaymentSchedule[[#This Row],[PMT NO]]&lt;&gt;"",PaymentSchedule[[#This Row],[BEGINNING BALANCE]]*(InterestRate/PaymentsPerYear),"")</f>
        <v>7477.2531569257062</v>
      </c>
      <c r="J8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1990011.0088660317</v>
      </c>
      <c r="K87" s="14">
        <f>IF(PaymentSchedule[[#This Row],[PMT NO]]&lt;&gt;"",SUM(INDEX(PaymentSchedule[INTEREST],1,1):PaymentSchedule[[#This Row],[INTEREST]]),"")</f>
        <v>606442.88866828743</v>
      </c>
    </row>
    <row r="88" spans="2:11" x14ac:dyDescent="0.2">
      <c r="B88" s="10">
        <f>IF(LoanIsGood,IF(ROW()-ROW(PaymentSchedule[[#Headers],[PMT NO]])&gt;ScheduledNumberOfPayments,"",ROW()-ROW(PaymentSchedule[[#Headers],[PMT NO]])),"")</f>
        <v>77</v>
      </c>
      <c r="C88" s="12">
        <f>IF(PaymentSchedule[[#This Row],[PMT NO]]&lt;&gt;"",EOMONTH(LoanStartDate,ROW(PaymentSchedule[[#This Row],[PMT NO]])-ROW(PaymentSchedule[[#Headers],[PMT NO]])-2)+DAY(LoanStartDate),"")</f>
        <v>47239</v>
      </c>
      <c r="D88" s="14">
        <f>IF(PaymentSchedule[[#This Row],[PMT NO]]&lt;&gt;"",IF(ROW()-ROW(PaymentSchedule[[#Headers],[BEGINNING BALANCE]])=1,LoanAmount,INDEX(PaymentSchedule[ENDING BALANCE],ROW()-ROW(PaymentSchedule[[#Headers],[BEGINNING BALANCE]])-1)),"")</f>
        <v>1990011.0088660317</v>
      </c>
      <c r="E88" s="14">
        <f>IF(PaymentSchedule[[#This Row],[PMT NO]]&lt;&gt;"",ScheduledPayment,"")</f>
        <v>11400.419471082316</v>
      </c>
      <c r="F8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88" s="14">
        <f>IF(PaymentSchedule[[#This Row],[PMT NO]]&lt;&gt;"",PaymentSchedule[[#This Row],[TOTAL PAYMENT]]-PaymentSchedule[[#This Row],[INTEREST]],"")</f>
        <v>3937.8781878346972</v>
      </c>
      <c r="I88" s="14">
        <f>IF(PaymentSchedule[[#This Row],[PMT NO]]&lt;&gt;"",PaymentSchedule[[#This Row],[BEGINNING BALANCE]]*(InterestRate/PaymentsPerYear),"")</f>
        <v>7462.5412832476186</v>
      </c>
      <c r="J8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1986073.1306781969</v>
      </c>
      <c r="K88" s="14">
        <f>IF(PaymentSchedule[[#This Row],[PMT NO]]&lt;&gt;"",SUM(INDEX(PaymentSchedule[INTEREST],1,1):PaymentSchedule[[#This Row],[INTEREST]]),"")</f>
        <v>613905.42995153507</v>
      </c>
    </row>
    <row r="89" spans="2:11" x14ac:dyDescent="0.2">
      <c r="B89" s="10">
        <f>IF(LoanIsGood,IF(ROW()-ROW(PaymentSchedule[[#Headers],[PMT NO]])&gt;ScheduledNumberOfPayments,"",ROW()-ROW(PaymentSchedule[[#Headers],[PMT NO]])),"")</f>
        <v>78</v>
      </c>
      <c r="C89" s="12">
        <f>IF(PaymentSchedule[[#This Row],[PMT NO]]&lt;&gt;"",EOMONTH(LoanStartDate,ROW(PaymentSchedule[[#This Row],[PMT NO]])-ROW(PaymentSchedule[[#Headers],[PMT NO]])-2)+DAY(LoanStartDate),"")</f>
        <v>47270</v>
      </c>
      <c r="D89" s="14">
        <f>IF(PaymentSchedule[[#This Row],[PMT NO]]&lt;&gt;"",IF(ROW()-ROW(PaymentSchedule[[#Headers],[BEGINNING BALANCE]])=1,LoanAmount,INDEX(PaymentSchedule[ENDING BALANCE],ROW()-ROW(PaymentSchedule[[#Headers],[BEGINNING BALANCE]])-1)),"")</f>
        <v>1986073.1306781969</v>
      </c>
      <c r="E89" s="14">
        <f>IF(PaymentSchedule[[#This Row],[PMT NO]]&lt;&gt;"",ScheduledPayment,"")</f>
        <v>11400.419471082316</v>
      </c>
      <c r="F8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89" s="14">
        <f>IF(PaymentSchedule[[#This Row],[PMT NO]]&lt;&gt;"",PaymentSchedule[[#This Row],[TOTAL PAYMENT]]-PaymentSchedule[[#This Row],[INTEREST]],"")</f>
        <v>3952.6452310390778</v>
      </c>
      <c r="I89" s="14">
        <f>IF(PaymentSchedule[[#This Row],[PMT NO]]&lt;&gt;"",PaymentSchedule[[#This Row],[BEGINNING BALANCE]]*(InterestRate/PaymentsPerYear),"")</f>
        <v>7447.774240043238</v>
      </c>
      <c r="J8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1982120.4854471579</v>
      </c>
      <c r="K89" s="14">
        <f>IF(PaymentSchedule[[#This Row],[PMT NO]]&lt;&gt;"",SUM(INDEX(PaymentSchedule[INTEREST],1,1):PaymentSchedule[[#This Row],[INTEREST]]),"")</f>
        <v>621353.20419157832</v>
      </c>
    </row>
    <row r="90" spans="2:11" x14ac:dyDescent="0.2">
      <c r="B90" s="10">
        <f>IF(LoanIsGood,IF(ROW()-ROW(PaymentSchedule[[#Headers],[PMT NO]])&gt;ScheduledNumberOfPayments,"",ROW()-ROW(PaymentSchedule[[#Headers],[PMT NO]])),"")</f>
        <v>79</v>
      </c>
      <c r="C90" s="12">
        <f>IF(PaymentSchedule[[#This Row],[PMT NO]]&lt;&gt;"",EOMONTH(LoanStartDate,ROW(PaymentSchedule[[#This Row],[PMT NO]])-ROW(PaymentSchedule[[#Headers],[PMT NO]])-2)+DAY(LoanStartDate),"")</f>
        <v>47300</v>
      </c>
      <c r="D90" s="14">
        <f>IF(PaymentSchedule[[#This Row],[PMT NO]]&lt;&gt;"",IF(ROW()-ROW(PaymentSchedule[[#Headers],[BEGINNING BALANCE]])=1,LoanAmount,INDEX(PaymentSchedule[ENDING BALANCE],ROW()-ROW(PaymentSchedule[[#Headers],[BEGINNING BALANCE]])-1)),"")</f>
        <v>1982120.4854471579</v>
      </c>
      <c r="E90" s="14">
        <f>IF(PaymentSchedule[[#This Row],[PMT NO]]&lt;&gt;"",ScheduledPayment,"")</f>
        <v>11400.419471082316</v>
      </c>
      <c r="F9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90" s="14">
        <f>IF(PaymentSchedule[[#This Row],[PMT NO]]&lt;&gt;"",PaymentSchedule[[#This Row],[TOTAL PAYMENT]]-PaymentSchedule[[#This Row],[INTEREST]],"")</f>
        <v>3967.4676506554742</v>
      </c>
      <c r="I90" s="14">
        <f>IF(PaymentSchedule[[#This Row],[PMT NO]]&lt;&gt;"",PaymentSchedule[[#This Row],[BEGINNING BALANCE]]*(InterestRate/PaymentsPerYear),"")</f>
        <v>7432.9518204268416</v>
      </c>
      <c r="J9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1978153.0177965024</v>
      </c>
      <c r="K90" s="14">
        <f>IF(PaymentSchedule[[#This Row],[PMT NO]]&lt;&gt;"",SUM(INDEX(PaymentSchedule[INTEREST],1,1):PaymentSchedule[[#This Row],[INTEREST]]),"")</f>
        <v>628786.15601200517</v>
      </c>
    </row>
    <row r="91" spans="2:11" x14ac:dyDescent="0.2">
      <c r="B91" s="10">
        <f>IF(LoanIsGood,IF(ROW()-ROW(PaymentSchedule[[#Headers],[PMT NO]])&gt;ScheduledNumberOfPayments,"",ROW()-ROW(PaymentSchedule[[#Headers],[PMT NO]])),"")</f>
        <v>80</v>
      </c>
      <c r="C91" s="12">
        <f>IF(PaymentSchedule[[#This Row],[PMT NO]]&lt;&gt;"",EOMONTH(LoanStartDate,ROW(PaymentSchedule[[#This Row],[PMT NO]])-ROW(PaymentSchedule[[#Headers],[PMT NO]])-2)+DAY(LoanStartDate),"")</f>
        <v>47331</v>
      </c>
      <c r="D91" s="14">
        <f>IF(PaymentSchedule[[#This Row],[PMT NO]]&lt;&gt;"",IF(ROW()-ROW(PaymentSchedule[[#Headers],[BEGINNING BALANCE]])=1,LoanAmount,INDEX(PaymentSchedule[ENDING BALANCE],ROW()-ROW(PaymentSchedule[[#Headers],[BEGINNING BALANCE]])-1)),"")</f>
        <v>1978153.0177965024</v>
      </c>
      <c r="E91" s="14">
        <f>IF(PaymentSchedule[[#This Row],[PMT NO]]&lt;&gt;"",ScheduledPayment,"")</f>
        <v>11400.419471082316</v>
      </c>
      <c r="F9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91" s="14">
        <f>IF(PaymentSchedule[[#This Row],[PMT NO]]&lt;&gt;"",PaymentSchedule[[#This Row],[TOTAL PAYMENT]]-PaymentSchedule[[#This Row],[INTEREST]],"")</f>
        <v>3982.3456543454322</v>
      </c>
      <c r="I91" s="14">
        <f>IF(PaymentSchedule[[#This Row],[PMT NO]]&lt;&gt;"",PaymentSchedule[[#This Row],[BEGINNING BALANCE]]*(InterestRate/PaymentsPerYear),"")</f>
        <v>7418.0738167368836</v>
      </c>
      <c r="J9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1974170.6721421571</v>
      </c>
      <c r="K91" s="14">
        <f>IF(PaymentSchedule[[#This Row],[PMT NO]]&lt;&gt;"",SUM(INDEX(PaymentSchedule[INTEREST],1,1):PaymentSchedule[[#This Row],[INTEREST]]),"")</f>
        <v>636204.2298287421</v>
      </c>
    </row>
    <row r="92" spans="2:11" x14ac:dyDescent="0.2">
      <c r="B92" s="10">
        <f>IF(LoanIsGood,IF(ROW()-ROW(PaymentSchedule[[#Headers],[PMT NO]])&gt;ScheduledNumberOfPayments,"",ROW()-ROW(PaymentSchedule[[#Headers],[PMT NO]])),"")</f>
        <v>81</v>
      </c>
      <c r="C92" s="12">
        <f>IF(PaymentSchedule[[#This Row],[PMT NO]]&lt;&gt;"",EOMONTH(LoanStartDate,ROW(PaymentSchedule[[#This Row],[PMT NO]])-ROW(PaymentSchedule[[#Headers],[PMT NO]])-2)+DAY(LoanStartDate),"")</f>
        <v>47362</v>
      </c>
      <c r="D92" s="14">
        <f>IF(PaymentSchedule[[#This Row],[PMT NO]]&lt;&gt;"",IF(ROW()-ROW(PaymentSchedule[[#Headers],[BEGINNING BALANCE]])=1,LoanAmount,INDEX(PaymentSchedule[ENDING BALANCE],ROW()-ROW(PaymentSchedule[[#Headers],[BEGINNING BALANCE]])-1)),"")</f>
        <v>1974170.6721421571</v>
      </c>
      <c r="E92" s="14">
        <f>IF(PaymentSchedule[[#This Row],[PMT NO]]&lt;&gt;"",ScheduledPayment,"")</f>
        <v>11400.419471082316</v>
      </c>
      <c r="F9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92" s="14">
        <f>IF(PaymentSchedule[[#This Row],[PMT NO]]&lt;&gt;"",PaymentSchedule[[#This Row],[TOTAL PAYMENT]]-PaymentSchedule[[#This Row],[INTEREST]],"")</f>
        <v>3997.2794505492266</v>
      </c>
      <c r="I92" s="14">
        <f>IF(PaymentSchedule[[#This Row],[PMT NO]]&lt;&gt;"",PaymentSchedule[[#This Row],[BEGINNING BALANCE]]*(InterestRate/PaymentsPerYear),"")</f>
        <v>7403.1400205330892</v>
      </c>
      <c r="J9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1970173.3926916078</v>
      </c>
      <c r="K92" s="14">
        <f>IF(PaymentSchedule[[#This Row],[PMT NO]]&lt;&gt;"",SUM(INDEX(PaymentSchedule[INTEREST],1,1):PaymentSchedule[[#This Row],[INTEREST]]),"")</f>
        <v>643607.36984927522</v>
      </c>
    </row>
    <row r="93" spans="2:11" x14ac:dyDescent="0.2">
      <c r="B93" s="10">
        <f>IF(LoanIsGood,IF(ROW()-ROW(PaymentSchedule[[#Headers],[PMT NO]])&gt;ScheduledNumberOfPayments,"",ROW()-ROW(PaymentSchedule[[#Headers],[PMT NO]])),"")</f>
        <v>82</v>
      </c>
      <c r="C93" s="12">
        <f>IF(PaymentSchedule[[#This Row],[PMT NO]]&lt;&gt;"",EOMONTH(LoanStartDate,ROW(PaymentSchedule[[#This Row],[PMT NO]])-ROW(PaymentSchedule[[#Headers],[PMT NO]])-2)+DAY(LoanStartDate),"")</f>
        <v>47392</v>
      </c>
      <c r="D93" s="14">
        <f>IF(PaymentSchedule[[#This Row],[PMT NO]]&lt;&gt;"",IF(ROW()-ROW(PaymentSchedule[[#Headers],[BEGINNING BALANCE]])=1,LoanAmount,INDEX(PaymentSchedule[ENDING BALANCE],ROW()-ROW(PaymentSchedule[[#Headers],[BEGINNING BALANCE]])-1)),"")</f>
        <v>1970173.3926916078</v>
      </c>
      <c r="E93" s="14">
        <f>IF(PaymentSchedule[[#This Row],[PMT NO]]&lt;&gt;"",ScheduledPayment,"")</f>
        <v>11400.419471082316</v>
      </c>
      <c r="F9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93" s="14">
        <f>IF(PaymentSchedule[[#This Row],[PMT NO]]&lt;&gt;"",PaymentSchedule[[#This Row],[TOTAL PAYMENT]]-PaymentSchedule[[#This Row],[INTEREST]],"")</f>
        <v>4012.2692484887866</v>
      </c>
      <c r="I93" s="14">
        <f>IF(PaymentSchedule[[#This Row],[PMT NO]]&lt;&gt;"",PaymentSchedule[[#This Row],[BEGINNING BALANCE]]*(InterestRate/PaymentsPerYear),"")</f>
        <v>7388.1502225935292</v>
      </c>
      <c r="J9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1966161.123443119</v>
      </c>
      <c r="K93" s="14">
        <f>IF(PaymentSchedule[[#This Row],[PMT NO]]&lt;&gt;"",SUM(INDEX(PaymentSchedule[INTEREST],1,1):PaymentSchedule[[#This Row],[INTEREST]]),"")</f>
        <v>650995.52007186878</v>
      </c>
    </row>
    <row r="94" spans="2:11" x14ac:dyDescent="0.2">
      <c r="B94" s="10">
        <f>IF(LoanIsGood,IF(ROW()-ROW(PaymentSchedule[[#Headers],[PMT NO]])&gt;ScheduledNumberOfPayments,"",ROW()-ROW(PaymentSchedule[[#Headers],[PMT NO]])),"")</f>
        <v>83</v>
      </c>
      <c r="C94" s="12">
        <f>IF(PaymentSchedule[[#This Row],[PMT NO]]&lt;&gt;"",EOMONTH(LoanStartDate,ROW(PaymentSchedule[[#This Row],[PMT NO]])-ROW(PaymentSchedule[[#Headers],[PMT NO]])-2)+DAY(LoanStartDate),"")</f>
        <v>47423</v>
      </c>
      <c r="D94" s="14">
        <f>IF(PaymentSchedule[[#This Row],[PMT NO]]&lt;&gt;"",IF(ROW()-ROW(PaymentSchedule[[#Headers],[BEGINNING BALANCE]])=1,LoanAmount,INDEX(PaymentSchedule[ENDING BALANCE],ROW()-ROW(PaymentSchedule[[#Headers],[BEGINNING BALANCE]])-1)),"")</f>
        <v>1966161.123443119</v>
      </c>
      <c r="E94" s="14">
        <f>IF(PaymentSchedule[[#This Row],[PMT NO]]&lt;&gt;"",ScheduledPayment,"")</f>
        <v>11400.419471082316</v>
      </c>
      <c r="F9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94" s="14">
        <f>IF(PaymentSchedule[[#This Row],[PMT NO]]&lt;&gt;"",PaymentSchedule[[#This Row],[TOTAL PAYMENT]]-PaymentSchedule[[#This Row],[INTEREST]],"")</f>
        <v>4027.3152581706199</v>
      </c>
      <c r="I94" s="14">
        <f>IF(PaymentSchedule[[#This Row],[PMT NO]]&lt;&gt;"",PaymentSchedule[[#This Row],[BEGINNING BALANCE]]*(InterestRate/PaymentsPerYear),"")</f>
        <v>7373.1042129116959</v>
      </c>
      <c r="J9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1962133.8081849483</v>
      </c>
      <c r="K94" s="14">
        <f>IF(PaymentSchedule[[#This Row],[PMT NO]]&lt;&gt;"",SUM(INDEX(PaymentSchedule[INTEREST],1,1):PaymentSchedule[[#This Row],[INTEREST]]),"")</f>
        <v>658368.62428478047</v>
      </c>
    </row>
    <row r="95" spans="2:11" x14ac:dyDescent="0.2">
      <c r="B95" s="10">
        <f>IF(LoanIsGood,IF(ROW()-ROW(PaymentSchedule[[#Headers],[PMT NO]])&gt;ScheduledNumberOfPayments,"",ROW()-ROW(PaymentSchedule[[#Headers],[PMT NO]])),"")</f>
        <v>84</v>
      </c>
      <c r="C95" s="12">
        <f>IF(PaymentSchedule[[#This Row],[PMT NO]]&lt;&gt;"",EOMONTH(LoanStartDate,ROW(PaymentSchedule[[#This Row],[PMT NO]])-ROW(PaymentSchedule[[#Headers],[PMT NO]])-2)+DAY(LoanStartDate),"")</f>
        <v>47453</v>
      </c>
      <c r="D95" s="14">
        <f>IF(PaymentSchedule[[#This Row],[PMT NO]]&lt;&gt;"",IF(ROW()-ROW(PaymentSchedule[[#Headers],[BEGINNING BALANCE]])=1,LoanAmount,INDEX(PaymentSchedule[ENDING BALANCE],ROW()-ROW(PaymentSchedule[[#Headers],[BEGINNING BALANCE]])-1)),"")</f>
        <v>1962133.8081849483</v>
      </c>
      <c r="E95" s="14">
        <f>IF(PaymentSchedule[[#This Row],[PMT NO]]&lt;&gt;"",ScheduledPayment,"")</f>
        <v>11400.419471082316</v>
      </c>
      <c r="F9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95" s="14">
        <f>IF(PaymentSchedule[[#This Row],[PMT NO]]&lt;&gt;"",PaymentSchedule[[#This Row],[TOTAL PAYMENT]]-PaymentSchedule[[#This Row],[INTEREST]],"")</f>
        <v>4042.4176903887601</v>
      </c>
      <c r="I95" s="14">
        <f>IF(PaymentSchedule[[#This Row],[PMT NO]]&lt;&gt;"",PaymentSchedule[[#This Row],[BEGINNING BALANCE]]*(InterestRate/PaymentsPerYear),"")</f>
        <v>7358.0017806935557</v>
      </c>
      <c r="J9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1958091.3904945594</v>
      </c>
      <c r="K95" s="14">
        <f>IF(PaymentSchedule[[#This Row],[PMT NO]]&lt;&gt;"",SUM(INDEX(PaymentSchedule[INTEREST],1,1):PaymentSchedule[[#This Row],[INTEREST]]),"")</f>
        <v>665726.626065474</v>
      </c>
    </row>
    <row r="96" spans="2:11" x14ac:dyDescent="0.2">
      <c r="B96" s="10">
        <f>IF(LoanIsGood,IF(ROW()-ROW(PaymentSchedule[[#Headers],[PMT NO]])&gt;ScheduledNumberOfPayments,"",ROW()-ROW(PaymentSchedule[[#Headers],[PMT NO]])),"")</f>
        <v>85</v>
      </c>
      <c r="C96" s="12">
        <f>IF(PaymentSchedule[[#This Row],[PMT NO]]&lt;&gt;"",EOMONTH(LoanStartDate,ROW(PaymentSchedule[[#This Row],[PMT NO]])-ROW(PaymentSchedule[[#Headers],[PMT NO]])-2)+DAY(LoanStartDate),"")</f>
        <v>47484</v>
      </c>
      <c r="D96" s="14">
        <f>IF(PaymentSchedule[[#This Row],[PMT NO]]&lt;&gt;"",IF(ROW()-ROW(PaymentSchedule[[#Headers],[BEGINNING BALANCE]])=1,LoanAmount,INDEX(PaymentSchedule[ENDING BALANCE],ROW()-ROW(PaymentSchedule[[#Headers],[BEGINNING BALANCE]])-1)),"")</f>
        <v>1958091.3904945594</v>
      </c>
      <c r="E96" s="14">
        <f>IF(PaymentSchedule[[#This Row],[PMT NO]]&lt;&gt;"",ScheduledPayment,"")</f>
        <v>11400.419471082316</v>
      </c>
      <c r="F9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96" s="14">
        <f>IF(PaymentSchedule[[#This Row],[PMT NO]]&lt;&gt;"",PaymentSchedule[[#This Row],[TOTAL PAYMENT]]-PaymentSchedule[[#This Row],[INTEREST]],"")</f>
        <v>4057.576756727718</v>
      </c>
      <c r="I96" s="14">
        <f>IF(PaymentSchedule[[#This Row],[PMT NO]]&lt;&gt;"",PaymentSchedule[[#This Row],[BEGINNING BALANCE]]*(InterestRate/PaymentsPerYear),"")</f>
        <v>7342.8427143545978</v>
      </c>
      <c r="J9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1954033.8137378318</v>
      </c>
      <c r="K96" s="14">
        <f>IF(PaymentSchedule[[#This Row],[PMT NO]]&lt;&gt;"",SUM(INDEX(PaymentSchedule[INTEREST],1,1):PaymentSchedule[[#This Row],[INTEREST]]),"")</f>
        <v>673069.46877982863</v>
      </c>
    </row>
    <row r="97" spans="2:11" x14ac:dyDescent="0.2">
      <c r="B97" s="10">
        <f>IF(LoanIsGood,IF(ROW()-ROW(PaymentSchedule[[#Headers],[PMT NO]])&gt;ScheduledNumberOfPayments,"",ROW()-ROW(PaymentSchedule[[#Headers],[PMT NO]])),"")</f>
        <v>86</v>
      </c>
      <c r="C97" s="12">
        <f>IF(PaymentSchedule[[#This Row],[PMT NO]]&lt;&gt;"",EOMONTH(LoanStartDate,ROW(PaymentSchedule[[#This Row],[PMT NO]])-ROW(PaymentSchedule[[#Headers],[PMT NO]])-2)+DAY(LoanStartDate),"")</f>
        <v>47515</v>
      </c>
      <c r="D97" s="14">
        <f>IF(PaymentSchedule[[#This Row],[PMT NO]]&lt;&gt;"",IF(ROW()-ROW(PaymentSchedule[[#Headers],[BEGINNING BALANCE]])=1,LoanAmount,INDEX(PaymentSchedule[ENDING BALANCE],ROW()-ROW(PaymentSchedule[[#Headers],[BEGINNING BALANCE]])-1)),"")</f>
        <v>1954033.8137378318</v>
      </c>
      <c r="E97" s="14">
        <f>IF(PaymentSchedule[[#This Row],[PMT NO]]&lt;&gt;"",ScheduledPayment,"")</f>
        <v>11400.419471082316</v>
      </c>
      <c r="F9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97" s="14">
        <f>IF(PaymentSchedule[[#This Row],[PMT NO]]&lt;&gt;"",PaymentSchedule[[#This Row],[TOTAL PAYMENT]]-PaymentSchedule[[#This Row],[INTEREST]],"")</f>
        <v>4072.7926695654469</v>
      </c>
      <c r="I97" s="14">
        <f>IF(PaymentSchedule[[#This Row],[PMT NO]]&lt;&gt;"",PaymentSchedule[[#This Row],[BEGINNING BALANCE]]*(InterestRate/PaymentsPerYear),"")</f>
        <v>7327.6268015168689</v>
      </c>
      <c r="J9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1949961.0210682664</v>
      </c>
      <c r="K97" s="14">
        <f>IF(PaymentSchedule[[#This Row],[PMT NO]]&lt;&gt;"",SUM(INDEX(PaymentSchedule[INTEREST],1,1):PaymentSchedule[[#This Row],[INTEREST]]),"")</f>
        <v>680397.09558134549</v>
      </c>
    </row>
    <row r="98" spans="2:11" x14ac:dyDescent="0.2">
      <c r="B98" s="10">
        <f>IF(LoanIsGood,IF(ROW()-ROW(PaymentSchedule[[#Headers],[PMT NO]])&gt;ScheduledNumberOfPayments,"",ROW()-ROW(PaymentSchedule[[#Headers],[PMT NO]])),"")</f>
        <v>87</v>
      </c>
      <c r="C98" s="12">
        <f>IF(PaymentSchedule[[#This Row],[PMT NO]]&lt;&gt;"",EOMONTH(LoanStartDate,ROW(PaymentSchedule[[#This Row],[PMT NO]])-ROW(PaymentSchedule[[#Headers],[PMT NO]])-2)+DAY(LoanStartDate),"")</f>
        <v>47543</v>
      </c>
      <c r="D98" s="14">
        <f>IF(PaymentSchedule[[#This Row],[PMT NO]]&lt;&gt;"",IF(ROW()-ROW(PaymentSchedule[[#Headers],[BEGINNING BALANCE]])=1,LoanAmount,INDEX(PaymentSchedule[ENDING BALANCE],ROW()-ROW(PaymentSchedule[[#Headers],[BEGINNING BALANCE]])-1)),"")</f>
        <v>1949961.0210682664</v>
      </c>
      <c r="E98" s="14">
        <f>IF(PaymentSchedule[[#This Row],[PMT NO]]&lt;&gt;"",ScheduledPayment,"")</f>
        <v>11400.419471082316</v>
      </c>
      <c r="F9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98" s="14">
        <f>IF(PaymentSchedule[[#This Row],[PMT NO]]&lt;&gt;"",PaymentSchedule[[#This Row],[TOTAL PAYMENT]]-PaymentSchedule[[#This Row],[INTEREST]],"")</f>
        <v>4088.0656420763171</v>
      </c>
      <c r="I98" s="14">
        <f>IF(PaymentSchedule[[#This Row],[PMT NO]]&lt;&gt;"",PaymentSchedule[[#This Row],[BEGINNING BALANCE]]*(InterestRate/PaymentsPerYear),"")</f>
        <v>7312.3538290059987</v>
      </c>
      <c r="J9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1945872.95542619</v>
      </c>
      <c r="K98" s="14">
        <f>IF(PaymentSchedule[[#This Row],[PMT NO]]&lt;&gt;"",SUM(INDEX(PaymentSchedule[INTEREST],1,1):PaymentSchedule[[#This Row],[INTEREST]]),"")</f>
        <v>687709.44941035146</v>
      </c>
    </row>
    <row r="99" spans="2:11" x14ac:dyDescent="0.2">
      <c r="B99" s="10">
        <f>IF(LoanIsGood,IF(ROW()-ROW(PaymentSchedule[[#Headers],[PMT NO]])&gt;ScheduledNumberOfPayments,"",ROW()-ROW(PaymentSchedule[[#Headers],[PMT NO]])),"")</f>
        <v>88</v>
      </c>
      <c r="C99" s="12">
        <f>IF(PaymentSchedule[[#This Row],[PMT NO]]&lt;&gt;"",EOMONTH(LoanStartDate,ROW(PaymentSchedule[[#This Row],[PMT NO]])-ROW(PaymentSchedule[[#Headers],[PMT NO]])-2)+DAY(LoanStartDate),"")</f>
        <v>47574</v>
      </c>
      <c r="D99" s="14">
        <f>IF(PaymentSchedule[[#This Row],[PMT NO]]&lt;&gt;"",IF(ROW()-ROW(PaymentSchedule[[#Headers],[BEGINNING BALANCE]])=1,LoanAmount,INDEX(PaymentSchedule[ENDING BALANCE],ROW()-ROW(PaymentSchedule[[#Headers],[BEGINNING BALANCE]])-1)),"")</f>
        <v>1945872.95542619</v>
      </c>
      <c r="E99" s="14">
        <f>IF(PaymentSchedule[[#This Row],[PMT NO]]&lt;&gt;"",ScheduledPayment,"")</f>
        <v>11400.419471082316</v>
      </c>
      <c r="F9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99" s="14">
        <f>IF(PaymentSchedule[[#This Row],[PMT NO]]&lt;&gt;"",PaymentSchedule[[#This Row],[TOTAL PAYMENT]]-PaymentSchedule[[#This Row],[INTEREST]],"")</f>
        <v>4103.395888234103</v>
      </c>
      <c r="I99" s="14">
        <f>IF(PaymentSchedule[[#This Row],[PMT NO]]&lt;&gt;"",PaymentSchedule[[#This Row],[BEGINNING BALANCE]]*(InterestRate/PaymentsPerYear),"")</f>
        <v>7297.0235828482128</v>
      </c>
      <c r="J9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1941769.559537956</v>
      </c>
      <c r="K99" s="14">
        <f>IF(PaymentSchedule[[#This Row],[PMT NO]]&lt;&gt;"",SUM(INDEX(PaymentSchedule[INTEREST],1,1):PaymentSchedule[[#This Row],[INTEREST]]),"")</f>
        <v>695006.47299319971</v>
      </c>
    </row>
    <row r="100" spans="2:11" x14ac:dyDescent="0.2">
      <c r="B100" s="10">
        <f>IF(LoanIsGood,IF(ROW()-ROW(PaymentSchedule[[#Headers],[PMT NO]])&gt;ScheduledNumberOfPayments,"",ROW()-ROW(PaymentSchedule[[#Headers],[PMT NO]])),"")</f>
        <v>89</v>
      </c>
      <c r="C100" s="12">
        <f>IF(PaymentSchedule[[#This Row],[PMT NO]]&lt;&gt;"",EOMONTH(LoanStartDate,ROW(PaymentSchedule[[#This Row],[PMT NO]])-ROW(PaymentSchedule[[#Headers],[PMT NO]])-2)+DAY(LoanStartDate),"")</f>
        <v>47604</v>
      </c>
      <c r="D100" s="14">
        <f>IF(PaymentSchedule[[#This Row],[PMT NO]]&lt;&gt;"",IF(ROW()-ROW(PaymentSchedule[[#Headers],[BEGINNING BALANCE]])=1,LoanAmount,INDEX(PaymentSchedule[ENDING BALANCE],ROW()-ROW(PaymentSchedule[[#Headers],[BEGINNING BALANCE]])-1)),"")</f>
        <v>1941769.559537956</v>
      </c>
      <c r="E100" s="14">
        <f>IF(PaymentSchedule[[#This Row],[PMT NO]]&lt;&gt;"",ScheduledPayment,"")</f>
        <v>11400.419471082316</v>
      </c>
      <c r="F10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00" s="14">
        <f>IF(PaymentSchedule[[#This Row],[PMT NO]]&lt;&gt;"",PaymentSchedule[[#This Row],[TOTAL PAYMENT]]-PaymentSchedule[[#This Row],[INTEREST]],"")</f>
        <v>4118.7836228149808</v>
      </c>
      <c r="I100" s="14">
        <f>IF(PaymentSchedule[[#This Row],[PMT NO]]&lt;&gt;"",PaymentSchedule[[#This Row],[BEGINNING BALANCE]]*(InterestRate/PaymentsPerYear),"")</f>
        <v>7281.6358482673349</v>
      </c>
      <c r="J10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1937650.775915141</v>
      </c>
      <c r="K100" s="14">
        <f>IF(PaymentSchedule[[#This Row],[PMT NO]]&lt;&gt;"",SUM(INDEX(PaymentSchedule[INTEREST],1,1):PaymentSchedule[[#This Row],[INTEREST]]),"")</f>
        <v>702288.10884146707</v>
      </c>
    </row>
    <row r="101" spans="2:11" x14ac:dyDescent="0.2">
      <c r="B101" s="10">
        <f>IF(LoanIsGood,IF(ROW()-ROW(PaymentSchedule[[#Headers],[PMT NO]])&gt;ScheduledNumberOfPayments,"",ROW()-ROW(PaymentSchedule[[#Headers],[PMT NO]])),"")</f>
        <v>90</v>
      </c>
      <c r="C101" s="12">
        <f>IF(PaymentSchedule[[#This Row],[PMT NO]]&lt;&gt;"",EOMONTH(LoanStartDate,ROW(PaymentSchedule[[#This Row],[PMT NO]])-ROW(PaymentSchedule[[#Headers],[PMT NO]])-2)+DAY(LoanStartDate),"")</f>
        <v>47635</v>
      </c>
      <c r="D101" s="14">
        <f>IF(PaymentSchedule[[#This Row],[PMT NO]]&lt;&gt;"",IF(ROW()-ROW(PaymentSchedule[[#Headers],[BEGINNING BALANCE]])=1,LoanAmount,INDEX(PaymentSchedule[ENDING BALANCE],ROW()-ROW(PaymentSchedule[[#Headers],[BEGINNING BALANCE]])-1)),"")</f>
        <v>1937650.775915141</v>
      </c>
      <c r="E101" s="14">
        <f>IF(PaymentSchedule[[#This Row],[PMT NO]]&lt;&gt;"",ScheduledPayment,"")</f>
        <v>11400.419471082316</v>
      </c>
      <c r="F10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01" s="14">
        <f>IF(PaymentSchedule[[#This Row],[PMT NO]]&lt;&gt;"",PaymentSchedule[[#This Row],[TOTAL PAYMENT]]-PaymentSchedule[[#This Row],[INTEREST]],"")</f>
        <v>4134.2290614005369</v>
      </c>
      <c r="I101" s="14">
        <f>IF(PaymentSchedule[[#This Row],[PMT NO]]&lt;&gt;"",PaymentSchedule[[#This Row],[BEGINNING BALANCE]]*(InterestRate/PaymentsPerYear),"")</f>
        <v>7266.1904096817789</v>
      </c>
      <c r="J10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1933516.5468537405</v>
      </c>
      <c r="K101" s="14">
        <f>IF(PaymentSchedule[[#This Row],[PMT NO]]&lt;&gt;"",SUM(INDEX(PaymentSchedule[INTEREST],1,1):PaymentSchedule[[#This Row],[INTEREST]]),"")</f>
        <v>709554.29925114883</v>
      </c>
    </row>
    <row r="102" spans="2:11" x14ac:dyDescent="0.2">
      <c r="B102" s="10">
        <f>IF(LoanIsGood,IF(ROW()-ROW(PaymentSchedule[[#Headers],[PMT NO]])&gt;ScheduledNumberOfPayments,"",ROW()-ROW(PaymentSchedule[[#Headers],[PMT NO]])),"")</f>
        <v>91</v>
      </c>
      <c r="C102" s="12">
        <f>IF(PaymentSchedule[[#This Row],[PMT NO]]&lt;&gt;"",EOMONTH(LoanStartDate,ROW(PaymentSchedule[[#This Row],[PMT NO]])-ROW(PaymentSchedule[[#Headers],[PMT NO]])-2)+DAY(LoanStartDate),"")</f>
        <v>47665</v>
      </c>
      <c r="D102" s="14">
        <f>IF(PaymentSchedule[[#This Row],[PMT NO]]&lt;&gt;"",IF(ROW()-ROW(PaymentSchedule[[#Headers],[BEGINNING BALANCE]])=1,LoanAmount,INDEX(PaymentSchedule[ENDING BALANCE],ROW()-ROW(PaymentSchedule[[#Headers],[BEGINNING BALANCE]])-1)),"")</f>
        <v>1933516.5468537405</v>
      </c>
      <c r="E102" s="14">
        <f>IF(PaymentSchedule[[#This Row],[PMT NO]]&lt;&gt;"",ScheduledPayment,"")</f>
        <v>11400.419471082316</v>
      </c>
      <c r="F10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02" s="14">
        <f>IF(PaymentSchedule[[#This Row],[PMT NO]]&lt;&gt;"",PaymentSchedule[[#This Row],[TOTAL PAYMENT]]-PaymentSchedule[[#This Row],[INTEREST]],"")</f>
        <v>4149.7324203807893</v>
      </c>
      <c r="I102" s="14">
        <f>IF(PaymentSchedule[[#This Row],[PMT NO]]&lt;&gt;"",PaymentSchedule[[#This Row],[BEGINNING BALANCE]]*(InterestRate/PaymentsPerYear),"")</f>
        <v>7250.6870507015265</v>
      </c>
      <c r="J10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1929366.8144333598</v>
      </c>
      <c r="K102" s="14">
        <f>IF(PaymentSchedule[[#This Row],[PMT NO]]&lt;&gt;"",SUM(INDEX(PaymentSchedule[INTEREST],1,1):PaymentSchedule[[#This Row],[INTEREST]]),"")</f>
        <v>716804.98630185029</v>
      </c>
    </row>
    <row r="103" spans="2:11" x14ac:dyDescent="0.2">
      <c r="B103" s="10">
        <f>IF(LoanIsGood,IF(ROW()-ROW(PaymentSchedule[[#Headers],[PMT NO]])&gt;ScheduledNumberOfPayments,"",ROW()-ROW(PaymentSchedule[[#Headers],[PMT NO]])),"")</f>
        <v>92</v>
      </c>
      <c r="C103" s="12">
        <f>IF(PaymentSchedule[[#This Row],[PMT NO]]&lt;&gt;"",EOMONTH(LoanStartDate,ROW(PaymentSchedule[[#This Row],[PMT NO]])-ROW(PaymentSchedule[[#Headers],[PMT NO]])-2)+DAY(LoanStartDate),"")</f>
        <v>47696</v>
      </c>
      <c r="D103" s="14">
        <f>IF(PaymentSchedule[[#This Row],[PMT NO]]&lt;&gt;"",IF(ROW()-ROW(PaymentSchedule[[#Headers],[BEGINNING BALANCE]])=1,LoanAmount,INDEX(PaymentSchedule[ENDING BALANCE],ROW()-ROW(PaymentSchedule[[#Headers],[BEGINNING BALANCE]])-1)),"")</f>
        <v>1929366.8144333598</v>
      </c>
      <c r="E103" s="14">
        <f>IF(PaymentSchedule[[#This Row],[PMT NO]]&lt;&gt;"",ScheduledPayment,"")</f>
        <v>11400.419471082316</v>
      </c>
      <c r="F10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03" s="14">
        <f>IF(PaymentSchedule[[#This Row],[PMT NO]]&lt;&gt;"",PaymentSchedule[[#This Row],[TOTAL PAYMENT]]-PaymentSchedule[[#This Row],[INTEREST]],"")</f>
        <v>4165.2939169572173</v>
      </c>
      <c r="I103" s="14">
        <f>IF(PaymentSchedule[[#This Row],[PMT NO]]&lt;&gt;"",PaymentSchedule[[#This Row],[BEGINNING BALANCE]]*(InterestRate/PaymentsPerYear),"")</f>
        <v>7235.1255541250985</v>
      </c>
      <c r="J10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1925201.5205164026</v>
      </c>
      <c r="K103" s="14">
        <f>IF(PaymentSchedule[[#This Row],[PMT NO]]&lt;&gt;"",SUM(INDEX(PaymentSchedule[INTEREST],1,1):PaymentSchedule[[#This Row],[INTEREST]]),"")</f>
        <v>724040.11185597535</v>
      </c>
    </row>
    <row r="104" spans="2:11" x14ac:dyDescent="0.2">
      <c r="B104" s="10">
        <f>IF(LoanIsGood,IF(ROW()-ROW(PaymentSchedule[[#Headers],[PMT NO]])&gt;ScheduledNumberOfPayments,"",ROW()-ROW(PaymentSchedule[[#Headers],[PMT NO]])),"")</f>
        <v>93</v>
      </c>
      <c r="C104" s="12">
        <f>IF(PaymentSchedule[[#This Row],[PMT NO]]&lt;&gt;"",EOMONTH(LoanStartDate,ROW(PaymentSchedule[[#This Row],[PMT NO]])-ROW(PaymentSchedule[[#Headers],[PMT NO]])-2)+DAY(LoanStartDate),"")</f>
        <v>47727</v>
      </c>
      <c r="D104" s="14">
        <f>IF(PaymentSchedule[[#This Row],[PMT NO]]&lt;&gt;"",IF(ROW()-ROW(PaymentSchedule[[#Headers],[BEGINNING BALANCE]])=1,LoanAmount,INDEX(PaymentSchedule[ENDING BALANCE],ROW()-ROW(PaymentSchedule[[#Headers],[BEGINNING BALANCE]])-1)),"")</f>
        <v>1925201.5205164026</v>
      </c>
      <c r="E104" s="14">
        <f>IF(PaymentSchedule[[#This Row],[PMT NO]]&lt;&gt;"",ScheduledPayment,"")</f>
        <v>11400.419471082316</v>
      </c>
      <c r="F10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04" s="14">
        <f>IF(PaymentSchedule[[#This Row],[PMT NO]]&lt;&gt;"",PaymentSchedule[[#This Row],[TOTAL PAYMENT]]-PaymentSchedule[[#This Row],[INTEREST]],"")</f>
        <v>4180.9137691458063</v>
      </c>
      <c r="I104" s="14">
        <f>IF(PaymentSchedule[[#This Row],[PMT NO]]&lt;&gt;"",PaymentSchedule[[#This Row],[BEGINNING BALANCE]]*(InterestRate/PaymentsPerYear),"")</f>
        <v>7219.5057019365095</v>
      </c>
      <c r="J10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1921020.6067472568</v>
      </c>
      <c r="K104" s="14">
        <f>IF(PaymentSchedule[[#This Row],[PMT NO]]&lt;&gt;"",SUM(INDEX(PaymentSchedule[INTEREST],1,1):PaymentSchedule[[#This Row],[INTEREST]]),"")</f>
        <v>731259.6175579119</v>
      </c>
    </row>
    <row r="105" spans="2:11" x14ac:dyDescent="0.2">
      <c r="B105" s="10">
        <f>IF(LoanIsGood,IF(ROW()-ROW(PaymentSchedule[[#Headers],[PMT NO]])&gt;ScheduledNumberOfPayments,"",ROW()-ROW(PaymentSchedule[[#Headers],[PMT NO]])),"")</f>
        <v>94</v>
      </c>
      <c r="C105" s="12">
        <f>IF(PaymentSchedule[[#This Row],[PMT NO]]&lt;&gt;"",EOMONTH(LoanStartDate,ROW(PaymentSchedule[[#This Row],[PMT NO]])-ROW(PaymentSchedule[[#Headers],[PMT NO]])-2)+DAY(LoanStartDate),"")</f>
        <v>47757</v>
      </c>
      <c r="D105" s="14">
        <f>IF(PaymentSchedule[[#This Row],[PMT NO]]&lt;&gt;"",IF(ROW()-ROW(PaymentSchedule[[#Headers],[BEGINNING BALANCE]])=1,LoanAmount,INDEX(PaymentSchedule[ENDING BALANCE],ROW()-ROW(PaymentSchedule[[#Headers],[BEGINNING BALANCE]])-1)),"")</f>
        <v>1921020.6067472568</v>
      </c>
      <c r="E105" s="14">
        <f>IF(PaymentSchedule[[#This Row],[PMT NO]]&lt;&gt;"",ScheduledPayment,"")</f>
        <v>11400.419471082316</v>
      </c>
      <c r="F10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05" s="14">
        <f>IF(PaymentSchedule[[#This Row],[PMT NO]]&lt;&gt;"",PaymentSchedule[[#This Row],[TOTAL PAYMENT]]-PaymentSchedule[[#This Row],[INTEREST]],"")</f>
        <v>4196.5921957801029</v>
      </c>
      <c r="I105" s="14">
        <f>IF(PaymentSchedule[[#This Row],[PMT NO]]&lt;&gt;"",PaymentSchedule[[#This Row],[BEGINNING BALANCE]]*(InterestRate/PaymentsPerYear),"")</f>
        <v>7203.8272753022129</v>
      </c>
      <c r="J10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1916824.0145514768</v>
      </c>
      <c r="K105" s="14">
        <f>IF(PaymentSchedule[[#This Row],[PMT NO]]&lt;&gt;"",SUM(INDEX(PaymentSchedule[INTEREST],1,1):PaymentSchedule[[#This Row],[INTEREST]]),"")</f>
        <v>738463.44483321416</v>
      </c>
    </row>
    <row r="106" spans="2:11" x14ac:dyDescent="0.2">
      <c r="B106" s="10">
        <f>IF(LoanIsGood,IF(ROW()-ROW(PaymentSchedule[[#Headers],[PMT NO]])&gt;ScheduledNumberOfPayments,"",ROW()-ROW(PaymentSchedule[[#Headers],[PMT NO]])),"")</f>
        <v>95</v>
      </c>
      <c r="C106" s="12">
        <f>IF(PaymentSchedule[[#This Row],[PMT NO]]&lt;&gt;"",EOMONTH(LoanStartDate,ROW(PaymentSchedule[[#This Row],[PMT NO]])-ROW(PaymentSchedule[[#Headers],[PMT NO]])-2)+DAY(LoanStartDate),"")</f>
        <v>47788</v>
      </c>
      <c r="D106" s="14">
        <f>IF(PaymentSchedule[[#This Row],[PMT NO]]&lt;&gt;"",IF(ROW()-ROW(PaymentSchedule[[#Headers],[BEGINNING BALANCE]])=1,LoanAmount,INDEX(PaymentSchedule[ENDING BALANCE],ROW()-ROW(PaymentSchedule[[#Headers],[BEGINNING BALANCE]])-1)),"")</f>
        <v>1916824.0145514768</v>
      </c>
      <c r="E106" s="14">
        <f>IF(PaymentSchedule[[#This Row],[PMT NO]]&lt;&gt;"",ScheduledPayment,"")</f>
        <v>11400.419471082316</v>
      </c>
      <c r="F10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06" s="14">
        <f>IF(PaymentSchedule[[#This Row],[PMT NO]]&lt;&gt;"",PaymentSchedule[[#This Row],[TOTAL PAYMENT]]-PaymentSchedule[[#This Row],[INTEREST]],"")</f>
        <v>4212.3294165142779</v>
      </c>
      <c r="I106" s="14">
        <f>IF(PaymentSchedule[[#This Row],[PMT NO]]&lt;&gt;"",PaymentSchedule[[#This Row],[BEGINNING BALANCE]]*(InterestRate/PaymentsPerYear),"")</f>
        <v>7188.0900545680379</v>
      </c>
      <c r="J10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1912611.6851349624</v>
      </c>
      <c r="K106" s="14">
        <f>IF(PaymentSchedule[[#This Row],[PMT NO]]&lt;&gt;"",SUM(INDEX(PaymentSchedule[INTEREST],1,1):PaymentSchedule[[#This Row],[INTEREST]]),"")</f>
        <v>745651.53488778218</v>
      </c>
    </row>
    <row r="107" spans="2:11" x14ac:dyDescent="0.2">
      <c r="B107" s="10">
        <f>IF(LoanIsGood,IF(ROW()-ROW(PaymentSchedule[[#Headers],[PMT NO]])&gt;ScheduledNumberOfPayments,"",ROW()-ROW(PaymentSchedule[[#Headers],[PMT NO]])),"")</f>
        <v>96</v>
      </c>
      <c r="C107" s="12">
        <f>IF(PaymentSchedule[[#This Row],[PMT NO]]&lt;&gt;"",EOMONTH(LoanStartDate,ROW(PaymentSchedule[[#This Row],[PMT NO]])-ROW(PaymentSchedule[[#Headers],[PMT NO]])-2)+DAY(LoanStartDate),"")</f>
        <v>47818</v>
      </c>
      <c r="D107" s="14">
        <f>IF(PaymentSchedule[[#This Row],[PMT NO]]&lt;&gt;"",IF(ROW()-ROW(PaymentSchedule[[#Headers],[BEGINNING BALANCE]])=1,LoanAmount,INDEX(PaymentSchedule[ENDING BALANCE],ROW()-ROW(PaymentSchedule[[#Headers],[BEGINNING BALANCE]])-1)),"")</f>
        <v>1912611.6851349624</v>
      </c>
      <c r="E107" s="14">
        <f>IF(PaymentSchedule[[#This Row],[PMT NO]]&lt;&gt;"",ScheduledPayment,"")</f>
        <v>11400.419471082316</v>
      </c>
      <c r="F10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07" s="14">
        <f>IF(PaymentSchedule[[#This Row],[PMT NO]]&lt;&gt;"",PaymentSchedule[[#This Row],[TOTAL PAYMENT]]-PaymentSchedule[[#This Row],[INTEREST]],"")</f>
        <v>4228.1256518262071</v>
      </c>
      <c r="I107" s="14">
        <f>IF(PaymentSchedule[[#This Row],[PMT NO]]&lt;&gt;"",PaymentSchedule[[#This Row],[BEGINNING BALANCE]]*(InterestRate/PaymentsPerYear),"")</f>
        <v>7172.2938192561087</v>
      </c>
      <c r="J10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1908383.5594831363</v>
      </c>
      <c r="K107" s="14">
        <f>IF(PaymentSchedule[[#This Row],[PMT NO]]&lt;&gt;"",SUM(INDEX(PaymentSchedule[INTEREST],1,1):PaymentSchedule[[#This Row],[INTEREST]]),"")</f>
        <v>752823.82870703831</v>
      </c>
    </row>
    <row r="108" spans="2:11" x14ac:dyDescent="0.2">
      <c r="B108" s="10">
        <f>IF(LoanIsGood,IF(ROW()-ROW(PaymentSchedule[[#Headers],[PMT NO]])&gt;ScheduledNumberOfPayments,"",ROW()-ROW(PaymentSchedule[[#Headers],[PMT NO]])),"")</f>
        <v>97</v>
      </c>
      <c r="C108" s="12">
        <f>IF(PaymentSchedule[[#This Row],[PMT NO]]&lt;&gt;"",EOMONTH(LoanStartDate,ROW(PaymentSchedule[[#This Row],[PMT NO]])-ROW(PaymentSchedule[[#Headers],[PMT NO]])-2)+DAY(LoanStartDate),"")</f>
        <v>47849</v>
      </c>
      <c r="D108" s="14">
        <f>IF(PaymentSchedule[[#This Row],[PMT NO]]&lt;&gt;"",IF(ROW()-ROW(PaymentSchedule[[#Headers],[BEGINNING BALANCE]])=1,LoanAmount,INDEX(PaymentSchedule[ENDING BALANCE],ROW()-ROW(PaymentSchedule[[#Headers],[BEGINNING BALANCE]])-1)),"")</f>
        <v>1908383.5594831363</v>
      </c>
      <c r="E108" s="14">
        <f>IF(PaymentSchedule[[#This Row],[PMT NO]]&lt;&gt;"",ScheduledPayment,"")</f>
        <v>11400.419471082316</v>
      </c>
      <c r="F10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08" s="14">
        <f>IF(PaymentSchedule[[#This Row],[PMT NO]]&lt;&gt;"",PaymentSchedule[[#This Row],[TOTAL PAYMENT]]-PaymentSchedule[[#This Row],[INTEREST]],"")</f>
        <v>4243.9811230205551</v>
      </c>
      <c r="I108" s="14">
        <f>IF(PaymentSchedule[[#This Row],[PMT NO]]&lt;&gt;"",PaymentSchedule[[#This Row],[BEGINNING BALANCE]]*(InterestRate/PaymentsPerYear),"")</f>
        <v>7156.4383480617607</v>
      </c>
      <c r="J10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1904139.5783601156</v>
      </c>
      <c r="K108" s="14">
        <f>IF(PaymentSchedule[[#This Row],[PMT NO]]&lt;&gt;"",SUM(INDEX(PaymentSchedule[INTEREST],1,1):PaymentSchedule[[#This Row],[INTEREST]]),"")</f>
        <v>759980.26705510006</v>
      </c>
    </row>
    <row r="109" spans="2:11" x14ac:dyDescent="0.2">
      <c r="B109" s="10">
        <f>IF(LoanIsGood,IF(ROW()-ROW(PaymentSchedule[[#Headers],[PMT NO]])&gt;ScheduledNumberOfPayments,"",ROW()-ROW(PaymentSchedule[[#Headers],[PMT NO]])),"")</f>
        <v>98</v>
      </c>
      <c r="C109" s="12">
        <f>IF(PaymentSchedule[[#This Row],[PMT NO]]&lt;&gt;"",EOMONTH(LoanStartDate,ROW(PaymentSchedule[[#This Row],[PMT NO]])-ROW(PaymentSchedule[[#Headers],[PMT NO]])-2)+DAY(LoanStartDate),"")</f>
        <v>47880</v>
      </c>
      <c r="D109" s="14">
        <f>IF(PaymentSchedule[[#This Row],[PMT NO]]&lt;&gt;"",IF(ROW()-ROW(PaymentSchedule[[#Headers],[BEGINNING BALANCE]])=1,LoanAmount,INDEX(PaymentSchedule[ENDING BALANCE],ROW()-ROW(PaymentSchedule[[#Headers],[BEGINNING BALANCE]])-1)),"")</f>
        <v>1904139.5783601156</v>
      </c>
      <c r="E109" s="14">
        <f>IF(PaymentSchedule[[#This Row],[PMT NO]]&lt;&gt;"",ScheduledPayment,"")</f>
        <v>11400.419471082316</v>
      </c>
      <c r="F10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09" s="14">
        <f>IF(PaymentSchedule[[#This Row],[PMT NO]]&lt;&gt;"",PaymentSchedule[[#This Row],[TOTAL PAYMENT]]-PaymentSchedule[[#This Row],[INTEREST]],"")</f>
        <v>4259.8960522318821</v>
      </c>
      <c r="I109" s="14">
        <f>IF(PaymentSchedule[[#This Row],[PMT NO]]&lt;&gt;"",PaymentSchedule[[#This Row],[BEGINNING BALANCE]]*(InterestRate/PaymentsPerYear),"")</f>
        <v>7140.5234188504337</v>
      </c>
      <c r="J10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1899879.6823078839</v>
      </c>
      <c r="K109" s="14">
        <f>IF(PaymentSchedule[[#This Row],[PMT NO]]&lt;&gt;"",SUM(INDEX(PaymentSchedule[INTEREST],1,1):PaymentSchedule[[#This Row],[INTEREST]]),"")</f>
        <v>767120.79047395044</v>
      </c>
    </row>
    <row r="110" spans="2:11" x14ac:dyDescent="0.2">
      <c r="B110" s="10">
        <f>IF(LoanIsGood,IF(ROW()-ROW(PaymentSchedule[[#Headers],[PMT NO]])&gt;ScheduledNumberOfPayments,"",ROW()-ROW(PaymentSchedule[[#Headers],[PMT NO]])),"")</f>
        <v>99</v>
      </c>
      <c r="C110" s="12">
        <f>IF(PaymentSchedule[[#This Row],[PMT NO]]&lt;&gt;"",EOMONTH(LoanStartDate,ROW(PaymentSchedule[[#This Row],[PMT NO]])-ROW(PaymentSchedule[[#Headers],[PMT NO]])-2)+DAY(LoanStartDate),"")</f>
        <v>47908</v>
      </c>
      <c r="D110" s="14">
        <f>IF(PaymentSchedule[[#This Row],[PMT NO]]&lt;&gt;"",IF(ROW()-ROW(PaymentSchedule[[#Headers],[BEGINNING BALANCE]])=1,LoanAmount,INDEX(PaymentSchedule[ENDING BALANCE],ROW()-ROW(PaymentSchedule[[#Headers],[BEGINNING BALANCE]])-1)),"")</f>
        <v>1899879.6823078839</v>
      </c>
      <c r="E110" s="14">
        <f>IF(PaymentSchedule[[#This Row],[PMT NO]]&lt;&gt;"",ScheduledPayment,"")</f>
        <v>11400.419471082316</v>
      </c>
      <c r="F11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10" s="14">
        <f>IF(PaymentSchedule[[#This Row],[PMT NO]]&lt;&gt;"",PaymentSchedule[[#This Row],[TOTAL PAYMENT]]-PaymentSchedule[[#This Row],[INTEREST]],"")</f>
        <v>4275.870662427752</v>
      </c>
      <c r="I110" s="14">
        <f>IF(PaymentSchedule[[#This Row],[PMT NO]]&lt;&gt;"",PaymentSchedule[[#This Row],[BEGINNING BALANCE]]*(InterestRate/PaymentsPerYear),"")</f>
        <v>7124.5488086545638</v>
      </c>
      <c r="J11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1895603.8116454561</v>
      </c>
      <c r="K110" s="14">
        <f>IF(PaymentSchedule[[#This Row],[PMT NO]]&lt;&gt;"",SUM(INDEX(PaymentSchedule[INTEREST],1,1):PaymentSchedule[[#This Row],[INTEREST]]),"")</f>
        <v>774245.33928260498</v>
      </c>
    </row>
    <row r="111" spans="2:11" x14ac:dyDescent="0.2">
      <c r="B111" s="10">
        <f>IF(LoanIsGood,IF(ROW()-ROW(PaymentSchedule[[#Headers],[PMT NO]])&gt;ScheduledNumberOfPayments,"",ROW()-ROW(PaymentSchedule[[#Headers],[PMT NO]])),"")</f>
        <v>100</v>
      </c>
      <c r="C111" s="12">
        <f>IF(PaymentSchedule[[#This Row],[PMT NO]]&lt;&gt;"",EOMONTH(LoanStartDate,ROW(PaymentSchedule[[#This Row],[PMT NO]])-ROW(PaymentSchedule[[#Headers],[PMT NO]])-2)+DAY(LoanStartDate),"")</f>
        <v>47939</v>
      </c>
      <c r="D111" s="14">
        <f>IF(PaymentSchedule[[#This Row],[PMT NO]]&lt;&gt;"",IF(ROW()-ROW(PaymentSchedule[[#Headers],[BEGINNING BALANCE]])=1,LoanAmount,INDEX(PaymentSchedule[ENDING BALANCE],ROW()-ROW(PaymentSchedule[[#Headers],[BEGINNING BALANCE]])-1)),"")</f>
        <v>1895603.8116454561</v>
      </c>
      <c r="E111" s="14">
        <f>IF(PaymentSchedule[[#This Row],[PMT NO]]&lt;&gt;"",ScheduledPayment,"")</f>
        <v>11400.419471082316</v>
      </c>
      <c r="F11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11" s="14">
        <f>IF(PaymentSchedule[[#This Row],[PMT NO]]&lt;&gt;"",PaymentSchedule[[#This Row],[TOTAL PAYMENT]]-PaymentSchedule[[#This Row],[INTEREST]],"")</f>
        <v>4291.9051774118552</v>
      </c>
      <c r="I111" s="14">
        <f>IF(PaymentSchedule[[#This Row],[PMT NO]]&lt;&gt;"",PaymentSchedule[[#This Row],[BEGINNING BALANCE]]*(InterestRate/PaymentsPerYear),"")</f>
        <v>7108.5142936704606</v>
      </c>
      <c r="J11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1891311.9064680443</v>
      </c>
      <c r="K111" s="14">
        <f>IF(PaymentSchedule[[#This Row],[PMT NO]]&lt;&gt;"",SUM(INDEX(PaymentSchedule[INTEREST],1,1):PaymentSchedule[[#This Row],[INTEREST]]),"")</f>
        <v>781353.8535762754</v>
      </c>
    </row>
    <row r="112" spans="2:11" x14ac:dyDescent="0.2">
      <c r="B112" s="10">
        <f>IF(LoanIsGood,IF(ROW()-ROW(PaymentSchedule[[#Headers],[PMT NO]])&gt;ScheduledNumberOfPayments,"",ROW()-ROW(PaymentSchedule[[#Headers],[PMT NO]])),"")</f>
        <v>101</v>
      </c>
      <c r="C112" s="12">
        <f>IF(PaymentSchedule[[#This Row],[PMT NO]]&lt;&gt;"",EOMONTH(LoanStartDate,ROW(PaymentSchedule[[#This Row],[PMT NO]])-ROW(PaymentSchedule[[#Headers],[PMT NO]])-2)+DAY(LoanStartDate),"")</f>
        <v>47969</v>
      </c>
      <c r="D112" s="14">
        <f>IF(PaymentSchedule[[#This Row],[PMT NO]]&lt;&gt;"",IF(ROW()-ROW(PaymentSchedule[[#Headers],[BEGINNING BALANCE]])=1,LoanAmount,INDEX(PaymentSchedule[ENDING BALANCE],ROW()-ROW(PaymentSchedule[[#Headers],[BEGINNING BALANCE]])-1)),"")</f>
        <v>1891311.9064680443</v>
      </c>
      <c r="E112" s="14">
        <f>IF(PaymentSchedule[[#This Row],[PMT NO]]&lt;&gt;"",ScheduledPayment,"")</f>
        <v>11400.419471082316</v>
      </c>
      <c r="F11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12" s="14">
        <f>IF(PaymentSchedule[[#This Row],[PMT NO]]&lt;&gt;"",PaymentSchedule[[#This Row],[TOTAL PAYMENT]]-PaymentSchedule[[#This Row],[INTEREST]],"")</f>
        <v>4307.9998218271503</v>
      </c>
      <c r="I112" s="14">
        <f>IF(PaymentSchedule[[#This Row],[PMT NO]]&lt;&gt;"",PaymentSchedule[[#This Row],[BEGINNING BALANCE]]*(InterestRate/PaymentsPerYear),"")</f>
        <v>7092.4196492551655</v>
      </c>
      <c r="J11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1887003.9066462172</v>
      </c>
      <c r="K112" s="14">
        <f>IF(PaymentSchedule[[#This Row],[PMT NO]]&lt;&gt;"",SUM(INDEX(PaymentSchedule[INTEREST],1,1):PaymentSchedule[[#This Row],[INTEREST]]),"")</f>
        <v>788446.27322553052</v>
      </c>
    </row>
    <row r="113" spans="2:11" x14ac:dyDescent="0.2">
      <c r="B113" s="10">
        <f>IF(LoanIsGood,IF(ROW()-ROW(PaymentSchedule[[#Headers],[PMT NO]])&gt;ScheduledNumberOfPayments,"",ROW()-ROW(PaymentSchedule[[#Headers],[PMT NO]])),"")</f>
        <v>102</v>
      </c>
      <c r="C113" s="12">
        <f>IF(PaymentSchedule[[#This Row],[PMT NO]]&lt;&gt;"",EOMONTH(LoanStartDate,ROW(PaymentSchedule[[#This Row],[PMT NO]])-ROW(PaymentSchedule[[#Headers],[PMT NO]])-2)+DAY(LoanStartDate),"")</f>
        <v>48000</v>
      </c>
      <c r="D113" s="14">
        <f>IF(PaymentSchedule[[#This Row],[PMT NO]]&lt;&gt;"",IF(ROW()-ROW(PaymentSchedule[[#Headers],[BEGINNING BALANCE]])=1,LoanAmount,INDEX(PaymentSchedule[ENDING BALANCE],ROW()-ROW(PaymentSchedule[[#Headers],[BEGINNING BALANCE]])-1)),"")</f>
        <v>1887003.9066462172</v>
      </c>
      <c r="E113" s="14">
        <f>IF(PaymentSchedule[[#This Row],[PMT NO]]&lt;&gt;"",ScheduledPayment,"")</f>
        <v>11400.419471082316</v>
      </c>
      <c r="F11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13" s="14">
        <f>IF(PaymentSchedule[[#This Row],[PMT NO]]&lt;&gt;"",PaymentSchedule[[#This Row],[TOTAL PAYMENT]]-PaymentSchedule[[#This Row],[INTEREST]],"")</f>
        <v>4324.1548211590016</v>
      </c>
      <c r="I113" s="14">
        <f>IF(PaymentSchedule[[#This Row],[PMT NO]]&lt;&gt;"",PaymentSchedule[[#This Row],[BEGINNING BALANCE]]*(InterestRate/PaymentsPerYear),"")</f>
        <v>7076.2646499233142</v>
      </c>
      <c r="J11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1882679.7518250581</v>
      </c>
      <c r="K113" s="14">
        <f>IF(PaymentSchedule[[#This Row],[PMT NO]]&lt;&gt;"",SUM(INDEX(PaymentSchedule[INTEREST],1,1):PaymentSchedule[[#This Row],[INTEREST]]),"")</f>
        <v>795522.53787545383</v>
      </c>
    </row>
    <row r="114" spans="2:11" x14ac:dyDescent="0.2">
      <c r="B114" s="10">
        <f>IF(LoanIsGood,IF(ROW()-ROW(PaymentSchedule[[#Headers],[PMT NO]])&gt;ScheduledNumberOfPayments,"",ROW()-ROW(PaymentSchedule[[#Headers],[PMT NO]])),"")</f>
        <v>103</v>
      </c>
      <c r="C114" s="12">
        <f>IF(PaymentSchedule[[#This Row],[PMT NO]]&lt;&gt;"",EOMONTH(LoanStartDate,ROW(PaymentSchedule[[#This Row],[PMT NO]])-ROW(PaymentSchedule[[#Headers],[PMT NO]])-2)+DAY(LoanStartDate),"")</f>
        <v>48030</v>
      </c>
      <c r="D114" s="14">
        <f>IF(PaymentSchedule[[#This Row],[PMT NO]]&lt;&gt;"",IF(ROW()-ROW(PaymentSchedule[[#Headers],[BEGINNING BALANCE]])=1,LoanAmount,INDEX(PaymentSchedule[ENDING BALANCE],ROW()-ROW(PaymentSchedule[[#Headers],[BEGINNING BALANCE]])-1)),"")</f>
        <v>1882679.7518250581</v>
      </c>
      <c r="E114" s="14">
        <f>IF(PaymentSchedule[[#This Row],[PMT NO]]&lt;&gt;"",ScheduledPayment,"")</f>
        <v>11400.419471082316</v>
      </c>
      <c r="F11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14" s="14">
        <f>IF(PaymentSchedule[[#This Row],[PMT NO]]&lt;&gt;"",PaymentSchedule[[#This Row],[TOTAL PAYMENT]]-PaymentSchedule[[#This Row],[INTEREST]],"")</f>
        <v>4340.3704017383479</v>
      </c>
      <c r="I114" s="14">
        <f>IF(PaymentSchedule[[#This Row],[PMT NO]]&lt;&gt;"",PaymentSchedule[[#This Row],[BEGINNING BALANCE]]*(InterestRate/PaymentsPerYear),"")</f>
        <v>7060.0490693439679</v>
      </c>
      <c r="J11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1878339.3814233197</v>
      </c>
      <c r="K114" s="14">
        <f>IF(PaymentSchedule[[#This Row],[PMT NO]]&lt;&gt;"",SUM(INDEX(PaymentSchedule[INTEREST],1,1):PaymentSchedule[[#This Row],[INTEREST]]),"")</f>
        <v>802582.58694479777</v>
      </c>
    </row>
    <row r="115" spans="2:11" x14ac:dyDescent="0.2">
      <c r="B115" s="10">
        <f>IF(LoanIsGood,IF(ROW()-ROW(PaymentSchedule[[#Headers],[PMT NO]])&gt;ScheduledNumberOfPayments,"",ROW()-ROW(PaymentSchedule[[#Headers],[PMT NO]])),"")</f>
        <v>104</v>
      </c>
      <c r="C115" s="12">
        <f>IF(PaymentSchedule[[#This Row],[PMT NO]]&lt;&gt;"",EOMONTH(LoanStartDate,ROW(PaymentSchedule[[#This Row],[PMT NO]])-ROW(PaymentSchedule[[#Headers],[PMT NO]])-2)+DAY(LoanStartDate),"")</f>
        <v>48061</v>
      </c>
      <c r="D115" s="14">
        <f>IF(PaymentSchedule[[#This Row],[PMT NO]]&lt;&gt;"",IF(ROW()-ROW(PaymentSchedule[[#Headers],[BEGINNING BALANCE]])=1,LoanAmount,INDEX(PaymentSchedule[ENDING BALANCE],ROW()-ROW(PaymentSchedule[[#Headers],[BEGINNING BALANCE]])-1)),"")</f>
        <v>1878339.3814233197</v>
      </c>
      <c r="E115" s="14">
        <f>IF(PaymentSchedule[[#This Row],[PMT NO]]&lt;&gt;"",ScheduledPayment,"")</f>
        <v>11400.419471082316</v>
      </c>
      <c r="F11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15" s="14">
        <f>IF(PaymentSchedule[[#This Row],[PMT NO]]&lt;&gt;"",PaymentSchedule[[#This Row],[TOTAL PAYMENT]]-PaymentSchedule[[#This Row],[INTEREST]],"")</f>
        <v>4356.6467907448668</v>
      </c>
      <c r="I115" s="14">
        <f>IF(PaymentSchedule[[#This Row],[PMT NO]]&lt;&gt;"",PaymentSchedule[[#This Row],[BEGINNING BALANCE]]*(InterestRate/PaymentsPerYear),"")</f>
        <v>7043.7726803374489</v>
      </c>
      <c r="J11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1873982.7346325747</v>
      </c>
      <c r="K115" s="14">
        <f>IF(PaymentSchedule[[#This Row],[PMT NO]]&lt;&gt;"",SUM(INDEX(PaymentSchedule[INTEREST],1,1):PaymentSchedule[[#This Row],[INTEREST]]),"")</f>
        <v>809626.3596251352</v>
      </c>
    </row>
    <row r="116" spans="2:11" x14ac:dyDescent="0.2">
      <c r="B116" s="10">
        <f>IF(LoanIsGood,IF(ROW()-ROW(PaymentSchedule[[#Headers],[PMT NO]])&gt;ScheduledNumberOfPayments,"",ROW()-ROW(PaymentSchedule[[#Headers],[PMT NO]])),"")</f>
        <v>105</v>
      </c>
      <c r="C116" s="12">
        <f>IF(PaymentSchedule[[#This Row],[PMT NO]]&lt;&gt;"",EOMONTH(LoanStartDate,ROW(PaymentSchedule[[#This Row],[PMT NO]])-ROW(PaymentSchedule[[#Headers],[PMT NO]])-2)+DAY(LoanStartDate),"")</f>
        <v>48092</v>
      </c>
      <c r="D116" s="14">
        <f>IF(PaymentSchedule[[#This Row],[PMT NO]]&lt;&gt;"",IF(ROW()-ROW(PaymentSchedule[[#Headers],[BEGINNING BALANCE]])=1,LoanAmount,INDEX(PaymentSchedule[ENDING BALANCE],ROW()-ROW(PaymentSchedule[[#Headers],[BEGINNING BALANCE]])-1)),"")</f>
        <v>1873982.7346325747</v>
      </c>
      <c r="E116" s="14">
        <f>IF(PaymentSchedule[[#This Row],[PMT NO]]&lt;&gt;"",ScheduledPayment,"")</f>
        <v>11400.419471082316</v>
      </c>
      <c r="F11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16" s="14">
        <f>IF(PaymentSchedule[[#This Row],[PMT NO]]&lt;&gt;"",PaymentSchedule[[#This Row],[TOTAL PAYMENT]]-PaymentSchedule[[#This Row],[INTEREST]],"")</f>
        <v>4372.9842162101604</v>
      </c>
      <c r="I116" s="14">
        <f>IF(PaymentSchedule[[#This Row],[PMT NO]]&lt;&gt;"",PaymentSchedule[[#This Row],[BEGINNING BALANCE]]*(InterestRate/PaymentsPerYear),"")</f>
        <v>7027.4352548721554</v>
      </c>
      <c r="J11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1869609.7504163645</v>
      </c>
      <c r="K116" s="14">
        <f>IF(PaymentSchedule[[#This Row],[PMT NO]]&lt;&gt;"",SUM(INDEX(PaymentSchedule[INTEREST],1,1):PaymentSchedule[[#This Row],[INTEREST]]),"")</f>
        <v>816653.79488000739</v>
      </c>
    </row>
    <row r="117" spans="2:11" x14ac:dyDescent="0.2">
      <c r="B117" s="10">
        <f>IF(LoanIsGood,IF(ROW()-ROW(PaymentSchedule[[#Headers],[PMT NO]])&gt;ScheduledNumberOfPayments,"",ROW()-ROW(PaymentSchedule[[#Headers],[PMT NO]])),"")</f>
        <v>106</v>
      </c>
      <c r="C117" s="12">
        <f>IF(PaymentSchedule[[#This Row],[PMT NO]]&lt;&gt;"",EOMONTH(LoanStartDate,ROW(PaymentSchedule[[#This Row],[PMT NO]])-ROW(PaymentSchedule[[#Headers],[PMT NO]])-2)+DAY(LoanStartDate),"")</f>
        <v>48122</v>
      </c>
      <c r="D117" s="14">
        <f>IF(PaymentSchedule[[#This Row],[PMT NO]]&lt;&gt;"",IF(ROW()-ROW(PaymentSchedule[[#Headers],[BEGINNING BALANCE]])=1,LoanAmount,INDEX(PaymentSchedule[ENDING BALANCE],ROW()-ROW(PaymentSchedule[[#Headers],[BEGINNING BALANCE]])-1)),"")</f>
        <v>1869609.7504163645</v>
      </c>
      <c r="E117" s="14">
        <f>IF(PaymentSchedule[[#This Row],[PMT NO]]&lt;&gt;"",ScheduledPayment,"")</f>
        <v>11400.419471082316</v>
      </c>
      <c r="F11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17" s="14">
        <f>IF(PaymentSchedule[[#This Row],[PMT NO]]&lt;&gt;"",PaymentSchedule[[#This Row],[TOTAL PAYMENT]]-PaymentSchedule[[#This Row],[INTEREST]],"")</f>
        <v>4389.3829070209495</v>
      </c>
      <c r="I117" s="14">
        <f>IF(PaymentSchedule[[#This Row],[PMT NO]]&lt;&gt;"",PaymentSchedule[[#This Row],[BEGINNING BALANCE]]*(InterestRate/PaymentsPerYear),"")</f>
        <v>7011.0365640613663</v>
      </c>
      <c r="J11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1865220.3675093437</v>
      </c>
      <c r="K117" s="14">
        <f>IF(PaymentSchedule[[#This Row],[PMT NO]]&lt;&gt;"",SUM(INDEX(PaymentSchedule[INTEREST],1,1):PaymentSchedule[[#This Row],[INTEREST]]),"")</f>
        <v>823664.83144406881</v>
      </c>
    </row>
    <row r="118" spans="2:11" x14ac:dyDescent="0.2">
      <c r="B118" s="10">
        <f>IF(LoanIsGood,IF(ROW()-ROW(PaymentSchedule[[#Headers],[PMT NO]])&gt;ScheduledNumberOfPayments,"",ROW()-ROW(PaymentSchedule[[#Headers],[PMT NO]])),"")</f>
        <v>107</v>
      </c>
      <c r="C118" s="12">
        <f>IF(PaymentSchedule[[#This Row],[PMT NO]]&lt;&gt;"",EOMONTH(LoanStartDate,ROW(PaymentSchedule[[#This Row],[PMT NO]])-ROW(PaymentSchedule[[#Headers],[PMT NO]])-2)+DAY(LoanStartDate),"")</f>
        <v>48153</v>
      </c>
      <c r="D118" s="14">
        <f>IF(PaymentSchedule[[#This Row],[PMT NO]]&lt;&gt;"",IF(ROW()-ROW(PaymentSchedule[[#Headers],[BEGINNING BALANCE]])=1,LoanAmount,INDEX(PaymentSchedule[ENDING BALANCE],ROW()-ROW(PaymentSchedule[[#Headers],[BEGINNING BALANCE]])-1)),"")</f>
        <v>1865220.3675093437</v>
      </c>
      <c r="E118" s="14">
        <f>IF(PaymentSchedule[[#This Row],[PMT NO]]&lt;&gt;"",ScheduledPayment,"")</f>
        <v>11400.419471082316</v>
      </c>
      <c r="F11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18" s="14">
        <f>IF(PaymentSchedule[[#This Row],[PMT NO]]&lt;&gt;"",PaymentSchedule[[#This Row],[TOTAL PAYMENT]]-PaymentSchedule[[#This Row],[INTEREST]],"")</f>
        <v>4405.8430929222777</v>
      </c>
      <c r="I118" s="14">
        <f>IF(PaymentSchedule[[#This Row],[PMT NO]]&lt;&gt;"",PaymentSchedule[[#This Row],[BEGINNING BALANCE]]*(InterestRate/PaymentsPerYear),"")</f>
        <v>6994.5763781600381</v>
      </c>
      <c r="J11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1860814.5244164213</v>
      </c>
      <c r="K118" s="14">
        <f>IF(PaymentSchedule[[#This Row],[PMT NO]]&lt;&gt;"",SUM(INDEX(PaymentSchedule[INTEREST],1,1):PaymentSchedule[[#This Row],[INTEREST]]),"")</f>
        <v>830659.40782222885</v>
      </c>
    </row>
    <row r="119" spans="2:11" x14ac:dyDescent="0.2">
      <c r="B119" s="10">
        <f>IF(LoanIsGood,IF(ROW()-ROW(PaymentSchedule[[#Headers],[PMT NO]])&gt;ScheduledNumberOfPayments,"",ROW()-ROW(PaymentSchedule[[#Headers],[PMT NO]])),"")</f>
        <v>108</v>
      </c>
      <c r="C119" s="12">
        <f>IF(PaymentSchedule[[#This Row],[PMT NO]]&lt;&gt;"",EOMONTH(LoanStartDate,ROW(PaymentSchedule[[#This Row],[PMT NO]])-ROW(PaymentSchedule[[#Headers],[PMT NO]])-2)+DAY(LoanStartDate),"")</f>
        <v>48183</v>
      </c>
      <c r="D119" s="14">
        <f>IF(PaymentSchedule[[#This Row],[PMT NO]]&lt;&gt;"",IF(ROW()-ROW(PaymentSchedule[[#Headers],[BEGINNING BALANCE]])=1,LoanAmount,INDEX(PaymentSchedule[ENDING BALANCE],ROW()-ROW(PaymentSchedule[[#Headers],[BEGINNING BALANCE]])-1)),"")</f>
        <v>1860814.5244164213</v>
      </c>
      <c r="E119" s="14">
        <f>IF(PaymentSchedule[[#This Row],[PMT NO]]&lt;&gt;"",ScheduledPayment,"")</f>
        <v>11400.419471082316</v>
      </c>
      <c r="F11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19" s="14">
        <f>IF(PaymentSchedule[[#This Row],[PMT NO]]&lt;&gt;"",PaymentSchedule[[#This Row],[TOTAL PAYMENT]]-PaymentSchedule[[#This Row],[INTEREST]],"")</f>
        <v>4422.365004520736</v>
      </c>
      <c r="I119" s="14">
        <f>IF(PaymentSchedule[[#This Row],[PMT NO]]&lt;&gt;"",PaymentSchedule[[#This Row],[BEGINNING BALANCE]]*(InterestRate/PaymentsPerYear),"")</f>
        <v>6978.0544665615798</v>
      </c>
      <c r="J11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1856392.1594119007</v>
      </c>
      <c r="K119" s="14">
        <f>IF(PaymentSchedule[[#This Row],[PMT NO]]&lt;&gt;"",SUM(INDEX(PaymentSchedule[INTEREST],1,1):PaymentSchedule[[#This Row],[INTEREST]]),"")</f>
        <v>837637.46228879038</v>
      </c>
    </row>
    <row r="120" spans="2:11" x14ac:dyDescent="0.2">
      <c r="B120" s="10">
        <f>IF(LoanIsGood,IF(ROW()-ROW(PaymentSchedule[[#Headers],[PMT NO]])&gt;ScheduledNumberOfPayments,"",ROW()-ROW(PaymentSchedule[[#Headers],[PMT NO]])),"")</f>
        <v>109</v>
      </c>
      <c r="C120" s="12">
        <f>IF(PaymentSchedule[[#This Row],[PMT NO]]&lt;&gt;"",EOMONTH(LoanStartDate,ROW(PaymentSchedule[[#This Row],[PMT NO]])-ROW(PaymentSchedule[[#Headers],[PMT NO]])-2)+DAY(LoanStartDate),"")</f>
        <v>48214</v>
      </c>
      <c r="D120" s="14">
        <f>IF(PaymentSchedule[[#This Row],[PMT NO]]&lt;&gt;"",IF(ROW()-ROW(PaymentSchedule[[#Headers],[BEGINNING BALANCE]])=1,LoanAmount,INDEX(PaymentSchedule[ENDING BALANCE],ROW()-ROW(PaymentSchedule[[#Headers],[BEGINNING BALANCE]])-1)),"")</f>
        <v>1856392.1594119007</v>
      </c>
      <c r="E120" s="14">
        <f>IF(PaymentSchedule[[#This Row],[PMT NO]]&lt;&gt;"",ScheduledPayment,"")</f>
        <v>11400.419471082316</v>
      </c>
      <c r="F12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20" s="14">
        <f>IF(PaymentSchedule[[#This Row],[PMT NO]]&lt;&gt;"",PaymentSchedule[[#This Row],[TOTAL PAYMENT]]-PaymentSchedule[[#This Row],[INTEREST]],"")</f>
        <v>4438.9488732876889</v>
      </c>
      <c r="I120" s="14">
        <f>IF(PaymentSchedule[[#This Row],[PMT NO]]&lt;&gt;"",PaymentSchedule[[#This Row],[BEGINNING BALANCE]]*(InterestRate/PaymentsPerYear),"")</f>
        <v>6961.4705977946269</v>
      </c>
      <c r="J12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1851953.2105386129</v>
      </c>
      <c r="K120" s="14">
        <f>IF(PaymentSchedule[[#This Row],[PMT NO]]&lt;&gt;"",SUM(INDEX(PaymentSchedule[INTEREST],1,1):PaymentSchedule[[#This Row],[INTEREST]]),"")</f>
        <v>844598.93288658501</v>
      </c>
    </row>
    <row r="121" spans="2:11" x14ac:dyDescent="0.2">
      <c r="B121" s="10">
        <f>IF(LoanIsGood,IF(ROW()-ROW(PaymentSchedule[[#Headers],[PMT NO]])&gt;ScheduledNumberOfPayments,"",ROW()-ROW(PaymentSchedule[[#Headers],[PMT NO]])),"")</f>
        <v>110</v>
      </c>
      <c r="C121" s="12">
        <f>IF(PaymentSchedule[[#This Row],[PMT NO]]&lt;&gt;"",EOMONTH(LoanStartDate,ROW(PaymentSchedule[[#This Row],[PMT NO]])-ROW(PaymentSchedule[[#Headers],[PMT NO]])-2)+DAY(LoanStartDate),"")</f>
        <v>48245</v>
      </c>
      <c r="D121" s="14">
        <f>IF(PaymentSchedule[[#This Row],[PMT NO]]&lt;&gt;"",IF(ROW()-ROW(PaymentSchedule[[#Headers],[BEGINNING BALANCE]])=1,LoanAmount,INDEX(PaymentSchedule[ENDING BALANCE],ROW()-ROW(PaymentSchedule[[#Headers],[BEGINNING BALANCE]])-1)),"")</f>
        <v>1851953.2105386129</v>
      </c>
      <c r="E121" s="14">
        <f>IF(PaymentSchedule[[#This Row],[PMT NO]]&lt;&gt;"",ScheduledPayment,"")</f>
        <v>11400.419471082316</v>
      </c>
      <c r="F12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21" s="14">
        <f>IF(PaymentSchedule[[#This Row],[PMT NO]]&lt;&gt;"",PaymentSchedule[[#This Row],[TOTAL PAYMENT]]-PaymentSchedule[[#This Row],[INTEREST]],"")</f>
        <v>4455.5949315625176</v>
      </c>
      <c r="I121" s="14">
        <f>IF(PaymentSchedule[[#This Row],[PMT NO]]&lt;&gt;"",PaymentSchedule[[#This Row],[BEGINNING BALANCE]]*(InterestRate/PaymentsPerYear),"")</f>
        <v>6944.8245395197982</v>
      </c>
      <c r="J12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1847497.6156070505</v>
      </c>
      <c r="K121" s="14">
        <f>IF(PaymentSchedule[[#This Row],[PMT NO]]&lt;&gt;"",SUM(INDEX(PaymentSchedule[INTEREST],1,1):PaymentSchedule[[#This Row],[INTEREST]]),"")</f>
        <v>851543.75742610486</v>
      </c>
    </row>
    <row r="122" spans="2:11" x14ac:dyDescent="0.2">
      <c r="B122" s="10">
        <f>IF(LoanIsGood,IF(ROW()-ROW(PaymentSchedule[[#Headers],[PMT NO]])&gt;ScheduledNumberOfPayments,"",ROW()-ROW(PaymentSchedule[[#Headers],[PMT NO]])),"")</f>
        <v>111</v>
      </c>
      <c r="C122" s="12">
        <f>IF(PaymentSchedule[[#This Row],[PMT NO]]&lt;&gt;"",EOMONTH(LoanStartDate,ROW(PaymentSchedule[[#This Row],[PMT NO]])-ROW(PaymentSchedule[[#Headers],[PMT NO]])-2)+DAY(LoanStartDate),"")</f>
        <v>48274</v>
      </c>
      <c r="D122" s="14">
        <f>IF(PaymentSchedule[[#This Row],[PMT NO]]&lt;&gt;"",IF(ROW()-ROW(PaymentSchedule[[#Headers],[BEGINNING BALANCE]])=1,LoanAmount,INDEX(PaymentSchedule[ENDING BALANCE],ROW()-ROW(PaymentSchedule[[#Headers],[BEGINNING BALANCE]])-1)),"")</f>
        <v>1847497.6156070505</v>
      </c>
      <c r="E122" s="14">
        <f>IF(PaymentSchedule[[#This Row],[PMT NO]]&lt;&gt;"",ScheduledPayment,"")</f>
        <v>11400.419471082316</v>
      </c>
      <c r="F12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22" s="14">
        <f>IF(PaymentSchedule[[#This Row],[PMT NO]]&lt;&gt;"",PaymentSchedule[[#This Row],[TOTAL PAYMENT]]-PaymentSchedule[[#This Row],[INTEREST]],"")</f>
        <v>4472.303412555877</v>
      </c>
      <c r="I122" s="14">
        <f>IF(PaymentSchedule[[#This Row],[PMT NO]]&lt;&gt;"",PaymentSchedule[[#This Row],[BEGINNING BALANCE]]*(InterestRate/PaymentsPerYear),"")</f>
        <v>6928.1160585264388</v>
      </c>
      <c r="J12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1843025.3121944945</v>
      </c>
      <c r="K122" s="14">
        <f>IF(PaymentSchedule[[#This Row],[PMT NO]]&lt;&gt;"",SUM(INDEX(PaymentSchedule[INTEREST],1,1):PaymentSchedule[[#This Row],[INTEREST]]),"")</f>
        <v>858471.8734846313</v>
      </c>
    </row>
    <row r="123" spans="2:11" x14ac:dyDescent="0.2">
      <c r="B123" s="10">
        <f>IF(LoanIsGood,IF(ROW()-ROW(PaymentSchedule[[#Headers],[PMT NO]])&gt;ScheduledNumberOfPayments,"",ROW()-ROW(PaymentSchedule[[#Headers],[PMT NO]])),"")</f>
        <v>112</v>
      </c>
      <c r="C123" s="12">
        <f>IF(PaymentSchedule[[#This Row],[PMT NO]]&lt;&gt;"",EOMONTH(LoanStartDate,ROW(PaymentSchedule[[#This Row],[PMT NO]])-ROW(PaymentSchedule[[#Headers],[PMT NO]])-2)+DAY(LoanStartDate),"")</f>
        <v>48305</v>
      </c>
      <c r="D123" s="14">
        <f>IF(PaymentSchedule[[#This Row],[PMT NO]]&lt;&gt;"",IF(ROW()-ROW(PaymentSchedule[[#Headers],[BEGINNING BALANCE]])=1,LoanAmount,INDEX(PaymentSchedule[ENDING BALANCE],ROW()-ROW(PaymentSchedule[[#Headers],[BEGINNING BALANCE]])-1)),"")</f>
        <v>1843025.3121944945</v>
      </c>
      <c r="E123" s="14">
        <f>IF(PaymentSchedule[[#This Row],[PMT NO]]&lt;&gt;"",ScheduledPayment,"")</f>
        <v>11400.419471082316</v>
      </c>
      <c r="F12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23" s="14">
        <f>IF(PaymentSchedule[[#This Row],[PMT NO]]&lt;&gt;"",PaymentSchedule[[#This Row],[TOTAL PAYMENT]]-PaymentSchedule[[#This Row],[INTEREST]],"")</f>
        <v>4489.0745503529615</v>
      </c>
      <c r="I123" s="14">
        <f>IF(PaymentSchedule[[#This Row],[PMT NO]]&lt;&gt;"",PaymentSchedule[[#This Row],[BEGINNING BALANCE]]*(InterestRate/PaymentsPerYear),"")</f>
        <v>6911.3449207293543</v>
      </c>
      <c r="J12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1838536.2376441415</v>
      </c>
      <c r="K123" s="14">
        <f>IF(PaymentSchedule[[#This Row],[PMT NO]]&lt;&gt;"",SUM(INDEX(PaymentSchedule[INTEREST],1,1):PaymentSchedule[[#This Row],[INTEREST]]),"")</f>
        <v>865383.21840536071</v>
      </c>
    </row>
    <row r="124" spans="2:11" x14ac:dyDescent="0.2">
      <c r="B124" s="10">
        <f>IF(LoanIsGood,IF(ROW()-ROW(PaymentSchedule[[#Headers],[PMT NO]])&gt;ScheduledNumberOfPayments,"",ROW()-ROW(PaymentSchedule[[#Headers],[PMT NO]])),"")</f>
        <v>113</v>
      </c>
      <c r="C124" s="12">
        <f>IF(PaymentSchedule[[#This Row],[PMT NO]]&lt;&gt;"",EOMONTH(LoanStartDate,ROW(PaymentSchedule[[#This Row],[PMT NO]])-ROW(PaymentSchedule[[#Headers],[PMT NO]])-2)+DAY(LoanStartDate),"")</f>
        <v>48335</v>
      </c>
      <c r="D124" s="14">
        <f>IF(PaymentSchedule[[#This Row],[PMT NO]]&lt;&gt;"",IF(ROW()-ROW(PaymentSchedule[[#Headers],[BEGINNING BALANCE]])=1,LoanAmount,INDEX(PaymentSchedule[ENDING BALANCE],ROW()-ROW(PaymentSchedule[[#Headers],[BEGINNING BALANCE]])-1)),"")</f>
        <v>1838536.2376441415</v>
      </c>
      <c r="E124" s="14">
        <f>IF(PaymentSchedule[[#This Row],[PMT NO]]&lt;&gt;"",ScheduledPayment,"")</f>
        <v>11400.419471082316</v>
      </c>
      <c r="F12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24" s="14">
        <f>IF(PaymentSchedule[[#This Row],[PMT NO]]&lt;&gt;"",PaymentSchedule[[#This Row],[TOTAL PAYMENT]]-PaymentSchedule[[#This Row],[INTEREST]],"")</f>
        <v>4505.9085799167851</v>
      </c>
      <c r="I124" s="14">
        <f>IF(PaymentSchedule[[#This Row],[PMT NO]]&lt;&gt;"",PaymentSchedule[[#This Row],[BEGINNING BALANCE]]*(InterestRate/PaymentsPerYear),"")</f>
        <v>6894.5108911655307</v>
      </c>
      <c r="J12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1834030.3290642248</v>
      </c>
      <c r="K124" s="14">
        <f>IF(PaymentSchedule[[#This Row],[PMT NO]]&lt;&gt;"",SUM(INDEX(PaymentSchedule[INTEREST],1,1):PaymentSchedule[[#This Row],[INTEREST]]),"")</f>
        <v>872277.72929652629</v>
      </c>
    </row>
    <row r="125" spans="2:11" x14ac:dyDescent="0.2">
      <c r="B125" s="10">
        <f>IF(LoanIsGood,IF(ROW()-ROW(PaymentSchedule[[#Headers],[PMT NO]])&gt;ScheduledNumberOfPayments,"",ROW()-ROW(PaymentSchedule[[#Headers],[PMT NO]])),"")</f>
        <v>114</v>
      </c>
      <c r="C125" s="12">
        <f>IF(PaymentSchedule[[#This Row],[PMT NO]]&lt;&gt;"",EOMONTH(LoanStartDate,ROW(PaymentSchedule[[#This Row],[PMT NO]])-ROW(PaymentSchedule[[#Headers],[PMT NO]])-2)+DAY(LoanStartDate),"")</f>
        <v>48366</v>
      </c>
      <c r="D125" s="14">
        <f>IF(PaymentSchedule[[#This Row],[PMT NO]]&lt;&gt;"",IF(ROW()-ROW(PaymentSchedule[[#Headers],[BEGINNING BALANCE]])=1,LoanAmount,INDEX(PaymentSchedule[ENDING BALANCE],ROW()-ROW(PaymentSchedule[[#Headers],[BEGINNING BALANCE]])-1)),"")</f>
        <v>1834030.3290642248</v>
      </c>
      <c r="E125" s="14">
        <f>IF(PaymentSchedule[[#This Row],[PMT NO]]&lt;&gt;"",ScheduledPayment,"")</f>
        <v>11400.419471082316</v>
      </c>
      <c r="F12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25" s="14">
        <f>IF(PaymentSchedule[[#This Row],[PMT NO]]&lt;&gt;"",PaymentSchedule[[#This Row],[TOTAL PAYMENT]]-PaymentSchedule[[#This Row],[INTEREST]],"")</f>
        <v>4522.805737091473</v>
      </c>
      <c r="I125" s="14">
        <f>IF(PaymentSchedule[[#This Row],[PMT NO]]&lt;&gt;"",PaymentSchedule[[#This Row],[BEGINNING BALANCE]]*(InterestRate/PaymentsPerYear),"")</f>
        <v>6877.6137339908428</v>
      </c>
      <c r="J12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1829507.5233271334</v>
      </c>
      <c r="K125" s="14">
        <f>IF(PaymentSchedule[[#This Row],[PMT NO]]&lt;&gt;"",SUM(INDEX(PaymentSchedule[INTEREST],1,1):PaymentSchedule[[#This Row],[INTEREST]]),"")</f>
        <v>879155.34303051711</v>
      </c>
    </row>
    <row r="126" spans="2:11" x14ac:dyDescent="0.2">
      <c r="B126" s="10">
        <f>IF(LoanIsGood,IF(ROW()-ROW(PaymentSchedule[[#Headers],[PMT NO]])&gt;ScheduledNumberOfPayments,"",ROW()-ROW(PaymentSchedule[[#Headers],[PMT NO]])),"")</f>
        <v>115</v>
      </c>
      <c r="C126" s="12">
        <f>IF(PaymentSchedule[[#This Row],[PMT NO]]&lt;&gt;"",EOMONTH(LoanStartDate,ROW(PaymentSchedule[[#This Row],[PMT NO]])-ROW(PaymentSchedule[[#Headers],[PMT NO]])-2)+DAY(LoanStartDate),"")</f>
        <v>48396</v>
      </c>
      <c r="D126" s="14">
        <f>IF(PaymentSchedule[[#This Row],[PMT NO]]&lt;&gt;"",IF(ROW()-ROW(PaymentSchedule[[#Headers],[BEGINNING BALANCE]])=1,LoanAmount,INDEX(PaymentSchedule[ENDING BALANCE],ROW()-ROW(PaymentSchedule[[#Headers],[BEGINNING BALANCE]])-1)),"")</f>
        <v>1829507.5233271334</v>
      </c>
      <c r="E126" s="14">
        <f>IF(PaymentSchedule[[#This Row],[PMT NO]]&lt;&gt;"",ScheduledPayment,"")</f>
        <v>11400.419471082316</v>
      </c>
      <c r="F12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26" s="14">
        <f>IF(PaymentSchedule[[#This Row],[PMT NO]]&lt;&gt;"",PaymentSchedule[[#This Row],[TOTAL PAYMENT]]-PaymentSchedule[[#This Row],[INTEREST]],"")</f>
        <v>4539.7662586055658</v>
      </c>
      <c r="I126" s="14">
        <f>IF(PaymentSchedule[[#This Row],[PMT NO]]&lt;&gt;"",PaymentSchedule[[#This Row],[BEGINNING BALANCE]]*(InterestRate/PaymentsPerYear),"")</f>
        <v>6860.65321247675</v>
      </c>
      <c r="J12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1824967.7570685279</v>
      </c>
      <c r="K126" s="14">
        <f>IF(PaymentSchedule[[#This Row],[PMT NO]]&lt;&gt;"",SUM(INDEX(PaymentSchedule[INTEREST],1,1):PaymentSchedule[[#This Row],[INTEREST]]),"")</f>
        <v>886015.99624299386</v>
      </c>
    </row>
    <row r="127" spans="2:11" x14ac:dyDescent="0.2">
      <c r="B127" s="10">
        <f>IF(LoanIsGood,IF(ROW()-ROW(PaymentSchedule[[#Headers],[PMT NO]])&gt;ScheduledNumberOfPayments,"",ROW()-ROW(PaymentSchedule[[#Headers],[PMT NO]])),"")</f>
        <v>116</v>
      </c>
      <c r="C127" s="12">
        <f>IF(PaymentSchedule[[#This Row],[PMT NO]]&lt;&gt;"",EOMONTH(LoanStartDate,ROW(PaymentSchedule[[#This Row],[PMT NO]])-ROW(PaymentSchedule[[#Headers],[PMT NO]])-2)+DAY(LoanStartDate),"")</f>
        <v>48427</v>
      </c>
      <c r="D127" s="14">
        <f>IF(PaymentSchedule[[#This Row],[PMT NO]]&lt;&gt;"",IF(ROW()-ROW(PaymentSchedule[[#Headers],[BEGINNING BALANCE]])=1,LoanAmount,INDEX(PaymentSchedule[ENDING BALANCE],ROW()-ROW(PaymentSchedule[[#Headers],[BEGINNING BALANCE]])-1)),"")</f>
        <v>1824967.7570685279</v>
      </c>
      <c r="E127" s="14">
        <f>IF(PaymentSchedule[[#This Row],[PMT NO]]&lt;&gt;"",ScheduledPayment,"")</f>
        <v>11400.419471082316</v>
      </c>
      <c r="F12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27" s="14">
        <f>IF(PaymentSchedule[[#This Row],[PMT NO]]&lt;&gt;"",PaymentSchedule[[#This Row],[TOTAL PAYMENT]]-PaymentSchedule[[#This Row],[INTEREST]],"")</f>
        <v>4556.7903820753363</v>
      </c>
      <c r="I127" s="14">
        <f>IF(PaymentSchedule[[#This Row],[PMT NO]]&lt;&gt;"",PaymentSchedule[[#This Row],[BEGINNING BALANCE]]*(InterestRate/PaymentsPerYear),"")</f>
        <v>6843.6290890069795</v>
      </c>
      <c r="J12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1820410.9666864525</v>
      </c>
      <c r="K127" s="14">
        <f>IF(PaymentSchedule[[#This Row],[PMT NO]]&lt;&gt;"",SUM(INDEX(PaymentSchedule[INTEREST],1,1):PaymentSchedule[[#This Row],[INTEREST]]),"")</f>
        <v>892859.6253320009</v>
      </c>
    </row>
    <row r="128" spans="2:11" x14ac:dyDescent="0.2">
      <c r="B128" s="10">
        <f>IF(LoanIsGood,IF(ROW()-ROW(PaymentSchedule[[#Headers],[PMT NO]])&gt;ScheduledNumberOfPayments,"",ROW()-ROW(PaymentSchedule[[#Headers],[PMT NO]])),"")</f>
        <v>117</v>
      </c>
      <c r="C128" s="12">
        <f>IF(PaymentSchedule[[#This Row],[PMT NO]]&lt;&gt;"",EOMONTH(LoanStartDate,ROW(PaymentSchedule[[#This Row],[PMT NO]])-ROW(PaymentSchedule[[#Headers],[PMT NO]])-2)+DAY(LoanStartDate),"")</f>
        <v>48458</v>
      </c>
      <c r="D128" s="14">
        <f>IF(PaymentSchedule[[#This Row],[PMT NO]]&lt;&gt;"",IF(ROW()-ROW(PaymentSchedule[[#Headers],[BEGINNING BALANCE]])=1,LoanAmount,INDEX(PaymentSchedule[ENDING BALANCE],ROW()-ROW(PaymentSchedule[[#Headers],[BEGINNING BALANCE]])-1)),"")</f>
        <v>1820410.9666864525</v>
      </c>
      <c r="E128" s="14">
        <f>IF(PaymentSchedule[[#This Row],[PMT NO]]&lt;&gt;"",ScheduledPayment,"")</f>
        <v>11400.419471082316</v>
      </c>
      <c r="F12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28" s="14">
        <f>IF(PaymentSchedule[[#This Row],[PMT NO]]&lt;&gt;"",PaymentSchedule[[#This Row],[TOTAL PAYMENT]]-PaymentSchedule[[#This Row],[INTEREST]],"")</f>
        <v>4573.8783460081195</v>
      </c>
      <c r="I128" s="14">
        <f>IF(PaymentSchedule[[#This Row],[PMT NO]]&lt;&gt;"",PaymentSchedule[[#This Row],[BEGINNING BALANCE]]*(InterestRate/PaymentsPerYear),"")</f>
        <v>6826.5411250741963</v>
      </c>
      <c r="J12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1815837.0883404445</v>
      </c>
      <c r="K128" s="14">
        <f>IF(PaymentSchedule[[#This Row],[PMT NO]]&lt;&gt;"",SUM(INDEX(PaymentSchedule[INTEREST],1,1):PaymentSchedule[[#This Row],[INTEREST]]),"")</f>
        <v>899686.16645707504</v>
      </c>
    </row>
    <row r="129" spans="2:11" x14ac:dyDescent="0.2">
      <c r="B129" s="10">
        <f>IF(LoanIsGood,IF(ROW()-ROW(PaymentSchedule[[#Headers],[PMT NO]])&gt;ScheduledNumberOfPayments,"",ROW()-ROW(PaymentSchedule[[#Headers],[PMT NO]])),"")</f>
        <v>118</v>
      </c>
      <c r="C129" s="12">
        <f>IF(PaymentSchedule[[#This Row],[PMT NO]]&lt;&gt;"",EOMONTH(LoanStartDate,ROW(PaymentSchedule[[#This Row],[PMT NO]])-ROW(PaymentSchedule[[#Headers],[PMT NO]])-2)+DAY(LoanStartDate),"")</f>
        <v>48488</v>
      </c>
      <c r="D129" s="14">
        <f>IF(PaymentSchedule[[#This Row],[PMT NO]]&lt;&gt;"",IF(ROW()-ROW(PaymentSchedule[[#Headers],[BEGINNING BALANCE]])=1,LoanAmount,INDEX(PaymentSchedule[ENDING BALANCE],ROW()-ROW(PaymentSchedule[[#Headers],[BEGINNING BALANCE]])-1)),"")</f>
        <v>1815837.0883404445</v>
      </c>
      <c r="E129" s="14">
        <f>IF(PaymentSchedule[[#This Row],[PMT NO]]&lt;&gt;"",ScheduledPayment,"")</f>
        <v>11400.419471082316</v>
      </c>
      <c r="F12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29" s="14">
        <f>IF(PaymentSchedule[[#This Row],[PMT NO]]&lt;&gt;"",PaymentSchedule[[#This Row],[TOTAL PAYMENT]]-PaymentSchedule[[#This Row],[INTEREST]],"")</f>
        <v>4591.0303898056491</v>
      </c>
      <c r="I129" s="14">
        <f>IF(PaymentSchedule[[#This Row],[PMT NO]]&lt;&gt;"",PaymentSchedule[[#This Row],[BEGINNING BALANCE]]*(InterestRate/PaymentsPerYear),"")</f>
        <v>6809.3890812766667</v>
      </c>
      <c r="J12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1811246.0579506389</v>
      </c>
      <c r="K129" s="14">
        <f>IF(PaymentSchedule[[#This Row],[PMT NO]]&lt;&gt;"",SUM(INDEX(PaymentSchedule[INTEREST],1,1):PaymentSchedule[[#This Row],[INTEREST]]),"")</f>
        <v>906495.55553835176</v>
      </c>
    </row>
    <row r="130" spans="2:11" x14ac:dyDescent="0.2">
      <c r="B130" s="10">
        <f>IF(LoanIsGood,IF(ROW()-ROW(PaymentSchedule[[#Headers],[PMT NO]])&gt;ScheduledNumberOfPayments,"",ROW()-ROW(PaymentSchedule[[#Headers],[PMT NO]])),"")</f>
        <v>119</v>
      </c>
      <c r="C130" s="12">
        <f>IF(PaymentSchedule[[#This Row],[PMT NO]]&lt;&gt;"",EOMONTH(LoanStartDate,ROW(PaymentSchedule[[#This Row],[PMT NO]])-ROW(PaymentSchedule[[#Headers],[PMT NO]])-2)+DAY(LoanStartDate),"")</f>
        <v>48519</v>
      </c>
      <c r="D130" s="14">
        <f>IF(PaymentSchedule[[#This Row],[PMT NO]]&lt;&gt;"",IF(ROW()-ROW(PaymentSchedule[[#Headers],[BEGINNING BALANCE]])=1,LoanAmount,INDEX(PaymentSchedule[ENDING BALANCE],ROW()-ROW(PaymentSchedule[[#Headers],[BEGINNING BALANCE]])-1)),"")</f>
        <v>1811246.0579506389</v>
      </c>
      <c r="E130" s="14">
        <f>IF(PaymentSchedule[[#This Row],[PMT NO]]&lt;&gt;"",ScheduledPayment,"")</f>
        <v>11400.419471082316</v>
      </c>
      <c r="F13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30" s="14">
        <f>IF(PaymentSchedule[[#This Row],[PMT NO]]&lt;&gt;"",PaymentSchedule[[#This Row],[TOTAL PAYMENT]]-PaymentSchedule[[#This Row],[INTEREST]],"")</f>
        <v>4608.2467537674202</v>
      </c>
      <c r="I130" s="14">
        <f>IF(PaymentSchedule[[#This Row],[PMT NO]]&lt;&gt;"",PaymentSchedule[[#This Row],[BEGINNING BALANCE]]*(InterestRate/PaymentsPerYear),"")</f>
        <v>6792.1727173148956</v>
      </c>
      <c r="J13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1806637.8111968716</v>
      </c>
      <c r="K130" s="14">
        <f>IF(PaymentSchedule[[#This Row],[PMT NO]]&lt;&gt;"",SUM(INDEX(PaymentSchedule[INTEREST],1,1):PaymentSchedule[[#This Row],[INTEREST]]),"")</f>
        <v>913287.72825566668</v>
      </c>
    </row>
    <row r="131" spans="2:11" x14ac:dyDescent="0.2">
      <c r="B131" s="10">
        <f>IF(LoanIsGood,IF(ROW()-ROW(PaymentSchedule[[#Headers],[PMT NO]])&gt;ScheduledNumberOfPayments,"",ROW()-ROW(PaymentSchedule[[#Headers],[PMT NO]])),"")</f>
        <v>120</v>
      </c>
      <c r="C131" s="12">
        <f>IF(PaymentSchedule[[#This Row],[PMT NO]]&lt;&gt;"",EOMONTH(LoanStartDate,ROW(PaymentSchedule[[#This Row],[PMT NO]])-ROW(PaymentSchedule[[#Headers],[PMT NO]])-2)+DAY(LoanStartDate),"")</f>
        <v>48549</v>
      </c>
      <c r="D131" s="14">
        <f>IF(PaymentSchedule[[#This Row],[PMT NO]]&lt;&gt;"",IF(ROW()-ROW(PaymentSchedule[[#Headers],[BEGINNING BALANCE]])=1,LoanAmount,INDEX(PaymentSchedule[ENDING BALANCE],ROW()-ROW(PaymentSchedule[[#Headers],[BEGINNING BALANCE]])-1)),"")</f>
        <v>1806637.8111968716</v>
      </c>
      <c r="E131" s="14">
        <f>IF(PaymentSchedule[[#This Row],[PMT NO]]&lt;&gt;"",ScheduledPayment,"")</f>
        <v>11400.419471082316</v>
      </c>
      <c r="F13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31" s="14">
        <f>IF(PaymentSchedule[[#This Row],[PMT NO]]&lt;&gt;"",PaymentSchedule[[#This Row],[TOTAL PAYMENT]]-PaymentSchedule[[#This Row],[INTEREST]],"")</f>
        <v>4625.5276790940479</v>
      </c>
      <c r="I131" s="14">
        <f>IF(PaymentSchedule[[#This Row],[PMT NO]]&lt;&gt;"",PaymentSchedule[[#This Row],[BEGINNING BALANCE]]*(InterestRate/PaymentsPerYear),"")</f>
        <v>6774.8917919882679</v>
      </c>
      <c r="J13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1802012.2835177775</v>
      </c>
      <c r="K131" s="14">
        <f>IF(PaymentSchedule[[#This Row],[PMT NO]]&lt;&gt;"",SUM(INDEX(PaymentSchedule[INTEREST],1,1):PaymentSchedule[[#This Row],[INTEREST]]),"")</f>
        <v>920062.62004765496</v>
      </c>
    </row>
    <row r="132" spans="2:11" x14ac:dyDescent="0.2">
      <c r="B132" s="10">
        <f>IF(LoanIsGood,IF(ROW()-ROW(PaymentSchedule[[#Headers],[PMT NO]])&gt;ScheduledNumberOfPayments,"",ROW()-ROW(PaymentSchedule[[#Headers],[PMT NO]])),"")</f>
        <v>121</v>
      </c>
      <c r="C132" s="12">
        <f>IF(PaymentSchedule[[#This Row],[PMT NO]]&lt;&gt;"",EOMONTH(LoanStartDate,ROW(PaymentSchedule[[#This Row],[PMT NO]])-ROW(PaymentSchedule[[#Headers],[PMT NO]])-2)+DAY(LoanStartDate),"")</f>
        <v>48580</v>
      </c>
      <c r="D132" s="14">
        <f>IF(PaymentSchedule[[#This Row],[PMT NO]]&lt;&gt;"",IF(ROW()-ROW(PaymentSchedule[[#Headers],[BEGINNING BALANCE]])=1,LoanAmount,INDEX(PaymentSchedule[ENDING BALANCE],ROW()-ROW(PaymentSchedule[[#Headers],[BEGINNING BALANCE]])-1)),"")</f>
        <v>1802012.2835177775</v>
      </c>
      <c r="E132" s="14">
        <f>IF(PaymentSchedule[[#This Row],[PMT NO]]&lt;&gt;"",ScheduledPayment,"")</f>
        <v>11400.419471082316</v>
      </c>
      <c r="F13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32" s="14">
        <f>IF(PaymentSchedule[[#This Row],[PMT NO]]&lt;&gt;"",PaymentSchedule[[#This Row],[TOTAL PAYMENT]]-PaymentSchedule[[#This Row],[INTEREST]],"")</f>
        <v>4642.8734078906509</v>
      </c>
      <c r="I132" s="14">
        <f>IF(PaymentSchedule[[#This Row],[PMT NO]]&lt;&gt;"",PaymentSchedule[[#This Row],[BEGINNING BALANCE]]*(InterestRate/PaymentsPerYear),"")</f>
        <v>6757.5460631916649</v>
      </c>
      <c r="J13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1797369.4101098869</v>
      </c>
      <c r="K132" s="14">
        <f>IF(PaymentSchedule[[#This Row],[PMT NO]]&lt;&gt;"",SUM(INDEX(PaymentSchedule[INTEREST],1,1):PaymentSchedule[[#This Row],[INTEREST]]),"")</f>
        <v>926820.16611084668</v>
      </c>
    </row>
    <row r="133" spans="2:11" x14ac:dyDescent="0.2">
      <c r="B133" s="10">
        <f>IF(LoanIsGood,IF(ROW()-ROW(PaymentSchedule[[#Headers],[PMT NO]])&gt;ScheduledNumberOfPayments,"",ROW()-ROW(PaymentSchedule[[#Headers],[PMT NO]])),"")</f>
        <v>122</v>
      </c>
      <c r="C133" s="12">
        <f>IF(PaymentSchedule[[#This Row],[PMT NO]]&lt;&gt;"",EOMONTH(LoanStartDate,ROW(PaymentSchedule[[#This Row],[PMT NO]])-ROW(PaymentSchedule[[#Headers],[PMT NO]])-2)+DAY(LoanStartDate),"")</f>
        <v>48611</v>
      </c>
      <c r="D133" s="14">
        <f>IF(PaymentSchedule[[#This Row],[PMT NO]]&lt;&gt;"",IF(ROW()-ROW(PaymentSchedule[[#Headers],[BEGINNING BALANCE]])=1,LoanAmount,INDEX(PaymentSchedule[ENDING BALANCE],ROW()-ROW(PaymentSchedule[[#Headers],[BEGINNING BALANCE]])-1)),"")</f>
        <v>1797369.4101098869</v>
      </c>
      <c r="E133" s="14">
        <f>IF(PaymentSchedule[[#This Row],[PMT NO]]&lt;&gt;"",ScheduledPayment,"")</f>
        <v>11400.419471082316</v>
      </c>
      <c r="F13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33" s="14">
        <f>IF(PaymentSchedule[[#This Row],[PMT NO]]&lt;&gt;"",PaymentSchedule[[#This Row],[TOTAL PAYMENT]]-PaymentSchedule[[#This Row],[INTEREST]],"")</f>
        <v>4660.2841831702399</v>
      </c>
      <c r="I133" s="14">
        <f>IF(PaymentSchedule[[#This Row],[PMT NO]]&lt;&gt;"",PaymentSchedule[[#This Row],[BEGINNING BALANCE]]*(InterestRate/PaymentsPerYear),"")</f>
        <v>6740.1352879120759</v>
      </c>
      <c r="J13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1792709.1259267167</v>
      </c>
      <c r="K133" s="14">
        <f>IF(PaymentSchedule[[#This Row],[PMT NO]]&lt;&gt;"",SUM(INDEX(PaymentSchedule[INTEREST],1,1):PaymentSchedule[[#This Row],[INTEREST]]),"")</f>
        <v>933560.30139875878</v>
      </c>
    </row>
    <row r="134" spans="2:11" x14ac:dyDescent="0.2">
      <c r="B134" s="10">
        <f>IF(LoanIsGood,IF(ROW()-ROW(PaymentSchedule[[#Headers],[PMT NO]])&gt;ScheduledNumberOfPayments,"",ROW()-ROW(PaymentSchedule[[#Headers],[PMT NO]])),"")</f>
        <v>123</v>
      </c>
      <c r="C134" s="12">
        <f>IF(PaymentSchedule[[#This Row],[PMT NO]]&lt;&gt;"",EOMONTH(LoanStartDate,ROW(PaymentSchedule[[#This Row],[PMT NO]])-ROW(PaymentSchedule[[#Headers],[PMT NO]])-2)+DAY(LoanStartDate),"")</f>
        <v>48639</v>
      </c>
      <c r="D134" s="14">
        <f>IF(PaymentSchedule[[#This Row],[PMT NO]]&lt;&gt;"",IF(ROW()-ROW(PaymentSchedule[[#Headers],[BEGINNING BALANCE]])=1,LoanAmount,INDEX(PaymentSchedule[ENDING BALANCE],ROW()-ROW(PaymentSchedule[[#Headers],[BEGINNING BALANCE]])-1)),"")</f>
        <v>1792709.1259267167</v>
      </c>
      <c r="E134" s="14">
        <f>IF(PaymentSchedule[[#This Row],[PMT NO]]&lt;&gt;"",ScheduledPayment,"")</f>
        <v>11400.419471082316</v>
      </c>
      <c r="F13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34" s="14">
        <f>IF(PaymentSchedule[[#This Row],[PMT NO]]&lt;&gt;"",PaymentSchedule[[#This Row],[TOTAL PAYMENT]]-PaymentSchedule[[#This Row],[INTEREST]],"")</f>
        <v>4677.7602488571283</v>
      </c>
      <c r="I134" s="14">
        <f>IF(PaymentSchedule[[#This Row],[PMT NO]]&lt;&gt;"",PaymentSchedule[[#This Row],[BEGINNING BALANCE]]*(InterestRate/PaymentsPerYear),"")</f>
        <v>6722.6592222251875</v>
      </c>
      <c r="J13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1788031.3656778596</v>
      </c>
      <c r="K134" s="14">
        <f>IF(PaymentSchedule[[#This Row],[PMT NO]]&lt;&gt;"",SUM(INDEX(PaymentSchedule[INTEREST],1,1):PaymentSchedule[[#This Row],[INTEREST]]),"")</f>
        <v>940282.96062098397</v>
      </c>
    </row>
    <row r="135" spans="2:11" x14ac:dyDescent="0.2">
      <c r="B135" s="10">
        <f>IF(LoanIsGood,IF(ROW()-ROW(PaymentSchedule[[#Headers],[PMT NO]])&gt;ScheduledNumberOfPayments,"",ROW()-ROW(PaymentSchedule[[#Headers],[PMT NO]])),"")</f>
        <v>124</v>
      </c>
      <c r="C135" s="12">
        <f>IF(PaymentSchedule[[#This Row],[PMT NO]]&lt;&gt;"",EOMONTH(LoanStartDate,ROW(PaymentSchedule[[#This Row],[PMT NO]])-ROW(PaymentSchedule[[#Headers],[PMT NO]])-2)+DAY(LoanStartDate),"")</f>
        <v>48670</v>
      </c>
      <c r="D135" s="14">
        <f>IF(PaymentSchedule[[#This Row],[PMT NO]]&lt;&gt;"",IF(ROW()-ROW(PaymentSchedule[[#Headers],[BEGINNING BALANCE]])=1,LoanAmount,INDEX(PaymentSchedule[ENDING BALANCE],ROW()-ROW(PaymentSchedule[[#Headers],[BEGINNING BALANCE]])-1)),"")</f>
        <v>1788031.3656778596</v>
      </c>
      <c r="E135" s="14">
        <f>IF(PaymentSchedule[[#This Row],[PMT NO]]&lt;&gt;"",ScheduledPayment,"")</f>
        <v>11400.419471082316</v>
      </c>
      <c r="F13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35" s="14">
        <f>IF(PaymentSchedule[[#This Row],[PMT NO]]&lt;&gt;"",PaymentSchedule[[#This Row],[TOTAL PAYMENT]]-PaymentSchedule[[#This Row],[INTEREST]],"")</f>
        <v>4695.3018497903422</v>
      </c>
      <c r="I135" s="14">
        <f>IF(PaymentSchedule[[#This Row],[PMT NO]]&lt;&gt;"",PaymentSchedule[[#This Row],[BEGINNING BALANCE]]*(InterestRate/PaymentsPerYear),"")</f>
        <v>6705.1176212919736</v>
      </c>
      <c r="J13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1783336.0638280693</v>
      </c>
      <c r="K135" s="14">
        <f>IF(PaymentSchedule[[#This Row],[PMT NO]]&lt;&gt;"",SUM(INDEX(PaymentSchedule[INTEREST],1,1):PaymentSchedule[[#This Row],[INTEREST]]),"")</f>
        <v>946988.07824227598</v>
      </c>
    </row>
    <row r="136" spans="2:11" x14ac:dyDescent="0.2">
      <c r="B136" s="10">
        <f>IF(LoanIsGood,IF(ROW()-ROW(PaymentSchedule[[#Headers],[PMT NO]])&gt;ScheduledNumberOfPayments,"",ROW()-ROW(PaymentSchedule[[#Headers],[PMT NO]])),"")</f>
        <v>125</v>
      </c>
      <c r="C136" s="12">
        <f>IF(PaymentSchedule[[#This Row],[PMT NO]]&lt;&gt;"",EOMONTH(LoanStartDate,ROW(PaymentSchedule[[#This Row],[PMT NO]])-ROW(PaymentSchedule[[#Headers],[PMT NO]])-2)+DAY(LoanStartDate),"")</f>
        <v>48700</v>
      </c>
      <c r="D136" s="14">
        <f>IF(PaymentSchedule[[#This Row],[PMT NO]]&lt;&gt;"",IF(ROW()-ROW(PaymentSchedule[[#Headers],[BEGINNING BALANCE]])=1,LoanAmount,INDEX(PaymentSchedule[ENDING BALANCE],ROW()-ROW(PaymentSchedule[[#Headers],[BEGINNING BALANCE]])-1)),"")</f>
        <v>1783336.0638280693</v>
      </c>
      <c r="E136" s="14">
        <f>IF(PaymentSchedule[[#This Row],[PMT NO]]&lt;&gt;"",ScheduledPayment,"")</f>
        <v>11400.419471082316</v>
      </c>
      <c r="F13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36" s="14">
        <f>IF(PaymentSchedule[[#This Row],[PMT NO]]&lt;&gt;"",PaymentSchedule[[#This Row],[TOTAL PAYMENT]]-PaymentSchedule[[#This Row],[INTEREST]],"")</f>
        <v>4712.9092317270561</v>
      </c>
      <c r="I136" s="14">
        <f>IF(PaymentSchedule[[#This Row],[PMT NO]]&lt;&gt;"",PaymentSchedule[[#This Row],[BEGINNING BALANCE]]*(InterestRate/PaymentsPerYear),"")</f>
        <v>6687.5102393552597</v>
      </c>
      <c r="J13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1778623.1545963422</v>
      </c>
      <c r="K136" s="14">
        <f>IF(PaymentSchedule[[#This Row],[PMT NO]]&lt;&gt;"",SUM(INDEX(PaymentSchedule[INTEREST],1,1):PaymentSchedule[[#This Row],[INTEREST]]),"")</f>
        <v>953675.58848163125</v>
      </c>
    </row>
    <row r="137" spans="2:11" x14ac:dyDescent="0.2">
      <c r="B137" s="10">
        <f>IF(LoanIsGood,IF(ROW()-ROW(PaymentSchedule[[#Headers],[PMT NO]])&gt;ScheduledNumberOfPayments,"",ROW()-ROW(PaymentSchedule[[#Headers],[PMT NO]])),"")</f>
        <v>126</v>
      </c>
      <c r="C137" s="12">
        <f>IF(PaymentSchedule[[#This Row],[PMT NO]]&lt;&gt;"",EOMONTH(LoanStartDate,ROW(PaymentSchedule[[#This Row],[PMT NO]])-ROW(PaymentSchedule[[#Headers],[PMT NO]])-2)+DAY(LoanStartDate),"")</f>
        <v>48731</v>
      </c>
      <c r="D137" s="14">
        <f>IF(PaymentSchedule[[#This Row],[PMT NO]]&lt;&gt;"",IF(ROW()-ROW(PaymentSchedule[[#Headers],[BEGINNING BALANCE]])=1,LoanAmount,INDEX(PaymentSchedule[ENDING BALANCE],ROW()-ROW(PaymentSchedule[[#Headers],[BEGINNING BALANCE]])-1)),"")</f>
        <v>1778623.1545963422</v>
      </c>
      <c r="E137" s="14">
        <f>IF(PaymentSchedule[[#This Row],[PMT NO]]&lt;&gt;"",ScheduledPayment,"")</f>
        <v>11400.419471082316</v>
      </c>
      <c r="F13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37" s="14">
        <f>IF(PaymentSchedule[[#This Row],[PMT NO]]&lt;&gt;"",PaymentSchedule[[#This Row],[TOTAL PAYMENT]]-PaymentSchedule[[#This Row],[INTEREST]],"")</f>
        <v>4730.5826413460327</v>
      </c>
      <c r="I137" s="14">
        <f>IF(PaymentSchedule[[#This Row],[PMT NO]]&lt;&gt;"",PaymentSchedule[[#This Row],[BEGINNING BALANCE]]*(InterestRate/PaymentsPerYear),"")</f>
        <v>6669.8368297362831</v>
      </c>
      <c r="J13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1773892.5719549961</v>
      </c>
      <c r="K137" s="14">
        <f>IF(PaymentSchedule[[#This Row],[PMT NO]]&lt;&gt;"",SUM(INDEX(PaymentSchedule[INTEREST],1,1):PaymentSchedule[[#This Row],[INTEREST]]),"")</f>
        <v>960345.42531136749</v>
      </c>
    </row>
    <row r="138" spans="2:11" x14ac:dyDescent="0.2">
      <c r="B138" s="10">
        <f>IF(LoanIsGood,IF(ROW()-ROW(PaymentSchedule[[#Headers],[PMT NO]])&gt;ScheduledNumberOfPayments,"",ROW()-ROW(PaymentSchedule[[#Headers],[PMT NO]])),"")</f>
        <v>127</v>
      </c>
      <c r="C138" s="12">
        <f>IF(PaymentSchedule[[#This Row],[PMT NO]]&lt;&gt;"",EOMONTH(LoanStartDate,ROW(PaymentSchedule[[#This Row],[PMT NO]])-ROW(PaymentSchedule[[#Headers],[PMT NO]])-2)+DAY(LoanStartDate),"")</f>
        <v>48761</v>
      </c>
      <c r="D138" s="14">
        <f>IF(PaymentSchedule[[#This Row],[PMT NO]]&lt;&gt;"",IF(ROW()-ROW(PaymentSchedule[[#Headers],[BEGINNING BALANCE]])=1,LoanAmount,INDEX(PaymentSchedule[ENDING BALANCE],ROW()-ROW(PaymentSchedule[[#Headers],[BEGINNING BALANCE]])-1)),"")</f>
        <v>1773892.5719549961</v>
      </c>
      <c r="E138" s="14">
        <f>IF(PaymentSchedule[[#This Row],[PMT NO]]&lt;&gt;"",ScheduledPayment,"")</f>
        <v>11400.419471082316</v>
      </c>
      <c r="F13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38" s="14">
        <f>IF(PaymentSchedule[[#This Row],[PMT NO]]&lt;&gt;"",PaymentSchedule[[#This Row],[TOTAL PAYMENT]]-PaymentSchedule[[#This Row],[INTEREST]],"")</f>
        <v>4748.322326251081</v>
      </c>
      <c r="I138" s="14">
        <f>IF(PaymentSchedule[[#This Row],[PMT NO]]&lt;&gt;"",PaymentSchedule[[#This Row],[BEGINNING BALANCE]]*(InterestRate/PaymentsPerYear),"")</f>
        <v>6652.0971448312348</v>
      </c>
      <c r="J13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1769144.249628745</v>
      </c>
      <c r="K138" s="14">
        <f>IF(PaymentSchedule[[#This Row],[PMT NO]]&lt;&gt;"",SUM(INDEX(PaymentSchedule[INTEREST],1,1):PaymentSchedule[[#This Row],[INTEREST]]),"")</f>
        <v>966997.5224561987</v>
      </c>
    </row>
    <row r="139" spans="2:11" x14ac:dyDescent="0.2">
      <c r="B139" s="10">
        <f>IF(LoanIsGood,IF(ROW()-ROW(PaymentSchedule[[#Headers],[PMT NO]])&gt;ScheduledNumberOfPayments,"",ROW()-ROW(PaymentSchedule[[#Headers],[PMT NO]])),"")</f>
        <v>128</v>
      </c>
      <c r="C139" s="12">
        <f>IF(PaymentSchedule[[#This Row],[PMT NO]]&lt;&gt;"",EOMONTH(LoanStartDate,ROW(PaymentSchedule[[#This Row],[PMT NO]])-ROW(PaymentSchedule[[#Headers],[PMT NO]])-2)+DAY(LoanStartDate),"")</f>
        <v>48792</v>
      </c>
      <c r="D139" s="14">
        <f>IF(PaymentSchedule[[#This Row],[PMT NO]]&lt;&gt;"",IF(ROW()-ROW(PaymentSchedule[[#Headers],[BEGINNING BALANCE]])=1,LoanAmount,INDEX(PaymentSchedule[ENDING BALANCE],ROW()-ROW(PaymentSchedule[[#Headers],[BEGINNING BALANCE]])-1)),"")</f>
        <v>1769144.249628745</v>
      </c>
      <c r="E139" s="14">
        <f>IF(PaymentSchedule[[#This Row],[PMT NO]]&lt;&gt;"",ScheduledPayment,"")</f>
        <v>11400.419471082316</v>
      </c>
      <c r="F13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39" s="14">
        <f>IF(PaymentSchedule[[#This Row],[PMT NO]]&lt;&gt;"",PaymentSchedule[[#This Row],[TOTAL PAYMENT]]-PaymentSchedule[[#This Row],[INTEREST]],"")</f>
        <v>4766.1285349745222</v>
      </c>
      <c r="I139" s="14">
        <f>IF(PaymentSchedule[[#This Row],[PMT NO]]&lt;&gt;"",PaymentSchedule[[#This Row],[BEGINNING BALANCE]]*(InterestRate/PaymentsPerYear),"")</f>
        <v>6634.2909361077936</v>
      </c>
      <c r="J13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1764378.1210937705</v>
      </c>
      <c r="K139" s="14">
        <f>IF(PaymentSchedule[[#This Row],[PMT NO]]&lt;&gt;"",SUM(INDEX(PaymentSchedule[INTEREST],1,1):PaymentSchedule[[#This Row],[INTEREST]]),"")</f>
        <v>973631.81339230645</v>
      </c>
    </row>
    <row r="140" spans="2:11" x14ac:dyDescent="0.2">
      <c r="B140" s="10">
        <f>IF(LoanIsGood,IF(ROW()-ROW(PaymentSchedule[[#Headers],[PMT NO]])&gt;ScheduledNumberOfPayments,"",ROW()-ROW(PaymentSchedule[[#Headers],[PMT NO]])),"")</f>
        <v>129</v>
      </c>
      <c r="C140" s="12">
        <f>IF(PaymentSchedule[[#This Row],[PMT NO]]&lt;&gt;"",EOMONTH(LoanStartDate,ROW(PaymentSchedule[[#This Row],[PMT NO]])-ROW(PaymentSchedule[[#Headers],[PMT NO]])-2)+DAY(LoanStartDate),"")</f>
        <v>48823</v>
      </c>
      <c r="D140" s="14">
        <f>IF(PaymentSchedule[[#This Row],[PMT NO]]&lt;&gt;"",IF(ROW()-ROW(PaymentSchedule[[#Headers],[BEGINNING BALANCE]])=1,LoanAmount,INDEX(PaymentSchedule[ENDING BALANCE],ROW()-ROW(PaymentSchedule[[#Headers],[BEGINNING BALANCE]])-1)),"")</f>
        <v>1764378.1210937705</v>
      </c>
      <c r="E140" s="14">
        <f>IF(PaymentSchedule[[#This Row],[PMT NO]]&lt;&gt;"",ScheduledPayment,"")</f>
        <v>11400.419471082316</v>
      </c>
      <c r="F14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40" s="14">
        <f>IF(PaymentSchedule[[#This Row],[PMT NO]]&lt;&gt;"",PaymentSchedule[[#This Row],[TOTAL PAYMENT]]-PaymentSchedule[[#This Row],[INTEREST]],"")</f>
        <v>4784.0015169806766</v>
      </c>
      <c r="I140" s="14">
        <f>IF(PaymentSchedule[[#This Row],[PMT NO]]&lt;&gt;"",PaymentSchedule[[#This Row],[BEGINNING BALANCE]]*(InterestRate/PaymentsPerYear),"")</f>
        <v>6616.4179541016392</v>
      </c>
      <c r="J14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1759594.1195767899</v>
      </c>
      <c r="K140" s="14">
        <f>IF(PaymentSchedule[[#This Row],[PMT NO]]&lt;&gt;"",SUM(INDEX(PaymentSchedule[INTEREST],1,1):PaymentSchedule[[#This Row],[INTEREST]]),"")</f>
        <v>980248.23134640814</v>
      </c>
    </row>
    <row r="141" spans="2:11" x14ac:dyDescent="0.2">
      <c r="B141" s="10">
        <f>IF(LoanIsGood,IF(ROW()-ROW(PaymentSchedule[[#Headers],[PMT NO]])&gt;ScheduledNumberOfPayments,"",ROW()-ROW(PaymentSchedule[[#Headers],[PMT NO]])),"")</f>
        <v>130</v>
      </c>
      <c r="C141" s="12">
        <f>IF(PaymentSchedule[[#This Row],[PMT NO]]&lt;&gt;"",EOMONTH(LoanStartDate,ROW(PaymentSchedule[[#This Row],[PMT NO]])-ROW(PaymentSchedule[[#Headers],[PMT NO]])-2)+DAY(LoanStartDate),"")</f>
        <v>48853</v>
      </c>
      <c r="D141" s="14">
        <f>IF(PaymentSchedule[[#This Row],[PMT NO]]&lt;&gt;"",IF(ROW()-ROW(PaymentSchedule[[#Headers],[BEGINNING BALANCE]])=1,LoanAmount,INDEX(PaymentSchedule[ENDING BALANCE],ROW()-ROW(PaymentSchedule[[#Headers],[BEGINNING BALANCE]])-1)),"")</f>
        <v>1759594.1195767899</v>
      </c>
      <c r="E141" s="14">
        <f>IF(PaymentSchedule[[#This Row],[PMT NO]]&lt;&gt;"",ScheduledPayment,"")</f>
        <v>11400.419471082316</v>
      </c>
      <c r="F14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41" s="14">
        <f>IF(PaymentSchedule[[#This Row],[PMT NO]]&lt;&gt;"",PaymentSchedule[[#This Row],[TOTAL PAYMENT]]-PaymentSchedule[[#This Row],[INTEREST]],"")</f>
        <v>4801.9415226693536</v>
      </c>
      <c r="I141" s="14">
        <f>IF(PaymentSchedule[[#This Row],[PMT NO]]&lt;&gt;"",PaymentSchedule[[#This Row],[BEGINNING BALANCE]]*(InterestRate/PaymentsPerYear),"")</f>
        <v>6598.4779484129622</v>
      </c>
      <c r="J14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1754792.1780541206</v>
      </c>
      <c r="K141" s="14">
        <f>IF(PaymentSchedule[[#This Row],[PMT NO]]&lt;&gt;"",SUM(INDEX(PaymentSchedule[INTEREST],1,1):PaymentSchedule[[#This Row],[INTEREST]]),"")</f>
        <v>986846.70929482114</v>
      </c>
    </row>
    <row r="142" spans="2:11" x14ac:dyDescent="0.2">
      <c r="B142" s="10">
        <f>IF(LoanIsGood,IF(ROW()-ROW(PaymentSchedule[[#Headers],[PMT NO]])&gt;ScheduledNumberOfPayments,"",ROW()-ROW(PaymentSchedule[[#Headers],[PMT NO]])),"")</f>
        <v>131</v>
      </c>
      <c r="C142" s="12">
        <f>IF(PaymentSchedule[[#This Row],[PMT NO]]&lt;&gt;"",EOMONTH(LoanStartDate,ROW(PaymentSchedule[[#This Row],[PMT NO]])-ROW(PaymentSchedule[[#Headers],[PMT NO]])-2)+DAY(LoanStartDate),"")</f>
        <v>48884</v>
      </c>
      <c r="D142" s="14">
        <f>IF(PaymentSchedule[[#This Row],[PMT NO]]&lt;&gt;"",IF(ROW()-ROW(PaymentSchedule[[#Headers],[BEGINNING BALANCE]])=1,LoanAmount,INDEX(PaymentSchedule[ENDING BALANCE],ROW()-ROW(PaymentSchedule[[#Headers],[BEGINNING BALANCE]])-1)),"")</f>
        <v>1754792.1780541206</v>
      </c>
      <c r="E142" s="14">
        <f>IF(PaymentSchedule[[#This Row],[PMT NO]]&lt;&gt;"",ScheduledPayment,"")</f>
        <v>11400.419471082316</v>
      </c>
      <c r="F14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42" s="14">
        <f>IF(PaymentSchedule[[#This Row],[PMT NO]]&lt;&gt;"",PaymentSchedule[[#This Row],[TOTAL PAYMENT]]-PaymentSchedule[[#This Row],[INTEREST]],"")</f>
        <v>4819.9488033793641</v>
      </c>
      <c r="I142" s="14">
        <f>IF(PaymentSchedule[[#This Row],[PMT NO]]&lt;&gt;"",PaymentSchedule[[#This Row],[BEGINNING BALANCE]]*(InterestRate/PaymentsPerYear),"")</f>
        <v>6580.4706677029517</v>
      </c>
      <c r="J14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1749972.2292507412</v>
      </c>
      <c r="K142" s="14">
        <f>IF(PaymentSchedule[[#This Row],[PMT NO]]&lt;&gt;"",SUM(INDEX(PaymentSchedule[INTEREST],1,1):PaymentSchedule[[#This Row],[INTEREST]]),"")</f>
        <v>993427.1799625241</v>
      </c>
    </row>
    <row r="143" spans="2:11" x14ac:dyDescent="0.2">
      <c r="B143" s="10">
        <f>IF(LoanIsGood,IF(ROW()-ROW(PaymentSchedule[[#Headers],[PMT NO]])&gt;ScheduledNumberOfPayments,"",ROW()-ROW(PaymentSchedule[[#Headers],[PMT NO]])),"")</f>
        <v>132</v>
      </c>
      <c r="C143" s="12">
        <f>IF(PaymentSchedule[[#This Row],[PMT NO]]&lt;&gt;"",EOMONTH(LoanStartDate,ROW(PaymentSchedule[[#This Row],[PMT NO]])-ROW(PaymentSchedule[[#Headers],[PMT NO]])-2)+DAY(LoanStartDate),"")</f>
        <v>48914</v>
      </c>
      <c r="D143" s="14">
        <f>IF(PaymentSchedule[[#This Row],[PMT NO]]&lt;&gt;"",IF(ROW()-ROW(PaymentSchedule[[#Headers],[BEGINNING BALANCE]])=1,LoanAmount,INDEX(PaymentSchedule[ENDING BALANCE],ROW()-ROW(PaymentSchedule[[#Headers],[BEGINNING BALANCE]])-1)),"")</f>
        <v>1749972.2292507412</v>
      </c>
      <c r="E143" s="14">
        <f>IF(PaymentSchedule[[#This Row],[PMT NO]]&lt;&gt;"",ScheduledPayment,"")</f>
        <v>11400.419471082316</v>
      </c>
      <c r="F14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43" s="14">
        <f>IF(PaymentSchedule[[#This Row],[PMT NO]]&lt;&gt;"",PaymentSchedule[[#This Row],[TOTAL PAYMENT]]-PaymentSchedule[[#This Row],[INTEREST]],"")</f>
        <v>4838.0236113920364</v>
      </c>
      <c r="I143" s="14">
        <f>IF(PaymentSchedule[[#This Row],[PMT NO]]&lt;&gt;"",PaymentSchedule[[#This Row],[BEGINNING BALANCE]]*(InterestRate/PaymentsPerYear),"")</f>
        <v>6562.3958596902794</v>
      </c>
      <c r="J14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1745134.2056393491</v>
      </c>
      <c r="K143" s="14">
        <f>IF(PaymentSchedule[[#This Row],[PMT NO]]&lt;&gt;"",SUM(INDEX(PaymentSchedule[INTEREST],1,1):PaymentSchedule[[#This Row],[INTEREST]]),"")</f>
        <v>999989.57582221436</v>
      </c>
    </row>
    <row r="144" spans="2:11" x14ac:dyDescent="0.2">
      <c r="B144" s="10">
        <f>IF(LoanIsGood,IF(ROW()-ROW(PaymentSchedule[[#Headers],[PMT NO]])&gt;ScheduledNumberOfPayments,"",ROW()-ROW(PaymentSchedule[[#Headers],[PMT NO]])),"")</f>
        <v>133</v>
      </c>
      <c r="C144" s="12">
        <f>IF(PaymentSchedule[[#This Row],[PMT NO]]&lt;&gt;"",EOMONTH(LoanStartDate,ROW(PaymentSchedule[[#This Row],[PMT NO]])-ROW(PaymentSchedule[[#Headers],[PMT NO]])-2)+DAY(LoanStartDate),"")</f>
        <v>48945</v>
      </c>
      <c r="D144" s="14">
        <f>IF(PaymentSchedule[[#This Row],[PMT NO]]&lt;&gt;"",IF(ROW()-ROW(PaymentSchedule[[#Headers],[BEGINNING BALANCE]])=1,LoanAmount,INDEX(PaymentSchedule[ENDING BALANCE],ROW()-ROW(PaymentSchedule[[#Headers],[BEGINNING BALANCE]])-1)),"")</f>
        <v>1745134.2056393491</v>
      </c>
      <c r="E144" s="14">
        <f>IF(PaymentSchedule[[#This Row],[PMT NO]]&lt;&gt;"",ScheduledPayment,"")</f>
        <v>11400.419471082316</v>
      </c>
      <c r="F14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44" s="14">
        <f>IF(PaymentSchedule[[#This Row],[PMT NO]]&lt;&gt;"",PaymentSchedule[[#This Row],[TOTAL PAYMENT]]-PaymentSchedule[[#This Row],[INTEREST]],"")</f>
        <v>4856.1661999347571</v>
      </c>
      <c r="I144" s="14">
        <f>IF(PaymentSchedule[[#This Row],[PMT NO]]&lt;&gt;"",PaymentSchedule[[#This Row],[BEGINNING BALANCE]]*(InterestRate/PaymentsPerYear),"")</f>
        <v>6544.2532711475587</v>
      </c>
      <c r="J14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1740278.0394394144</v>
      </c>
      <c r="K144" s="14">
        <f>IF(PaymentSchedule[[#This Row],[PMT NO]]&lt;&gt;"",SUM(INDEX(PaymentSchedule[INTEREST],1,1):PaymentSchedule[[#This Row],[INTEREST]]),"")</f>
        <v>1006533.829093362</v>
      </c>
    </row>
    <row r="145" spans="2:11" x14ac:dyDescent="0.2">
      <c r="B145" s="10">
        <f>IF(LoanIsGood,IF(ROW()-ROW(PaymentSchedule[[#Headers],[PMT NO]])&gt;ScheduledNumberOfPayments,"",ROW()-ROW(PaymentSchedule[[#Headers],[PMT NO]])),"")</f>
        <v>134</v>
      </c>
      <c r="C145" s="12">
        <f>IF(PaymentSchedule[[#This Row],[PMT NO]]&lt;&gt;"",EOMONTH(LoanStartDate,ROW(PaymentSchedule[[#This Row],[PMT NO]])-ROW(PaymentSchedule[[#Headers],[PMT NO]])-2)+DAY(LoanStartDate),"")</f>
        <v>48976</v>
      </c>
      <c r="D145" s="14">
        <f>IF(PaymentSchedule[[#This Row],[PMT NO]]&lt;&gt;"",IF(ROW()-ROW(PaymentSchedule[[#Headers],[BEGINNING BALANCE]])=1,LoanAmount,INDEX(PaymentSchedule[ENDING BALANCE],ROW()-ROW(PaymentSchedule[[#Headers],[BEGINNING BALANCE]])-1)),"")</f>
        <v>1740278.0394394144</v>
      </c>
      <c r="E145" s="14">
        <f>IF(PaymentSchedule[[#This Row],[PMT NO]]&lt;&gt;"",ScheduledPayment,"")</f>
        <v>11400.419471082316</v>
      </c>
      <c r="F14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45" s="14">
        <f>IF(PaymentSchedule[[#This Row],[PMT NO]]&lt;&gt;"",PaymentSchedule[[#This Row],[TOTAL PAYMENT]]-PaymentSchedule[[#This Row],[INTEREST]],"")</f>
        <v>4874.3768231845124</v>
      </c>
      <c r="I145" s="14">
        <f>IF(PaymentSchedule[[#This Row],[PMT NO]]&lt;&gt;"",PaymentSchedule[[#This Row],[BEGINNING BALANCE]]*(InterestRate/PaymentsPerYear),"")</f>
        <v>6526.0426478978034</v>
      </c>
      <c r="J14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1735403.6626162298</v>
      </c>
      <c r="K145" s="14">
        <f>IF(PaymentSchedule[[#This Row],[PMT NO]]&lt;&gt;"",SUM(INDEX(PaymentSchedule[INTEREST],1,1):PaymentSchedule[[#This Row],[INTEREST]]),"")</f>
        <v>1013059.8717412598</v>
      </c>
    </row>
    <row r="146" spans="2:11" x14ac:dyDescent="0.2">
      <c r="B146" s="10">
        <f>IF(LoanIsGood,IF(ROW()-ROW(PaymentSchedule[[#Headers],[PMT NO]])&gt;ScheduledNumberOfPayments,"",ROW()-ROW(PaymentSchedule[[#Headers],[PMT NO]])),"")</f>
        <v>135</v>
      </c>
      <c r="C146" s="12">
        <f>IF(PaymentSchedule[[#This Row],[PMT NO]]&lt;&gt;"",EOMONTH(LoanStartDate,ROW(PaymentSchedule[[#This Row],[PMT NO]])-ROW(PaymentSchedule[[#Headers],[PMT NO]])-2)+DAY(LoanStartDate),"")</f>
        <v>49004</v>
      </c>
      <c r="D146" s="14">
        <f>IF(PaymentSchedule[[#This Row],[PMT NO]]&lt;&gt;"",IF(ROW()-ROW(PaymentSchedule[[#Headers],[BEGINNING BALANCE]])=1,LoanAmount,INDEX(PaymentSchedule[ENDING BALANCE],ROW()-ROW(PaymentSchedule[[#Headers],[BEGINNING BALANCE]])-1)),"")</f>
        <v>1735403.6626162298</v>
      </c>
      <c r="E146" s="14">
        <f>IF(PaymentSchedule[[#This Row],[PMT NO]]&lt;&gt;"",ScheduledPayment,"")</f>
        <v>11400.419471082316</v>
      </c>
      <c r="F14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46" s="14">
        <f>IF(PaymentSchedule[[#This Row],[PMT NO]]&lt;&gt;"",PaymentSchedule[[#This Row],[TOTAL PAYMENT]]-PaymentSchedule[[#This Row],[INTEREST]],"")</f>
        <v>4892.6557362714539</v>
      </c>
      <c r="I146" s="14">
        <f>IF(PaymentSchedule[[#This Row],[PMT NO]]&lt;&gt;"",PaymentSchedule[[#This Row],[BEGINNING BALANCE]]*(InterestRate/PaymentsPerYear),"")</f>
        <v>6507.7637348108619</v>
      </c>
      <c r="J14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1730511.0068799583</v>
      </c>
      <c r="K146" s="14">
        <f>IF(PaymentSchedule[[#This Row],[PMT NO]]&lt;&gt;"",SUM(INDEX(PaymentSchedule[INTEREST],1,1):PaymentSchedule[[#This Row],[INTEREST]]),"")</f>
        <v>1019567.6354760707</v>
      </c>
    </row>
    <row r="147" spans="2:11" x14ac:dyDescent="0.2">
      <c r="B147" s="10">
        <f>IF(LoanIsGood,IF(ROW()-ROW(PaymentSchedule[[#Headers],[PMT NO]])&gt;ScheduledNumberOfPayments,"",ROW()-ROW(PaymentSchedule[[#Headers],[PMT NO]])),"")</f>
        <v>136</v>
      </c>
      <c r="C147" s="12">
        <f>IF(PaymentSchedule[[#This Row],[PMT NO]]&lt;&gt;"",EOMONTH(LoanStartDate,ROW(PaymentSchedule[[#This Row],[PMT NO]])-ROW(PaymentSchedule[[#Headers],[PMT NO]])-2)+DAY(LoanStartDate),"")</f>
        <v>49035</v>
      </c>
      <c r="D147" s="14">
        <f>IF(PaymentSchedule[[#This Row],[PMT NO]]&lt;&gt;"",IF(ROW()-ROW(PaymentSchedule[[#Headers],[BEGINNING BALANCE]])=1,LoanAmount,INDEX(PaymentSchedule[ENDING BALANCE],ROW()-ROW(PaymentSchedule[[#Headers],[BEGINNING BALANCE]])-1)),"")</f>
        <v>1730511.0068799583</v>
      </c>
      <c r="E147" s="14">
        <f>IF(PaymentSchedule[[#This Row],[PMT NO]]&lt;&gt;"",ScheduledPayment,"")</f>
        <v>11400.419471082316</v>
      </c>
      <c r="F14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47" s="14">
        <f>IF(PaymentSchedule[[#This Row],[PMT NO]]&lt;&gt;"",PaymentSchedule[[#This Row],[TOTAL PAYMENT]]-PaymentSchedule[[#This Row],[INTEREST]],"")</f>
        <v>4911.003195282472</v>
      </c>
      <c r="I147" s="14">
        <f>IF(PaymentSchedule[[#This Row],[PMT NO]]&lt;&gt;"",PaymentSchedule[[#This Row],[BEGINNING BALANCE]]*(InterestRate/PaymentsPerYear),"")</f>
        <v>6489.4162757998438</v>
      </c>
      <c r="J14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1725600.0036846758</v>
      </c>
      <c r="K147" s="14">
        <f>IF(PaymentSchedule[[#This Row],[PMT NO]]&lt;&gt;"",SUM(INDEX(PaymentSchedule[INTEREST],1,1):PaymentSchedule[[#This Row],[INTEREST]]),"")</f>
        <v>1026057.0517518705</v>
      </c>
    </row>
    <row r="148" spans="2:11" x14ac:dyDescent="0.2">
      <c r="B148" s="10">
        <f>IF(LoanIsGood,IF(ROW()-ROW(PaymentSchedule[[#Headers],[PMT NO]])&gt;ScheduledNumberOfPayments,"",ROW()-ROW(PaymentSchedule[[#Headers],[PMT NO]])),"")</f>
        <v>137</v>
      </c>
      <c r="C148" s="12">
        <f>IF(PaymentSchedule[[#This Row],[PMT NO]]&lt;&gt;"",EOMONTH(LoanStartDate,ROW(PaymentSchedule[[#This Row],[PMT NO]])-ROW(PaymentSchedule[[#Headers],[PMT NO]])-2)+DAY(LoanStartDate),"")</f>
        <v>49065</v>
      </c>
      <c r="D148" s="14">
        <f>IF(PaymentSchedule[[#This Row],[PMT NO]]&lt;&gt;"",IF(ROW()-ROW(PaymentSchedule[[#Headers],[BEGINNING BALANCE]])=1,LoanAmount,INDEX(PaymentSchedule[ENDING BALANCE],ROW()-ROW(PaymentSchedule[[#Headers],[BEGINNING BALANCE]])-1)),"")</f>
        <v>1725600.0036846758</v>
      </c>
      <c r="E148" s="14">
        <f>IF(PaymentSchedule[[#This Row],[PMT NO]]&lt;&gt;"",ScheduledPayment,"")</f>
        <v>11400.419471082316</v>
      </c>
      <c r="F14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48" s="14">
        <f>IF(PaymentSchedule[[#This Row],[PMT NO]]&lt;&gt;"",PaymentSchedule[[#This Row],[TOTAL PAYMENT]]-PaymentSchedule[[#This Row],[INTEREST]],"")</f>
        <v>4929.4194572647821</v>
      </c>
      <c r="I148" s="14">
        <f>IF(PaymentSchedule[[#This Row],[PMT NO]]&lt;&gt;"",PaymentSchedule[[#This Row],[BEGINNING BALANCE]]*(InterestRate/PaymentsPerYear),"")</f>
        <v>6471.0000138175337</v>
      </c>
      <c r="J14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1720670.5842274111</v>
      </c>
      <c r="K148" s="14">
        <f>IF(PaymentSchedule[[#This Row],[PMT NO]]&lt;&gt;"",SUM(INDEX(PaymentSchedule[INTEREST],1,1):PaymentSchedule[[#This Row],[INTEREST]]),"")</f>
        <v>1032528.0517656881</v>
      </c>
    </row>
    <row r="149" spans="2:11" x14ac:dyDescent="0.2">
      <c r="B149" s="10">
        <f>IF(LoanIsGood,IF(ROW()-ROW(PaymentSchedule[[#Headers],[PMT NO]])&gt;ScheduledNumberOfPayments,"",ROW()-ROW(PaymentSchedule[[#Headers],[PMT NO]])),"")</f>
        <v>138</v>
      </c>
      <c r="C149" s="12">
        <f>IF(PaymentSchedule[[#This Row],[PMT NO]]&lt;&gt;"",EOMONTH(LoanStartDate,ROW(PaymentSchedule[[#This Row],[PMT NO]])-ROW(PaymentSchedule[[#Headers],[PMT NO]])-2)+DAY(LoanStartDate),"")</f>
        <v>49096</v>
      </c>
      <c r="D149" s="14">
        <f>IF(PaymentSchedule[[#This Row],[PMT NO]]&lt;&gt;"",IF(ROW()-ROW(PaymentSchedule[[#Headers],[BEGINNING BALANCE]])=1,LoanAmount,INDEX(PaymentSchedule[ENDING BALANCE],ROW()-ROW(PaymentSchedule[[#Headers],[BEGINNING BALANCE]])-1)),"")</f>
        <v>1720670.5842274111</v>
      </c>
      <c r="E149" s="14">
        <f>IF(PaymentSchedule[[#This Row],[PMT NO]]&lt;&gt;"",ScheduledPayment,"")</f>
        <v>11400.419471082316</v>
      </c>
      <c r="F14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49" s="14">
        <f>IF(PaymentSchedule[[#This Row],[PMT NO]]&lt;&gt;"",PaymentSchedule[[#This Row],[TOTAL PAYMENT]]-PaymentSchedule[[#This Row],[INTEREST]],"")</f>
        <v>4947.9047802295245</v>
      </c>
      <c r="I149" s="14">
        <f>IF(PaymentSchedule[[#This Row],[PMT NO]]&lt;&gt;"",PaymentSchedule[[#This Row],[BEGINNING BALANCE]]*(InterestRate/PaymentsPerYear),"")</f>
        <v>6452.5146908527913</v>
      </c>
      <c r="J14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1715722.6794471815</v>
      </c>
      <c r="K149" s="14">
        <f>IF(PaymentSchedule[[#This Row],[PMT NO]]&lt;&gt;"",SUM(INDEX(PaymentSchedule[INTEREST],1,1):PaymentSchedule[[#This Row],[INTEREST]]),"")</f>
        <v>1038980.566456541</v>
      </c>
    </row>
    <row r="150" spans="2:11" x14ac:dyDescent="0.2">
      <c r="B150" s="10">
        <f>IF(LoanIsGood,IF(ROW()-ROW(PaymentSchedule[[#Headers],[PMT NO]])&gt;ScheduledNumberOfPayments,"",ROW()-ROW(PaymentSchedule[[#Headers],[PMT NO]])),"")</f>
        <v>139</v>
      </c>
      <c r="C150" s="12">
        <f>IF(PaymentSchedule[[#This Row],[PMT NO]]&lt;&gt;"",EOMONTH(LoanStartDate,ROW(PaymentSchedule[[#This Row],[PMT NO]])-ROW(PaymentSchedule[[#Headers],[PMT NO]])-2)+DAY(LoanStartDate),"")</f>
        <v>49126</v>
      </c>
      <c r="D150" s="14">
        <f>IF(PaymentSchedule[[#This Row],[PMT NO]]&lt;&gt;"",IF(ROW()-ROW(PaymentSchedule[[#Headers],[BEGINNING BALANCE]])=1,LoanAmount,INDEX(PaymentSchedule[ENDING BALANCE],ROW()-ROW(PaymentSchedule[[#Headers],[BEGINNING BALANCE]])-1)),"")</f>
        <v>1715722.6794471815</v>
      </c>
      <c r="E150" s="14">
        <f>IF(PaymentSchedule[[#This Row],[PMT NO]]&lt;&gt;"",ScheduledPayment,"")</f>
        <v>11400.419471082316</v>
      </c>
      <c r="F15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50" s="14">
        <f>IF(PaymentSchedule[[#This Row],[PMT NO]]&lt;&gt;"",PaymentSchedule[[#This Row],[TOTAL PAYMENT]]-PaymentSchedule[[#This Row],[INTEREST]],"")</f>
        <v>4966.4594231553856</v>
      </c>
      <c r="I150" s="14">
        <f>IF(PaymentSchedule[[#This Row],[PMT NO]]&lt;&gt;"",PaymentSchedule[[#This Row],[BEGINNING BALANCE]]*(InterestRate/PaymentsPerYear),"")</f>
        <v>6433.9600479269302</v>
      </c>
      <c r="J15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1710756.2200240262</v>
      </c>
      <c r="K150" s="14">
        <f>IF(PaymentSchedule[[#This Row],[PMT NO]]&lt;&gt;"",SUM(INDEX(PaymentSchedule[INTEREST],1,1):PaymentSchedule[[#This Row],[INTEREST]]),"")</f>
        <v>1045414.5265044679</v>
      </c>
    </row>
    <row r="151" spans="2:11" x14ac:dyDescent="0.2">
      <c r="B151" s="10">
        <f>IF(LoanIsGood,IF(ROW()-ROW(PaymentSchedule[[#Headers],[PMT NO]])&gt;ScheduledNumberOfPayments,"",ROW()-ROW(PaymentSchedule[[#Headers],[PMT NO]])),"")</f>
        <v>140</v>
      </c>
      <c r="C151" s="12">
        <f>IF(PaymentSchedule[[#This Row],[PMT NO]]&lt;&gt;"",EOMONTH(LoanStartDate,ROW(PaymentSchedule[[#This Row],[PMT NO]])-ROW(PaymentSchedule[[#Headers],[PMT NO]])-2)+DAY(LoanStartDate),"")</f>
        <v>49157</v>
      </c>
      <c r="D151" s="14">
        <f>IF(PaymentSchedule[[#This Row],[PMT NO]]&lt;&gt;"",IF(ROW()-ROW(PaymentSchedule[[#Headers],[BEGINNING BALANCE]])=1,LoanAmount,INDEX(PaymentSchedule[ENDING BALANCE],ROW()-ROW(PaymentSchedule[[#Headers],[BEGINNING BALANCE]])-1)),"")</f>
        <v>1710756.2200240262</v>
      </c>
      <c r="E151" s="14">
        <f>IF(PaymentSchedule[[#This Row],[PMT NO]]&lt;&gt;"",ScheduledPayment,"")</f>
        <v>11400.419471082316</v>
      </c>
      <c r="F15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51" s="14">
        <f>IF(PaymentSchedule[[#This Row],[PMT NO]]&lt;&gt;"",PaymentSchedule[[#This Row],[TOTAL PAYMENT]]-PaymentSchedule[[#This Row],[INTEREST]],"")</f>
        <v>4985.0836459922175</v>
      </c>
      <c r="I151" s="14">
        <f>IF(PaymentSchedule[[#This Row],[PMT NO]]&lt;&gt;"",PaymentSchedule[[#This Row],[BEGINNING BALANCE]]*(InterestRate/PaymentsPerYear),"")</f>
        <v>6415.3358250900983</v>
      </c>
      <c r="J15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1705771.136378034</v>
      </c>
      <c r="K151" s="14">
        <f>IF(PaymentSchedule[[#This Row],[PMT NO]]&lt;&gt;"",SUM(INDEX(PaymentSchedule[INTEREST],1,1):PaymentSchedule[[#This Row],[INTEREST]]),"")</f>
        <v>1051829.862329558</v>
      </c>
    </row>
    <row r="152" spans="2:11" x14ac:dyDescent="0.2">
      <c r="B152" s="10">
        <f>IF(LoanIsGood,IF(ROW()-ROW(PaymentSchedule[[#Headers],[PMT NO]])&gt;ScheduledNumberOfPayments,"",ROW()-ROW(PaymentSchedule[[#Headers],[PMT NO]])),"")</f>
        <v>141</v>
      </c>
      <c r="C152" s="12">
        <f>IF(PaymentSchedule[[#This Row],[PMT NO]]&lt;&gt;"",EOMONTH(LoanStartDate,ROW(PaymentSchedule[[#This Row],[PMT NO]])-ROW(PaymentSchedule[[#Headers],[PMT NO]])-2)+DAY(LoanStartDate),"")</f>
        <v>49188</v>
      </c>
      <c r="D152" s="14">
        <f>IF(PaymentSchedule[[#This Row],[PMT NO]]&lt;&gt;"",IF(ROW()-ROW(PaymentSchedule[[#Headers],[BEGINNING BALANCE]])=1,LoanAmount,INDEX(PaymentSchedule[ENDING BALANCE],ROW()-ROW(PaymentSchedule[[#Headers],[BEGINNING BALANCE]])-1)),"")</f>
        <v>1705771.136378034</v>
      </c>
      <c r="E152" s="14">
        <f>IF(PaymentSchedule[[#This Row],[PMT NO]]&lt;&gt;"",ScheduledPayment,"")</f>
        <v>11400.419471082316</v>
      </c>
      <c r="F15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52" s="14">
        <f>IF(PaymentSchedule[[#This Row],[PMT NO]]&lt;&gt;"",PaymentSchedule[[#This Row],[TOTAL PAYMENT]]-PaymentSchedule[[#This Row],[INTEREST]],"")</f>
        <v>5003.7777096646887</v>
      </c>
      <c r="I152" s="14">
        <f>IF(PaymentSchedule[[#This Row],[PMT NO]]&lt;&gt;"",PaymentSchedule[[#This Row],[BEGINNING BALANCE]]*(InterestRate/PaymentsPerYear),"")</f>
        <v>6396.6417614176271</v>
      </c>
      <c r="J15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1700767.3586683692</v>
      </c>
      <c r="K152" s="14">
        <f>IF(PaymentSchedule[[#This Row],[PMT NO]]&lt;&gt;"",SUM(INDEX(PaymentSchedule[INTEREST],1,1):PaymentSchedule[[#This Row],[INTEREST]]),"")</f>
        <v>1058226.5040909757</v>
      </c>
    </row>
    <row r="153" spans="2:11" x14ac:dyDescent="0.2">
      <c r="B153" s="10">
        <f>IF(LoanIsGood,IF(ROW()-ROW(PaymentSchedule[[#Headers],[PMT NO]])&gt;ScheduledNumberOfPayments,"",ROW()-ROW(PaymentSchedule[[#Headers],[PMT NO]])),"")</f>
        <v>142</v>
      </c>
      <c r="C153" s="12">
        <f>IF(PaymentSchedule[[#This Row],[PMT NO]]&lt;&gt;"",EOMONTH(LoanStartDate,ROW(PaymentSchedule[[#This Row],[PMT NO]])-ROW(PaymentSchedule[[#Headers],[PMT NO]])-2)+DAY(LoanStartDate),"")</f>
        <v>49218</v>
      </c>
      <c r="D153" s="14">
        <f>IF(PaymentSchedule[[#This Row],[PMT NO]]&lt;&gt;"",IF(ROW()-ROW(PaymentSchedule[[#Headers],[BEGINNING BALANCE]])=1,LoanAmount,INDEX(PaymentSchedule[ENDING BALANCE],ROW()-ROW(PaymentSchedule[[#Headers],[BEGINNING BALANCE]])-1)),"")</f>
        <v>1700767.3586683692</v>
      </c>
      <c r="E153" s="14">
        <f>IF(PaymentSchedule[[#This Row],[PMT NO]]&lt;&gt;"",ScheduledPayment,"")</f>
        <v>11400.419471082316</v>
      </c>
      <c r="F15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53" s="14">
        <f>IF(PaymentSchedule[[#This Row],[PMT NO]]&lt;&gt;"",PaymentSchedule[[#This Row],[TOTAL PAYMENT]]-PaymentSchedule[[#This Row],[INTEREST]],"")</f>
        <v>5022.5418760759312</v>
      </c>
      <c r="I153" s="14">
        <f>IF(PaymentSchedule[[#This Row],[PMT NO]]&lt;&gt;"",PaymentSchedule[[#This Row],[BEGINNING BALANCE]]*(InterestRate/PaymentsPerYear),"")</f>
        <v>6377.8775950063846</v>
      </c>
      <c r="J15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1695744.8167922932</v>
      </c>
      <c r="K153" s="14">
        <f>IF(PaymentSchedule[[#This Row],[PMT NO]]&lt;&gt;"",SUM(INDEX(PaymentSchedule[INTEREST],1,1):PaymentSchedule[[#This Row],[INTEREST]]),"")</f>
        <v>1064604.3816859822</v>
      </c>
    </row>
    <row r="154" spans="2:11" x14ac:dyDescent="0.2">
      <c r="B154" s="10">
        <f>IF(LoanIsGood,IF(ROW()-ROW(PaymentSchedule[[#Headers],[PMT NO]])&gt;ScheduledNumberOfPayments,"",ROW()-ROW(PaymentSchedule[[#Headers],[PMT NO]])),"")</f>
        <v>143</v>
      </c>
      <c r="C154" s="12">
        <f>IF(PaymentSchedule[[#This Row],[PMT NO]]&lt;&gt;"",EOMONTH(LoanStartDate,ROW(PaymentSchedule[[#This Row],[PMT NO]])-ROW(PaymentSchedule[[#Headers],[PMT NO]])-2)+DAY(LoanStartDate),"")</f>
        <v>49249</v>
      </c>
      <c r="D154" s="14">
        <f>IF(PaymentSchedule[[#This Row],[PMT NO]]&lt;&gt;"",IF(ROW()-ROW(PaymentSchedule[[#Headers],[BEGINNING BALANCE]])=1,LoanAmount,INDEX(PaymentSchedule[ENDING BALANCE],ROW()-ROW(PaymentSchedule[[#Headers],[BEGINNING BALANCE]])-1)),"")</f>
        <v>1695744.8167922932</v>
      </c>
      <c r="E154" s="14">
        <f>IF(PaymentSchedule[[#This Row],[PMT NO]]&lt;&gt;"",ScheduledPayment,"")</f>
        <v>11400.419471082316</v>
      </c>
      <c r="F15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54" s="14">
        <f>IF(PaymentSchedule[[#This Row],[PMT NO]]&lt;&gt;"",PaymentSchedule[[#This Row],[TOTAL PAYMENT]]-PaymentSchedule[[#This Row],[INTEREST]],"")</f>
        <v>5041.3764081112167</v>
      </c>
      <c r="I154" s="14">
        <f>IF(PaymentSchedule[[#This Row],[PMT NO]]&lt;&gt;"",PaymentSchedule[[#This Row],[BEGINNING BALANCE]]*(InterestRate/PaymentsPerYear),"")</f>
        <v>6359.0430629710991</v>
      </c>
      <c r="J15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1690703.4403841819</v>
      </c>
      <c r="K154" s="14">
        <f>IF(PaymentSchedule[[#This Row],[PMT NO]]&lt;&gt;"",SUM(INDEX(PaymentSchedule[INTEREST],1,1):PaymentSchedule[[#This Row],[INTEREST]]),"")</f>
        <v>1070963.4247489534</v>
      </c>
    </row>
    <row r="155" spans="2:11" x14ac:dyDescent="0.2">
      <c r="B155" s="10">
        <f>IF(LoanIsGood,IF(ROW()-ROW(PaymentSchedule[[#Headers],[PMT NO]])&gt;ScheduledNumberOfPayments,"",ROW()-ROW(PaymentSchedule[[#Headers],[PMT NO]])),"")</f>
        <v>144</v>
      </c>
      <c r="C155" s="12">
        <f>IF(PaymentSchedule[[#This Row],[PMT NO]]&lt;&gt;"",EOMONTH(LoanStartDate,ROW(PaymentSchedule[[#This Row],[PMT NO]])-ROW(PaymentSchedule[[#Headers],[PMT NO]])-2)+DAY(LoanStartDate),"")</f>
        <v>49279</v>
      </c>
      <c r="D155" s="14">
        <f>IF(PaymentSchedule[[#This Row],[PMT NO]]&lt;&gt;"",IF(ROW()-ROW(PaymentSchedule[[#Headers],[BEGINNING BALANCE]])=1,LoanAmount,INDEX(PaymentSchedule[ENDING BALANCE],ROW()-ROW(PaymentSchedule[[#Headers],[BEGINNING BALANCE]])-1)),"")</f>
        <v>1690703.4403841819</v>
      </c>
      <c r="E155" s="14">
        <f>IF(PaymentSchedule[[#This Row],[PMT NO]]&lt;&gt;"",ScheduledPayment,"")</f>
        <v>11400.419471082316</v>
      </c>
      <c r="F15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55" s="14">
        <f>IF(PaymentSchedule[[#This Row],[PMT NO]]&lt;&gt;"",PaymentSchedule[[#This Row],[TOTAL PAYMENT]]-PaymentSchedule[[#This Row],[INTEREST]],"")</f>
        <v>5060.2815696416337</v>
      </c>
      <c r="I155" s="14">
        <f>IF(PaymentSchedule[[#This Row],[PMT NO]]&lt;&gt;"",PaymentSchedule[[#This Row],[BEGINNING BALANCE]]*(InterestRate/PaymentsPerYear),"")</f>
        <v>6340.1379014406821</v>
      </c>
      <c r="J15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1685643.1588145404</v>
      </c>
      <c r="K155" s="14">
        <f>IF(PaymentSchedule[[#This Row],[PMT NO]]&lt;&gt;"",SUM(INDEX(PaymentSchedule[INTEREST],1,1):PaymentSchedule[[#This Row],[INTEREST]]),"")</f>
        <v>1077303.5626503942</v>
      </c>
    </row>
    <row r="156" spans="2:11" x14ac:dyDescent="0.2">
      <c r="B156" s="10">
        <f>IF(LoanIsGood,IF(ROW()-ROW(PaymentSchedule[[#Headers],[PMT NO]])&gt;ScheduledNumberOfPayments,"",ROW()-ROW(PaymentSchedule[[#Headers],[PMT NO]])),"")</f>
        <v>145</v>
      </c>
      <c r="C156" s="12">
        <f>IF(PaymentSchedule[[#This Row],[PMT NO]]&lt;&gt;"",EOMONTH(LoanStartDate,ROW(PaymentSchedule[[#This Row],[PMT NO]])-ROW(PaymentSchedule[[#Headers],[PMT NO]])-2)+DAY(LoanStartDate),"")</f>
        <v>49310</v>
      </c>
      <c r="D156" s="14">
        <f>IF(PaymentSchedule[[#This Row],[PMT NO]]&lt;&gt;"",IF(ROW()-ROW(PaymentSchedule[[#Headers],[BEGINNING BALANCE]])=1,LoanAmount,INDEX(PaymentSchedule[ENDING BALANCE],ROW()-ROW(PaymentSchedule[[#Headers],[BEGINNING BALANCE]])-1)),"")</f>
        <v>1685643.1588145404</v>
      </c>
      <c r="E156" s="14">
        <f>IF(PaymentSchedule[[#This Row],[PMT NO]]&lt;&gt;"",ScheduledPayment,"")</f>
        <v>11400.419471082316</v>
      </c>
      <c r="F15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56" s="14">
        <f>IF(PaymentSchedule[[#This Row],[PMT NO]]&lt;&gt;"",PaymentSchedule[[#This Row],[TOTAL PAYMENT]]-PaymentSchedule[[#This Row],[INTEREST]],"")</f>
        <v>5079.25762552779</v>
      </c>
      <c r="I156" s="14">
        <f>IF(PaymentSchedule[[#This Row],[PMT NO]]&lt;&gt;"",PaymentSchedule[[#This Row],[BEGINNING BALANCE]]*(InterestRate/PaymentsPerYear),"")</f>
        <v>6321.1618455545258</v>
      </c>
      <c r="J15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1680563.9011890127</v>
      </c>
      <c r="K156" s="14">
        <f>IF(PaymentSchedule[[#This Row],[PMT NO]]&lt;&gt;"",SUM(INDEX(PaymentSchedule[INTEREST],1,1):PaymentSchedule[[#This Row],[INTEREST]]),"")</f>
        <v>1083624.7244959488</v>
      </c>
    </row>
    <row r="157" spans="2:11" x14ac:dyDescent="0.2">
      <c r="B157" s="10">
        <f>IF(LoanIsGood,IF(ROW()-ROW(PaymentSchedule[[#Headers],[PMT NO]])&gt;ScheduledNumberOfPayments,"",ROW()-ROW(PaymentSchedule[[#Headers],[PMT NO]])),"")</f>
        <v>146</v>
      </c>
      <c r="C157" s="12">
        <f>IF(PaymentSchedule[[#This Row],[PMT NO]]&lt;&gt;"",EOMONTH(LoanStartDate,ROW(PaymentSchedule[[#This Row],[PMT NO]])-ROW(PaymentSchedule[[#Headers],[PMT NO]])-2)+DAY(LoanStartDate),"")</f>
        <v>49341</v>
      </c>
      <c r="D157" s="14">
        <f>IF(PaymentSchedule[[#This Row],[PMT NO]]&lt;&gt;"",IF(ROW()-ROW(PaymentSchedule[[#Headers],[BEGINNING BALANCE]])=1,LoanAmount,INDEX(PaymentSchedule[ENDING BALANCE],ROW()-ROW(PaymentSchedule[[#Headers],[BEGINNING BALANCE]])-1)),"")</f>
        <v>1680563.9011890127</v>
      </c>
      <c r="E157" s="14">
        <f>IF(PaymentSchedule[[#This Row],[PMT NO]]&lt;&gt;"",ScheduledPayment,"")</f>
        <v>11400.419471082316</v>
      </c>
      <c r="F15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57" s="14">
        <f>IF(PaymentSchedule[[#This Row],[PMT NO]]&lt;&gt;"",PaymentSchedule[[#This Row],[TOTAL PAYMENT]]-PaymentSchedule[[#This Row],[INTEREST]],"")</f>
        <v>5098.3048416235188</v>
      </c>
      <c r="I157" s="14">
        <f>IF(PaymentSchedule[[#This Row],[PMT NO]]&lt;&gt;"",PaymentSchedule[[#This Row],[BEGINNING BALANCE]]*(InterestRate/PaymentsPerYear),"")</f>
        <v>6302.114629458797</v>
      </c>
      <c r="J15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1675465.5963473893</v>
      </c>
      <c r="K157" s="14">
        <f>IF(PaymentSchedule[[#This Row],[PMT NO]]&lt;&gt;"",SUM(INDEX(PaymentSchedule[INTEREST],1,1):PaymentSchedule[[#This Row],[INTEREST]]),"")</f>
        <v>1089926.8391254076</v>
      </c>
    </row>
    <row r="158" spans="2:11" x14ac:dyDescent="0.2">
      <c r="B158" s="10">
        <f>IF(LoanIsGood,IF(ROW()-ROW(PaymentSchedule[[#Headers],[PMT NO]])&gt;ScheduledNumberOfPayments,"",ROW()-ROW(PaymentSchedule[[#Headers],[PMT NO]])),"")</f>
        <v>147</v>
      </c>
      <c r="C158" s="12">
        <f>IF(PaymentSchedule[[#This Row],[PMT NO]]&lt;&gt;"",EOMONTH(LoanStartDate,ROW(PaymentSchedule[[#This Row],[PMT NO]])-ROW(PaymentSchedule[[#Headers],[PMT NO]])-2)+DAY(LoanStartDate),"")</f>
        <v>49369</v>
      </c>
      <c r="D158" s="14">
        <f>IF(PaymentSchedule[[#This Row],[PMT NO]]&lt;&gt;"",IF(ROW()-ROW(PaymentSchedule[[#Headers],[BEGINNING BALANCE]])=1,LoanAmount,INDEX(PaymentSchedule[ENDING BALANCE],ROW()-ROW(PaymentSchedule[[#Headers],[BEGINNING BALANCE]])-1)),"")</f>
        <v>1675465.5963473893</v>
      </c>
      <c r="E158" s="14">
        <f>IF(PaymentSchedule[[#This Row],[PMT NO]]&lt;&gt;"",ScheduledPayment,"")</f>
        <v>11400.419471082316</v>
      </c>
      <c r="F15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58" s="14">
        <f>IF(PaymentSchedule[[#This Row],[PMT NO]]&lt;&gt;"",PaymentSchedule[[#This Row],[TOTAL PAYMENT]]-PaymentSchedule[[#This Row],[INTEREST]],"")</f>
        <v>5117.423484779606</v>
      </c>
      <c r="I158" s="14">
        <f>IF(PaymentSchedule[[#This Row],[PMT NO]]&lt;&gt;"",PaymentSchedule[[#This Row],[BEGINNING BALANCE]]*(InterestRate/PaymentsPerYear),"")</f>
        <v>6282.9959863027098</v>
      </c>
      <c r="J15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1670348.1728626096</v>
      </c>
      <c r="K158" s="14">
        <f>IF(PaymentSchedule[[#This Row],[PMT NO]]&lt;&gt;"",SUM(INDEX(PaymentSchedule[INTEREST],1,1):PaymentSchedule[[#This Row],[INTEREST]]),"")</f>
        <v>1096209.8351117102</v>
      </c>
    </row>
    <row r="159" spans="2:11" x14ac:dyDescent="0.2">
      <c r="B159" s="10">
        <f>IF(LoanIsGood,IF(ROW()-ROW(PaymentSchedule[[#Headers],[PMT NO]])&gt;ScheduledNumberOfPayments,"",ROW()-ROW(PaymentSchedule[[#Headers],[PMT NO]])),"")</f>
        <v>148</v>
      </c>
      <c r="C159" s="12">
        <f>IF(PaymentSchedule[[#This Row],[PMT NO]]&lt;&gt;"",EOMONTH(LoanStartDate,ROW(PaymentSchedule[[#This Row],[PMT NO]])-ROW(PaymentSchedule[[#Headers],[PMT NO]])-2)+DAY(LoanStartDate),"")</f>
        <v>49400</v>
      </c>
      <c r="D159" s="14">
        <f>IF(PaymentSchedule[[#This Row],[PMT NO]]&lt;&gt;"",IF(ROW()-ROW(PaymentSchedule[[#Headers],[BEGINNING BALANCE]])=1,LoanAmount,INDEX(PaymentSchedule[ENDING BALANCE],ROW()-ROW(PaymentSchedule[[#Headers],[BEGINNING BALANCE]])-1)),"")</f>
        <v>1670348.1728626096</v>
      </c>
      <c r="E159" s="14">
        <f>IF(PaymentSchedule[[#This Row],[PMT NO]]&lt;&gt;"",ScheduledPayment,"")</f>
        <v>11400.419471082316</v>
      </c>
      <c r="F15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59" s="14">
        <f>IF(PaymentSchedule[[#This Row],[PMT NO]]&lt;&gt;"",PaymentSchedule[[#This Row],[TOTAL PAYMENT]]-PaymentSchedule[[#This Row],[INTEREST]],"")</f>
        <v>5136.6138228475302</v>
      </c>
      <c r="I159" s="14">
        <f>IF(PaymentSchedule[[#This Row],[PMT NO]]&lt;&gt;"",PaymentSchedule[[#This Row],[BEGINNING BALANCE]]*(InterestRate/PaymentsPerYear),"")</f>
        <v>6263.8056482347856</v>
      </c>
      <c r="J15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1665211.559039762</v>
      </c>
      <c r="K159" s="14">
        <f>IF(PaymentSchedule[[#This Row],[PMT NO]]&lt;&gt;"",SUM(INDEX(PaymentSchedule[INTEREST],1,1):PaymentSchedule[[#This Row],[INTEREST]]),"")</f>
        <v>1102473.6407599449</v>
      </c>
    </row>
    <row r="160" spans="2:11" x14ac:dyDescent="0.2">
      <c r="B160" s="10">
        <f>IF(LoanIsGood,IF(ROW()-ROW(PaymentSchedule[[#Headers],[PMT NO]])&gt;ScheduledNumberOfPayments,"",ROW()-ROW(PaymentSchedule[[#Headers],[PMT NO]])),"")</f>
        <v>149</v>
      </c>
      <c r="C160" s="12">
        <f>IF(PaymentSchedule[[#This Row],[PMT NO]]&lt;&gt;"",EOMONTH(LoanStartDate,ROW(PaymentSchedule[[#This Row],[PMT NO]])-ROW(PaymentSchedule[[#Headers],[PMT NO]])-2)+DAY(LoanStartDate),"")</f>
        <v>49430</v>
      </c>
      <c r="D160" s="14">
        <f>IF(PaymentSchedule[[#This Row],[PMT NO]]&lt;&gt;"",IF(ROW()-ROW(PaymentSchedule[[#Headers],[BEGINNING BALANCE]])=1,LoanAmount,INDEX(PaymentSchedule[ENDING BALANCE],ROW()-ROW(PaymentSchedule[[#Headers],[BEGINNING BALANCE]])-1)),"")</f>
        <v>1665211.559039762</v>
      </c>
      <c r="E160" s="14">
        <f>IF(PaymentSchedule[[#This Row],[PMT NO]]&lt;&gt;"",ScheduledPayment,"")</f>
        <v>11400.419471082316</v>
      </c>
      <c r="F16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60" s="14">
        <f>IF(PaymentSchedule[[#This Row],[PMT NO]]&lt;&gt;"",PaymentSchedule[[#This Row],[TOTAL PAYMENT]]-PaymentSchedule[[#This Row],[INTEREST]],"")</f>
        <v>5155.8761246832082</v>
      </c>
      <c r="I160" s="14">
        <f>IF(PaymentSchedule[[#This Row],[PMT NO]]&lt;&gt;"",PaymentSchedule[[#This Row],[BEGINNING BALANCE]]*(InterestRate/PaymentsPerYear),"")</f>
        <v>6244.5433463991076</v>
      </c>
      <c r="J16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1660055.6829150787</v>
      </c>
      <c r="K160" s="14">
        <f>IF(PaymentSchedule[[#This Row],[PMT NO]]&lt;&gt;"",SUM(INDEX(PaymentSchedule[INTEREST],1,1):PaymentSchedule[[#This Row],[INTEREST]]),"")</f>
        <v>1108718.1841063441</v>
      </c>
    </row>
    <row r="161" spans="2:11" x14ac:dyDescent="0.2">
      <c r="B161" s="10">
        <f>IF(LoanIsGood,IF(ROW()-ROW(PaymentSchedule[[#Headers],[PMT NO]])&gt;ScheduledNumberOfPayments,"",ROW()-ROW(PaymentSchedule[[#Headers],[PMT NO]])),"")</f>
        <v>150</v>
      </c>
      <c r="C161" s="12">
        <f>IF(PaymentSchedule[[#This Row],[PMT NO]]&lt;&gt;"",EOMONTH(LoanStartDate,ROW(PaymentSchedule[[#This Row],[PMT NO]])-ROW(PaymentSchedule[[#Headers],[PMT NO]])-2)+DAY(LoanStartDate),"")</f>
        <v>49461</v>
      </c>
      <c r="D161" s="14">
        <f>IF(PaymentSchedule[[#This Row],[PMT NO]]&lt;&gt;"",IF(ROW()-ROW(PaymentSchedule[[#Headers],[BEGINNING BALANCE]])=1,LoanAmount,INDEX(PaymentSchedule[ENDING BALANCE],ROW()-ROW(PaymentSchedule[[#Headers],[BEGINNING BALANCE]])-1)),"")</f>
        <v>1660055.6829150787</v>
      </c>
      <c r="E161" s="14">
        <f>IF(PaymentSchedule[[#This Row],[PMT NO]]&lt;&gt;"",ScheduledPayment,"")</f>
        <v>11400.419471082316</v>
      </c>
      <c r="F16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61" s="14">
        <f>IF(PaymentSchedule[[#This Row],[PMT NO]]&lt;&gt;"",PaymentSchedule[[#This Row],[TOTAL PAYMENT]]-PaymentSchedule[[#This Row],[INTEREST]],"")</f>
        <v>5175.2106601507712</v>
      </c>
      <c r="I161" s="14">
        <f>IF(PaymentSchedule[[#This Row],[PMT NO]]&lt;&gt;"",PaymentSchedule[[#This Row],[BEGINNING BALANCE]]*(InterestRate/PaymentsPerYear),"")</f>
        <v>6225.2088109315446</v>
      </c>
      <c r="J16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1654880.472254928</v>
      </c>
      <c r="K161" s="14">
        <f>IF(PaymentSchedule[[#This Row],[PMT NO]]&lt;&gt;"",SUM(INDEX(PaymentSchedule[INTEREST],1,1):PaymentSchedule[[#This Row],[INTEREST]]),"")</f>
        <v>1114943.3929172757</v>
      </c>
    </row>
    <row r="162" spans="2:11" x14ac:dyDescent="0.2">
      <c r="B162" s="10">
        <f>IF(LoanIsGood,IF(ROW()-ROW(PaymentSchedule[[#Headers],[PMT NO]])&gt;ScheduledNumberOfPayments,"",ROW()-ROW(PaymentSchedule[[#Headers],[PMT NO]])),"")</f>
        <v>151</v>
      </c>
      <c r="C162" s="12">
        <f>IF(PaymentSchedule[[#This Row],[PMT NO]]&lt;&gt;"",EOMONTH(LoanStartDate,ROW(PaymentSchedule[[#This Row],[PMT NO]])-ROW(PaymentSchedule[[#Headers],[PMT NO]])-2)+DAY(LoanStartDate),"")</f>
        <v>49491</v>
      </c>
      <c r="D162" s="14">
        <f>IF(PaymentSchedule[[#This Row],[PMT NO]]&lt;&gt;"",IF(ROW()-ROW(PaymentSchedule[[#Headers],[BEGINNING BALANCE]])=1,LoanAmount,INDEX(PaymentSchedule[ENDING BALANCE],ROW()-ROW(PaymentSchedule[[#Headers],[BEGINNING BALANCE]])-1)),"")</f>
        <v>1654880.472254928</v>
      </c>
      <c r="E162" s="14">
        <f>IF(PaymentSchedule[[#This Row],[PMT NO]]&lt;&gt;"",ScheduledPayment,"")</f>
        <v>11400.419471082316</v>
      </c>
      <c r="F16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62" s="14">
        <f>IF(PaymentSchedule[[#This Row],[PMT NO]]&lt;&gt;"",PaymentSchedule[[#This Row],[TOTAL PAYMENT]]-PaymentSchedule[[#This Row],[INTEREST]],"")</f>
        <v>5194.6177001263359</v>
      </c>
      <c r="I162" s="14">
        <f>IF(PaymentSchedule[[#This Row],[PMT NO]]&lt;&gt;"",PaymentSchedule[[#This Row],[BEGINNING BALANCE]]*(InterestRate/PaymentsPerYear),"")</f>
        <v>6205.8017709559799</v>
      </c>
      <c r="J16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1649685.8545548017</v>
      </c>
      <c r="K162" s="14">
        <f>IF(PaymentSchedule[[#This Row],[PMT NO]]&lt;&gt;"",SUM(INDEX(PaymentSchedule[INTEREST],1,1):PaymentSchedule[[#This Row],[INTEREST]]),"")</f>
        <v>1121149.1946882317</v>
      </c>
    </row>
    <row r="163" spans="2:11" x14ac:dyDescent="0.2">
      <c r="B163" s="10">
        <f>IF(LoanIsGood,IF(ROW()-ROW(PaymentSchedule[[#Headers],[PMT NO]])&gt;ScheduledNumberOfPayments,"",ROW()-ROW(PaymentSchedule[[#Headers],[PMT NO]])),"")</f>
        <v>152</v>
      </c>
      <c r="C163" s="12">
        <f>IF(PaymentSchedule[[#This Row],[PMT NO]]&lt;&gt;"",EOMONTH(LoanStartDate,ROW(PaymentSchedule[[#This Row],[PMT NO]])-ROW(PaymentSchedule[[#Headers],[PMT NO]])-2)+DAY(LoanStartDate),"")</f>
        <v>49522</v>
      </c>
      <c r="D163" s="14">
        <f>IF(PaymentSchedule[[#This Row],[PMT NO]]&lt;&gt;"",IF(ROW()-ROW(PaymentSchedule[[#Headers],[BEGINNING BALANCE]])=1,LoanAmount,INDEX(PaymentSchedule[ENDING BALANCE],ROW()-ROW(PaymentSchedule[[#Headers],[BEGINNING BALANCE]])-1)),"")</f>
        <v>1649685.8545548017</v>
      </c>
      <c r="E163" s="14">
        <f>IF(PaymentSchedule[[#This Row],[PMT NO]]&lt;&gt;"",ScheduledPayment,"")</f>
        <v>11400.419471082316</v>
      </c>
      <c r="F16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63" s="14">
        <f>IF(PaymentSchedule[[#This Row],[PMT NO]]&lt;&gt;"",PaymentSchedule[[#This Row],[TOTAL PAYMENT]]-PaymentSchedule[[#This Row],[INTEREST]],"")</f>
        <v>5214.0975165018099</v>
      </c>
      <c r="I163" s="14">
        <f>IF(PaymentSchedule[[#This Row],[PMT NO]]&lt;&gt;"",PaymentSchedule[[#This Row],[BEGINNING BALANCE]]*(InterestRate/PaymentsPerYear),"")</f>
        <v>6186.3219545805059</v>
      </c>
      <c r="J16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1644471.7570382999</v>
      </c>
      <c r="K163" s="14">
        <f>IF(PaymentSchedule[[#This Row],[PMT NO]]&lt;&gt;"",SUM(INDEX(PaymentSchedule[INTEREST],1,1):PaymentSchedule[[#This Row],[INTEREST]]),"")</f>
        <v>1127335.5166428122</v>
      </c>
    </row>
    <row r="164" spans="2:11" x14ac:dyDescent="0.2">
      <c r="B164" s="10">
        <f>IF(LoanIsGood,IF(ROW()-ROW(PaymentSchedule[[#Headers],[PMT NO]])&gt;ScheduledNumberOfPayments,"",ROW()-ROW(PaymentSchedule[[#Headers],[PMT NO]])),"")</f>
        <v>153</v>
      </c>
      <c r="C164" s="12">
        <f>IF(PaymentSchedule[[#This Row],[PMT NO]]&lt;&gt;"",EOMONTH(LoanStartDate,ROW(PaymentSchedule[[#This Row],[PMT NO]])-ROW(PaymentSchedule[[#Headers],[PMT NO]])-2)+DAY(LoanStartDate),"")</f>
        <v>49553</v>
      </c>
      <c r="D164" s="14">
        <f>IF(PaymentSchedule[[#This Row],[PMT NO]]&lt;&gt;"",IF(ROW()-ROW(PaymentSchedule[[#Headers],[BEGINNING BALANCE]])=1,LoanAmount,INDEX(PaymentSchedule[ENDING BALANCE],ROW()-ROW(PaymentSchedule[[#Headers],[BEGINNING BALANCE]])-1)),"")</f>
        <v>1644471.7570382999</v>
      </c>
      <c r="E164" s="14">
        <f>IF(PaymentSchedule[[#This Row],[PMT NO]]&lt;&gt;"",ScheduledPayment,"")</f>
        <v>11400.419471082316</v>
      </c>
      <c r="F16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64" s="14">
        <f>IF(PaymentSchedule[[#This Row],[PMT NO]]&lt;&gt;"",PaymentSchedule[[#This Row],[TOTAL PAYMENT]]-PaymentSchedule[[#This Row],[INTEREST]],"")</f>
        <v>5233.6503821886909</v>
      </c>
      <c r="I164" s="14">
        <f>IF(PaymentSchedule[[#This Row],[PMT NO]]&lt;&gt;"",PaymentSchedule[[#This Row],[BEGINNING BALANCE]]*(InterestRate/PaymentsPerYear),"")</f>
        <v>6166.7690888936249</v>
      </c>
      <c r="J16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1639238.1066561113</v>
      </c>
      <c r="K164" s="14">
        <f>IF(PaymentSchedule[[#This Row],[PMT NO]]&lt;&gt;"",SUM(INDEX(PaymentSchedule[INTEREST],1,1):PaymentSchedule[[#This Row],[INTEREST]]),"")</f>
        <v>1133502.2857317058</v>
      </c>
    </row>
    <row r="165" spans="2:11" x14ac:dyDescent="0.2">
      <c r="B165" s="10">
        <f>IF(LoanIsGood,IF(ROW()-ROW(PaymentSchedule[[#Headers],[PMT NO]])&gt;ScheduledNumberOfPayments,"",ROW()-ROW(PaymentSchedule[[#Headers],[PMT NO]])),"")</f>
        <v>154</v>
      </c>
      <c r="C165" s="12">
        <f>IF(PaymentSchedule[[#This Row],[PMT NO]]&lt;&gt;"",EOMONTH(LoanStartDate,ROW(PaymentSchedule[[#This Row],[PMT NO]])-ROW(PaymentSchedule[[#Headers],[PMT NO]])-2)+DAY(LoanStartDate),"")</f>
        <v>49583</v>
      </c>
      <c r="D165" s="14">
        <f>IF(PaymentSchedule[[#This Row],[PMT NO]]&lt;&gt;"",IF(ROW()-ROW(PaymentSchedule[[#Headers],[BEGINNING BALANCE]])=1,LoanAmount,INDEX(PaymentSchedule[ENDING BALANCE],ROW()-ROW(PaymentSchedule[[#Headers],[BEGINNING BALANCE]])-1)),"")</f>
        <v>1639238.1066561113</v>
      </c>
      <c r="E165" s="14">
        <f>IF(PaymentSchedule[[#This Row],[PMT NO]]&lt;&gt;"",ScheduledPayment,"")</f>
        <v>11400.419471082316</v>
      </c>
      <c r="F16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65" s="14">
        <f>IF(PaymentSchedule[[#This Row],[PMT NO]]&lt;&gt;"",PaymentSchedule[[#This Row],[TOTAL PAYMENT]]-PaymentSchedule[[#This Row],[INTEREST]],"")</f>
        <v>5253.276571121899</v>
      </c>
      <c r="I165" s="14">
        <f>IF(PaymentSchedule[[#This Row],[PMT NO]]&lt;&gt;"",PaymentSchedule[[#This Row],[BEGINNING BALANCE]]*(InterestRate/PaymentsPerYear),"")</f>
        <v>6147.1428999604168</v>
      </c>
      <c r="J16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1633984.8300849893</v>
      </c>
      <c r="K165" s="14">
        <f>IF(PaymentSchedule[[#This Row],[PMT NO]]&lt;&gt;"",SUM(INDEX(PaymentSchedule[INTEREST],1,1):PaymentSchedule[[#This Row],[INTEREST]]),"")</f>
        <v>1139649.4286316663</v>
      </c>
    </row>
    <row r="166" spans="2:11" x14ac:dyDescent="0.2">
      <c r="B166" s="10">
        <f>IF(LoanIsGood,IF(ROW()-ROW(PaymentSchedule[[#Headers],[PMT NO]])&gt;ScheduledNumberOfPayments,"",ROW()-ROW(PaymentSchedule[[#Headers],[PMT NO]])),"")</f>
        <v>155</v>
      </c>
      <c r="C166" s="12">
        <f>IF(PaymentSchedule[[#This Row],[PMT NO]]&lt;&gt;"",EOMONTH(LoanStartDate,ROW(PaymentSchedule[[#This Row],[PMT NO]])-ROW(PaymentSchedule[[#Headers],[PMT NO]])-2)+DAY(LoanStartDate),"")</f>
        <v>49614</v>
      </c>
      <c r="D166" s="14">
        <f>IF(PaymentSchedule[[#This Row],[PMT NO]]&lt;&gt;"",IF(ROW()-ROW(PaymentSchedule[[#Headers],[BEGINNING BALANCE]])=1,LoanAmount,INDEX(PaymentSchedule[ENDING BALANCE],ROW()-ROW(PaymentSchedule[[#Headers],[BEGINNING BALANCE]])-1)),"")</f>
        <v>1633984.8300849893</v>
      </c>
      <c r="E166" s="14">
        <f>IF(PaymentSchedule[[#This Row],[PMT NO]]&lt;&gt;"",ScheduledPayment,"")</f>
        <v>11400.419471082316</v>
      </c>
      <c r="F16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66" s="14">
        <f>IF(PaymentSchedule[[#This Row],[PMT NO]]&lt;&gt;"",PaymentSchedule[[#This Row],[TOTAL PAYMENT]]-PaymentSchedule[[#This Row],[INTEREST]],"")</f>
        <v>5272.976358263606</v>
      </c>
      <c r="I166" s="14">
        <f>IF(PaymentSchedule[[#This Row],[PMT NO]]&lt;&gt;"",PaymentSchedule[[#This Row],[BEGINNING BALANCE]]*(InterestRate/PaymentsPerYear),"")</f>
        <v>6127.4431128187098</v>
      </c>
      <c r="J16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1628711.8537267258</v>
      </c>
      <c r="K166" s="14">
        <f>IF(PaymentSchedule[[#This Row],[PMT NO]]&lt;&gt;"",SUM(INDEX(PaymentSchedule[INTEREST],1,1):PaymentSchedule[[#This Row],[INTEREST]]),"")</f>
        <v>1145776.8717444851</v>
      </c>
    </row>
    <row r="167" spans="2:11" x14ac:dyDescent="0.2">
      <c r="B167" s="10">
        <f>IF(LoanIsGood,IF(ROW()-ROW(PaymentSchedule[[#Headers],[PMT NO]])&gt;ScheduledNumberOfPayments,"",ROW()-ROW(PaymentSchedule[[#Headers],[PMT NO]])),"")</f>
        <v>156</v>
      </c>
      <c r="C167" s="12">
        <f>IF(PaymentSchedule[[#This Row],[PMT NO]]&lt;&gt;"",EOMONTH(LoanStartDate,ROW(PaymentSchedule[[#This Row],[PMT NO]])-ROW(PaymentSchedule[[#Headers],[PMT NO]])-2)+DAY(LoanStartDate),"")</f>
        <v>49644</v>
      </c>
      <c r="D167" s="14">
        <f>IF(PaymentSchedule[[#This Row],[PMT NO]]&lt;&gt;"",IF(ROW()-ROW(PaymentSchedule[[#Headers],[BEGINNING BALANCE]])=1,LoanAmount,INDEX(PaymentSchedule[ENDING BALANCE],ROW()-ROW(PaymentSchedule[[#Headers],[BEGINNING BALANCE]])-1)),"")</f>
        <v>1628711.8537267258</v>
      </c>
      <c r="E167" s="14">
        <f>IF(PaymentSchedule[[#This Row],[PMT NO]]&lt;&gt;"",ScheduledPayment,"")</f>
        <v>11400.419471082316</v>
      </c>
      <c r="F16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67" s="14">
        <f>IF(PaymentSchedule[[#This Row],[PMT NO]]&lt;&gt;"",PaymentSchedule[[#This Row],[TOTAL PAYMENT]]-PaymentSchedule[[#This Row],[INTEREST]],"")</f>
        <v>5292.7500196070941</v>
      </c>
      <c r="I167" s="14">
        <f>IF(PaymentSchedule[[#This Row],[PMT NO]]&lt;&gt;"",PaymentSchedule[[#This Row],[BEGINNING BALANCE]]*(InterestRate/PaymentsPerYear),"")</f>
        <v>6107.6694514752216</v>
      </c>
      <c r="J16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1623419.1037071187</v>
      </c>
      <c r="K167" s="14">
        <f>IF(PaymentSchedule[[#This Row],[PMT NO]]&lt;&gt;"",SUM(INDEX(PaymentSchedule[INTEREST],1,1):PaymentSchedule[[#This Row],[INTEREST]]),"")</f>
        <v>1151884.5411959602</v>
      </c>
    </row>
    <row r="168" spans="2:11" x14ac:dyDescent="0.2">
      <c r="B168" s="10">
        <f>IF(LoanIsGood,IF(ROW()-ROW(PaymentSchedule[[#Headers],[PMT NO]])&gt;ScheduledNumberOfPayments,"",ROW()-ROW(PaymentSchedule[[#Headers],[PMT NO]])),"")</f>
        <v>157</v>
      </c>
      <c r="C168" s="12">
        <f>IF(PaymentSchedule[[#This Row],[PMT NO]]&lt;&gt;"",EOMONTH(LoanStartDate,ROW(PaymentSchedule[[#This Row],[PMT NO]])-ROW(PaymentSchedule[[#Headers],[PMT NO]])-2)+DAY(LoanStartDate),"")</f>
        <v>49675</v>
      </c>
      <c r="D168" s="14">
        <f>IF(PaymentSchedule[[#This Row],[PMT NO]]&lt;&gt;"",IF(ROW()-ROW(PaymentSchedule[[#Headers],[BEGINNING BALANCE]])=1,LoanAmount,INDEX(PaymentSchedule[ENDING BALANCE],ROW()-ROW(PaymentSchedule[[#Headers],[BEGINNING BALANCE]])-1)),"")</f>
        <v>1623419.1037071187</v>
      </c>
      <c r="E168" s="14">
        <f>IF(PaymentSchedule[[#This Row],[PMT NO]]&lt;&gt;"",ScheduledPayment,"")</f>
        <v>11400.419471082316</v>
      </c>
      <c r="F16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68" s="14">
        <f>IF(PaymentSchedule[[#This Row],[PMT NO]]&lt;&gt;"",PaymentSchedule[[#This Row],[TOTAL PAYMENT]]-PaymentSchedule[[#This Row],[INTEREST]],"")</f>
        <v>5312.5978321806215</v>
      </c>
      <c r="I168" s="14">
        <f>IF(PaymentSchedule[[#This Row],[PMT NO]]&lt;&gt;"",PaymentSchedule[[#This Row],[BEGINNING BALANCE]]*(InterestRate/PaymentsPerYear),"")</f>
        <v>6087.8216389016943</v>
      </c>
      <c r="J16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1618106.5058749381</v>
      </c>
      <c r="K168" s="14">
        <f>IF(PaymentSchedule[[#This Row],[PMT NO]]&lt;&gt;"",SUM(INDEX(PaymentSchedule[INTEREST],1,1):PaymentSchedule[[#This Row],[INTEREST]]),"")</f>
        <v>1157972.362834862</v>
      </c>
    </row>
    <row r="169" spans="2:11" x14ac:dyDescent="0.2">
      <c r="B169" s="10">
        <f>IF(LoanIsGood,IF(ROW()-ROW(PaymentSchedule[[#Headers],[PMT NO]])&gt;ScheduledNumberOfPayments,"",ROW()-ROW(PaymentSchedule[[#Headers],[PMT NO]])),"")</f>
        <v>158</v>
      </c>
      <c r="C169" s="12">
        <f>IF(PaymentSchedule[[#This Row],[PMT NO]]&lt;&gt;"",EOMONTH(LoanStartDate,ROW(PaymentSchedule[[#This Row],[PMT NO]])-ROW(PaymentSchedule[[#Headers],[PMT NO]])-2)+DAY(LoanStartDate),"")</f>
        <v>49706</v>
      </c>
      <c r="D169" s="14">
        <f>IF(PaymentSchedule[[#This Row],[PMT NO]]&lt;&gt;"",IF(ROW()-ROW(PaymentSchedule[[#Headers],[BEGINNING BALANCE]])=1,LoanAmount,INDEX(PaymentSchedule[ENDING BALANCE],ROW()-ROW(PaymentSchedule[[#Headers],[BEGINNING BALANCE]])-1)),"")</f>
        <v>1618106.5058749381</v>
      </c>
      <c r="E169" s="14">
        <f>IF(PaymentSchedule[[#This Row],[PMT NO]]&lt;&gt;"",ScheduledPayment,"")</f>
        <v>11400.419471082316</v>
      </c>
      <c r="F16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69" s="14">
        <f>IF(PaymentSchedule[[#This Row],[PMT NO]]&lt;&gt;"",PaymentSchedule[[#This Row],[TOTAL PAYMENT]]-PaymentSchedule[[#This Row],[INTEREST]],"")</f>
        <v>5332.5200740512983</v>
      </c>
      <c r="I169" s="14">
        <f>IF(PaymentSchedule[[#This Row],[PMT NO]]&lt;&gt;"",PaymentSchedule[[#This Row],[BEGINNING BALANCE]]*(InterestRate/PaymentsPerYear),"")</f>
        <v>6067.8993970310175</v>
      </c>
      <c r="J16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1612773.9858008868</v>
      </c>
      <c r="K169" s="14">
        <f>IF(PaymentSchedule[[#This Row],[PMT NO]]&lt;&gt;"",SUM(INDEX(PaymentSchedule[INTEREST],1,1):PaymentSchedule[[#This Row],[INTEREST]]),"")</f>
        <v>1164040.2622318929</v>
      </c>
    </row>
    <row r="170" spans="2:11" x14ac:dyDescent="0.2">
      <c r="B170" s="10">
        <f>IF(LoanIsGood,IF(ROW()-ROW(PaymentSchedule[[#Headers],[PMT NO]])&gt;ScheduledNumberOfPayments,"",ROW()-ROW(PaymentSchedule[[#Headers],[PMT NO]])),"")</f>
        <v>159</v>
      </c>
      <c r="C170" s="12">
        <f>IF(PaymentSchedule[[#This Row],[PMT NO]]&lt;&gt;"",EOMONTH(LoanStartDate,ROW(PaymentSchedule[[#This Row],[PMT NO]])-ROW(PaymentSchedule[[#Headers],[PMT NO]])-2)+DAY(LoanStartDate),"")</f>
        <v>49735</v>
      </c>
      <c r="D170" s="14">
        <f>IF(PaymentSchedule[[#This Row],[PMT NO]]&lt;&gt;"",IF(ROW()-ROW(PaymentSchedule[[#Headers],[BEGINNING BALANCE]])=1,LoanAmount,INDEX(PaymentSchedule[ENDING BALANCE],ROW()-ROW(PaymentSchedule[[#Headers],[BEGINNING BALANCE]])-1)),"")</f>
        <v>1612773.9858008868</v>
      </c>
      <c r="E170" s="14">
        <f>IF(PaymentSchedule[[#This Row],[PMT NO]]&lt;&gt;"",ScheduledPayment,"")</f>
        <v>11400.419471082316</v>
      </c>
      <c r="F17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70" s="14">
        <f>IF(PaymentSchedule[[#This Row],[PMT NO]]&lt;&gt;"",PaymentSchedule[[#This Row],[TOTAL PAYMENT]]-PaymentSchedule[[#This Row],[INTEREST]],"")</f>
        <v>5352.5170243289904</v>
      </c>
      <c r="I170" s="14">
        <f>IF(PaymentSchedule[[#This Row],[PMT NO]]&lt;&gt;"",PaymentSchedule[[#This Row],[BEGINNING BALANCE]]*(InterestRate/PaymentsPerYear),"")</f>
        <v>6047.9024467533254</v>
      </c>
      <c r="J17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1607421.4687765578</v>
      </c>
      <c r="K170" s="14">
        <f>IF(PaymentSchedule[[#This Row],[PMT NO]]&lt;&gt;"",SUM(INDEX(PaymentSchedule[INTEREST],1,1):PaymentSchedule[[#This Row],[INTEREST]]),"")</f>
        <v>1170088.1646786463</v>
      </c>
    </row>
    <row r="171" spans="2:11" x14ac:dyDescent="0.2">
      <c r="B171" s="10">
        <f>IF(LoanIsGood,IF(ROW()-ROW(PaymentSchedule[[#Headers],[PMT NO]])&gt;ScheduledNumberOfPayments,"",ROW()-ROW(PaymentSchedule[[#Headers],[PMT NO]])),"")</f>
        <v>160</v>
      </c>
      <c r="C171" s="12">
        <f>IF(PaymentSchedule[[#This Row],[PMT NO]]&lt;&gt;"",EOMONTH(LoanStartDate,ROW(PaymentSchedule[[#This Row],[PMT NO]])-ROW(PaymentSchedule[[#Headers],[PMT NO]])-2)+DAY(LoanStartDate),"")</f>
        <v>49766</v>
      </c>
      <c r="D171" s="14">
        <f>IF(PaymentSchedule[[#This Row],[PMT NO]]&lt;&gt;"",IF(ROW()-ROW(PaymentSchedule[[#Headers],[BEGINNING BALANCE]])=1,LoanAmount,INDEX(PaymentSchedule[ENDING BALANCE],ROW()-ROW(PaymentSchedule[[#Headers],[BEGINNING BALANCE]])-1)),"")</f>
        <v>1607421.4687765578</v>
      </c>
      <c r="E171" s="14">
        <f>IF(PaymentSchedule[[#This Row],[PMT NO]]&lt;&gt;"",ScheduledPayment,"")</f>
        <v>11400.419471082316</v>
      </c>
      <c r="F17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71" s="14">
        <f>IF(PaymentSchedule[[#This Row],[PMT NO]]&lt;&gt;"",PaymentSchedule[[#This Row],[TOTAL PAYMENT]]-PaymentSchedule[[#This Row],[INTEREST]],"")</f>
        <v>5372.5889631702239</v>
      </c>
      <c r="I171" s="14">
        <f>IF(PaymentSchedule[[#This Row],[PMT NO]]&lt;&gt;"",PaymentSchedule[[#This Row],[BEGINNING BALANCE]]*(InterestRate/PaymentsPerYear),"")</f>
        <v>6027.8305079120919</v>
      </c>
      <c r="J17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1602048.8798133875</v>
      </c>
      <c r="K171" s="14">
        <f>IF(PaymentSchedule[[#This Row],[PMT NO]]&lt;&gt;"",SUM(INDEX(PaymentSchedule[INTEREST],1,1):PaymentSchedule[[#This Row],[INTEREST]]),"")</f>
        <v>1176115.9951865585</v>
      </c>
    </row>
    <row r="172" spans="2:11" x14ac:dyDescent="0.2">
      <c r="B172" s="10">
        <f>IF(LoanIsGood,IF(ROW()-ROW(PaymentSchedule[[#Headers],[PMT NO]])&gt;ScheduledNumberOfPayments,"",ROW()-ROW(PaymentSchedule[[#Headers],[PMT NO]])),"")</f>
        <v>161</v>
      </c>
      <c r="C172" s="12">
        <f>IF(PaymentSchedule[[#This Row],[PMT NO]]&lt;&gt;"",EOMONTH(LoanStartDate,ROW(PaymentSchedule[[#This Row],[PMT NO]])-ROW(PaymentSchedule[[#Headers],[PMT NO]])-2)+DAY(LoanStartDate),"")</f>
        <v>49796</v>
      </c>
      <c r="D172" s="14">
        <f>IF(PaymentSchedule[[#This Row],[PMT NO]]&lt;&gt;"",IF(ROW()-ROW(PaymentSchedule[[#Headers],[BEGINNING BALANCE]])=1,LoanAmount,INDEX(PaymentSchedule[ENDING BALANCE],ROW()-ROW(PaymentSchedule[[#Headers],[BEGINNING BALANCE]])-1)),"")</f>
        <v>1602048.8798133875</v>
      </c>
      <c r="E172" s="14">
        <f>IF(PaymentSchedule[[#This Row],[PMT NO]]&lt;&gt;"",ScheduledPayment,"")</f>
        <v>11400.419471082316</v>
      </c>
      <c r="F17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72" s="14">
        <f>IF(PaymentSchedule[[#This Row],[PMT NO]]&lt;&gt;"",PaymentSchedule[[#This Row],[TOTAL PAYMENT]]-PaymentSchedule[[#This Row],[INTEREST]],"")</f>
        <v>5392.7361717821132</v>
      </c>
      <c r="I172" s="14">
        <f>IF(PaymentSchedule[[#This Row],[PMT NO]]&lt;&gt;"",PaymentSchedule[[#This Row],[BEGINNING BALANCE]]*(InterestRate/PaymentsPerYear),"")</f>
        <v>6007.6832993002026</v>
      </c>
      <c r="J17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1596656.1436416055</v>
      </c>
      <c r="K172" s="14">
        <f>IF(PaymentSchedule[[#This Row],[PMT NO]]&lt;&gt;"",SUM(INDEX(PaymentSchedule[INTEREST],1,1):PaymentSchedule[[#This Row],[INTEREST]]),"")</f>
        <v>1182123.6784858587</v>
      </c>
    </row>
    <row r="173" spans="2:11" x14ac:dyDescent="0.2">
      <c r="B173" s="10">
        <f>IF(LoanIsGood,IF(ROW()-ROW(PaymentSchedule[[#Headers],[PMT NO]])&gt;ScheduledNumberOfPayments,"",ROW()-ROW(PaymentSchedule[[#Headers],[PMT NO]])),"")</f>
        <v>162</v>
      </c>
      <c r="C173" s="12">
        <f>IF(PaymentSchedule[[#This Row],[PMT NO]]&lt;&gt;"",EOMONTH(LoanStartDate,ROW(PaymentSchedule[[#This Row],[PMT NO]])-ROW(PaymentSchedule[[#Headers],[PMT NO]])-2)+DAY(LoanStartDate),"")</f>
        <v>49827</v>
      </c>
      <c r="D173" s="14">
        <f>IF(PaymentSchedule[[#This Row],[PMT NO]]&lt;&gt;"",IF(ROW()-ROW(PaymentSchedule[[#Headers],[BEGINNING BALANCE]])=1,LoanAmount,INDEX(PaymentSchedule[ENDING BALANCE],ROW()-ROW(PaymentSchedule[[#Headers],[BEGINNING BALANCE]])-1)),"")</f>
        <v>1596656.1436416055</v>
      </c>
      <c r="E173" s="14">
        <f>IF(PaymentSchedule[[#This Row],[PMT NO]]&lt;&gt;"",ScheduledPayment,"")</f>
        <v>11400.419471082316</v>
      </c>
      <c r="F17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73" s="14">
        <f>IF(PaymentSchedule[[#This Row],[PMT NO]]&lt;&gt;"",PaymentSchedule[[#This Row],[TOTAL PAYMENT]]-PaymentSchedule[[#This Row],[INTEREST]],"")</f>
        <v>5412.9589324262952</v>
      </c>
      <c r="I173" s="14">
        <f>IF(PaymentSchedule[[#This Row],[PMT NO]]&lt;&gt;"",PaymentSchedule[[#This Row],[BEGINNING BALANCE]]*(InterestRate/PaymentsPerYear),"")</f>
        <v>5987.4605386560206</v>
      </c>
      <c r="J17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1591243.1847091792</v>
      </c>
      <c r="K173" s="14">
        <f>IF(PaymentSchedule[[#This Row],[PMT NO]]&lt;&gt;"",SUM(INDEX(PaymentSchedule[INTEREST],1,1):PaymentSchedule[[#This Row],[INTEREST]]),"")</f>
        <v>1188111.1390245147</v>
      </c>
    </row>
    <row r="174" spans="2:11" x14ac:dyDescent="0.2">
      <c r="B174" s="10">
        <f>IF(LoanIsGood,IF(ROW()-ROW(PaymentSchedule[[#Headers],[PMT NO]])&gt;ScheduledNumberOfPayments,"",ROW()-ROW(PaymentSchedule[[#Headers],[PMT NO]])),"")</f>
        <v>163</v>
      </c>
      <c r="C174" s="12">
        <f>IF(PaymentSchedule[[#This Row],[PMT NO]]&lt;&gt;"",EOMONTH(LoanStartDate,ROW(PaymentSchedule[[#This Row],[PMT NO]])-ROW(PaymentSchedule[[#Headers],[PMT NO]])-2)+DAY(LoanStartDate),"")</f>
        <v>49857</v>
      </c>
      <c r="D174" s="14">
        <f>IF(PaymentSchedule[[#This Row],[PMT NO]]&lt;&gt;"",IF(ROW()-ROW(PaymentSchedule[[#Headers],[BEGINNING BALANCE]])=1,LoanAmount,INDEX(PaymentSchedule[ENDING BALANCE],ROW()-ROW(PaymentSchedule[[#Headers],[BEGINNING BALANCE]])-1)),"")</f>
        <v>1591243.1847091792</v>
      </c>
      <c r="E174" s="14">
        <f>IF(PaymentSchedule[[#This Row],[PMT NO]]&lt;&gt;"",ScheduledPayment,"")</f>
        <v>11400.419471082316</v>
      </c>
      <c r="F17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74" s="14">
        <f>IF(PaymentSchedule[[#This Row],[PMT NO]]&lt;&gt;"",PaymentSchedule[[#This Row],[TOTAL PAYMENT]]-PaymentSchedule[[#This Row],[INTEREST]],"")</f>
        <v>5433.2575284228942</v>
      </c>
      <c r="I174" s="14">
        <f>IF(PaymentSchedule[[#This Row],[PMT NO]]&lt;&gt;"",PaymentSchedule[[#This Row],[BEGINNING BALANCE]]*(InterestRate/PaymentsPerYear),"")</f>
        <v>5967.1619426594216</v>
      </c>
      <c r="J17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1585809.9271807563</v>
      </c>
      <c r="K174" s="14">
        <f>IF(PaymentSchedule[[#This Row],[PMT NO]]&lt;&gt;"",SUM(INDEX(PaymentSchedule[INTEREST],1,1):PaymentSchedule[[#This Row],[INTEREST]]),"")</f>
        <v>1194078.3009671741</v>
      </c>
    </row>
    <row r="175" spans="2:11" x14ac:dyDescent="0.2">
      <c r="B175" s="10">
        <f>IF(LoanIsGood,IF(ROW()-ROW(PaymentSchedule[[#Headers],[PMT NO]])&gt;ScheduledNumberOfPayments,"",ROW()-ROW(PaymentSchedule[[#Headers],[PMT NO]])),"")</f>
        <v>164</v>
      </c>
      <c r="C175" s="12">
        <f>IF(PaymentSchedule[[#This Row],[PMT NO]]&lt;&gt;"",EOMONTH(LoanStartDate,ROW(PaymentSchedule[[#This Row],[PMT NO]])-ROW(PaymentSchedule[[#Headers],[PMT NO]])-2)+DAY(LoanStartDate),"")</f>
        <v>49888</v>
      </c>
      <c r="D175" s="14">
        <f>IF(PaymentSchedule[[#This Row],[PMT NO]]&lt;&gt;"",IF(ROW()-ROW(PaymentSchedule[[#Headers],[BEGINNING BALANCE]])=1,LoanAmount,INDEX(PaymentSchedule[ENDING BALANCE],ROW()-ROW(PaymentSchedule[[#Headers],[BEGINNING BALANCE]])-1)),"")</f>
        <v>1585809.9271807563</v>
      </c>
      <c r="E175" s="14">
        <f>IF(PaymentSchedule[[#This Row],[PMT NO]]&lt;&gt;"",ScheduledPayment,"")</f>
        <v>11400.419471082316</v>
      </c>
      <c r="F17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75" s="14">
        <f>IF(PaymentSchedule[[#This Row],[PMT NO]]&lt;&gt;"",PaymentSchedule[[#This Row],[TOTAL PAYMENT]]-PaymentSchedule[[#This Row],[INTEREST]],"")</f>
        <v>5453.6322441544798</v>
      </c>
      <c r="I175" s="14">
        <f>IF(PaymentSchedule[[#This Row],[PMT NO]]&lt;&gt;"",PaymentSchedule[[#This Row],[BEGINNING BALANCE]]*(InterestRate/PaymentsPerYear),"")</f>
        <v>5946.7872269278359</v>
      </c>
      <c r="J17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1580356.2949366018</v>
      </c>
      <c r="K175" s="14">
        <f>IF(PaymentSchedule[[#This Row],[PMT NO]]&lt;&gt;"",SUM(INDEX(PaymentSchedule[INTEREST],1,1):PaymentSchedule[[#This Row],[INTEREST]]),"")</f>
        <v>1200025.088194102</v>
      </c>
    </row>
    <row r="176" spans="2:11" x14ac:dyDescent="0.2">
      <c r="B176" s="10">
        <f>IF(LoanIsGood,IF(ROW()-ROW(PaymentSchedule[[#Headers],[PMT NO]])&gt;ScheduledNumberOfPayments,"",ROW()-ROW(PaymentSchedule[[#Headers],[PMT NO]])),"")</f>
        <v>165</v>
      </c>
      <c r="C176" s="12">
        <f>IF(PaymentSchedule[[#This Row],[PMT NO]]&lt;&gt;"",EOMONTH(LoanStartDate,ROW(PaymentSchedule[[#This Row],[PMT NO]])-ROW(PaymentSchedule[[#Headers],[PMT NO]])-2)+DAY(LoanStartDate),"")</f>
        <v>49919</v>
      </c>
      <c r="D176" s="14">
        <f>IF(PaymentSchedule[[#This Row],[PMT NO]]&lt;&gt;"",IF(ROW()-ROW(PaymentSchedule[[#Headers],[BEGINNING BALANCE]])=1,LoanAmount,INDEX(PaymentSchedule[ENDING BALANCE],ROW()-ROW(PaymentSchedule[[#Headers],[BEGINNING BALANCE]])-1)),"")</f>
        <v>1580356.2949366018</v>
      </c>
      <c r="E176" s="14">
        <f>IF(PaymentSchedule[[#This Row],[PMT NO]]&lt;&gt;"",ScheduledPayment,"")</f>
        <v>11400.419471082316</v>
      </c>
      <c r="F17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76" s="14">
        <f>IF(PaymentSchedule[[#This Row],[PMT NO]]&lt;&gt;"",PaymentSchedule[[#This Row],[TOTAL PAYMENT]]-PaymentSchedule[[#This Row],[INTEREST]],"")</f>
        <v>5474.0833650700597</v>
      </c>
      <c r="I176" s="14">
        <f>IF(PaymentSchedule[[#This Row],[PMT NO]]&lt;&gt;"",PaymentSchedule[[#This Row],[BEGINNING BALANCE]]*(InterestRate/PaymentsPerYear),"")</f>
        <v>5926.3361060122561</v>
      </c>
      <c r="J17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1574882.2115715316</v>
      </c>
      <c r="K176" s="14">
        <f>IF(PaymentSchedule[[#This Row],[PMT NO]]&lt;&gt;"",SUM(INDEX(PaymentSchedule[INTEREST],1,1):PaymentSchedule[[#This Row],[INTEREST]]),"")</f>
        <v>1205951.4243001144</v>
      </c>
    </row>
    <row r="177" spans="2:11" x14ac:dyDescent="0.2">
      <c r="B177" s="10">
        <f>IF(LoanIsGood,IF(ROW()-ROW(PaymentSchedule[[#Headers],[PMT NO]])&gt;ScheduledNumberOfPayments,"",ROW()-ROW(PaymentSchedule[[#Headers],[PMT NO]])),"")</f>
        <v>166</v>
      </c>
      <c r="C177" s="12">
        <f>IF(PaymentSchedule[[#This Row],[PMT NO]]&lt;&gt;"",EOMONTH(LoanStartDate,ROW(PaymentSchedule[[#This Row],[PMT NO]])-ROW(PaymentSchedule[[#Headers],[PMT NO]])-2)+DAY(LoanStartDate),"")</f>
        <v>49949</v>
      </c>
      <c r="D177" s="14">
        <f>IF(PaymentSchedule[[#This Row],[PMT NO]]&lt;&gt;"",IF(ROW()-ROW(PaymentSchedule[[#Headers],[BEGINNING BALANCE]])=1,LoanAmount,INDEX(PaymentSchedule[ENDING BALANCE],ROW()-ROW(PaymentSchedule[[#Headers],[BEGINNING BALANCE]])-1)),"")</f>
        <v>1574882.2115715316</v>
      </c>
      <c r="E177" s="14">
        <f>IF(PaymentSchedule[[#This Row],[PMT NO]]&lt;&gt;"",ScheduledPayment,"")</f>
        <v>11400.419471082316</v>
      </c>
      <c r="F17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77" s="14">
        <f>IF(PaymentSchedule[[#This Row],[PMT NO]]&lt;&gt;"",PaymentSchedule[[#This Row],[TOTAL PAYMENT]]-PaymentSchedule[[#This Row],[INTEREST]],"")</f>
        <v>5494.6111776890721</v>
      </c>
      <c r="I177" s="14">
        <f>IF(PaymentSchedule[[#This Row],[PMT NO]]&lt;&gt;"",PaymentSchedule[[#This Row],[BEGINNING BALANCE]]*(InterestRate/PaymentsPerYear),"")</f>
        <v>5905.8082933932437</v>
      </c>
      <c r="J17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1569387.6003938424</v>
      </c>
      <c r="K177" s="14">
        <f>IF(PaymentSchedule[[#This Row],[PMT NO]]&lt;&gt;"",SUM(INDEX(PaymentSchedule[INTEREST],1,1):PaymentSchedule[[#This Row],[INTEREST]]),"")</f>
        <v>1211857.2325935077</v>
      </c>
    </row>
    <row r="178" spans="2:11" x14ac:dyDescent="0.2">
      <c r="B178" s="10">
        <f>IF(LoanIsGood,IF(ROW()-ROW(PaymentSchedule[[#Headers],[PMT NO]])&gt;ScheduledNumberOfPayments,"",ROW()-ROW(PaymentSchedule[[#Headers],[PMT NO]])),"")</f>
        <v>167</v>
      </c>
      <c r="C178" s="12">
        <f>IF(PaymentSchedule[[#This Row],[PMT NO]]&lt;&gt;"",EOMONTH(LoanStartDate,ROW(PaymentSchedule[[#This Row],[PMT NO]])-ROW(PaymentSchedule[[#Headers],[PMT NO]])-2)+DAY(LoanStartDate),"")</f>
        <v>49980</v>
      </c>
      <c r="D178" s="14">
        <f>IF(PaymentSchedule[[#This Row],[PMT NO]]&lt;&gt;"",IF(ROW()-ROW(PaymentSchedule[[#Headers],[BEGINNING BALANCE]])=1,LoanAmount,INDEX(PaymentSchedule[ENDING BALANCE],ROW()-ROW(PaymentSchedule[[#Headers],[BEGINNING BALANCE]])-1)),"")</f>
        <v>1569387.6003938424</v>
      </c>
      <c r="E178" s="14">
        <f>IF(PaymentSchedule[[#This Row],[PMT NO]]&lt;&gt;"",ScheduledPayment,"")</f>
        <v>11400.419471082316</v>
      </c>
      <c r="F17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78" s="14">
        <f>IF(PaymentSchedule[[#This Row],[PMT NO]]&lt;&gt;"",PaymentSchedule[[#This Row],[TOTAL PAYMENT]]-PaymentSchedule[[#This Row],[INTEREST]],"")</f>
        <v>5515.2159696054068</v>
      </c>
      <c r="I178" s="14">
        <f>IF(PaymentSchedule[[#This Row],[PMT NO]]&lt;&gt;"",PaymentSchedule[[#This Row],[BEGINNING BALANCE]]*(InterestRate/PaymentsPerYear),"")</f>
        <v>5885.203501476909</v>
      </c>
      <c r="J17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1563872.3844242371</v>
      </c>
      <c r="K178" s="14">
        <f>IF(PaymentSchedule[[#This Row],[PMT NO]]&lt;&gt;"",SUM(INDEX(PaymentSchedule[INTEREST],1,1):PaymentSchedule[[#This Row],[INTEREST]]),"")</f>
        <v>1217742.4360949846</v>
      </c>
    </row>
    <row r="179" spans="2:11" x14ac:dyDescent="0.2">
      <c r="B179" s="10">
        <f>IF(LoanIsGood,IF(ROW()-ROW(PaymentSchedule[[#Headers],[PMT NO]])&gt;ScheduledNumberOfPayments,"",ROW()-ROW(PaymentSchedule[[#Headers],[PMT NO]])),"")</f>
        <v>168</v>
      </c>
      <c r="C179" s="12">
        <f>IF(PaymentSchedule[[#This Row],[PMT NO]]&lt;&gt;"",EOMONTH(LoanStartDate,ROW(PaymentSchedule[[#This Row],[PMT NO]])-ROW(PaymentSchedule[[#Headers],[PMT NO]])-2)+DAY(LoanStartDate),"")</f>
        <v>50010</v>
      </c>
      <c r="D179" s="14">
        <f>IF(PaymentSchedule[[#This Row],[PMT NO]]&lt;&gt;"",IF(ROW()-ROW(PaymentSchedule[[#Headers],[BEGINNING BALANCE]])=1,LoanAmount,INDEX(PaymentSchedule[ENDING BALANCE],ROW()-ROW(PaymentSchedule[[#Headers],[BEGINNING BALANCE]])-1)),"")</f>
        <v>1563872.3844242371</v>
      </c>
      <c r="E179" s="14">
        <f>IF(PaymentSchedule[[#This Row],[PMT NO]]&lt;&gt;"",ScheduledPayment,"")</f>
        <v>11400.419471082316</v>
      </c>
      <c r="F17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79" s="14">
        <f>IF(PaymentSchedule[[#This Row],[PMT NO]]&lt;&gt;"",PaymentSchedule[[#This Row],[TOTAL PAYMENT]]-PaymentSchedule[[#This Row],[INTEREST]],"")</f>
        <v>5535.8980294914272</v>
      </c>
      <c r="I179" s="14">
        <f>IF(PaymentSchedule[[#This Row],[PMT NO]]&lt;&gt;"",PaymentSchedule[[#This Row],[BEGINNING BALANCE]]*(InterestRate/PaymentsPerYear),"")</f>
        <v>5864.5214415908886</v>
      </c>
      <c r="J17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1558336.4863947455</v>
      </c>
      <c r="K179" s="14">
        <f>IF(PaymentSchedule[[#This Row],[PMT NO]]&lt;&gt;"",SUM(INDEX(PaymentSchedule[INTEREST],1,1):PaymentSchedule[[#This Row],[INTEREST]]),"")</f>
        <v>1223606.9575365756</v>
      </c>
    </row>
    <row r="180" spans="2:11" x14ac:dyDescent="0.2">
      <c r="B180" s="10">
        <f>IF(LoanIsGood,IF(ROW()-ROW(PaymentSchedule[[#Headers],[PMT NO]])&gt;ScheduledNumberOfPayments,"",ROW()-ROW(PaymentSchedule[[#Headers],[PMT NO]])),"")</f>
        <v>169</v>
      </c>
      <c r="C180" s="12">
        <f>IF(PaymentSchedule[[#This Row],[PMT NO]]&lt;&gt;"",EOMONTH(LoanStartDate,ROW(PaymentSchedule[[#This Row],[PMT NO]])-ROW(PaymentSchedule[[#Headers],[PMT NO]])-2)+DAY(LoanStartDate),"")</f>
        <v>50041</v>
      </c>
      <c r="D180" s="14">
        <f>IF(PaymentSchedule[[#This Row],[PMT NO]]&lt;&gt;"",IF(ROW()-ROW(PaymentSchedule[[#Headers],[BEGINNING BALANCE]])=1,LoanAmount,INDEX(PaymentSchedule[ENDING BALANCE],ROW()-ROW(PaymentSchedule[[#Headers],[BEGINNING BALANCE]])-1)),"")</f>
        <v>1558336.4863947455</v>
      </c>
      <c r="E180" s="14">
        <f>IF(PaymentSchedule[[#This Row],[PMT NO]]&lt;&gt;"",ScheduledPayment,"")</f>
        <v>11400.419471082316</v>
      </c>
      <c r="F18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80" s="14">
        <f>IF(PaymentSchedule[[#This Row],[PMT NO]]&lt;&gt;"",PaymentSchedule[[#This Row],[TOTAL PAYMENT]]-PaymentSchedule[[#This Row],[INTEREST]],"")</f>
        <v>5556.6576471020198</v>
      </c>
      <c r="I180" s="14">
        <f>IF(PaymentSchedule[[#This Row],[PMT NO]]&lt;&gt;"",PaymentSchedule[[#This Row],[BEGINNING BALANCE]]*(InterestRate/PaymentsPerYear),"")</f>
        <v>5843.761823980296</v>
      </c>
      <c r="J18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1552779.8287476436</v>
      </c>
      <c r="K180" s="14">
        <f>IF(PaymentSchedule[[#This Row],[PMT NO]]&lt;&gt;"",SUM(INDEX(PaymentSchedule[INTEREST],1,1):PaymentSchedule[[#This Row],[INTEREST]]),"")</f>
        <v>1229450.719360556</v>
      </c>
    </row>
    <row r="181" spans="2:11" x14ac:dyDescent="0.2">
      <c r="B181" s="10">
        <f>IF(LoanIsGood,IF(ROW()-ROW(PaymentSchedule[[#Headers],[PMT NO]])&gt;ScheduledNumberOfPayments,"",ROW()-ROW(PaymentSchedule[[#Headers],[PMT NO]])),"")</f>
        <v>170</v>
      </c>
      <c r="C181" s="12">
        <f>IF(PaymentSchedule[[#This Row],[PMT NO]]&lt;&gt;"",EOMONTH(LoanStartDate,ROW(PaymentSchedule[[#This Row],[PMT NO]])-ROW(PaymentSchedule[[#Headers],[PMT NO]])-2)+DAY(LoanStartDate),"")</f>
        <v>50072</v>
      </c>
      <c r="D181" s="14">
        <f>IF(PaymentSchedule[[#This Row],[PMT NO]]&lt;&gt;"",IF(ROW()-ROW(PaymentSchedule[[#Headers],[BEGINNING BALANCE]])=1,LoanAmount,INDEX(PaymentSchedule[ENDING BALANCE],ROW()-ROW(PaymentSchedule[[#Headers],[BEGINNING BALANCE]])-1)),"")</f>
        <v>1552779.8287476436</v>
      </c>
      <c r="E181" s="14">
        <f>IF(PaymentSchedule[[#This Row],[PMT NO]]&lt;&gt;"",ScheduledPayment,"")</f>
        <v>11400.419471082316</v>
      </c>
      <c r="F18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81" s="14">
        <f>IF(PaymentSchedule[[#This Row],[PMT NO]]&lt;&gt;"",PaymentSchedule[[#This Row],[TOTAL PAYMENT]]-PaymentSchedule[[#This Row],[INTEREST]],"")</f>
        <v>5577.4951132786528</v>
      </c>
      <c r="I181" s="14">
        <f>IF(PaymentSchedule[[#This Row],[PMT NO]]&lt;&gt;"",PaymentSchedule[[#This Row],[BEGINNING BALANCE]]*(InterestRate/PaymentsPerYear),"")</f>
        <v>5822.924357803663</v>
      </c>
      <c r="J18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1547202.3336343649</v>
      </c>
      <c r="K181" s="14">
        <f>IF(PaymentSchedule[[#This Row],[PMT NO]]&lt;&gt;"",SUM(INDEX(PaymentSchedule[INTEREST],1,1):PaymentSchedule[[#This Row],[INTEREST]]),"")</f>
        <v>1235273.6437183598</v>
      </c>
    </row>
    <row r="182" spans="2:11" x14ac:dyDescent="0.2">
      <c r="B182" s="10">
        <f>IF(LoanIsGood,IF(ROW()-ROW(PaymentSchedule[[#Headers],[PMT NO]])&gt;ScheduledNumberOfPayments,"",ROW()-ROW(PaymentSchedule[[#Headers],[PMT NO]])),"")</f>
        <v>171</v>
      </c>
      <c r="C182" s="12">
        <f>IF(PaymentSchedule[[#This Row],[PMT NO]]&lt;&gt;"",EOMONTH(LoanStartDate,ROW(PaymentSchedule[[#This Row],[PMT NO]])-ROW(PaymentSchedule[[#Headers],[PMT NO]])-2)+DAY(LoanStartDate),"")</f>
        <v>50100</v>
      </c>
      <c r="D182" s="14">
        <f>IF(PaymentSchedule[[#This Row],[PMT NO]]&lt;&gt;"",IF(ROW()-ROW(PaymentSchedule[[#Headers],[BEGINNING BALANCE]])=1,LoanAmount,INDEX(PaymentSchedule[ENDING BALANCE],ROW()-ROW(PaymentSchedule[[#Headers],[BEGINNING BALANCE]])-1)),"")</f>
        <v>1547202.3336343649</v>
      </c>
      <c r="E182" s="14">
        <f>IF(PaymentSchedule[[#This Row],[PMT NO]]&lt;&gt;"",ScheduledPayment,"")</f>
        <v>11400.419471082316</v>
      </c>
      <c r="F18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82" s="14">
        <f>IF(PaymentSchedule[[#This Row],[PMT NO]]&lt;&gt;"",PaymentSchedule[[#This Row],[TOTAL PAYMENT]]-PaymentSchedule[[#This Row],[INTEREST]],"")</f>
        <v>5598.4107199534474</v>
      </c>
      <c r="I182" s="14">
        <f>IF(PaymentSchedule[[#This Row],[PMT NO]]&lt;&gt;"",PaymentSchedule[[#This Row],[BEGINNING BALANCE]]*(InterestRate/PaymentsPerYear),"")</f>
        <v>5802.0087511288684</v>
      </c>
      <c r="J18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1541603.9229144114</v>
      </c>
      <c r="K182" s="14">
        <f>IF(PaymentSchedule[[#This Row],[PMT NO]]&lt;&gt;"",SUM(INDEX(PaymentSchedule[INTEREST],1,1):PaymentSchedule[[#This Row],[INTEREST]]),"")</f>
        <v>1241075.6524694886</v>
      </c>
    </row>
    <row r="183" spans="2:11" x14ac:dyDescent="0.2">
      <c r="B183" s="10">
        <f>IF(LoanIsGood,IF(ROW()-ROW(PaymentSchedule[[#Headers],[PMT NO]])&gt;ScheduledNumberOfPayments,"",ROW()-ROW(PaymentSchedule[[#Headers],[PMT NO]])),"")</f>
        <v>172</v>
      </c>
      <c r="C183" s="12">
        <f>IF(PaymentSchedule[[#This Row],[PMT NO]]&lt;&gt;"",EOMONTH(LoanStartDate,ROW(PaymentSchedule[[#This Row],[PMT NO]])-ROW(PaymentSchedule[[#Headers],[PMT NO]])-2)+DAY(LoanStartDate),"")</f>
        <v>50131</v>
      </c>
      <c r="D183" s="14">
        <f>IF(PaymentSchedule[[#This Row],[PMT NO]]&lt;&gt;"",IF(ROW()-ROW(PaymentSchedule[[#Headers],[BEGINNING BALANCE]])=1,LoanAmount,INDEX(PaymentSchedule[ENDING BALANCE],ROW()-ROW(PaymentSchedule[[#Headers],[BEGINNING BALANCE]])-1)),"")</f>
        <v>1541603.9229144114</v>
      </c>
      <c r="E183" s="14">
        <f>IF(PaymentSchedule[[#This Row],[PMT NO]]&lt;&gt;"",ScheduledPayment,"")</f>
        <v>11400.419471082316</v>
      </c>
      <c r="F18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83" s="14">
        <f>IF(PaymentSchedule[[#This Row],[PMT NO]]&lt;&gt;"",PaymentSchedule[[#This Row],[TOTAL PAYMENT]]-PaymentSchedule[[#This Row],[INTEREST]],"")</f>
        <v>5619.4047601532729</v>
      </c>
      <c r="I183" s="14">
        <f>IF(PaymentSchedule[[#This Row],[PMT NO]]&lt;&gt;"",PaymentSchedule[[#This Row],[BEGINNING BALANCE]]*(InterestRate/PaymentsPerYear),"")</f>
        <v>5781.0147109290428</v>
      </c>
      <c r="J18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1535984.5181542581</v>
      </c>
      <c r="K183" s="14">
        <f>IF(PaymentSchedule[[#This Row],[PMT NO]]&lt;&gt;"",SUM(INDEX(PaymentSchedule[INTEREST],1,1):PaymentSchedule[[#This Row],[INTEREST]]),"")</f>
        <v>1246856.6671804176</v>
      </c>
    </row>
    <row r="184" spans="2:11" x14ac:dyDescent="0.2">
      <c r="B184" s="10">
        <f>IF(LoanIsGood,IF(ROW()-ROW(PaymentSchedule[[#Headers],[PMT NO]])&gt;ScheduledNumberOfPayments,"",ROW()-ROW(PaymentSchedule[[#Headers],[PMT NO]])),"")</f>
        <v>173</v>
      </c>
      <c r="C184" s="12">
        <f>IF(PaymentSchedule[[#This Row],[PMT NO]]&lt;&gt;"",EOMONTH(LoanStartDate,ROW(PaymentSchedule[[#This Row],[PMT NO]])-ROW(PaymentSchedule[[#Headers],[PMT NO]])-2)+DAY(LoanStartDate),"")</f>
        <v>50161</v>
      </c>
      <c r="D184" s="14">
        <f>IF(PaymentSchedule[[#This Row],[PMT NO]]&lt;&gt;"",IF(ROW()-ROW(PaymentSchedule[[#Headers],[BEGINNING BALANCE]])=1,LoanAmount,INDEX(PaymentSchedule[ENDING BALANCE],ROW()-ROW(PaymentSchedule[[#Headers],[BEGINNING BALANCE]])-1)),"")</f>
        <v>1535984.5181542581</v>
      </c>
      <c r="E184" s="14">
        <f>IF(PaymentSchedule[[#This Row],[PMT NO]]&lt;&gt;"",ScheduledPayment,"")</f>
        <v>11400.419471082316</v>
      </c>
      <c r="F18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84" s="14">
        <f>IF(PaymentSchedule[[#This Row],[PMT NO]]&lt;&gt;"",PaymentSchedule[[#This Row],[TOTAL PAYMENT]]-PaymentSchedule[[#This Row],[INTEREST]],"")</f>
        <v>5640.4775280038484</v>
      </c>
      <c r="I184" s="14">
        <f>IF(PaymentSchedule[[#This Row],[PMT NO]]&lt;&gt;"",PaymentSchedule[[#This Row],[BEGINNING BALANCE]]*(InterestRate/PaymentsPerYear),"")</f>
        <v>5759.9419430784674</v>
      </c>
      <c r="J18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1530344.0406262544</v>
      </c>
      <c r="K184" s="14">
        <f>IF(PaymentSchedule[[#This Row],[PMT NO]]&lt;&gt;"",SUM(INDEX(PaymentSchedule[INTEREST],1,1):PaymentSchedule[[#This Row],[INTEREST]]),"")</f>
        <v>1252616.6091234961</v>
      </c>
    </row>
    <row r="185" spans="2:11" x14ac:dyDescent="0.2">
      <c r="B185" s="10">
        <f>IF(LoanIsGood,IF(ROW()-ROW(PaymentSchedule[[#Headers],[PMT NO]])&gt;ScheduledNumberOfPayments,"",ROW()-ROW(PaymentSchedule[[#Headers],[PMT NO]])),"")</f>
        <v>174</v>
      </c>
      <c r="C185" s="12">
        <f>IF(PaymentSchedule[[#This Row],[PMT NO]]&lt;&gt;"",EOMONTH(LoanStartDate,ROW(PaymentSchedule[[#This Row],[PMT NO]])-ROW(PaymentSchedule[[#Headers],[PMT NO]])-2)+DAY(LoanStartDate),"")</f>
        <v>50192</v>
      </c>
      <c r="D185" s="14">
        <f>IF(PaymentSchedule[[#This Row],[PMT NO]]&lt;&gt;"",IF(ROW()-ROW(PaymentSchedule[[#Headers],[BEGINNING BALANCE]])=1,LoanAmount,INDEX(PaymentSchedule[ENDING BALANCE],ROW()-ROW(PaymentSchedule[[#Headers],[BEGINNING BALANCE]])-1)),"")</f>
        <v>1530344.0406262544</v>
      </c>
      <c r="E185" s="14">
        <f>IF(PaymentSchedule[[#This Row],[PMT NO]]&lt;&gt;"",ScheduledPayment,"")</f>
        <v>11400.419471082316</v>
      </c>
      <c r="F18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85" s="14">
        <f>IF(PaymentSchedule[[#This Row],[PMT NO]]&lt;&gt;"",PaymentSchedule[[#This Row],[TOTAL PAYMENT]]-PaymentSchedule[[#This Row],[INTEREST]],"")</f>
        <v>5661.6293187338624</v>
      </c>
      <c r="I185" s="14">
        <f>IF(PaymentSchedule[[#This Row],[PMT NO]]&lt;&gt;"",PaymentSchedule[[#This Row],[BEGINNING BALANCE]]*(InterestRate/PaymentsPerYear),"")</f>
        <v>5738.7901523484534</v>
      </c>
      <c r="J18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1524682.4113075205</v>
      </c>
      <c r="K185" s="14">
        <f>IF(PaymentSchedule[[#This Row],[PMT NO]]&lt;&gt;"",SUM(INDEX(PaymentSchedule[INTEREST],1,1):PaymentSchedule[[#This Row],[INTEREST]]),"")</f>
        <v>1258355.3992758445</v>
      </c>
    </row>
    <row r="186" spans="2:11" x14ac:dyDescent="0.2">
      <c r="B186" s="10">
        <f>IF(LoanIsGood,IF(ROW()-ROW(PaymentSchedule[[#Headers],[PMT NO]])&gt;ScheduledNumberOfPayments,"",ROW()-ROW(PaymentSchedule[[#Headers],[PMT NO]])),"")</f>
        <v>175</v>
      </c>
      <c r="C186" s="12">
        <f>IF(PaymentSchedule[[#This Row],[PMT NO]]&lt;&gt;"",EOMONTH(LoanStartDate,ROW(PaymentSchedule[[#This Row],[PMT NO]])-ROW(PaymentSchedule[[#Headers],[PMT NO]])-2)+DAY(LoanStartDate),"")</f>
        <v>50222</v>
      </c>
      <c r="D186" s="14">
        <f>IF(PaymentSchedule[[#This Row],[PMT NO]]&lt;&gt;"",IF(ROW()-ROW(PaymentSchedule[[#Headers],[BEGINNING BALANCE]])=1,LoanAmount,INDEX(PaymentSchedule[ENDING BALANCE],ROW()-ROW(PaymentSchedule[[#Headers],[BEGINNING BALANCE]])-1)),"")</f>
        <v>1524682.4113075205</v>
      </c>
      <c r="E186" s="14">
        <f>IF(PaymentSchedule[[#This Row],[PMT NO]]&lt;&gt;"",ScheduledPayment,"")</f>
        <v>11400.419471082316</v>
      </c>
      <c r="F18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86" s="14">
        <f>IF(PaymentSchedule[[#This Row],[PMT NO]]&lt;&gt;"",PaymentSchedule[[#This Row],[TOTAL PAYMENT]]-PaymentSchedule[[#This Row],[INTEREST]],"")</f>
        <v>5682.8604286791142</v>
      </c>
      <c r="I186" s="14">
        <f>IF(PaymentSchedule[[#This Row],[PMT NO]]&lt;&gt;"",PaymentSchedule[[#This Row],[BEGINNING BALANCE]]*(InterestRate/PaymentsPerYear),"")</f>
        <v>5717.5590424032016</v>
      </c>
      <c r="J18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1518999.5508788414</v>
      </c>
      <c r="K186" s="14">
        <f>IF(PaymentSchedule[[#This Row],[PMT NO]]&lt;&gt;"",SUM(INDEX(PaymentSchedule[INTEREST],1,1):PaymentSchedule[[#This Row],[INTEREST]]),"")</f>
        <v>1264072.9583182477</v>
      </c>
    </row>
    <row r="187" spans="2:11" x14ac:dyDescent="0.2">
      <c r="B187" s="10">
        <f>IF(LoanIsGood,IF(ROW()-ROW(PaymentSchedule[[#Headers],[PMT NO]])&gt;ScheduledNumberOfPayments,"",ROW()-ROW(PaymentSchedule[[#Headers],[PMT NO]])),"")</f>
        <v>176</v>
      </c>
      <c r="C187" s="12">
        <f>IF(PaymentSchedule[[#This Row],[PMT NO]]&lt;&gt;"",EOMONTH(LoanStartDate,ROW(PaymentSchedule[[#This Row],[PMT NO]])-ROW(PaymentSchedule[[#Headers],[PMT NO]])-2)+DAY(LoanStartDate),"")</f>
        <v>50253</v>
      </c>
      <c r="D187" s="14">
        <f>IF(PaymentSchedule[[#This Row],[PMT NO]]&lt;&gt;"",IF(ROW()-ROW(PaymentSchedule[[#Headers],[BEGINNING BALANCE]])=1,LoanAmount,INDEX(PaymentSchedule[ENDING BALANCE],ROW()-ROW(PaymentSchedule[[#Headers],[BEGINNING BALANCE]])-1)),"")</f>
        <v>1518999.5508788414</v>
      </c>
      <c r="E187" s="14">
        <f>IF(PaymentSchedule[[#This Row],[PMT NO]]&lt;&gt;"",ScheduledPayment,"")</f>
        <v>11400.419471082316</v>
      </c>
      <c r="F18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87" s="14">
        <f>IF(PaymentSchedule[[#This Row],[PMT NO]]&lt;&gt;"",PaymentSchedule[[#This Row],[TOTAL PAYMENT]]-PaymentSchedule[[#This Row],[INTEREST]],"")</f>
        <v>5704.1711552866609</v>
      </c>
      <c r="I187" s="14">
        <f>IF(PaymentSchedule[[#This Row],[PMT NO]]&lt;&gt;"",PaymentSchedule[[#This Row],[BEGINNING BALANCE]]*(InterestRate/PaymentsPerYear),"")</f>
        <v>5696.2483157956549</v>
      </c>
      <c r="J18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1513295.3797235547</v>
      </c>
      <c r="K187" s="14">
        <f>IF(PaymentSchedule[[#This Row],[PMT NO]]&lt;&gt;"",SUM(INDEX(PaymentSchedule[INTEREST],1,1):PaymentSchedule[[#This Row],[INTEREST]]),"")</f>
        <v>1269769.2066340433</v>
      </c>
    </row>
    <row r="188" spans="2:11" x14ac:dyDescent="0.2">
      <c r="B188" s="10">
        <f>IF(LoanIsGood,IF(ROW()-ROW(PaymentSchedule[[#Headers],[PMT NO]])&gt;ScheduledNumberOfPayments,"",ROW()-ROW(PaymentSchedule[[#Headers],[PMT NO]])),"")</f>
        <v>177</v>
      </c>
      <c r="C188" s="12">
        <f>IF(PaymentSchedule[[#This Row],[PMT NO]]&lt;&gt;"",EOMONTH(LoanStartDate,ROW(PaymentSchedule[[#This Row],[PMT NO]])-ROW(PaymentSchedule[[#Headers],[PMT NO]])-2)+DAY(LoanStartDate),"")</f>
        <v>50284</v>
      </c>
      <c r="D188" s="14">
        <f>IF(PaymentSchedule[[#This Row],[PMT NO]]&lt;&gt;"",IF(ROW()-ROW(PaymentSchedule[[#Headers],[BEGINNING BALANCE]])=1,LoanAmount,INDEX(PaymentSchedule[ENDING BALANCE],ROW()-ROW(PaymentSchedule[[#Headers],[BEGINNING BALANCE]])-1)),"")</f>
        <v>1513295.3797235547</v>
      </c>
      <c r="E188" s="14">
        <f>IF(PaymentSchedule[[#This Row],[PMT NO]]&lt;&gt;"",ScheduledPayment,"")</f>
        <v>11400.419471082316</v>
      </c>
      <c r="F18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88" s="14">
        <f>IF(PaymentSchedule[[#This Row],[PMT NO]]&lt;&gt;"",PaymentSchedule[[#This Row],[TOTAL PAYMENT]]-PaymentSchedule[[#This Row],[INTEREST]],"")</f>
        <v>5725.5617971189859</v>
      </c>
      <c r="I188" s="14">
        <f>IF(PaymentSchedule[[#This Row],[PMT NO]]&lt;&gt;"",PaymentSchedule[[#This Row],[BEGINNING BALANCE]]*(InterestRate/PaymentsPerYear),"")</f>
        <v>5674.8576739633299</v>
      </c>
      <c r="J18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1507569.8179264357</v>
      </c>
      <c r="K188" s="14">
        <f>IF(PaymentSchedule[[#This Row],[PMT NO]]&lt;&gt;"",SUM(INDEX(PaymentSchedule[INTEREST],1,1):PaymentSchedule[[#This Row],[INTEREST]]),"")</f>
        <v>1275444.0643080065</v>
      </c>
    </row>
    <row r="189" spans="2:11" x14ac:dyDescent="0.2">
      <c r="B189" s="10">
        <f>IF(LoanIsGood,IF(ROW()-ROW(PaymentSchedule[[#Headers],[PMT NO]])&gt;ScheduledNumberOfPayments,"",ROW()-ROW(PaymentSchedule[[#Headers],[PMT NO]])),"")</f>
        <v>178</v>
      </c>
      <c r="C189" s="12">
        <f>IF(PaymentSchedule[[#This Row],[PMT NO]]&lt;&gt;"",EOMONTH(LoanStartDate,ROW(PaymentSchedule[[#This Row],[PMT NO]])-ROW(PaymentSchedule[[#Headers],[PMT NO]])-2)+DAY(LoanStartDate),"")</f>
        <v>50314</v>
      </c>
      <c r="D189" s="14">
        <f>IF(PaymentSchedule[[#This Row],[PMT NO]]&lt;&gt;"",IF(ROW()-ROW(PaymentSchedule[[#Headers],[BEGINNING BALANCE]])=1,LoanAmount,INDEX(PaymentSchedule[ENDING BALANCE],ROW()-ROW(PaymentSchedule[[#Headers],[BEGINNING BALANCE]])-1)),"")</f>
        <v>1507569.8179264357</v>
      </c>
      <c r="E189" s="14">
        <f>IF(PaymentSchedule[[#This Row],[PMT NO]]&lt;&gt;"",ScheduledPayment,"")</f>
        <v>11400.419471082316</v>
      </c>
      <c r="F18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89" s="14">
        <f>IF(PaymentSchedule[[#This Row],[PMT NO]]&lt;&gt;"",PaymentSchedule[[#This Row],[TOTAL PAYMENT]]-PaymentSchedule[[#This Row],[INTEREST]],"")</f>
        <v>5747.0326538581821</v>
      </c>
      <c r="I189" s="14">
        <f>IF(PaymentSchedule[[#This Row],[PMT NO]]&lt;&gt;"",PaymentSchedule[[#This Row],[BEGINNING BALANCE]]*(InterestRate/PaymentsPerYear),"")</f>
        <v>5653.3868172241337</v>
      </c>
      <c r="J18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1501822.7852725775</v>
      </c>
      <c r="K189" s="14">
        <f>IF(PaymentSchedule[[#This Row],[PMT NO]]&lt;&gt;"",SUM(INDEX(PaymentSchedule[INTEREST],1,1):PaymentSchedule[[#This Row],[INTEREST]]),"")</f>
        <v>1281097.4511252306</v>
      </c>
    </row>
    <row r="190" spans="2:11" x14ac:dyDescent="0.2">
      <c r="B190" s="10">
        <f>IF(LoanIsGood,IF(ROW()-ROW(PaymentSchedule[[#Headers],[PMT NO]])&gt;ScheduledNumberOfPayments,"",ROW()-ROW(PaymentSchedule[[#Headers],[PMT NO]])),"")</f>
        <v>179</v>
      </c>
      <c r="C190" s="12">
        <f>IF(PaymentSchedule[[#This Row],[PMT NO]]&lt;&gt;"",EOMONTH(LoanStartDate,ROW(PaymentSchedule[[#This Row],[PMT NO]])-ROW(PaymentSchedule[[#Headers],[PMT NO]])-2)+DAY(LoanStartDate),"")</f>
        <v>50345</v>
      </c>
      <c r="D190" s="14">
        <f>IF(PaymentSchedule[[#This Row],[PMT NO]]&lt;&gt;"",IF(ROW()-ROW(PaymentSchedule[[#Headers],[BEGINNING BALANCE]])=1,LoanAmount,INDEX(PaymentSchedule[ENDING BALANCE],ROW()-ROW(PaymentSchedule[[#Headers],[BEGINNING BALANCE]])-1)),"")</f>
        <v>1501822.7852725775</v>
      </c>
      <c r="E190" s="14">
        <f>IF(PaymentSchedule[[#This Row],[PMT NO]]&lt;&gt;"",ScheduledPayment,"")</f>
        <v>11400.419471082316</v>
      </c>
      <c r="F19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90" s="14">
        <f>IF(PaymentSchedule[[#This Row],[PMT NO]]&lt;&gt;"",PaymentSchedule[[#This Row],[TOTAL PAYMENT]]-PaymentSchedule[[#This Row],[INTEREST]],"")</f>
        <v>5768.58402631015</v>
      </c>
      <c r="I190" s="14">
        <f>IF(PaymentSchedule[[#This Row],[PMT NO]]&lt;&gt;"",PaymentSchedule[[#This Row],[BEGINNING BALANCE]]*(InterestRate/PaymentsPerYear),"")</f>
        <v>5631.8354447721658</v>
      </c>
      <c r="J19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1496054.2012462674</v>
      </c>
      <c r="K190" s="14">
        <f>IF(PaymentSchedule[[#This Row],[PMT NO]]&lt;&gt;"",SUM(INDEX(PaymentSchedule[INTEREST],1,1):PaymentSchedule[[#This Row],[INTEREST]]),"")</f>
        <v>1286729.2865700028</v>
      </c>
    </row>
    <row r="191" spans="2:11" x14ac:dyDescent="0.2">
      <c r="B191" s="10">
        <f>IF(LoanIsGood,IF(ROW()-ROW(PaymentSchedule[[#Headers],[PMT NO]])&gt;ScheduledNumberOfPayments,"",ROW()-ROW(PaymentSchedule[[#Headers],[PMT NO]])),"")</f>
        <v>180</v>
      </c>
      <c r="C191" s="12">
        <f>IF(PaymentSchedule[[#This Row],[PMT NO]]&lt;&gt;"",EOMONTH(LoanStartDate,ROW(PaymentSchedule[[#This Row],[PMT NO]])-ROW(PaymentSchedule[[#Headers],[PMT NO]])-2)+DAY(LoanStartDate),"")</f>
        <v>50375</v>
      </c>
      <c r="D191" s="14">
        <f>IF(PaymentSchedule[[#This Row],[PMT NO]]&lt;&gt;"",IF(ROW()-ROW(PaymentSchedule[[#Headers],[BEGINNING BALANCE]])=1,LoanAmount,INDEX(PaymentSchedule[ENDING BALANCE],ROW()-ROW(PaymentSchedule[[#Headers],[BEGINNING BALANCE]])-1)),"")</f>
        <v>1496054.2012462674</v>
      </c>
      <c r="E191" s="14">
        <f>IF(PaymentSchedule[[#This Row],[PMT NO]]&lt;&gt;"",ScheduledPayment,"")</f>
        <v>11400.419471082316</v>
      </c>
      <c r="F19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91" s="14">
        <f>IF(PaymentSchedule[[#This Row],[PMT NO]]&lt;&gt;"",PaymentSchedule[[#This Row],[TOTAL PAYMENT]]-PaymentSchedule[[#This Row],[INTEREST]],"")</f>
        <v>5790.2162164088131</v>
      </c>
      <c r="I191" s="14">
        <f>IF(PaymentSchedule[[#This Row],[PMT NO]]&lt;&gt;"",PaymentSchedule[[#This Row],[BEGINNING BALANCE]]*(InterestRate/PaymentsPerYear),"")</f>
        <v>5610.2032546735027</v>
      </c>
      <c r="J19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1490263.9850298585</v>
      </c>
      <c r="K191" s="14">
        <f>IF(PaymentSchedule[[#This Row],[PMT NO]]&lt;&gt;"",SUM(INDEX(PaymentSchedule[INTEREST],1,1):PaymentSchedule[[#This Row],[INTEREST]]),"")</f>
        <v>1292339.4898246762</v>
      </c>
    </row>
    <row r="192" spans="2:11" x14ac:dyDescent="0.2">
      <c r="B192" s="10">
        <f>IF(LoanIsGood,IF(ROW()-ROW(PaymentSchedule[[#Headers],[PMT NO]])&gt;ScheduledNumberOfPayments,"",ROW()-ROW(PaymentSchedule[[#Headers],[PMT NO]])),"")</f>
        <v>181</v>
      </c>
      <c r="C192" s="12">
        <f>IF(PaymentSchedule[[#This Row],[PMT NO]]&lt;&gt;"",EOMONTH(LoanStartDate,ROW(PaymentSchedule[[#This Row],[PMT NO]])-ROW(PaymentSchedule[[#Headers],[PMT NO]])-2)+DAY(LoanStartDate),"")</f>
        <v>50406</v>
      </c>
      <c r="D192" s="14">
        <f>IF(PaymentSchedule[[#This Row],[PMT NO]]&lt;&gt;"",IF(ROW()-ROW(PaymentSchedule[[#Headers],[BEGINNING BALANCE]])=1,LoanAmount,INDEX(PaymentSchedule[ENDING BALANCE],ROW()-ROW(PaymentSchedule[[#Headers],[BEGINNING BALANCE]])-1)),"")</f>
        <v>1490263.9850298585</v>
      </c>
      <c r="E192" s="14">
        <f>IF(PaymentSchedule[[#This Row],[PMT NO]]&lt;&gt;"",ScheduledPayment,"")</f>
        <v>11400.419471082316</v>
      </c>
      <c r="F19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92" s="14">
        <f>IF(PaymentSchedule[[#This Row],[PMT NO]]&lt;&gt;"",PaymentSchedule[[#This Row],[TOTAL PAYMENT]]-PaymentSchedule[[#This Row],[INTEREST]],"")</f>
        <v>5811.9295272203462</v>
      </c>
      <c r="I192" s="14">
        <f>IF(PaymentSchedule[[#This Row],[PMT NO]]&lt;&gt;"",PaymentSchedule[[#This Row],[BEGINNING BALANCE]]*(InterestRate/PaymentsPerYear),"")</f>
        <v>5588.4899438619696</v>
      </c>
      <c r="J19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1484452.0555026382</v>
      </c>
      <c r="K192" s="14">
        <f>IF(PaymentSchedule[[#This Row],[PMT NO]]&lt;&gt;"",SUM(INDEX(PaymentSchedule[INTEREST],1,1):PaymentSchedule[[#This Row],[INTEREST]]),"")</f>
        <v>1297927.9797685381</v>
      </c>
    </row>
    <row r="193" spans="2:11" x14ac:dyDescent="0.2">
      <c r="B193" s="10">
        <f>IF(LoanIsGood,IF(ROW()-ROW(PaymentSchedule[[#Headers],[PMT NO]])&gt;ScheduledNumberOfPayments,"",ROW()-ROW(PaymentSchedule[[#Headers],[PMT NO]])),"")</f>
        <v>182</v>
      </c>
      <c r="C193" s="12">
        <f>IF(PaymentSchedule[[#This Row],[PMT NO]]&lt;&gt;"",EOMONTH(LoanStartDate,ROW(PaymentSchedule[[#This Row],[PMT NO]])-ROW(PaymentSchedule[[#Headers],[PMT NO]])-2)+DAY(LoanStartDate),"")</f>
        <v>50437</v>
      </c>
      <c r="D193" s="14">
        <f>IF(PaymentSchedule[[#This Row],[PMT NO]]&lt;&gt;"",IF(ROW()-ROW(PaymentSchedule[[#Headers],[BEGINNING BALANCE]])=1,LoanAmount,INDEX(PaymentSchedule[ENDING BALANCE],ROW()-ROW(PaymentSchedule[[#Headers],[BEGINNING BALANCE]])-1)),"")</f>
        <v>1484452.0555026382</v>
      </c>
      <c r="E193" s="14">
        <f>IF(PaymentSchedule[[#This Row],[PMT NO]]&lt;&gt;"",ScheduledPayment,"")</f>
        <v>11400.419471082316</v>
      </c>
      <c r="F19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93" s="14">
        <f>IF(PaymentSchedule[[#This Row],[PMT NO]]&lt;&gt;"",PaymentSchedule[[#This Row],[TOTAL PAYMENT]]-PaymentSchedule[[#This Row],[INTEREST]],"")</f>
        <v>5833.7242629474231</v>
      </c>
      <c r="I193" s="14">
        <f>IF(PaymentSchedule[[#This Row],[PMT NO]]&lt;&gt;"",PaymentSchedule[[#This Row],[BEGINNING BALANCE]]*(InterestRate/PaymentsPerYear),"")</f>
        <v>5566.6952081348927</v>
      </c>
      <c r="J19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1478618.3312396908</v>
      </c>
      <c r="K193" s="14">
        <f>IF(PaymentSchedule[[#This Row],[PMT NO]]&lt;&gt;"",SUM(INDEX(PaymentSchedule[INTEREST],1,1):PaymentSchedule[[#This Row],[INTEREST]]),"")</f>
        <v>1303494.674976673</v>
      </c>
    </row>
    <row r="194" spans="2:11" x14ac:dyDescent="0.2">
      <c r="B194" s="10">
        <f>IF(LoanIsGood,IF(ROW()-ROW(PaymentSchedule[[#Headers],[PMT NO]])&gt;ScheduledNumberOfPayments,"",ROW()-ROW(PaymentSchedule[[#Headers],[PMT NO]])),"")</f>
        <v>183</v>
      </c>
      <c r="C194" s="12">
        <f>IF(PaymentSchedule[[#This Row],[PMT NO]]&lt;&gt;"",EOMONTH(LoanStartDate,ROW(PaymentSchedule[[#This Row],[PMT NO]])-ROW(PaymentSchedule[[#Headers],[PMT NO]])-2)+DAY(LoanStartDate),"")</f>
        <v>50465</v>
      </c>
      <c r="D194" s="14">
        <f>IF(PaymentSchedule[[#This Row],[PMT NO]]&lt;&gt;"",IF(ROW()-ROW(PaymentSchedule[[#Headers],[BEGINNING BALANCE]])=1,LoanAmount,INDEX(PaymentSchedule[ENDING BALANCE],ROW()-ROW(PaymentSchedule[[#Headers],[BEGINNING BALANCE]])-1)),"")</f>
        <v>1478618.3312396908</v>
      </c>
      <c r="E194" s="14">
        <f>IF(PaymentSchedule[[#This Row],[PMT NO]]&lt;&gt;"",ScheduledPayment,"")</f>
        <v>11400.419471082316</v>
      </c>
      <c r="F19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94" s="14">
        <f>IF(PaymentSchedule[[#This Row],[PMT NO]]&lt;&gt;"",PaymentSchedule[[#This Row],[TOTAL PAYMENT]]-PaymentSchedule[[#This Row],[INTEREST]],"")</f>
        <v>5855.6007289334757</v>
      </c>
      <c r="I194" s="14">
        <f>IF(PaymentSchedule[[#This Row],[PMT NO]]&lt;&gt;"",PaymentSchedule[[#This Row],[BEGINNING BALANCE]]*(InterestRate/PaymentsPerYear),"")</f>
        <v>5544.8187421488401</v>
      </c>
      <c r="J19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1472762.7305107573</v>
      </c>
      <c r="K194" s="14">
        <f>IF(PaymentSchedule[[#This Row],[PMT NO]]&lt;&gt;"",SUM(INDEX(PaymentSchedule[INTEREST],1,1):PaymentSchedule[[#This Row],[INTEREST]]),"")</f>
        <v>1309039.4937188218</v>
      </c>
    </row>
    <row r="195" spans="2:11" x14ac:dyDescent="0.2">
      <c r="B195" s="10">
        <f>IF(LoanIsGood,IF(ROW()-ROW(PaymentSchedule[[#Headers],[PMT NO]])&gt;ScheduledNumberOfPayments,"",ROW()-ROW(PaymentSchedule[[#Headers],[PMT NO]])),"")</f>
        <v>184</v>
      </c>
      <c r="C195" s="12">
        <f>IF(PaymentSchedule[[#This Row],[PMT NO]]&lt;&gt;"",EOMONTH(LoanStartDate,ROW(PaymentSchedule[[#This Row],[PMT NO]])-ROW(PaymentSchedule[[#Headers],[PMT NO]])-2)+DAY(LoanStartDate),"")</f>
        <v>50496</v>
      </c>
      <c r="D195" s="14">
        <f>IF(PaymentSchedule[[#This Row],[PMT NO]]&lt;&gt;"",IF(ROW()-ROW(PaymentSchedule[[#Headers],[BEGINNING BALANCE]])=1,LoanAmount,INDEX(PaymentSchedule[ENDING BALANCE],ROW()-ROW(PaymentSchedule[[#Headers],[BEGINNING BALANCE]])-1)),"")</f>
        <v>1472762.7305107573</v>
      </c>
      <c r="E195" s="14">
        <f>IF(PaymentSchedule[[#This Row],[PMT NO]]&lt;&gt;"",ScheduledPayment,"")</f>
        <v>11400.419471082316</v>
      </c>
      <c r="F19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95" s="14">
        <f>IF(PaymentSchedule[[#This Row],[PMT NO]]&lt;&gt;"",PaymentSchedule[[#This Row],[TOTAL PAYMENT]]-PaymentSchedule[[#This Row],[INTEREST]],"")</f>
        <v>5877.5592316669763</v>
      </c>
      <c r="I195" s="14">
        <f>IF(PaymentSchedule[[#This Row],[PMT NO]]&lt;&gt;"",PaymentSchedule[[#This Row],[BEGINNING BALANCE]]*(InterestRate/PaymentsPerYear),"")</f>
        <v>5522.8602394153395</v>
      </c>
      <c r="J19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1466885.1712790902</v>
      </c>
      <c r="K195" s="14">
        <f>IF(PaymentSchedule[[#This Row],[PMT NO]]&lt;&gt;"",SUM(INDEX(PaymentSchedule[INTEREST],1,1):PaymentSchedule[[#This Row],[INTEREST]]),"")</f>
        <v>1314562.3539582372</v>
      </c>
    </row>
    <row r="196" spans="2:11" x14ac:dyDescent="0.2">
      <c r="B196" s="10">
        <f>IF(LoanIsGood,IF(ROW()-ROW(PaymentSchedule[[#Headers],[PMT NO]])&gt;ScheduledNumberOfPayments,"",ROW()-ROW(PaymentSchedule[[#Headers],[PMT NO]])),"")</f>
        <v>185</v>
      </c>
      <c r="C196" s="12">
        <f>IF(PaymentSchedule[[#This Row],[PMT NO]]&lt;&gt;"",EOMONTH(LoanStartDate,ROW(PaymentSchedule[[#This Row],[PMT NO]])-ROW(PaymentSchedule[[#Headers],[PMT NO]])-2)+DAY(LoanStartDate),"")</f>
        <v>50526</v>
      </c>
      <c r="D196" s="14">
        <f>IF(PaymentSchedule[[#This Row],[PMT NO]]&lt;&gt;"",IF(ROW()-ROW(PaymentSchedule[[#Headers],[BEGINNING BALANCE]])=1,LoanAmount,INDEX(PaymentSchedule[ENDING BALANCE],ROW()-ROW(PaymentSchedule[[#Headers],[BEGINNING BALANCE]])-1)),"")</f>
        <v>1466885.1712790902</v>
      </c>
      <c r="E196" s="14">
        <f>IF(PaymentSchedule[[#This Row],[PMT NO]]&lt;&gt;"",ScheduledPayment,"")</f>
        <v>11400.419471082316</v>
      </c>
      <c r="F19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96" s="14">
        <f>IF(PaymentSchedule[[#This Row],[PMT NO]]&lt;&gt;"",PaymentSchedule[[#This Row],[TOTAL PAYMENT]]-PaymentSchedule[[#This Row],[INTEREST]],"")</f>
        <v>5899.6000787857274</v>
      </c>
      <c r="I196" s="14">
        <f>IF(PaymentSchedule[[#This Row],[PMT NO]]&lt;&gt;"",PaymentSchedule[[#This Row],[BEGINNING BALANCE]]*(InterestRate/PaymentsPerYear),"")</f>
        <v>5500.8193922965884</v>
      </c>
      <c r="J19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1460985.5712003044</v>
      </c>
      <c r="K196" s="14">
        <f>IF(PaymentSchedule[[#This Row],[PMT NO]]&lt;&gt;"",SUM(INDEX(PaymentSchedule[INTEREST],1,1):PaymentSchedule[[#This Row],[INTEREST]]),"")</f>
        <v>1320063.1733505337</v>
      </c>
    </row>
    <row r="197" spans="2:11" x14ac:dyDescent="0.2">
      <c r="B197" s="10">
        <f>IF(LoanIsGood,IF(ROW()-ROW(PaymentSchedule[[#Headers],[PMT NO]])&gt;ScheduledNumberOfPayments,"",ROW()-ROW(PaymentSchedule[[#Headers],[PMT NO]])),"")</f>
        <v>186</v>
      </c>
      <c r="C197" s="12">
        <f>IF(PaymentSchedule[[#This Row],[PMT NO]]&lt;&gt;"",EOMONTH(LoanStartDate,ROW(PaymentSchedule[[#This Row],[PMT NO]])-ROW(PaymentSchedule[[#Headers],[PMT NO]])-2)+DAY(LoanStartDate),"")</f>
        <v>50557</v>
      </c>
      <c r="D197" s="14">
        <f>IF(PaymentSchedule[[#This Row],[PMT NO]]&lt;&gt;"",IF(ROW()-ROW(PaymentSchedule[[#Headers],[BEGINNING BALANCE]])=1,LoanAmount,INDEX(PaymentSchedule[ENDING BALANCE],ROW()-ROW(PaymentSchedule[[#Headers],[BEGINNING BALANCE]])-1)),"")</f>
        <v>1460985.5712003044</v>
      </c>
      <c r="E197" s="14">
        <f>IF(PaymentSchedule[[#This Row],[PMT NO]]&lt;&gt;"",ScheduledPayment,"")</f>
        <v>11400.419471082316</v>
      </c>
      <c r="F19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97" s="14">
        <f>IF(PaymentSchedule[[#This Row],[PMT NO]]&lt;&gt;"",PaymentSchedule[[#This Row],[TOTAL PAYMENT]]-PaymentSchedule[[#This Row],[INTEREST]],"")</f>
        <v>5921.7235790811746</v>
      </c>
      <c r="I197" s="14">
        <f>IF(PaymentSchedule[[#This Row],[PMT NO]]&lt;&gt;"",PaymentSchedule[[#This Row],[BEGINNING BALANCE]]*(InterestRate/PaymentsPerYear),"")</f>
        <v>5478.6958920011411</v>
      </c>
      <c r="J19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1455063.8476212232</v>
      </c>
      <c r="K197" s="14">
        <f>IF(PaymentSchedule[[#This Row],[PMT NO]]&lt;&gt;"",SUM(INDEX(PaymentSchedule[INTEREST],1,1):PaymentSchedule[[#This Row],[INTEREST]]),"")</f>
        <v>1325541.8692425347</v>
      </c>
    </row>
    <row r="198" spans="2:11" x14ac:dyDescent="0.2">
      <c r="B198" s="10">
        <f>IF(LoanIsGood,IF(ROW()-ROW(PaymentSchedule[[#Headers],[PMT NO]])&gt;ScheduledNumberOfPayments,"",ROW()-ROW(PaymentSchedule[[#Headers],[PMT NO]])),"")</f>
        <v>187</v>
      </c>
      <c r="C198" s="12">
        <f>IF(PaymentSchedule[[#This Row],[PMT NO]]&lt;&gt;"",EOMONTH(LoanStartDate,ROW(PaymentSchedule[[#This Row],[PMT NO]])-ROW(PaymentSchedule[[#Headers],[PMT NO]])-2)+DAY(LoanStartDate),"")</f>
        <v>50587</v>
      </c>
      <c r="D198" s="14">
        <f>IF(PaymentSchedule[[#This Row],[PMT NO]]&lt;&gt;"",IF(ROW()-ROW(PaymentSchedule[[#Headers],[BEGINNING BALANCE]])=1,LoanAmount,INDEX(PaymentSchedule[ENDING BALANCE],ROW()-ROW(PaymentSchedule[[#Headers],[BEGINNING BALANCE]])-1)),"")</f>
        <v>1455063.8476212232</v>
      </c>
      <c r="E198" s="14">
        <f>IF(PaymentSchedule[[#This Row],[PMT NO]]&lt;&gt;"",ScheduledPayment,"")</f>
        <v>11400.419471082316</v>
      </c>
      <c r="F19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98" s="14">
        <f>IF(PaymentSchedule[[#This Row],[PMT NO]]&lt;&gt;"",PaymentSchedule[[#This Row],[TOTAL PAYMENT]]-PaymentSchedule[[#This Row],[INTEREST]],"")</f>
        <v>5943.9300425027286</v>
      </c>
      <c r="I198" s="14">
        <f>IF(PaymentSchedule[[#This Row],[PMT NO]]&lt;&gt;"",PaymentSchedule[[#This Row],[BEGINNING BALANCE]]*(InterestRate/PaymentsPerYear),"")</f>
        <v>5456.4894285795872</v>
      </c>
      <c r="J19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1449119.9175787205</v>
      </c>
      <c r="K198" s="14">
        <f>IF(PaymentSchedule[[#This Row],[PMT NO]]&lt;&gt;"",SUM(INDEX(PaymentSchedule[INTEREST],1,1):PaymentSchedule[[#This Row],[INTEREST]]),"")</f>
        <v>1330998.3586711143</v>
      </c>
    </row>
    <row r="199" spans="2:11" x14ac:dyDescent="0.2">
      <c r="B199" s="10">
        <f>IF(LoanIsGood,IF(ROW()-ROW(PaymentSchedule[[#Headers],[PMT NO]])&gt;ScheduledNumberOfPayments,"",ROW()-ROW(PaymentSchedule[[#Headers],[PMT NO]])),"")</f>
        <v>188</v>
      </c>
      <c r="C199" s="12">
        <f>IF(PaymentSchedule[[#This Row],[PMT NO]]&lt;&gt;"",EOMONTH(LoanStartDate,ROW(PaymentSchedule[[#This Row],[PMT NO]])-ROW(PaymentSchedule[[#Headers],[PMT NO]])-2)+DAY(LoanStartDate),"")</f>
        <v>50618</v>
      </c>
      <c r="D199" s="14">
        <f>IF(PaymentSchedule[[#This Row],[PMT NO]]&lt;&gt;"",IF(ROW()-ROW(PaymentSchedule[[#Headers],[BEGINNING BALANCE]])=1,LoanAmount,INDEX(PaymentSchedule[ENDING BALANCE],ROW()-ROW(PaymentSchedule[[#Headers],[BEGINNING BALANCE]])-1)),"")</f>
        <v>1449119.9175787205</v>
      </c>
      <c r="E199" s="14">
        <f>IF(PaymentSchedule[[#This Row],[PMT NO]]&lt;&gt;"",ScheduledPayment,"")</f>
        <v>11400.419471082316</v>
      </c>
      <c r="F19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199" s="14">
        <f>IF(PaymentSchedule[[#This Row],[PMT NO]]&lt;&gt;"",PaymentSchedule[[#This Row],[TOTAL PAYMENT]]-PaymentSchedule[[#This Row],[INTEREST]],"")</f>
        <v>5966.2197801621141</v>
      </c>
      <c r="I199" s="14">
        <f>IF(PaymentSchedule[[#This Row],[PMT NO]]&lt;&gt;"",PaymentSchedule[[#This Row],[BEGINNING BALANCE]]*(InterestRate/PaymentsPerYear),"")</f>
        <v>5434.1996909202016</v>
      </c>
      <c r="J19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1443153.6977985583</v>
      </c>
      <c r="K199" s="14">
        <f>IF(PaymentSchedule[[#This Row],[PMT NO]]&lt;&gt;"",SUM(INDEX(PaymentSchedule[INTEREST],1,1):PaymentSchedule[[#This Row],[INTEREST]]),"")</f>
        <v>1336432.5583620346</v>
      </c>
    </row>
    <row r="200" spans="2:11" x14ac:dyDescent="0.2">
      <c r="B200" s="10">
        <f>IF(LoanIsGood,IF(ROW()-ROW(PaymentSchedule[[#Headers],[PMT NO]])&gt;ScheduledNumberOfPayments,"",ROW()-ROW(PaymentSchedule[[#Headers],[PMT NO]])),"")</f>
        <v>189</v>
      </c>
      <c r="C200" s="12">
        <f>IF(PaymentSchedule[[#This Row],[PMT NO]]&lt;&gt;"",EOMONTH(LoanStartDate,ROW(PaymentSchedule[[#This Row],[PMT NO]])-ROW(PaymentSchedule[[#Headers],[PMT NO]])-2)+DAY(LoanStartDate),"")</f>
        <v>50649</v>
      </c>
      <c r="D200" s="14">
        <f>IF(PaymentSchedule[[#This Row],[PMT NO]]&lt;&gt;"",IF(ROW()-ROW(PaymentSchedule[[#Headers],[BEGINNING BALANCE]])=1,LoanAmount,INDEX(PaymentSchedule[ENDING BALANCE],ROW()-ROW(PaymentSchedule[[#Headers],[BEGINNING BALANCE]])-1)),"")</f>
        <v>1443153.6977985583</v>
      </c>
      <c r="E200" s="14">
        <f>IF(PaymentSchedule[[#This Row],[PMT NO]]&lt;&gt;"",ScheduledPayment,"")</f>
        <v>11400.419471082316</v>
      </c>
      <c r="F20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00" s="14">
        <f>IF(PaymentSchedule[[#This Row],[PMT NO]]&lt;&gt;"",PaymentSchedule[[#This Row],[TOTAL PAYMENT]]-PaymentSchedule[[#This Row],[INTEREST]],"")</f>
        <v>5988.5931043377223</v>
      </c>
      <c r="I200" s="14">
        <f>IF(PaymentSchedule[[#This Row],[PMT NO]]&lt;&gt;"",PaymentSchedule[[#This Row],[BEGINNING BALANCE]]*(InterestRate/PaymentsPerYear),"")</f>
        <v>5411.8263667445935</v>
      </c>
      <c r="J20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1437165.1046942205</v>
      </c>
      <c r="K200" s="14">
        <f>IF(PaymentSchedule[[#This Row],[PMT NO]]&lt;&gt;"",SUM(INDEX(PaymentSchedule[INTEREST],1,1):PaymentSchedule[[#This Row],[INTEREST]]),"")</f>
        <v>1341844.3847287793</v>
      </c>
    </row>
    <row r="201" spans="2:11" x14ac:dyDescent="0.2">
      <c r="B201" s="10">
        <f>IF(LoanIsGood,IF(ROW()-ROW(PaymentSchedule[[#Headers],[PMT NO]])&gt;ScheduledNumberOfPayments,"",ROW()-ROW(PaymentSchedule[[#Headers],[PMT NO]])),"")</f>
        <v>190</v>
      </c>
      <c r="C201" s="12">
        <f>IF(PaymentSchedule[[#This Row],[PMT NO]]&lt;&gt;"",EOMONTH(LoanStartDate,ROW(PaymentSchedule[[#This Row],[PMT NO]])-ROW(PaymentSchedule[[#Headers],[PMT NO]])-2)+DAY(LoanStartDate),"")</f>
        <v>50679</v>
      </c>
      <c r="D201" s="14">
        <f>IF(PaymentSchedule[[#This Row],[PMT NO]]&lt;&gt;"",IF(ROW()-ROW(PaymentSchedule[[#Headers],[BEGINNING BALANCE]])=1,LoanAmount,INDEX(PaymentSchedule[ENDING BALANCE],ROW()-ROW(PaymentSchedule[[#Headers],[BEGINNING BALANCE]])-1)),"")</f>
        <v>1437165.1046942205</v>
      </c>
      <c r="E201" s="14">
        <f>IF(PaymentSchedule[[#This Row],[PMT NO]]&lt;&gt;"",ScheduledPayment,"")</f>
        <v>11400.419471082316</v>
      </c>
      <c r="F20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01" s="14">
        <f>IF(PaymentSchedule[[#This Row],[PMT NO]]&lt;&gt;"",PaymentSchedule[[#This Row],[TOTAL PAYMENT]]-PaymentSchedule[[#This Row],[INTEREST]],"")</f>
        <v>6011.0503284789893</v>
      </c>
      <c r="I201" s="14">
        <f>IF(PaymentSchedule[[#This Row],[PMT NO]]&lt;&gt;"",PaymentSchedule[[#This Row],[BEGINNING BALANCE]]*(InterestRate/PaymentsPerYear),"")</f>
        <v>5389.3691426033265</v>
      </c>
      <c r="J20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1431154.0543657416</v>
      </c>
      <c r="K201" s="14">
        <f>IF(PaymentSchedule[[#This Row],[PMT NO]]&lt;&gt;"",SUM(INDEX(PaymentSchedule[INTEREST],1,1):PaymentSchedule[[#This Row],[INTEREST]]),"")</f>
        <v>1347233.7538713827</v>
      </c>
    </row>
    <row r="202" spans="2:11" x14ac:dyDescent="0.2">
      <c r="B202" s="10">
        <f>IF(LoanIsGood,IF(ROW()-ROW(PaymentSchedule[[#Headers],[PMT NO]])&gt;ScheduledNumberOfPayments,"",ROW()-ROW(PaymentSchedule[[#Headers],[PMT NO]])),"")</f>
        <v>191</v>
      </c>
      <c r="C202" s="12">
        <f>IF(PaymentSchedule[[#This Row],[PMT NO]]&lt;&gt;"",EOMONTH(LoanStartDate,ROW(PaymentSchedule[[#This Row],[PMT NO]])-ROW(PaymentSchedule[[#Headers],[PMT NO]])-2)+DAY(LoanStartDate),"")</f>
        <v>50710</v>
      </c>
      <c r="D202" s="14">
        <f>IF(PaymentSchedule[[#This Row],[PMT NO]]&lt;&gt;"",IF(ROW()-ROW(PaymentSchedule[[#Headers],[BEGINNING BALANCE]])=1,LoanAmount,INDEX(PaymentSchedule[ENDING BALANCE],ROW()-ROW(PaymentSchedule[[#Headers],[BEGINNING BALANCE]])-1)),"")</f>
        <v>1431154.0543657416</v>
      </c>
      <c r="E202" s="14">
        <f>IF(PaymentSchedule[[#This Row],[PMT NO]]&lt;&gt;"",ScheduledPayment,"")</f>
        <v>11400.419471082316</v>
      </c>
      <c r="F20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02" s="14">
        <f>IF(PaymentSchedule[[#This Row],[PMT NO]]&lt;&gt;"",PaymentSchedule[[#This Row],[TOTAL PAYMENT]]-PaymentSchedule[[#This Row],[INTEREST]],"")</f>
        <v>6033.5917672107853</v>
      </c>
      <c r="I202" s="14">
        <f>IF(PaymentSchedule[[#This Row],[PMT NO]]&lt;&gt;"",PaymentSchedule[[#This Row],[BEGINNING BALANCE]]*(InterestRate/PaymentsPerYear),"")</f>
        <v>5366.8277038715305</v>
      </c>
      <c r="J20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1425120.4625985308</v>
      </c>
      <c r="K202" s="14">
        <f>IF(PaymentSchedule[[#This Row],[PMT NO]]&lt;&gt;"",SUM(INDEX(PaymentSchedule[INTEREST],1,1):PaymentSchedule[[#This Row],[INTEREST]]),"")</f>
        <v>1352600.5815752542</v>
      </c>
    </row>
    <row r="203" spans="2:11" x14ac:dyDescent="0.2">
      <c r="B203" s="10">
        <f>IF(LoanIsGood,IF(ROW()-ROW(PaymentSchedule[[#Headers],[PMT NO]])&gt;ScheduledNumberOfPayments,"",ROW()-ROW(PaymentSchedule[[#Headers],[PMT NO]])),"")</f>
        <v>192</v>
      </c>
      <c r="C203" s="12">
        <f>IF(PaymentSchedule[[#This Row],[PMT NO]]&lt;&gt;"",EOMONTH(LoanStartDate,ROW(PaymentSchedule[[#This Row],[PMT NO]])-ROW(PaymentSchedule[[#Headers],[PMT NO]])-2)+DAY(LoanStartDate),"")</f>
        <v>50740</v>
      </c>
      <c r="D203" s="14">
        <f>IF(PaymentSchedule[[#This Row],[PMT NO]]&lt;&gt;"",IF(ROW()-ROW(PaymentSchedule[[#Headers],[BEGINNING BALANCE]])=1,LoanAmount,INDEX(PaymentSchedule[ENDING BALANCE],ROW()-ROW(PaymentSchedule[[#Headers],[BEGINNING BALANCE]])-1)),"")</f>
        <v>1425120.4625985308</v>
      </c>
      <c r="E203" s="14">
        <f>IF(PaymentSchedule[[#This Row],[PMT NO]]&lt;&gt;"",ScheduledPayment,"")</f>
        <v>11400.419471082316</v>
      </c>
      <c r="F20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03" s="14">
        <f>IF(PaymentSchedule[[#This Row],[PMT NO]]&lt;&gt;"",PaymentSchedule[[#This Row],[TOTAL PAYMENT]]-PaymentSchedule[[#This Row],[INTEREST]],"")</f>
        <v>6056.217736337825</v>
      </c>
      <c r="I203" s="14">
        <f>IF(PaymentSchedule[[#This Row],[PMT NO]]&lt;&gt;"",PaymentSchedule[[#This Row],[BEGINNING BALANCE]]*(InterestRate/PaymentsPerYear),"")</f>
        <v>5344.2017347444908</v>
      </c>
      <c r="J20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1419064.244862193</v>
      </c>
      <c r="K203" s="14">
        <f>IF(PaymentSchedule[[#This Row],[PMT NO]]&lt;&gt;"",SUM(INDEX(PaymentSchedule[INTEREST],1,1):PaymentSchedule[[#This Row],[INTEREST]]),"")</f>
        <v>1357944.7833099987</v>
      </c>
    </row>
    <row r="204" spans="2:11" x14ac:dyDescent="0.2">
      <c r="B204" s="10">
        <f>IF(LoanIsGood,IF(ROW()-ROW(PaymentSchedule[[#Headers],[PMT NO]])&gt;ScheduledNumberOfPayments,"",ROW()-ROW(PaymentSchedule[[#Headers],[PMT NO]])),"")</f>
        <v>193</v>
      </c>
      <c r="C204" s="12">
        <f>IF(PaymentSchedule[[#This Row],[PMT NO]]&lt;&gt;"",EOMONTH(LoanStartDate,ROW(PaymentSchedule[[#This Row],[PMT NO]])-ROW(PaymentSchedule[[#Headers],[PMT NO]])-2)+DAY(LoanStartDate),"")</f>
        <v>50771</v>
      </c>
      <c r="D204" s="14">
        <f>IF(PaymentSchedule[[#This Row],[PMT NO]]&lt;&gt;"",IF(ROW()-ROW(PaymentSchedule[[#Headers],[BEGINNING BALANCE]])=1,LoanAmount,INDEX(PaymentSchedule[ENDING BALANCE],ROW()-ROW(PaymentSchedule[[#Headers],[BEGINNING BALANCE]])-1)),"")</f>
        <v>1419064.244862193</v>
      </c>
      <c r="E204" s="14">
        <f>IF(PaymentSchedule[[#This Row],[PMT NO]]&lt;&gt;"",ScheduledPayment,"")</f>
        <v>11400.419471082316</v>
      </c>
      <c r="F20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04" s="14">
        <f>IF(PaymentSchedule[[#This Row],[PMT NO]]&lt;&gt;"",PaymentSchedule[[#This Row],[TOTAL PAYMENT]]-PaymentSchedule[[#This Row],[INTEREST]],"")</f>
        <v>6078.9285528490918</v>
      </c>
      <c r="I204" s="14">
        <f>IF(PaymentSchedule[[#This Row],[PMT NO]]&lt;&gt;"",PaymentSchedule[[#This Row],[BEGINNING BALANCE]]*(InterestRate/PaymentsPerYear),"")</f>
        <v>5321.490918233224</v>
      </c>
      <c r="J20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1412985.316309344</v>
      </c>
      <c r="K204" s="14">
        <f>IF(PaymentSchedule[[#This Row],[PMT NO]]&lt;&gt;"",SUM(INDEX(PaymentSchedule[INTEREST],1,1):PaymentSchedule[[#This Row],[INTEREST]]),"")</f>
        <v>1363266.274228232</v>
      </c>
    </row>
    <row r="205" spans="2:11" x14ac:dyDescent="0.2">
      <c r="B205" s="10">
        <f>IF(LoanIsGood,IF(ROW()-ROW(PaymentSchedule[[#Headers],[PMT NO]])&gt;ScheduledNumberOfPayments,"",ROW()-ROW(PaymentSchedule[[#Headers],[PMT NO]])),"")</f>
        <v>194</v>
      </c>
      <c r="C205" s="12">
        <f>IF(PaymentSchedule[[#This Row],[PMT NO]]&lt;&gt;"",EOMONTH(LoanStartDate,ROW(PaymentSchedule[[#This Row],[PMT NO]])-ROW(PaymentSchedule[[#Headers],[PMT NO]])-2)+DAY(LoanStartDate),"")</f>
        <v>50802</v>
      </c>
      <c r="D205" s="14">
        <f>IF(PaymentSchedule[[#This Row],[PMT NO]]&lt;&gt;"",IF(ROW()-ROW(PaymentSchedule[[#Headers],[BEGINNING BALANCE]])=1,LoanAmount,INDEX(PaymentSchedule[ENDING BALANCE],ROW()-ROW(PaymentSchedule[[#Headers],[BEGINNING BALANCE]])-1)),"")</f>
        <v>1412985.316309344</v>
      </c>
      <c r="E205" s="14">
        <f>IF(PaymentSchedule[[#This Row],[PMT NO]]&lt;&gt;"",ScheduledPayment,"")</f>
        <v>11400.419471082316</v>
      </c>
      <c r="F20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05" s="14">
        <f>IF(PaymentSchedule[[#This Row],[PMT NO]]&lt;&gt;"",PaymentSchedule[[#This Row],[TOTAL PAYMENT]]-PaymentSchedule[[#This Row],[INTEREST]],"")</f>
        <v>6101.7245349222758</v>
      </c>
      <c r="I205" s="14">
        <f>IF(PaymentSchedule[[#This Row],[PMT NO]]&lt;&gt;"",PaymentSchedule[[#This Row],[BEGINNING BALANCE]]*(InterestRate/PaymentsPerYear),"")</f>
        <v>5298.69493616004</v>
      </c>
      <c r="J20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1406883.5917744217</v>
      </c>
      <c r="K205" s="14">
        <f>IF(PaymentSchedule[[#This Row],[PMT NO]]&lt;&gt;"",SUM(INDEX(PaymentSchedule[INTEREST],1,1):PaymentSchedule[[#This Row],[INTEREST]]),"")</f>
        <v>1368564.969164392</v>
      </c>
    </row>
    <row r="206" spans="2:11" x14ac:dyDescent="0.2">
      <c r="B206" s="10">
        <f>IF(LoanIsGood,IF(ROW()-ROW(PaymentSchedule[[#Headers],[PMT NO]])&gt;ScheduledNumberOfPayments,"",ROW()-ROW(PaymentSchedule[[#Headers],[PMT NO]])),"")</f>
        <v>195</v>
      </c>
      <c r="C206" s="12">
        <f>IF(PaymentSchedule[[#This Row],[PMT NO]]&lt;&gt;"",EOMONTH(LoanStartDate,ROW(PaymentSchedule[[#This Row],[PMT NO]])-ROW(PaymentSchedule[[#Headers],[PMT NO]])-2)+DAY(LoanStartDate),"")</f>
        <v>50830</v>
      </c>
      <c r="D206" s="14">
        <f>IF(PaymentSchedule[[#This Row],[PMT NO]]&lt;&gt;"",IF(ROW()-ROW(PaymentSchedule[[#Headers],[BEGINNING BALANCE]])=1,LoanAmount,INDEX(PaymentSchedule[ENDING BALANCE],ROW()-ROW(PaymentSchedule[[#Headers],[BEGINNING BALANCE]])-1)),"")</f>
        <v>1406883.5917744217</v>
      </c>
      <c r="E206" s="14">
        <f>IF(PaymentSchedule[[#This Row],[PMT NO]]&lt;&gt;"",ScheduledPayment,"")</f>
        <v>11400.419471082316</v>
      </c>
      <c r="F20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06" s="14">
        <f>IF(PaymentSchedule[[#This Row],[PMT NO]]&lt;&gt;"",PaymentSchedule[[#This Row],[TOTAL PAYMENT]]-PaymentSchedule[[#This Row],[INTEREST]],"")</f>
        <v>6124.606001928234</v>
      </c>
      <c r="I206" s="14">
        <f>IF(PaymentSchedule[[#This Row],[PMT NO]]&lt;&gt;"",PaymentSchedule[[#This Row],[BEGINNING BALANCE]]*(InterestRate/PaymentsPerYear),"")</f>
        <v>5275.8134691540818</v>
      </c>
      <c r="J20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1400758.9857724935</v>
      </c>
      <c r="K206" s="14">
        <f>IF(PaymentSchedule[[#This Row],[PMT NO]]&lt;&gt;"",SUM(INDEX(PaymentSchedule[INTEREST],1,1):PaymentSchedule[[#This Row],[INTEREST]]),"")</f>
        <v>1373840.782633546</v>
      </c>
    </row>
    <row r="207" spans="2:11" x14ac:dyDescent="0.2">
      <c r="B207" s="10">
        <f>IF(LoanIsGood,IF(ROW()-ROW(PaymentSchedule[[#Headers],[PMT NO]])&gt;ScheduledNumberOfPayments,"",ROW()-ROW(PaymentSchedule[[#Headers],[PMT NO]])),"")</f>
        <v>196</v>
      </c>
      <c r="C207" s="12">
        <f>IF(PaymentSchedule[[#This Row],[PMT NO]]&lt;&gt;"",EOMONTH(LoanStartDate,ROW(PaymentSchedule[[#This Row],[PMT NO]])-ROW(PaymentSchedule[[#Headers],[PMT NO]])-2)+DAY(LoanStartDate),"")</f>
        <v>50861</v>
      </c>
      <c r="D207" s="14">
        <f>IF(PaymentSchedule[[#This Row],[PMT NO]]&lt;&gt;"",IF(ROW()-ROW(PaymentSchedule[[#Headers],[BEGINNING BALANCE]])=1,LoanAmount,INDEX(PaymentSchedule[ENDING BALANCE],ROW()-ROW(PaymentSchedule[[#Headers],[BEGINNING BALANCE]])-1)),"")</f>
        <v>1400758.9857724935</v>
      </c>
      <c r="E207" s="14">
        <f>IF(PaymentSchedule[[#This Row],[PMT NO]]&lt;&gt;"",ScheduledPayment,"")</f>
        <v>11400.419471082316</v>
      </c>
      <c r="F20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07" s="14">
        <f>IF(PaymentSchedule[[#This Row],[PMT NO]]&lt;&gt;"",PaymentSchedule[[#This Row],[TOTAL PAYMENT]]-PaymentSchedule[[#This Row],[INTEREST]],"")</f>
        <v>6147.5732744354655</v>
      </c>
      <c r="I207" s="14">
        <f>IF(PaymentSchedule[[#This Row],[PMT NO]]&lt;&gt;"",PaymentSchedule[[#This Row],[BEGINNING BALANCE]]*(InterestRate/PaymentsPerYear),"")</f>
        <v>5252.8461966468503</v>
      </c>
      <c r="J20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1394611.4124980581</v>
      </c>
      <c r="K207" s="14">
        <f>IF(PaymentSchedule[[#This Row],[PMT NO]]&lt;&gt;"",SUM(INDEX(PaymentSchedule[INTEREST],1,1):PaymentSchedule[[#This Row],[INTEREST]]),"")</f>
        <v>1379093.6288301928</v>
      </c>
    </row>
    <row r="208" spans="2:11" x14ac:dyDescent="0.2">
      <c r="B208" s="10">
        <f>IF(LoanIsGood,IF(ROW()-ROW(PaymentSchedule[[#Headers],[PMT NO]])&gt;ScheduledNumberOfPayments,"",ROW()-ROW(PaymentSchedule[[#Headers],[PMT NO]])),"")</f>
        <v>197</v>
      </c>
      <c r="C208" s="12">
        <f>IF(PaymentSchedule[[#This Row],[PMT NO]]&lt;&gt;"",EOMONTH(LoanStartDate,ROW(PaymentSchedule[[#This Row],[PMT NO]])-ROW(PaymentSchedule[[#Headers],[PMT NO]])-2)+DAY(LoanStartDate),"")</f>
        <v>50891</v>
      </c>
      <c r="D208" s="14">
        <f>IF(PaymentSchedule[[#This Row],[PMT NO]]&lt;&gt;"",IF(ROW()-ROW(PaymentSchedule[[#Headers],[BEGINNING BALANCE]])=1,LoanAmount,INDEX(PaymentSchedule[ENDING BALANCE],ROW()-ROW(PaymentSchedule[[#Headers],[BEGINNING BALANCE]])-1)),"")</f>
        <v>1394611.4124980581</v>
      </c>
      <c r="E208" s="14">
        <f>IF(PaymentSchedule[[#This Row],[PMT NO]]&lt;&gt;"",ScheduledPayment,"")</f>
        <v>11400.419471082316</v>
      </c>
      <c r="F20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08" s="14">
        <f>IF(PaymentSchedule[[#This Row],[PMT NO]]&lt;&gt;"",PaymentSchedule[[#This Row],[TOTAL PAYMENT]]-PaymentSchedule[[#This Row],[INTEREST]],"")</f>
        <v>6170.6266742145981</v>
      </c>
      <c r="I208" s="14">
        <f>IF(PaymentSchedule[[#This Row],[PMT NO]]&lt;&gt;"",PaymentSchedule[[#This Row],[BEGINNING BALANCE]]*(InterestRate/PaymentsPerYear),"")</f>
        <v>5229.7927968677177</v>
      </c>
      <c r="J20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1388440.7858238434</v>
      </c>
      <c r="K208" s="14">
        <f>IF(PaymentSchedule[[#This Row],[PMT NO]]&lt;&gt;"",SUM(INDEX(PaymentSchedule[INTEREST],1,1):PaymentSchedule[[#This Row],[INTEREST]]),"")</f>
        <v>1384323.4216270605</v>
      </c>
    </row>
    <row r="209" spans="2:11" x14ac:dyDescent="0.2">
      <c r="B209" s="10">
        <f>IF(LoanIsGood,IF(ROW()-ROW(PaymentSchedule[[#Headers],[PMT NO]])&gt;ScheduledNumberOfPayments,"",ROW()-ROW(PaymentSchedule[[#Headers],[PMT NO]])),"")</f>
        <v>198</v>
      </c>
      <c r="C209" s="12">
        <f>IF(PaymentSchedule[[#This Row],[PMT NO]]&lt;&gt;"",EOMONTH(LoanStartDate,ROW(PaymentSchedule[[#This Row],[PMT NO]])-ROW(PaymentSchedule[[#Headers],[PMT NO]])-2)+DAY(LoanStartDate),"")</f>
        <v>50922</v>
      </c>
      <c r="D209" s="14">
        <f>IF(PaymentSchedule[[#This Row],[PMT NO]]&lt;&gt;"",IF(ROW()-ROW(PaymentSchedule[[#Headers],[BEGINNING BALANCE]])=1,LoanAmount,INDEX(PaymentSchedule[ENDING BALANCE],ROW()-ROW(PaymentSchedule[[#Headers],[BEGINNING BALANCE]])-1)),"")</f>
        <v>1388440.7858238434</v>
      </c>
      <c r="E209" s="14">
        <f>IF(PaymentSchedule[[#This Row],[PMT NO]]&lt;&gt;"",ScheduledPayment,"")</f>
        <v>11400.419471082316</v>
      </c>
      <c r="F20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09" s="14">
        <f>IF(PaymentSchedule[[#This Row],[PMT NO]]&lt;&gt;"",PaymentSchedule[[#This Row],[TOTAL PAYMENT]]-PaymentSchedule[[#This Row],[INTEREST]],"")</f>
        <v>6193.766524242903</v>
      </c>
      <c r="I209" s="14">
        <f>IF(PaymentSchedule[[#This Row],[PMT NO]]&lt;&gt;"",PaymentSchedule[[#This Row],[BEGINNING BALANCE]]*(InterestRate/PaymentsPerYear),"")</f>
        <v>5206.6529468394128</v>
      </c>
      <c r="J20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1382247.0192996005</v>
      </c>
      <c r="K209" s="14">
        <f>IF(PaymentSchedule[[#This Row],[PMT NO]]&lt;&gt;"",SUM(INDEX(PaymentSchedule[INTEREST],1,1):PaymentSchedule[[#This Row],[INTEREST]]),"")</f>
        <v>1389530.0745738999</v>
      </c>
    </row>
    <row r="210" spans="2:11" x14ac:dyDescent="0.2">
      <c r="B210" s="10">
        <f>IF(LoanIsGood,IF(ROW()-ROW(PaymentSchedule[[#Headers],[PMT NO]])&gt;ScheduledNumberOfPayments,"",ROW()-ROW(PaymentSchedule[[#Headers],[PMT NO]])),"")</f>
        <v>199</v>
      </c>
      <c r="C210" s="12">
        <f>IF(PaymentSchedule[[#This Row],[PMT NO]]&lt;&gt;"",EOMONTH(LoanStartDate,ROW(PaymentSchedule[[#This Row],[PMT NO]])-ROW(PaymentSchedule[[#Headers],[PMT NO]])-2)+DAY(LoanStartDate),"")</f>
        <v>50952</v>
      </c>
      <c r="D210" s="14">
        <f>IF(PaymentSchedule[[#This Row],[PMT NO]]&lt;&gt;"",IF(ROW()-ROW(PaymentSchedule[[#Headers],[BEGINNING BALANCE]])=1,LoanAmount,INDEX(PaymentSchedule[ENDING BALANCE],ROW()-ROW(PaymentSchedule[[#Headers],[BEGINNING BALANCE]])-1)),"")</f>
        <v>1382247.0192996005</v>
      </c>
      <c r="E210" s="14">
        <f>IF(PaymentSchedule[[#This Row],[PMT NO]]&lt;&gt;"",ScheduledPayment,"")</f>
        <v>11400.419471082316</v>
      </c>
      <c r="F21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10" s="14">
        <f>IF(PaymentSchedule[[#This Row],[PMT NO]]&lt;&gt;"",PaymentSchedule[[#This Row],[TOTAL PAYMENT]]-PaymentSchedule[[#This Row],[INTEREST]],"")</f>
        <v>6216.9931487088143</v>
      </c>
      <c r="I210" s="14">
        <f>IF(PaymentSchedule[[#This Row],[PMT NO]]&lt;&gt;"",PaymentSchedule[[#This Row],[BEGINNING BALANCE]]*(InterestRate/PaymentsPerYear),"")</f>
        <v>5183.4263223735015</v>
      </c>
      <c r="J21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1376030.0261508918</v>
      </c>
      <c r="K210" s="14">
        <f>IF(PaymentSchedule[[#This Row],[PMT NO]]&lt;&gt;"",SUM(INDEX(PaymentSchedule[INTEREST],1,1):PaymentSchedule[[#This Row],[INTEREST]]),"")</f>
        <v>1394713.5008962734</v>
      </c>
    </row>
    <row r="211" spans="2:11" x14ac:dyDescent="0.2">
      <c r="B211" s="10">
        <f>IF(LoanIsGood,IF(ROW()-ROW(PaymentSchedule[[#Headers],[PMT NO]])&gt;ScheduledNumberOfPayments,"",ROW()-ROW(PaymentSchedule[[#Headers],[PMT NO]])),"")</f>
        <v>200</v>
      </c>
      <c r="C211" s="12">
        <f>IF(PaymentSchedule[[#This Row],[PMT NO]]&lt;&gt;"",EOMONTH(LoanStartDate,ROW(PaymentSchedule[[#This Row],[PMT NO]])-ROW(PaymentSchedule[[#Headers],[PMT NO]])-2)+DAY(LoanStartDate),"")</f>
        <v>50983</v>
      </c>
      <c r="D211" s="14">
        <f>IF(PaymentSchedule[[#This Row],[PMT NO]]&lt;&gt;"",IF(ROW()-ROW(PaymentSchedule[[#Headers],[BEGINNING BALANCE]])=1,LoanAmount,INDEX(PaymentSchedule[ENDING BALANCE],ROW()-ROW(PaymentSchedule[[#Headers],[BEGINNING BALANCE]])-1)),"")</f>
        <v>1376030.0261508918</v>
      </c>
      <c r="E211" s="14">
        <f>IF(PaymentSchedule[[#This Row],[PMT NO]]&lt;&gt;"",ScheduledPayment,"")</f>
        <v>11400.419471082316</v>
      </c>
      <c r="F21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11" s="14">
        <f>IF(PaymentSchedule[[#This Row],[PMT NO]]&lt;&gt;"",PaymentSchedule[[#This Row],[TOTAL PAYMENT]]-PaymentSchedule[[#This Row],[INTEREST]],"")</f>
        <v>6240.3068730164714</v>
      </c>
      <c r="I211" s="14">
        <f>IF(PaymentSchedule[[#This Row],[PMT NO]]&lt;&gt;"",PaymentSchedule[[#This Row],[BEGINNING BALANCE]]*(InterestRate/PaymentsPerYear),"")</f>
        <v>5160.1125980658444</v>
      </c>
      <c r="J21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1369789.7192778753</v>
      </c>
      <c r="K211" s="14">
        <f>IF(PaymentSchedule[[#This Row],[PMT NO]]&lt;&gt;"",SUM(INDEX(PaymentSchedule[INTEREST],1,1):PaymentSchedule[[#This Row],[INTEREST]]),"")</f>
        <v>1399873.6134943392</v>
      </c>
    </row>
    <row r="212" spans="2:11" x14ac:dyDescent="0.2">
      <c r="B212" s="10">
        <f>IF(LoanIsGood,IF(ROW()-ROW(PaymentSchedule[[#Headers],[PMT NO]])&gt;ScheduledNumberOfPayments,"",ROW()-ROW(PaymentSchedule[[#Headers],[PMT NO]])),"")</f>
        <v>201</v>
      </c>
      <c r="C212" s="12">
        <f>IF(PaymentSchedule[[#This Row],[PMT NO]]&lt;&gt;"",EOMONTH(LoanStartDate,ROW(PaymentSchedule[[#This Row],[PMT NO]])-ROW(PaymentSchedule[[#Headers],[PMT NO]])-2)+DAY(LoanStartDate),"")</f>
        <v>51014</v>
      </c>
      <c r="D212" s="14">
        <f>IF(PaymentSchedule[[#This Row],[PMT NO]]&lt;&gt;"",IF(ROW()-ROW(PaymentSchedule[[#Headers],[BEGINNING BALANCE]])=1,LoanAmount,INDEX(PaymentSchedule[ENDING BALANCE],ROW()-ROW(PaymentSchedule[[#Headers],[BEGINNING BALANCE]])-1)),"")</f>
        <v>1369789.7192778753</v>
      </c>
      <c r="E212" s="14">
        <f>IF(PaymentSchedule[[#This Row],[PMT NO]]&lt;&gt;"",ScheduledPayment,"")</f>
        <v>11400.419471082316</v>
      </c>
      <c r="F21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12" s="14">
        <f>IF(PaymentSchedule[[#This Row],[PMT NO]]&lt;&gt;"",PaymentSchedule[[#This Row],[TOTAL PAYMENT]]-PaymentSchedule[[#This Row],[INTEREST]],"")</f>
        <v>6263.7080237902837</v>
      </c>
      <c r="I212" s="14">
        <f>IF(PaymentSchedule[[#This Row],[PMT NO]]&lt;&gt;"",PaymentSchedule[[#This Row],[BEGINNING BALANCE]]*(InterestRate/PaymentsPerYear),"")</f>
        <v>5136.7114472920321</v>
      </c>
      <c r="J21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1363526.011254085</v>
      </c>
      <c r="K212" s="14">
        <f>IF(PaymentSchedule[[#This Row],[PMT NO]]&lt;&gt;"",SUM(INDEX(PaymentSchedule[INTEREST],1,1):PaymentSchedule[[#This Row],[INTEREST]]),"")</f>
        <v>1405010.3249416312</v>
      </c>
    </row>
    <row r="213" spans="2:11" x14ac:dyDescent="0.2">
      <c r="B213" s="10">
        <f>IF(LoanIsGood,IF(ROW()-ROW(PaymentSchedule[[#Headers],[PMT NO]])&gt;ScheduledNumberOfPayments,"",ROW()-ROW(PaymentSchedule[[#Headers],[PMT NO]])),"")</f>
        <v>202</v>
      </c>
      <c r="C213" s="12">
        <f>IF(PaymentSchedule[[#This Row],[PMT NO]]&lt;&gt;"",EOMONTH(LoanStartDate,ROW(PaymentSchedule[[#This Row],[PMT NO]])-ROW(PaymentSchedule[[#Headers],[PMT NO]])-2)+DAY(LoanStartDate),"")</f>
        <v>51044</v>
      </c>
      <c r="D213" s="14">
        <f>IF(PaymentSchedule[[#This Row],[PMT NO]]&lt;&gt;"",IF(ROW()-ROW(PaymentSchedule[[#Headers],[BEGINNING BALANCE]])=1,LoanAmount,INDEX(PaymentSchedule[ENDING BALANCE],ROW()-ROW(PaymentSchedule[[#Headers],[BEGINNING BALANCE]])-1)),"")</f>
        <v>1363526.011254085</v>
      </c>
      <c r="E213" s="14">
        <f>IF(PaymentSchedule[[#This Row],[PMT NO]]&lt;&gt;"",ScheduledPayment,"")</f>
        <v>11400.419471082316</v>
      </c>
      <c r="F21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13" s="14">
        <f>IF(PaymentSchedule[[#This Row],[PMT NO]]&lt;&gt;"",PaymentSchedule[[#This Row],[TOTAL PAYMENT]]-PaymentSchedule[[#This Row],[INTEREST]],"")</f>
        <v>6287.1969288794971</v>
      </c>
      <c r="I213" s="14">
        <f>IF(PaymentSchedule[[#This Row],[PMT NO]]&lt;&gt;"",PaymentSchedule[[#This Row],[BEGINNING BALANCE]]*(InterestRate/PaymentsPerYear),"")</f>
        <v>5113.2225422028187</v>
      </c>
      <c r="J21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1357238.8143252055</v>
      </c>
      <c r="K213" s="14">
        <f>IF(PaymentSchedule[[#This Row],[PMT NO]]&lt;&gt;"",SUM(INDEX(PaymentSchedule[INTEREST],1,1):PaymentSchedule[[#This Row],[INTEREST]]),"")</f>
        <v>1410123.547483834</v>
      </c>
    </row>
    <row r="214" spans="2:11" x14ac:dyDescent="0.2">
      <c r="B214" s="10">
        <f>IF(LoanIsGood,IF(ROW()-ROW(PaymentSchedule[[#Headers],[PMT NO]])&gt;ScheduledNumberOfPayments,"",ROW()-ROW(PaymentSchedule[[#Headers],[PMT NO]])),"")</f>
        <v>203</v>
      </c>
      <c r="C214" s="12">
        <f>IF(PaymentSchedule[[#This Row],[PMT NO]]&lt;&gt;"",EOMONTH(LoanStartDate,ROW(PaymentSchedule[[#This Row],[PMT NO]])-ROW(PaymentSchedule[[#Headers],[PMT NO]])-2)+DAY(LoanStartDate),"")</f>
        <v>51075</v>
      </c>
      <c r="D214" s="14">
        <f>IF(PaymentSchedule[[#This Row],[PMT NO]]&lt;&gt;"",IF(ROW()-ROW(PaymentSchedule[[#Headers],[BEGINNING BALANCE]])=1,LoanAmount,INDEX(PaymentSchedule[ENDING BALANCE],ROW()-ROW(PaymentSchedule[[#Headers],[BEGINNING BALANCE]])-1)),"")</f>
        <v>1357238.8143252055</v>
      </c>
      <c r="E214" s="14">
        <f>IF(PaymentSchedule[[#This Row],[PMT NO]]&lt;&gt;"",ScheduledPayment,"")</f>
        <v>11400.419471082316</v>
      </c>
      <c r="F21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14" s="14">
        <f>IF(PaymentSchedule[[#This Row],[PMT NO]]&lt;&gt;"",PaymentSchedule[[#This Row],[TOTAL PAYMENT]]-PaymentSchedule[[#This Row],[INTEREST]],"")</f>
        <v>6310.7739173627951</v>
      </c>
      <c r="I214" s="14">
        <f>IF(PaymentSchedule[[#This Row],[PMT NO]]&lt;&gt;"",PaymentSchedule[[#This Row],[BEGINNING BALANCE]]*(InterestRate/PaymentsPerYear),"")</f>
        <v>5089.6455537195206</v>
      </c>
      <c r="J21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1350928.0404078427</v>
      </c>
      <c r="K214" s="14">
        <f>IF(PaymentSchedule[[#This Row],[PMT NO]]&lt;&gt;"",SUM(INDEX(PaymentSchedule[INTEREST],1,1):PaymentSchedule[[#This Row],[INTEREST]]),"")</f>
        <v>1415213.1930375535</v>
      </c>
    </row>
    <row r="215" spans="2:11" x14ac:dyDescent="0.2">
      <c r="B215" s="10">
        <f>IF(LoanIsGood,IF(ROW()-ROW(PaymentSchedule[[#Headers],[PMT NO]])&gt;ScheduledNumberOfPayments,"",ROW()-ROW(PaymentSchedule[[#Headers],[PMT NO]])),"")</f>
        <v>204</v>
      </c>
      <c r="C215" s="12">
        <f>IF(PaymentSchedule[[#This Row],[PMT NO]]&lt;&gt;"",EOMONTH(LoanStartDate,ROW(PaymentSchedule[[#This Row],[PMT NO]])-ROW(PaymentSchedule[[#Headers],[PMT NO]])-2)+DAY(LoanStartDate),"")</f>
        <v>51105</v>
      </c>
      <c r="D215" s="14">
        <f>IF(PaymentSchedule[[#This Row],[PMT NO]]&lt;&gt;"",IF(ROW()-ROW(PaymentSchedule[[#Headers],[BEGINNING BALANCE]])=1,LoanAmount,INDEX(PaymentSchedule[ENDING BALANCE],ROW()-ROW(PaymentSchedule[[#Headers],[BEGINNING BALANCE]])-1)),"")</f>
        <v>1350928.0404078427</v>
      </c>
      <c r="E215" s="14">
        <f>IF(PaymentSchedule[[#This Row],[PMT NO]]&lt;&gt;"",ScheduledPayment,"")</f>
        <v>11400.419471082316</v>
      </c>
      <c r="F21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15" s="14">
        <f>IF(PaymentSchedule[[#This Row],[PMT NO]]&lt;&gt;"",PaymentSchedule[[#This Row],[TOTAL PAYMENT]]-PaymentSchedule[[#This Row],[INTEREST]],"")</f>
        <v>6334.4393195529055</v>
      </c>
      <c r="I215" s="14">
        <f>IF(PaymentSchedule[[#This Row],[PMT NO]]&lt;&gt;"",PaymentSchedule[[#This Row],[BEGINNING BALANCE]]*(InterestRate/PaymentsPerYear),"")</f>
        <v>5065.9801515294103</v>
      </c>
      <c r="J21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1344593.6010882899</v>
      </c>
      <c r="K215" s="14">
        <f>IF(PaymentSchedule[[#This Row],[PMT NO]]&lt;&gt;"",SUM(INDEX(PaymentSchedule[INTEREST],1,1):PaymentSchedule[[#This Row],[INTEREST]]),"")</f>
        <v>1420279.1731890829</v>
      </c>
    </row>
    <row r="216" spans="2:11" x14ac:dyDescent="0.2">
      <c r="B216" s="10">
        <f>IF(LoanIsGood,IF(ROW()-ROW(PaymentSchedule[[#Headers],[PMT NO]])&gt;ScheduledNumberOfPayments,"",ROW()-ROW(PaymentSchedule[[#Headers],[PMT NO]])),"")</f>
        <v>205</v>
      </c>
      <c r="C216" s="12">
        <f>IF(PaymentSchedule[[#This Row],[PMT NO]]&lt;&gt;"",EOMONTH(LoanStartDate,ROW(PaymentSchedule[[#This Row],[PMT NO]])-ROW(PaymentSchedule[[#Headers],[PMT NO]])-2)+DAY(LoanStartDate),"")</f>
        <v>51136</v>
      </c>
      <c r="D216" s="14">
        <f>IF(PaymentSchedule[[#This Row],[PMT NO]]&lt;&gt;"",IF(ROW()-ROW(PaymentSchedule[[#Headers],[BEGINNING BALANCE]])=1,LoanAmount,INDEX(PaymentSchedule[ENDING BALANCE],ROW()-ROW(PaymentSchedule[[#Headers],[BEGINNING BALANCE]])-1)),"")</f>
        <v>1344593.6010882899</v>
      </c>
      <c r="E216" s="14">
        <f>IF(PaymentSchedule[[#This Row],[PMT NO]]&lt;&gt;"",ScheduledPayment,"")</f>
        <v>11400.419471082316</v>
      </c>
      <c r="F21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16" s="14">
        <f>IF(PaymentSchedule[[#This Row],[PMT NO]]&lt;&gt;"",PaymentSchedule[[#This Row],[TOTAL PAYMENT]]-PaymentSchedule[[#This Row],[INTEREST]],"")</f>
        <v>6358.1934670012288</v>
      </c>
      <c r="I216" s="14">
        <f>IF(PaymentSchedule[[#This Row],[PMT NO]]&lt;&gt;"",PaymentSchedule[[#This Row],[BEGINNING BALANCE]]*(InterestRate/PaymentsPerYear),"")</f>
        <v>5042.226004081087</v>
      </c>
      <c r="J21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1338235.4076212887</v>
      </c>
      <c r="K216" s="14">
        <f>IF(PaymentSchedule[[#This Row],[PMT NO]]&lt;&gt;"",SUM(INDEX(PaymentSchedule[INTEREST],1,1):PaymentSchedule[[#This Row],[INTEREST]]),"")</f>
        <v>1425321.399193164</v>
      </c>
    </row>
    <row r="217" spans="2:11" x14ac:dyDescent="0.2">
      <c r="B217" s="10">
        <f>IF(LoanIsGood,IF(ROW()-ROW(PaymentSchedule[[#Headers],[PMT NO]])&gt;ScheduledNumberOfPayments,"",ROW()-ROW(PaymentSchedule[[#Headers],[PMT NO]])),"")</f>
        <v>206</v>
      </c>
      <c r="C217" s="12">
        <f>IF(PaymentSchedule[[#This Row],[PMT NO]]&lt;&gt;"",EOMONTH(LoanStartDate,ROW(PaymentSchedule[[#This Row],[PMT NO]])-ROW(PaymentSchedule[[#Headers],[PMT NO]])-2)+DAY(LoanStartDate),"")</f>
        <v>51167</v>
      </c>
      <c r="D217" s="14">
        <f>IF(PaymentSchedule[[#This Row],[PMT NO]]&lt;&gt;"",IF(ROW()-ROW(PaymentSchedule[[#Headers],[BEGINNING BALANCE]])=1,LoanAmount,INDEX(PaymentSchedule[ENDING BALANCE],ROW()-ROW(PaymentSchedule[[#Headers],[BEGINNING BALANCE]])-1)),"")</f>
        <v>1338235.4076212887</v>
      </c>
      <c r="E217" s="14">
        <f>IF(PaymentSchedule[[#This Row],[PMT NO]]&lt;&gt;"",ScheduledPayment,"")</f>
        <v>11400.419471082316</v>
      </c>
      <c r="F21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17" s="14">
        <f>IF(PaymentSchedule[[#This Row],[PMT NO]]&lt;&gt;"",PaymentSchedule[[#This Row],[TOTAL PAYMENT]]-PaymentSchedule[[#This Row],[INTEREST]],"")</f>
        <v>6382.0366925024837</v>
      </c>
      <c r="I217" s="14">
        <f>IF(PaymentSchedule[[#This Row],[PMT NO]]&lt;&gt;"",PaymentSchedule[[#This Row],[BEGINNING BALANCE]]*(InterestRate/PaymentsPerYear),"")</f>
        <v>5018.3827785798321</v>
      </c>
      <c r="J21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1331853.3709287862</v>
      </c>
      <c r="K217" s="14">
        <f>IF(PaymentSchedule[[#This Row],[PMT NO]]&lt;&gt;"",SUM(INDEX(PaymentSchedule[INTEREST],1,1):PaymentSchedule[[#This Row],[INTEREST]]),"")</f>
        <v>1430339.7819717438</v>
      </c>
    </row>
    <row r="218" spans="2:11" x14ac:dyDescent="0.2">
      <c r="B218" s="10">
        <f>IF(LoanIsGood,IF(ROW()-ROW(PaymentSchedule[[#Headers],[PMT NO]])&gt;ScheduledNumberOfPayments,"",ROW()-ROW(PaymentSchedule[[#Headers],[PMT NO]])),"")</f>
        <v>207</v>
      </c>
      <c r="C218" s="12">
        <f>IF(PaymentSchedule[[#This Row],[PMT NO]]&lt;&gt;"",EOMONTH(LoanStartDate,ROW(PaymentSchedule[[#This Row],[PMT NO]])-ROW(PaymentSchedule[[#Headers],[PMT NO]])-2)+DAY(LoanStartDate),"")</f>
        <v>51196</v>
      </c>
      <c r="D218" s="14">
        <f>IF(PaymentSchedule[[#This Row],[PMT NO]]&lt;&gt;"",IF(ROW()-ROW(PaymentSchedule[[#Headers],[BEGINNING BALANCE]])=1,LoanAmount,INDEX(PaymentSchedule[ENDING BALANCE],ROW()-ROW(PaymentSchedule[[#Headers],[BEGINNING BALANCE]])-1)),"")</f>
        <v>1331853.3709287862</v>
      </c>
      <c r="E218" s="14">
        <f>IF(PaymentSchedule[[#This Row],[PMT NO]]&lt;&gt;"",ScheduledPayment,"")</f>
        <v>11400.419471082316</v>
      </c>
      <c r="F21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18" s="14">
        <f>IF(PaymentSchedule[[#This Row],[PMT NO]]&lt;&gt;"",PaymentSchedule[[#This Row],[TOTAL PAYMENT]]-PaymentSchedule[[#This Row],[INTEREST]],"")</f>
        <v>6405.9693300993677</v>
      </c>
      <c r="I218" s="14">
        <f>IF(PaymentSchedule[[#This Row],[PMT NO]]&lt;&gt;"",PaymentSchedule[[#This Row],[BEGINNING BALANCE]]*(InterestRate/PaymentsPerYear),"")</f>
        <v>4994.4501409829481</v>
      </c>
      <c r="J21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1325447.4015986868</v>
      </c>
      <c r="K218" s="14">
        <f>IF(PaymentSchedule[[#This Row],[PMT NO]]&lt;&gt;"",SUM(INDEX(PaymentSchedule[INTEREST],1,1):PaymentSchedule[[#This Row],[INTEREST]]),"")</f>
        <v>1435334.2321127267</v>
      </c>
    </row>
    <row r="219" spans="2:11" x14ac:dyDescent="0.2">
      <c r="B219" s="10">
        <f>IF(LoanIsGood,IF(ROW()-ROW(PaymentSchedule[[#Headers],[PMT NO]])&gt;ScheduledNumberOfPayments,"",ROW()-ROW(PaymentSchedule[[#Headers],[PMT NO]])),"")</f>
        <v>208</v>
      </c>
      <c r="C219" s="12">
        <f>IF(PaymentSchedule[[#This Row],[PMT NO]]&lt;&gt;"",EOMONTH(LoanStartDate,ROW(PaymentSchedule[[#This Row],[PMT NO]])-ROW(PaymentSchedule[[#Headers],[PMT NO]])-2)+DAY(LoanStartDate),"")</f>
        <v>51227</v>
      </c>
      <c r="D219" s="14">
        <f>IF(PaymentSchedule[[#This Row],[PMT NO]]&lt;&gt;"",IF(ROW()-ROW(PaymentSchedule[[#Headers],[BEGINNING BALANCE]])=1,LoanAmount,INDEX(PaymentSchedule[ENDING BALANCE],ROW()-ROW(PaymentSchedule[[#Headers],[BEGINNING BALANCE]])-1)),"")</f>
        <v>1325447.4015986868</v>
      </c>
      <c r="E219" s="14">
        <f>IF(PaymentSchedule[[#This Row],[PMT NO]]&lt;&gt;"",ScheduledPayment,"")</f>
        <v>11400.419471082316</v>
      </c>
      <c r="F21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19" s="14">
        <f>IF(PaymentSchedule[[#This Row],[PMT NO]]&lt;&gt;"",PaymentSchedule[[#This Row],[TOTAL PAYMENT]]-PaymentSchedule[[#This Row],[INTEREST]],"")</f>
        <v>6429.9917150872407</v>
      </c>
      <c r="I219" s="14">
        <f>IF(PaymentSchedule[[#This Row],[PMT NO]]&lt;&gt;"",PaymentSchedule[[#This Row],[BEGINNING BALANCE]]*(InterestRate/PaymentsPerYear),"")</f>
        <v>4970.4277559950751</v>
      </c>
      <c r="J21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1319017.4098835995</v>
      </c>
      <c r="K219" s="14">
        <f>IF(PaymentSchedule[[#This Row],[PMT NO]]&lt;&gt;"",SUM(INDEX(PaymentSchedule[INTEREST],1,1):PaymentSchedule[[#This Row],[INTEREST]]),"")</f>
        <v>1440304.6598687219</v>
      </c>
    </row>
    <row r="220" spans="2:11" x14ac:dyDescent="0.2">
      <c r="B220" s="10">
        <f>IF(LoanIsGood,IF(ROW()-ROW(PaymentSchedule[[#Headers],[PMT NO]])&gt;ScheduledNumberOfPayments,"",ROW()-ROW(PaymentSchedule[[#Headers],[PMT NO]])),"")</f>
        <v>209</v>
      </c>
      <c r="C220" s="12">
        <f>IF(PaymentSchedule[[#This Row],[PMT NO]]&lt;&gt;"",EOMONTH(LoanStartDate,ROW(PaymentSchedule[[#This Row],[PMT NO]])-ROW(PaymentSchedule[[#Headers],[PMT NO]])-2)+DAY(LoanStartDate),"")</f>
        <v>51257</v>
      </c>
      <c r="D220" s="14">
        <f>IF(PaymentSchedule[[#This Row],[PMT NO]]&lt;&gt;"",IF(ROW()-ROW(PaymentSchedule[[#Headers],[BEGINNING BALANCE]])=1,LoanAmount,INDEX(PaymentSchedule[ENDING BALANCE],ROW()-ROW(PaymentSchedule[[#Headers],[BEGINNING BALANCE]])-1)),"")</f>
        <v>1319017.4098835995</v>
      </c>
      <c r="E220" s="14">
        <f>IF(PaymentSchedule[[#This Row],[PMT NO]]&lt;&gt;"",ScheduledPayment,"")</f>
        <v>11400.419471082316</v>
      </c>
      <c r="F22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20" s="14">
        <f>IF(PaymentSchedule[[#This Row],[PMT NO]]&lt;&gt;"",PaymentSchedule[[#This Row],[TOTAL PAYMENT]]-PaymentSchedule[[#This Row],[INTEREST]],"")</f>
        <v>6454.1041840188182</v>
      </c>
      <c r="I220" s="14">
        <f>IF(PaymentSchedule[[#This Row],[PMT NO]]&lt;&gt;"",PaymentSchedule[[#This Row],[BEGINNING BALANCE]]*(InterestRate/PaymentsPerYear),"")</f>
        <v>4946.3152870634976</v>
      </c>
      <c r="J22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1312563.3056995806</v>
      </c>
      <c r="K220" s="14">
        <f>IF(PaymentSchedule[[#This Row],[PMT NO]]&lt;&gt;"",SUM(INDEX(PaymentSchedule[INTEREST],1,1):PaymentSchedule[[#This Row],[INTEREST]]),"")</f>
        <v>1445250.9751557854</v>
      </c>
    </row>
    <row r="221" spans="2:11" x14ac:dyDescent="0.2">
      <c r="B221" s="10">
        <f>IF(LoanIsGood,IF(ROW()-ROW(PaymentSchedule[[#Headers],[PMT NO]])&gt;ScheduledNumberOfPayments,"",ROW()-ROW(PaymentSchedule[[#Headers],[PMT NO]])),"")</f>
        <v>210</v>
      </c>
      <c r="C221" s="12">
        <f>IF(PaymentSchedule[[#This Row],[PMT NO]]&lt;&gt;"",EOMONTH(LoanStartDate,ROW(PaymentSchedule[[#This Row],[PMT NO]])-ROW(PaymentSchedule[[#Headers],[PMT NO]])-2)+DAY(LoanStartDate),"")</f>
        <v>51288</v>
      </c>
      <c r="D221" s="14">
        <f>IF(PaymentSchedule[[#This Row],[PMT NO]]&lt;&gt;"",IF(ROW()-ROW(PaymentSchedule[[#Headers],[BEGINNING BALANCE]])=1,LoanAmount,INDEX(PaymentSchedule[ENDING BALANCE],ROW()-ROW(PaymentSchedule[[#Headers],[BEGINNING BALANCE]])-1)),"")</f>
        <v>1312563.3056995806</v>
      </c>
      <c r="E221" s="14">
        <f>IF(PaymentSchedule[[#This Row],[PMT NO]]&lt;&gt;"",ScheduledPayment,"")</f>
        <v>11400.419471082316</v>
      </c>
      <c r="F22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21" s="14">
        <f>IF(PaymentSchedule[[#This Row],[PMT NO]]&lt;&gt;"",PaymentSchedule[[#This Row],[TOTAL PAYMENT]]-PaymentSchedule[[#This Row],[INTEREST]],"")</f>
        <v>6478.3070747088886</v>
      </c>
      <c r="I221" s="14">
        <f>IF(PaymentSchedule[[#This Row],[PMT NO]]&lt;&gt;"",PaymentSchedule[[#This Row],[BEGINNING BALANCE]]*(InterestRate/PaymentsPerYear),"")</f>
        <v>4922.1123963734271</v>
      </c>
      <c r="J22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1306084.9986248717</v>
      </c>
      <c r="K221" s="14">
        <f>IF(PaymentSchedule[[#This Row],[PMT NO]]&lt;&gt;"",SUM(INDEX(PaymentSchedule[INTEREST],1,1):PaymentSchedule[[#This Row],[INTEREST]]),"")</f>
        <v>1450173.0875521589</v>
      </c>
    </row>
    <row r="222" spans="2:11" x14ac:dyDescent="0.2">
      <c r="B222" s="10">
        <f>IF(LoanIsGood,IF(ROW()-ROW(PaymentSchedule[[#Headers],[PMT NO]])&gt;ScheduledNumberOfPayments,"",ROW()-ROW(PaymentSchedule[[#Headers],[PMT NO]])),"")</f>
        <v>211</v>
      </c>
      <c r="C222" s="12">
        <f>IF(PaymentSchedule[[#This Row],[PMT NO]]&lt;&gt;"",EOMONTH(LoanStartDate,ROW(PaymentSchedule[[#This Row],[PMT NO]])-ROW(PaymentSchedule[[#Headers],[PMT NO]])-2)+DAY(LoanStartDate),"")</f>
        <v>51318</v>
      </c>
      <c r="D222" s="14">
        <f>IF(PaymentSchedule[[#This Row],[PMT NO]]&lt;&gt;"",IF(ROW()-ROW(PaymentSchedule[[#Headers],[BEGINNING BALANCE]])=1,LoanAmount,INDEX(PaymentSchedule[ENDING BALANCE],ROW()-ROW(PaymentSchedule[[#Headers],[BEGINNING BALANCE]])-1)),"")</f>
        <v>1306084.9986248717</v>
      </c>
      <c r="E222" s="14">
        <f>IF(PaymentSchedule[[#This Row],[PMT NO]]&lt;&gt;"",ScheduledPayment,"")</f>
        <v>11400.419471082316</v>
      </c>
      <c r="F22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22" s="14">
        <f>IF(PaymentSchedule[[#This Row],[PMT NO]]&lt;&gt;"",PaymentSchedule[[#This Row],[TOTAL PAYMENT]]-PaymentSchedule[[#This Row],[INTEREST]],"")</f>
        <v>6502.6007262390467</v>
      </c>
      <c r="I222" s="14">
        <f>IF(PaymentSchedule[[#This Row],[PMT NO]]&lt;&gt;"",PaymentSchedule[[#This Row],[BEGINNING BALANCE]]*(InterestRate/PaymentsPerYear),"")</f>
        <v>4897.8187448432691</v>
      </c>
      <c r="J22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1299582.3978986326</v>
      </c>
      <c r="K222" s="14">
        <f>IF(PaymentSchedule[[#This Row],[PMT NO]]&lt;&gt;"",SUM(INDEX(PaymentSchedule[INTEREST],1,1):PaymentSchedule[[#This Row],[INTEREST]]),"")</f>
        <v>1455070.9062970022</v>
      </c>
    </row>
    <row r="223" spans="2:11" x14ac:dyDescent="0.2">
      <c r="B223" s="10">
        <f>IF(LoanIsGood,IF(ROW()-ROW(PaymentSchedule[[#Headers],[PMT NO]])&gt;ScheduledNumberOfPayments,"",ROW()-ROW(PaymentSchedule[[#Headers],[PMT NO]])),"")</f>
        <v>212</v>
      </c>
      <c r="C223" s="12">
        <f>IF(PaymentSchedule[[#This Row],[PMT NO]]&lt;&gt;"",EOMONTH(LoanStartDate,ROW(PaymentSchedule[[#This Row],[PMT NO]])-ROW(PaymentSchedule[[#Headers],[PMT NO]])-2)+DAY(LoanStartDate),"")</f>
        <v>51349</v>
      </c>
      <c r="D223" s="14">
        <f>IF(PaymentSchedule[[#This Row],[PMT NO]]&lt;&gt;"",IF(ROW()-ROW(PaymentSchedule[[#Headers],[BEGINNING BALANCE]])=1,LoanAmount,INDEX(PaymentSchedule[ENDING BALANCE],ROW()-ROW(PaymentSchedule[[#Headers],[BEGINNING BALANCE]])-1)),"")</f>
        <v>1299582.3978986326</v>
      </c>
      <c r="E223" s="14">
        <f>IF(PaymentSchedule[[#This Row],[PMT NO]]&lt;&gt;"",ScheduledPayment,"")</f>
        <v>11400.419471082316</v>
      </c>
      <c r="F22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23" s="14">
        <f>IF(PaymentSchedule[[#This Row],[PMT NO]]&lt;&gt;"",PaymentSchedule[[#This Row],[TOTAL PAYMENT]]-PaymentSchedule[[#This Row],[INTEREST]],"")</f>
        <v>6526.9854789624442</v>
      </c>
      <c r="I223" s="14">
        <f>IF(PaymentSchedule[[#This Row],[PMT NO]]&lt;&gt;"",PaymentSchedule[[#This Row],[BEGINNING BALANCE]]*(InterestRate/PaymentsPerYear),"")</f>
        <v>4873.4339921198716</v>
      </c>
      <c r="J22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1293055.41241967</v>
      </c>
      <c r="K223" s="14">
        <f>IF(PaymentSchedule[[#This Row],[PMT NO]]&lt;&gt;"",SUM(INDEX(PaymentSchedule[INTEREST],1,1):PaymentSchedule[[#This Row],[INTEREST]]),"")</f>
        <v>1459944.3402891222</v>
      </c>
    </row>
    <row r="224" spans="2:11" x14ac:dyDescent="0.2">
      <c r="B224" s="10">
        <f>IF(LoanIsGood,IF(ROW()-ROW(PaymentSchedule[[#Headers],[PMT NO]])&gt;ScheduledNumberOfPayments,"",ROW()-ROW(PaymentSchedule[[#Headers],[PMT NO]])),"")</f>
        <v>213</v>
      </c>
      <c r="C224" s="12">
        <f>IF(PaymentSchedule[[#This Row],[PMT NO]]&lt;&gt;"",EOMONTH(LoanStartDate,ROW(PaymentSchedule[[#This Row],[PMT NO]])-ROW(PaymentSchedule[[#Headers],[PMT NO]])-2)+DAY(LoanStartDate),"")</f>
        <v>51380</v>
      </c>
      <c r="D224" s="14">
        <f>IF(PaymentSchedule[[#This Row],[PMT NO]]&lt;&gt;"",IF(ROW()-ROW(PaymentSchedule[[#Headers],[BEGINNING BALANCE]])=1,LoanAmount,INDEX(PaymentSchedule[ENDING BALANCE],ROW()-ROW(PaymentSchedule[[#Headers],[BEGINNING BALANCE]])-1)),"")</f>
        <v>1293055.41241967</v>
      </c>
      <c r="E224" s="14">
        <f>IF(PaymentSchedule[[#This Row],[PMT NO]]&lt;&gt;"",ScheduledPayment,"")</f>
        <v>11400.419471082316</v>
      </c>
      <c r="F22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24" s="14">
        <f>IF(PaymentSchedule[[#This Row],[PMT NO]]&lt;&gt;"",PaymentSchedule[[#This Row],[TOTAL PAYMENT]]-PaymentSchedule[[#This Row],[INTEREST]],"")</f>
        <v>6551.4616745085532</v>
      </c>
      <c r="I224" s="14">
        <f>IF(PaymentSchedule[[#This Row],[PMT NO]]&lt;&gt;"",PaymentSchedule[[#This Row],[BEGINNING BALANCE]]*(InterestRate/PaymentsPerYear),"")</f>
        <v>4848.9577965737626</v>
      </c>
      <c r="J22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1286503.9507451614</v>
      </c>
      <c r="K224" s="14">
        <f>IF(PaymentSchedule[[#This Row],[PMT NO]]&lt;&gt;"",SUM(INDEX(PaymentSchedule[INTEREST],1,1):PaymentSchedule[[#This Row],[INTEREST]]),"")</f>
        <v>1464793.2980856961</v>
      </c>
    </row>
    <row r="225" spans="2:11" x14ac:dyDescent="0.2">
      <c r="B225" s="10">
        <f>IF(LoanIsGood,IF(ROW()-ROW(PaymentSchedule[[#Headers],[PMT NO]])&gt;ScheduledNumberOfPayments,"",ROW()-ROW(PaymentSchedule[[#Headers],[PMT NO]])),"")</f>
        <v>214</v>
      </c>
      <c r="C225" s="12">
        <f>IF(PaymentSchedule[[#This Row],[PMT NO]]&lt;&gt;"",EOMONTH(LoanStartDate,ROW(PaymentSchedule[[#This Row],[PMT NO]])-ROW(PaymentSchedule[[#Headers],[PMT NO]])-2)+DAY(LoanStartDate),"")</f>
        <v>51410</v>
      </c>
      <c r="D225" s="14">
        <f>IF(PaymentSchedule[[#This Row],[PMT NO]]&lt;&gt;"",IF(ROW()-ROW(PaymentSchedule[[#Headers],[BEGINNING BALANCE]])=1,LoanAmount,INDEX(PaymentSchedule[ENDING BALANCE],ROW()-ROW(PaymentSchedule[[#Headers],[BEGINNING BALANCE]])-1)),"")</f>
        <v>1286503.9507451614</v>
      </c>
      <c r="E225" s="14">
        <f>IF(PaymentSchedule[[#This Row],[PMT NO]]&lt;&gt;"",ScheduledPayment,"")</f>
        <v>11400.419471082316</v>
      </c>
      <c r="F22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25" s="14">
        <f>IF(PaymentSchedule[[#This Row],[PMT NO]]&lt;&gt;"",PaymentSchedule[[#This Row],[TOTAL PAYMENT]]-PaymentSchedule[[#This Row],[INTEREST]],"")</f>
        <v>6576.029655787961</v>
      </c>
      <c r="I225" s="14">
        <f>IF(PaymentSchedule[[#This Row],[PMT NO]]&lt;&gt;"",PaymentSchedule[[#This Row],[BEGINNING BALANCE]]*(InterestRate/PaymentsPerYear),"")</f>
        <v>4824.3898152943548</v>
      </c>
      <c r="J22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1279927.9210893735</v>
      </c>
      <c r="K225" s="14">
        <f>IF(PaymentSchedule[[#This Row],[PMT NO]]&lt;&gt;"",SUM(INDEX(PaymentSchedule[INTEREST],1,1):PaymentSchedule[[#This Row],[INTEREST]]),"")</f>
        <v>1469617.6879009905</v>
      </c>
    </row>
    <row r="226" spans="2:11" x14ac:dyDescent="0.2">
      <c r="B226" s="10">
        <f>IF(LoanIsGood,IF(ROW()-ROW(PaymentSchedule[[#Headers],[PMT NO]])&gt;ScheduledNumberOfPayments,"",ROW()-ROW(PaymentSchedule[[#Headers],[PMT NO]])),"")</f>
        <v>215</v>
      </c>
      <c r="C226" s="12">
        <f>IF(PaymentSchedule[[#This Row],[PMT NO]]&lt;&gt;"",EOMONTH(LoanStartDate,ROW(PaymentSchedule[[#This Row],[PMT NO]])-ROW(PaymentSchedule[[#Headers],[PMT NO]])-2)+DAY(LoanStartDate),"")</f>
        <v>51441</v>
      </c>
      <c r="D226" s="14">
        <f>IF(PaymentSchedule[[#This Row],[PMT NO]]&lt;&gt;"",IF(ROW()-ROW(PaymentSchedule[[#Headers],[BEGINNING BALANCE]])=1,LoanAmount,INDEX(PaymentSchedule[ENDING BALANCE],ROW()-ROW(PaymentSchedule[[#Headers],[BEGINNING BALANCE]])-1)),"")</f>
        <v>1279927.9210893735</v>
      </c>
      <c r="E226" s="14">
        <f>IF(PaymentSchedule[[#This Row],[PMT NO]]&lt;&gt;"",ScheduledPayment,"")</f>
        <v>11400.419471082316</v>
      </c>
      <c r="F22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26" s="14">
        <f>IF(PaymentSchedule[[#This Row],[PMT NO]]&lt;&gt;"",PaymentSchedule[[#This Row],[TOTAL PAYMENT]]-PaymentSchedule[[#This Row],[INTEREST]],"")</f>
        <v>6600.689766997165</v>
      </c>
      <c r="I226" s="14">
        <f>IF(PaymentSchedule[[#This Row],[PMT NO]]&lt;&gt;"",PaymentSchedule[[#This Row],[BEGINNING BALANCE]]*(InterestRate/PaymentsPerYear),"")</f>
        <v>4799.7297040851508</v>
      </c>
      <c r="J22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1273327.2313223763</v>
      </c>
      <c r="K226" s="14">
        <f>IF(PaymentSchedule[[#This Row],[PMT NO]]&lt;&gt;"",SUM(INDEX(PaymentSchedule[INTEREST],1,1):PaymentSchedule[[#This Row],[INTEREST]]),"")</f>
        <v>1474417.4176050755</v>
      </c>
    </row>
    <row r="227" spans="2:11" x14ac:dyDescent="0.2">
      <c r="B227" s="10">
        <f>IF(LoanIsGood,IF(ROW()-ROW(PaymentSchedule[[#Headers],[PMT NO]])&gt;ScheduledNumberOfPayments,"",ROW()-ROW(PaymentSchedule[[#Headers],[PMT NO]])),"")</f>
        <v>216</v>
      </c>
      <c r="C227" s="12">
        <f>IF(PaymentSchedule[[#This Row],[PMT NO]]&lt;&gt;"",EOMONTH(LoanStartDate,ROW(PaymentSchedule[[#This Row],[PMT NO]])-ROW(PaymentSchedule[[#Headers],[PMT NO]])-2)+DAY(LoanStartDate),"")</f>
        <v>51471</v>
      </c>
      <c r="D227" s="14">
        <f>IF(PaymentSchedule[[#This Row],[PMT NO]]&lt;&gt;"",IF(ROW()-ROW(PaymentSchedule[[#Headers],[BEGINNING BALANCE]])=1,LoanAmount,INDEX(PaymentSchedule[ENDING BALANCE],ROW()-ROW(PaymentSchedule[[#Headers],[BEGINNING BALANCE]])-1)),"")</f>
        <v>1273327.2313223763</v>
      </c>
      <c r="E227" s="14">
        <f>IF(PaymentSchedule[[#This Row],[PMT NO]]&lt;&gt;"",ScheduledPayment,"")</f>
        <v>11400.419471082316</v>
      </c>
      <c r="F22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27" s="14">
        <f>IF(PaymentSchedule[[#This Row],[PMT NO]]&lt;&gt;"",PaymentSchedule[[#This Row],[TOTAL PAYMENT]]-PaymentSchedule[[#This Row],[INTEREST]],"")</f>
        <v>6625.4423536234053</v>
      </c>
      <c r="I227" s="14">
        <f>IF(PaymentSchedule[[#This Row],[PMT NO]]&lt;&gt;"",PaymentSchedule[[#This Row],[BEGINNING BALANCE]]*(InterestRate/PaymentsPerYear),"")</f>
        <v>4774.9771174589105</v>
      </c>
      <c r="J22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1266701.7889687528</v>
      </c>
      <c r="K227" s="14">
        <f>IF(PaymentSchedule[[#This Row],[PMT NO]]&lt;&gt;"",SUM(INDEX(PaymentSchedule[INTEREST],1,1):PaymentSchedule[[#This Row],[INTEREST]]),"")</f>
        <v>1479192.3947225343</v>
      </c>
    </row>
    <row r="228" spans="2:11" x14ac:dyDescent="0.2">
      <c r="B228" s="10">
        <f>IF(LoanIsGood,IF(ROW()-ROW(PaymentSchedule[[#Headers],[PMT NO]])&gt;ScheduledNumberOfPayments,"",ROW()-ROW(PaymentSchedule[[#Headers],[PMT NO]])),"")</f>
        <v>217</v>
      </c>
      <c r="C228" s="12">
        <f>IF(PaymentSchedule[[#This Row],[PMT NO]]&lt;&gt;"",EOMONTH(LoanStartDate,ROW(PaymentSchedule[[#This Row],[PMT NO]])-ROW(PaymentSchedule[[#Headers],[PMT NO]])-2)+DAY(LoanStartDate),"")</f>
        <v>51502</v>
      </c>
      <c r="D228" s="14">
        <f>IF(PaymentSchedule[[#This Row],[PMT NO]]&lt;&gt;"",IF(ROW()-ROW(PaymentSchedule[[#Headers],[BEGINNING BALANCE]])=1,LoanAmount,INDEX(PaymentSchedule[ENDING BALANCE],ROW()-ROW(PaymentSchedule[[#Headers],[BEGINNING BALANCE]])-1)),"")</f>
        <v>1266701.7889687528</v>
      </c>
      <c r="E228" s="14">
        <f>IF(PaymentSchedule[[#This Row],[PMT NO]]&lt;&gt;"",ScheduledPayment,"")</f>
        <v>11400.419471082316</v>
      </c>
      <c r="F22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28" s="14">
        <f>IF(PaymentSchedule[[#This Row],[PMT NO]]&lt;&gt;"",PaymentSchedule[[#This Row],[TOTAL PAYMENT]]-PaymentSchedule[[#This Row],[INTEREST]],"")</f>
        <v>6650.2877624494931</v>
      </c>
      <c r="I228" s="14">
        <f>IF(PaymentSchedule[[#This Row],[PMT NO]]&lt;&gt;"",PaymentSchedule[[#This Row],[BEGINNING BALANCE]]*(InterestRate/PaymentsPerYear),"")</f>
        <v>4750.1317086328227</v>
      </c>
      <c r="J22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1260051.5012063032</v>
      </c>
      <c r="K228" s="14">
        <f>IF(PaymentSchedule[[#This Row],[PMT NO]]&lt;&gt;"",SUM(INDEX(PaymentSchedule[INTEREST],1,1):PaymentSchedule[[#This Row],[INTEREST]]),"")</f>
        <v>1483942.5264311673</v>
      </c>
    </row>
    <row r="229" spans="2:11" x14ac:dyDescent="0.2">
      <c r="B229" s="10">
        <f>IF(LoanIsGood,IF(ROW()-ROW(PaymentSchedule[[#Headers],[PMT NO]])&gt;ScheduledNumberOfPayments,"",ROW()-ROW(PaymentSchedule[[#Headers],[PMT NO]])),"")</f>
        <v>218</v>
      </c>
      <c r="C229" s="12">
        <f>IF(PaymentSchedule[[#This Row],[PMT NO]]&lt;&gt;"",EOMONTH(LoanStartDate,ROW(PaymentSchedule[[#This Row],[PMT NO]])-ROW(PaymentSchedule[[#Headers],[PMT NO]])-2)+DAY(LoanStartDate),"")</f>
        <v>51533</v>
      </c>
      <c r="D229" s="14">
        <f>IF(PaymentSchedule[[#This Row],[PMT NO]]&lt;&gt;"",IF(ROW()-ROW(PaymentSchedule[[#Headers],[BEGINNING BALANCE]])=1,LoanAmount,INDEX(PaymentSchedule[ENDING BALANCE],ROW()-ROW(PaymentSchedule[[#Headers],[BEGINNING BALANCE]])-1)),"")</f>
        <v>1260051.5012063032</v>
      </c>
      <c r="E229" s="14">
        <f>IF(PaymentSchedule[[#This Row],[PMT NO]]&lt;&gt;"",ScheduledPayment,"")</f>
        <v>11400.419471082316</v>
      </c>
      <c r="F22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29" s="14">
        <f>IF(PaymentSchedule[[#This Row],[PMT NO]]&lt;&gt;"",PaymentSchedule[[#This Row],[TOTAL PAYMENT]]-PaymentSchedule[[#This Row],[INTEREST]],"")</f>
        <v>6675.2263415586785</v>
      </c>
      <c r="I229" s="14">
        <f>IF(PaymentSchedule[[#This Row],[PMT NO]]&lt;&gt;"",PaymentSchedule[[#This Row],[BEGINNING BALANCE]]*(InterestRate/PaymentsPerYear),"")</f>
        <v>4725.1931295236373</v>
      </c>
      <c r="J22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1253376.2748647446</v>
      </c>
      <c r="K229" s="14">
        <f>IF(PaymentSchedule[[#This Row],[PMT NO]]&lt;&gt;"",SUM(INDEX(PaymentSchedule[INTEREST],1,1):PaymentSchedule[[#This Row],[INTEREST]]),"")</f>
        <v>1488667.7195606909</v>
      </c>
    </row>
    <row r="230" spans="2:11" x14ac:dyDescent="0.2">
      <c r="B230" s="10">
        <f>IF(LoanIsGood,IF(ROW()-ROW(PaymentSchedule[[#Headers],[PMT NO]])&gt;ScheduledNumberOfPayments,"",ROW()-ROW(PaymentSchedule[[#Headers],[PMT NO]])),"")</f>
        <v>219</v>
      </c>
      <c r="C230" s="12">
        <f>IF(PaymentSchedule[[#This Row],[PMT NO]]&lt;&gt;"",EOMONTH(LoanStartDate,ROW(PaymentSchedule[[#This Row],[PMT NO]])-ROW(PaymentSchedule[[#Headers],[PMT NO]])-2)+DAY(LoanStartDate),"")</f>
        <v>51561</v>
      </c>
      <c r="D230" s="14">
        <f>IF(PaymentSchedule[[#This Row],[PMT NO]]&lt;&gt;"",IF(ROW()-ROW(PaymentSchedule[[#Headers],[BEGINNING BALANCE]])=1,LoanAmount,INDEX(PaymentSchedule[ENDING BALANCE],ROW()-ROW(PaymentSchedule[[#Headers],[BEGINNING BALANCE]])-1)),"")</f>
        <v>1253376.2748647446</v>
      </c>
      <c r="E230" s="14">
        <f>IF(PaymentSchedule[[#This Row],[PMT NO]]&lt;&gt;"",ScheduledPayment,"")</f>
        <v>11400.419471082316</v>
      </c>
      <c r="F23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30" s="14">
        <f>IF(PaymentSchedule[[#This Row],[PMT NO]]&lt;&gt;"",PaymentSchedule[[#This Row],[TOTAL PAYMENT]]-PaymentSchedule[[#This Row],[INTEREST]],"")</f>
        <v>6700.258440339524</v>
      </c>
      <c r="I230" s="14">
        <f>IF(PaymentSchedule[[#This Row],[PMT NO]]&lt;&gt;"",PaymentSchedule[[#This Row],[BEGINNING BALANCE]]*(InterestRate/PaymentsPerYear),"")</f>
        <v>4700.1610307427918</v>
      </c>
      <c r="J23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1246676.0164244052</v>
      </c>
      <c r="K230" s="14">
        <f>IF(PaymentSchedule[[#This Row],[PMT NO]]&lt;&gt;"",SUM(INDEX(PaymentSchedule[INTEREST],1,1):PaymentSchedule[[#This Row],[INTEREST]]),"")</f>
        <v>1493367.8805914337</v>
      </c>
    </row>
    <row r="231" spans="2:11" x14ac:dyDescent="0.2">
      <c r="B231" s="10">
        <f>IF(LoanIsGood,IF(ROW()-ROW(PaymentSchedule[[#Headers],[PMT NO]])&gt;ScheduledNumberOfPayments,"",ROW()-ROW(PaymentSchedule[[#Headers],[PMT NO]])),"")</f>
        <v>220</v>
      </c>
      <c r="C231" s="12">
        <f>IF(PaymentSchedule[[#This Row],[PMT NO]]&lt;&gt;"",EOMONTH(LoanStartDate,ROW(PaymentSchedule[[#This Row],[PMT NO]])-ROW(PaymentSchedule[[#Headers],[PMT NO]])-2)+DAY(LoanStartDate),"")</f>
        <v>51592</v>
      </c>
      <c r="D231" s="14">
        <f>IF(PaymentSchedule[[#This Row],[PMT NO]]&lt;&gt;"",IF(ROW()-ROW(PaymentSchedule[[#Headers],[BEGINNING BALANCE]])=1,LoanAmount,INDEX(PaymentSchedule[ENDING BALANCE],ROW()-ROW(PaymentSchedule[[#Headers],[BEGINNING BALANCE]])-1)),"")</f>
        <v>1246676.0164244052</v>
      </c>
      <c r="E231" s="14">
        <f>IF(PaymentSchedule[[#This Row],[PMT NO]]&lt;&gt;"",ScheduledPayment,"")</f>
        <v>11400.419471082316</v>
      </c>
      <c r="F23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31" s="14">
        <f>IF(PaymentSchedule[[#This Row],[PMT NO]]&lt;&gt;"",PaymentSchedule[[#This Row],[TOTAL PAYMENT]]-PaymentSchedule[[#This Row],[INTEREST]],"")</f>
        <v>6725.3844094907963</v>
      </c>
      <c r="I231" s="14">
        <f>IF(PaymentSchedule[[#This Row],[PMT NO]]&lt;&gt;"",PaymentSchedule[[#This Row],[BEGINNING BALANCE]]*(InterestRate/PaymentsPerYear),"")</f>
        <v>4675.0350615915195</v>
      </c>
      <c r="J23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1239950.6320149144</v>
      </c>
      <c r="K231" s="14">
        <f>IF(PaymentSchedule[[#This Row],[PMT NO]]&lt;&gt;"",SUM(INDEX(PaymentSchedule[INTEREST],1,1):PaymentSchedule[[#This Row],[INTEREST]]),"")</f>
        <v>1498042.9156530253</v>
      </c>
    </row>
    <row r="232" spans="2:11" x14ac:dyDescent="0.2">
      <c r="B232" s="10">
        <f>IF(LoanIsGood,IF(ROW()-ROW(PaymentSchedule[[#Headers],[PMT NO]])&gt;ScheduledNumberOfPayments,"",ROW()-ROW(PaymentSchedule[[#Headers],[PMT NO]])),"")</f>
        <v>221</v>
      </c>
      <c r="C232" s="12">
        <f>IF(PaymentSchedule[[#This Row],[PMT NO]]&lt;&gt;"",EOMONTH(LoanStartDate,ROW(PaymentSchedule[[#This Row],[PMT NO]])-ROW(PaymentSchedule[[#Headers],[PMT NO]])-2)+DAY(LoanStartDate),"")</f>
        <v>51622</v>
      </c>
      <c r="D232" s="14">
        <f>IF(PaymentSchedule[[#This Row],[PMT NO]]&lt;&gt;"",IF(ROW()-ROW(PaymentSchedule[[#Headers],[BEGINNING BALANCE]])=1,LoanAmount,INDEX(PaymentSchedule[ENDING BALANCE],ROW()-ROW(PaymentSchedule[[#Headers],[BEGINNING BALANCE]])-1)),"")</f>
        <v>1239950.6320149144</v>
      </c>
      <c r="E232" s="14">
        <f>IF(PaymentSchedule[[#This Row],[PMT NO]]&lt;&gt;"",ScheduledPayment,"")</f>
        <v>11400.419471082316</v>
      </c>
      <c r="F23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32" s="14">
        <f>IF(PaymentSchedule[[#This Row],[PMT NO]]&lt;&gt;"",PaymentSchedule[[#This Row],[TOTAL PAYMENT]]-PaymentSchedule[[#This Row],[INTEREST]],"")</f>
        <v>6750.6046010263872</v>
      </c>
      <c r="I232" s="14">
        <f>IF(PaymentSchedule[[#This Row],[PMT NO]]&lt;&gt;"",PaymentSchedule[[#This Row],[BEGINNING BALANCE]]*(InterestRate/PaymentsPerYear),"")</f>
        <v>4649.8148700559286</v>
      </c>
      <c r="J23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1233200.0274138881</v>
      </c>
      <c r="K232" s="14">
        <f>IF(PaymentSchedule[[#This Row],[PMT NO]]&lt;&gt;"",SUM(INDEX(PaymentSchedule[INTEREST],1,1):PaymentSchedule[[#This Row],[INTEREST]]),"")</f>
        <v>1502692.7305230813</v>
      </c>
    </row>
    <row r="233" spans="2:11" x14ac:dyDescent="0.2">
      <c r="B233" s="10">
        <f>IF(LoanIsGood,IF(ROW()-ROW(PaymentSchedule[[#Headers],[PMT NO]])&gt;ScheduledNumberOfPayments,"",ROW()-ROW(PaymentSchedule[[#Headers],[PMT NO]])),"")</f>
        <v>222</v>
      </c>
      <c r="C233" s="12">
        <f>IF(PaymentSchedule[[#This Row],[PMT NO]]&lt;&gt;"",EOMONTH(LoanStartDate,ROW(PaymentSchedule[[#This Row],[PMT NO]])-ROW(PaymentSchedule[[#Headers],[PMT NO]])-2)+DAY(LoanStartDate),"")</f>
        <v>51653</v>
      </c>
      <c r="D233" s="14">
        <f>IF(PaymentSchedule[[#This Row],[PMT NO]]&lt;&gt;"",IF(ROW()-ROW(PaymentSchedule[[#Headers],[BEGINNING BALANCE]])=1,LoanAmount,INDEX(PaymentSchedule[ENDING BALANCE],ROW()-ROW(PaymentSchedule[[#Headers],[BEGINNING BALANCE]])-1)),"")</f>
        <v>1233200.0274138881</v>
      </c>
      <c r="E233" s="14">
        <f>IF(PaymentSchedule[[#This Row],[PMT NO]]&lt;&gt;"",ScheduledPayment,"")</f>
        <v>11400.419471082316</v>
      </c>
      <c r="F23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33" s="14">
        <f>IF(PaymentSchedule[[#This Row],[PMT NO]]&lt;&gt;"",PaymentSchedule[[#This Row],[TOTAL PAYMENT]]-PaymentSchedule[[#This Row],[INTEREST]],"")</f>
        <v>6775.9193682802352</v>
      </c>
      <c r="I233" s="14">
        <f>IF(PaymentSchedule[[#This Row],[PMT NO]]&lt;&gt;"",PaymentSchedule[[#This Row],[BEGINNING BALANCE]]*(InterestRate/PaymentsPerYear),"")</f>
        <v>4624.5001028020806</v>
      </c>
      <c r="J23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1226424.1080456078</v>
      </c>
      <c r="K233" s="14">
        <f>IF(PaymentSchedule[[#This Row],[PMT NO]]&lt;&gt;"",SUM(INDEX(PaymentSchedule[INTEREST],1,1):PaymentSchedule[[#This Row],[INTEREST]]),"")</f>
        <v>1507317.2306258834</v>
      </c>
    </row>
    <row r="234" spans="2:11" x14ac:dyDescent="0.2">
      <c r="B234" s="10">
        <f>IF(LoanIsGood,IF(ROW()-ROW(PaymentSchedule[[#Headers],[PMT NO]])&gt;ScheduledNumberOfPayments,"",ROW()-ROW(PaymentSchedule[[#Headers],[PMT NO]])),"")</f>
        <v>223</v>
      </c>
      <c r="C234" s="12">
        <f>IF(PaymentSchedule[[#This Row],[PMT NO]]&lt;&gt;"",EOMONTH(LoanStartDate,ROW(PaymentSchedule[[#This Row],[PMT NO]])-ROW(PaymentSchedule[[#Headers],[PMT NO]])-2)+DAY(LoanStartDate),"")</f>
        <v>51683</v>
      </c>
      <c r="D234" s="14">
        <f>IF(PaymentSchedule[[#This Row],[PMT NO]]&lt;&gt;"",IF(ROW()-ROW(PaymentSchedule[[#Headers],[BEGINNING BALANCE]])=1,LoanAmount,INDEX(PaymentSchedule[ENDING BALANCE],ROW()-ROW(PaymentSchedule[[#Headers],[BEGINNING BALANCE]])-1)),"")</f>
        <v>1226424.1080456078</v>
      </c>
      <c r="E234" s="14">
        <f>IF(PaymentSchedule[[#This Row],[PMT NO]]&lt;&gt;"",ScheduledPayment,"")</f>
        <v>11400.419471082316</v>
      </c>
      <c r="F23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34" s="14">
        <f>IF(PaymentSchedule[[#This Row],[PMT NO]]&lt;&gt;"",PaymentSchedule[[#This Row],[TOTAL PAYMENT]]-PaymentSchedule[[#This Row],[INTEREST]],"")</f>
        <v>6801.3290659112863</v>
      </c>
      <c r="I234" s="14">
        <f>IF(PaymentSchedule[[#This Row],[PMT NO]]&lt;&gt;"",PaymentSchedule[[#This Row],[BEGINNING BALANCE]]*(InterestRate/PaymentsPerYear),"")</f>
        <v>4599.0904051710295</v>
      </c>
      <c r="J23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1219622.7789796966</v>
      </c>
      <c r="K234" s="14">
        <f>IF(PaymentSchedule[[#This Row],[PMT NO]]&lt;&gt;"",SUM(INDEX(PaymentSchedule[INTEREST],1,1):PaymentSchedule[[#This Row],[INTEREST]]),"")</f>
        <v>1511916.3210310545</v>
      </c>
    </row>
    <row r="235" spans="2:11" x14ac:dyDescent="0.2">
      <c r="B235" s="10">
        <f>IF(LoanIsGood,IF(ROW()-ROW(PaymentSchedule[[#Headers],[PMT NO]])&gt;ScheduledNumberOfPayments,"",ROW()-ROW(PaymentSchedule[[#Headers],[PMT NO]])),"")</f>
        <v>224</v>
      </c>
      <c r="C235" s="12">
        <f>IF(PaymentSchedule[[#This Row],[PMT NO]]&lt;&gt;"",EOMONTH(LoanStartDate,ROW(PaymentSchedule[[#This Row],[PMT NO]])-ROW(PaymentSchedule[[#Headers],[PMT NO]])-2)+DAY(LoanStartDate),"")</f>
        <v>51714</v>
      </c>
      <c r="D235" s="14">
        <f>IF(PaymentSchedule[[#This Row],[PMT NO]]&lt;&gt;"",IF(ROW()-ROW(PaymentSchedule[[#Headers],[BEGINNING BALANCE]])=1,LoanAmount,INDEX(PaymentSchedule[ENDING BALANCE],ROW()-ROW(PaymentSchedule[[#Headers],[BEGINNING BALANCE]])-1)),"")</f>
        <v>1219622.7789796966</v>
      </c>
      <c r="E235" s="14">
        <f>IF(PaymentSchedule[[#This Row],[PMT NO]]&lt;&gt;"",ScheduledPayment,"")</f>
        <v>11400.419471082316</v>
      </c>
      <c r="F23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35" s="14">
        <f>IF(PaymentSchedule[[#This Row],[PMT NO]]&lt;&gt;"",PaymentSchedule[[#This Row],[TOTAL PAYMENT]]-PaymentSchedule[[#This Row],[INTEREST]],"")</f>
        <v>6826.8340499084543</v>
      </c>
      <c r="I235" s="14">
        <f>IF(PaymentSchedule[[#This Row],[PMT NO]]&lt;&gt;"",PaymentSchedule[[#This Row],[BEGINNING BALANCE]]*(InterestRate/PaymentsPerYear),"")</f>
        <v>4573.5854211738615</v>
      </c>
      <c r="J23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1212795.9449297881</v>
      </c>
      <c r="K235" s="14">
        <f>IF(PaymentSchedule[[#This Row],[PMT NO]]&lt;&gt;"",SUM(INDEX(PaymentSchedule[INTEREST],1,1):PaymentSchedule[[#This Row],[INTEREST]]),"")</f>
        <v>1516489.9064522283</v>
      </c>
    </row>
    <row r="236" spans="2:11" x14ac:dyDescent="0.2">
      <c r="B236" s="10">
        <f>IF(LoanIsGood,IF(ROW()-ROW(PaymentSchedule[[#Headers],[PMT NO]])&gt;ScheduledNumberOfPayments,"",ROW()-ROW(PaymentSchedule[[#Headers],[PMT NO]])),"")</f>
        <v>225</v>
      </c>
      <c r="C236" s="12">
        <f>IF(PaymentSchedule[[#This Row],[PMT NO]]&lt;&gt;"",EOMONTH(LoanStartDate,ROW(PaymentSchedule[[#This Row],[PMT NO]])-ROW(PaymentSchedule[[#Headers],[PMT NO]])-2)+DAY(LoanStartDate),"")</f>
        <v>51745</v>
      </c>
      <c r="D236" s="14">
        <f>IF(PaymentSchedule[[#This Row],[PMT NO]]&lt;&gt;"",IF(ROW()-ROW(PaymentSchedule[[#Headers],[BEGINNING BALANCE]])=1,LoanAmount,INDEX(PaymentSchedule[ENDING BALANCE],ROW()-ROW(PaymentSchedule[[#Headers],[BEGINNING BALANCE]])-1)),"")</f>
        <v>1212795.9449297881</v>
      </c>
      <c r="E236" s="14">
        <f>IF(PaymentSchedule[[#This Row],[PMT NO]]&lt;&gt;"",ScheduledPayment,"")</f>
        <v>11400.419471082316</v>
      </c>
      <c r="F23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36" s="14">
        <f>IF(PaymentSchedule[[#This Row],[PMT NO]]&lt;&gt;"",PaymentSchedule[[#This Row],[TOTAL PAYMENT]]-PaymentSchedule[[#This Row],[INTEREST]],"")</f>
        <v>6852.4346775956101</v>
      </c>
      <c r="I236" s="14">
        <f>IF(PaymentSchedule[[#This Row],[PMT NO]]&lt;&gt;"",PaymentSchedule[[#This Row],[BEGINNING BALANCE]]*(InterestRate/PaymentsPerYear),"")</f>
        <v>4547.9847934867057</v>
      </c>
      <c r="J23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1205943.5102521926</v>
      </c>
      <c r="K236" s="14">
        <f>IF(PaymentSchedule[[#This Row],[PMT NO]]&lt;&gt;"",SUM(INDEX(PaymentSchedule[INTEREST],1,1):PaymentSchedule[[#This Row],[INTEREST]]),"")</f>
        <v>1521037.8912457151</v>
      </c>
    </row>
    <row r="237" spans="2:11" x14ac:dyDescent="0.2">
      <c r="B237" s="10">
        <f>IF(LoanIsGood,IF(ROW()-ROW(PaymentSchedule[[#Headers],[PMT NO]])&gt;ScheduledNumberOfPayments,"",ROW()-ROW(PaymentSchedule[[#Headers],[PMT NO]])),"")</f>
        <v>226</v>
      </c>
      <c r="C237" s="12">
        <f>IF(PaymentSchedule[[#This Row],[PMT NO]]&lt;&gt;"",EOMONTH(LoanStartDate,ROW(PaymentSchedule[[#This Row],[PMT NO]])-ROW(PaymentSchedule[[#Headers],[PMT NO]])-2)+DAY(LoanStartDate),"")</f>
        <v>51775</v>
      </c>
      <c r="D237" s="14">
        <f>IF(PaymentSchedule[[#This Row],[PMT NO]]&lt;&gt;"",IF(ROW()-ROW(PaymentSchedule[[#Headers],[BEGINNING BALANCE]])=1,LoanAmount,INDEX(PaymentSchedule[ENDING BALANCE],ROW()-ROW(PaymentSchedule[[#Headers],[BEGINNING BALANCE]])-1)),"")</f>
        <v>1205943.5102521926</v>
      </c>
      <c r="E237" s="14">
        <f>IF(PaymentSchedule[[#This Row],[PMT NO]]&lt;&gt;"",ScheduledPayment,"")</f>
        <v>11400.419471082316</v>
      </c>
      <c r="F23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37" s="14">
        <f>IF(PaymentSchedule[[#This Row],[PMT NO]]&lt;&gt;"",PaymentSchedule[[#This Row],[TOTAL PAYMENT]]-PaymentSchedule[[#This Row],[INTEREST]],"")</f>
        <v>6878.1313076365941</v>
      </c>
      <c r="I237" s="14">
        <f>IF(PaymentSchedule[[#This Row],[PMT NO]]&lt;&gt;"",PaymentSchedule[[#This Row],[BEGINNING BALANCE]]*(InterestRate/PaymentsPerYear),"")</f>
        <v>4522.2881634457217</v>
      </c>
      <c r="J23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1199065.378944556</v>
      </c>
      <c r="K237" s="14">
        <f>IF(PaymentSchedule[[#This Row],[PMT NO]]&lt;&gt;"",SUM(INDEX(PaymentSchedule[INTEREST],1,1):PaymentSchedule[[#This Row],[INTEREST]]),"")</f>
        <v>1525560.1794091607</v>
      </c>
    </row>
    <row r="238" spans="2:11" x14ac:dyDescent="0.2">
      <c r="B238" s="10">
        <f>IF(LoanIsGood,IF(ROW()-ROW(PaymentSchedule[[#Headers],[PMT NO]])&gt;ScheduledNumberOfPayments,"",ROW()-ROW(PaymentSchedule[[#Headers],[PMT NO]])),"")</f>
        <v>227</v>
      </c>
      <c r="C238" s="12">
        <f>IF(PaymentSchedule[[#This Row],[PMT NO]]&lt;&gt;"",EOMONTH(LoanStartDate,ROW(PaymentSchedule[[#This Row],[PMT NO]])-ROW(PaymentSchedule[[#Headers],[PMT NO]])-2)+DAY(LoanStartDate),"")</f>
        <v>51806</v>
      </c>
      <c r="D238" s="14">
        <f>IF(PaymentSchedule[[#This Row],[PMT NO]]&lt;&gt;"",IF(ROW()-ROW(PaymentSchedule[[#Headers],[BEGINNING BALANCE]])=1,LoanAmount,INDEX(PaymentSchedule[ENDING BALANCE],ROW()-ROW(PaymentSchedule[[#Headers],[BEGINNING BALANCE]])-1)),"")</f>
        <v>1199065.378944556</v>
      </c>
      <c r="E238" s="14">
        <f>IF(PaymentSchedule[[#This Row],[PMT NO]]&lt;&gt;"",ScheduledPayment,"")</f>
        <v>11400.419471082316</v>
      </c>
      <c r="F23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38" s="14">
        <f>IF(PaymentSchedule[[#This Row],[PMT NO]]&lt;&gt;"",PaymentSchedule[[#This Row],[TOTAL PAYMENT]]-PaymentSchedule[[#This Row],[INTEREST]],"")</f>
        <v>6903.9243000402312</v>
      </c>
      <c r="I238" s="14">
        <f>IF(PaymentSchedule[[#This Row],[PMT NO]]&lt;&gt;"",PaymentSchedule[[#This Row],[BEGINNING BALANCE]]*(InterestRate/PaymentsPerYear),"")</f>
        <v>4496.4951710420846</v>
      </c>
      <c r="J23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1192161.4546445159</v>
      </c>
      <c r="K238" s="14">
        <f>IF(PaymentSchedule[[#This Row],[PMT NO]]&lt;&gt;"",SUM(INDEX(PaymentSchedule[INTEREST],1,1):PaymentSchedule[[#This Row],[INTEREST]]),"")</f>
        <v>1530056.6745802029</v>
      </c>
    </row>
    <row r="239" spans="2:11" x14ac:dyDescent="0.2">
      <c r="B239" s="10">
        <f>IF(LoanIsGood,IF(ROW()-ROW(PaymentSchedule[[#Headers],[PMT NO]])&gt;ScheduledNumberOfPayments,"",ROW()-ROW(PaymentSchedule[[#Headers],[PMT NO]])),"")</f>
        <v>228</v>
      </c>
      <c r="C239" s="12">
        <f>IF(PaymentSchedule[[#This Row],[PMT NO]]&lt;&gt;"",EOMONTH(LoanStartDate,ROW(PaymentSchedule[[#This Row],[PMT NO]])-ROW(PaymentSchedule[[#Headers],[PMT NO]])-2)+DAY(LoanStartDate),"")</f>
        <v>51836</v>
      </c>
      <c r="D239" s="14">
        <f>IF(PaymentSchedule[[#This Row],[PMT NO]]&lt;&gt;"",IF(ROW()-ROW(PaymentSchedule[[#Headers],[BEGINNING BALANCE]])=1,LoanAmount,INDEX(PaymentSchedule[ENDING BALANCE],ROW()-ROW(PaymentSchedule[[#Headers],[BEGINNING BALANCE]])-1)),"")</f>
        <v>1192161.4546445159</v>
      </c>
      <c r="E239" s="14">
        <f>IF(PaymentSchedule[[#This Row],[PMT NO]]&lt;&gt;"",ScheduledPayment,"")</f>
        <v>11400.419471082316</v>
      </c>
      <c r="F23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39" s="14">
        <f>IF(PaymentSchedule[[#This Row],[PMT NO]]&lt;&gt;"",PaymentSchedule[[#This Row],[TOTAL PAYMENT]]-PaymentSchedule[[#This Row],[INTEREST]],"")</f>
        <v>6929.8140161653819</v>
      </c>
      <c r="I239" s="14">
        <f>IF(PaymentSchedule[[#This Row],[PMT NO]]&lt;&gt;"",PaymentSchedule[[#This Row],[BEGINNING BALANCE]]*(InterestRate/PaymentsPerYear),"")</f>
        <v>4470.6054549169339</v>
      </c>
      <c r="J23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1185231.6406283504</v>
      </c>
      <c r="K239" s="14">
        <f>IF(PaymentSchedule[[#This Row],[PMT NO]]&lt;&gt;"",SUM(INDEX(PaymentSchedule[INTEREST],1,1):PaymentSchedule[[#This Row],[INTEREST]]),"")</f>
        <v>1534527.2800351197</v>
      </c>
    </row>
    <row r="240" spans="2:11" x14ac:dyDescent="0.2">
      <c r="B240" s="10">
        <f>IF(LoanIsGood,IF(ROW()-ROW(PaymentSchedule[[#Headers],[PMT NO]])&gt;ScheduledNumberOfPayments,"",ROW()-ROW(PaymentSchedule[[#Headers],[PMT NO]])),"")</f>
        <v>229</v>
      </c>
      <c r="C240" s="12">
        <f>IF(PaymentSchedule[[#This Row],[PMT NO]]&lt;&gt;"",EOMONTH(LoanStartDate,ROW(PaymentSchedule[[#This Row],[PMT NO]])-ROW(PaymentSchedule[[#Headers],[PMT NO]])-2)+DAY(LoanStartDate),"")</f>
        <v>51867</v>
      </c>
      <c r="D240" s="14">
        <f>IF(PaymentSchedule[[#This Row],[PMT NO]]&lt;&gt;"",IF(ROW()-ROW(PaymentSchedule[[#Headers],[BEGINNING BALANCE]])=1,LoanAmount,INDEX(PaymentSchedule[ENDING BALANCE],ROW()-ROW(PaymentSchedule[[#Headers],[BEGINNING BALANCE]])-1)),"")</f>
        <v>1185231.6406283504</v>
      </c>
      <c r="E240" s="14">
        <f>IF(PaymentSchedule[[#This Row],[PMT NO]]&lt;&gt;"",ScheduledPayment,"")</f>
        <v>11400.419471082316</v>
      </c>
      <c r="F24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40" s="14">
        <f>IF(PaymentSchedule[[#This Row],[PMT NO]]&lt;&gt;"",PaymentSchedule[[#This Row],[TOTAL PAYMENT]]-PaymentSchedule[[#This Row],[INTEREST]],"")</f>
        <v>6955.800818726002</v>
      </c>
      <c r="I240" s="14">
        <f>IF(PaymentSchedule[[#This Row],[PMT NO]]&lt;&gt;"",PaymentSchedule[[#This Row],[BEGINNING BALANCE]]*(InterestRate/PaymentsPerYear),"")</f>
        <v>4444.6186523563138</v>
      </c>
      <c r="J24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1178275.8398096245</v>
      </c>
      <c r="K240" s="14">
        <f>IF(PaymentSchedule[[#This Row],[PMT NO]]&lt;&gt;"",SUM(INDEX(PaymentSchedule[INTEREST],1,1):PaymentSchedule[[#This Row],[INTEREST]]),"")</f>
        <v>1538971.8986874761</v>
      </c>
    </row>
    <row r="241" spans="2:11" x14ac:dyDescent="0.2">
      <c r="B241" s="10">
        <f>IF(LoanIsGood,IF(ROW()-ROW(PaymentSchedule[[#Headers],[PMT NO]])&gt;ScheduledNumberOfPayments,"",ROW()-ROW(PaymentSchedule[[#Headers],[PMT NO]])),"")</f>
        <v>230</v>
      </c>
      <c r="C241" s="12">
        <f>IF(PaymentSchedule[[#This Row],[PMT NO]]&lt;&gt;"",EOMONTH(LoanStartDate,ROW(PaymentSchedule[[#This Row],[PMT NO]])-ROW(PaymentSchedule[[#Headers],[PMT NO]])-2)+DAY(LoanStartDate),"")</f>
        <v>51898</v>
      </c>
      <c r="D241" s="14">
        <f>IF(PaymentSchedule[[#This Row],[PMT NO]]&lt;&gt;"",IF(ROW()-ROW(PaymentSchedule[[#Headers],[BEGINNING BALANCE]])=1,LoanAmount,INDEX(PaymentSchedule[ENDING BALANCE],ROW()-ROW(PaymentSchedule[[#Headers],[BEGINNING BALANCE]])-1)),"")</f>
        <v>1178275.8398096245</v>
      </c>
      <c r="E241" s="14">
        <f>IF(PaymentSchedule[[#This Row],[PMT NO]]&lt;&gt;"",ScheduledPayment,"")</f>
        <v>11400.419471082316</v>
      </c>
      <c r="F24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41" s="14">
        <f>IF(PaymentSchedule[[#This Row],[PMT NO]]&lt;&gt;"",PaymentSchedule[[#This Row],[TOTAL PAYMENT]]-PaymentSchedule[[#This Row],[INTEREST]],"")</f>
        <v>6981.8850717962241</v>
      </c>
      <c r="I241" s="14">
        <f>IF(PaymentSchedule[[#This Row],[PMT NO]]&lt;&gt;"",PaymentSchedule[[#This Row],[BEGINNING BALANCE]]*(InterestRate/PaymentsPerYear),"")</f>
        <v>4418.5343992860917</v>
      </c>
      <c r="J24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1171293.9547378283</v>
      </c>
      <c r="K241" s="14">
        <f>IF(PaymentSchedule[[#This Row],[PMT NO]]&lt;&gt;"",SUM(INDEX(PaymentSchedule[INTEREST],1,1):PaymentSchedule[[#This Row],[INTEREST]]),"")</f>
        <v>1543390.4330867622</v>
      </c>
    </row>
    <row r="242" spans="2:11" x14ac:dyDescent="0.2">
      <c r="B242" s="10">
        <f>IF(LoanIsGood,IF(ROW()-ROW(PaymentSchedule[[#Headers],[PMT NO]])&gt;ScheduledNumberOfPayments,"",ROW()-ROW(PaymentSchedule[[#Headers],[PMT NO]])),"")</f>
        <v>231</v>
      </c>
      <c r="C242" s="12">
        <f>IF(PaymentSchedule[[#This Row],[PMT NO]]&lt;&gt;"",EOMONTH(LoanStartDate,ROW(PaymentSchedule[[#This Row],[PMT NO]])-ROW(PaymentSchedule[[#Headers],[PMT NO]])-2)+DAY(LoanStartDate),"")</f>
        <v>51926</v>
      </c>
      <c r="D242" s="14">
        <f>IF(PaymentSchedule[[#This Row],[PMT NO]]&lt;&gt;"",IF(ROW()-ROW(PaymentSchedule[[#Headers],[BEGINNING BALANCE]])=1,LoanAmount,INDEX(PaymentSchedule[ENDING BALANCE],ROW()-ROW(PaymentSchedule[[#Headers],[BEGINNING BALANCE]])-1)),"")</f>
        <v>1171293.9547378283</v>
      </c>
      <c r="E242" s="14">
        <f>IF(PaymentSchedule[[#This Row],[PMT NO]]&lt;&gt;"",ScheduledPayment,"")</f>
        <v>11400.419471082316</v>
      </c>
      <c r="F24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42" s="14">
        <f>IF(PaymentSchedule[[#This Row],[PMT NO]]&lt;&gt;"",PaymentSchedule[[#This Row],[TOTAL PAYMENT]]-PaymentSchedule[[#This Row],[INTEREST]],"")</f>
        <v>7008.0671408154594</v>
      </c>
      <c r="I242" s="14">
        <f>IF(PaymentSchedule[[#This Row],[PMT NO]]&lt;&gt;"",PaymentSchedule[[#This Row],[BEGINNING BALANCE]]*(InterestRate/PaymentsPerYear),"")</f>
        <v>4392.3523302668564</v>
      </c>
      <c r="J24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1164285.8875970128</v>
      </c>
      <c r="K242" s="14">
        <f>IF(PaymentSchedule[[#This Row],[PMT NO]]&lt;&gt;"",SUM(INDEX(PaymentSchedule[INTEREST],1,1):PaymentSchedule[[#This Row],[INTEREST]]),"")</f>
        <v>1547782.7854170292</v>
      </c>
    </row>
    <row r="243" spans="2:11" x14ac:dyDescent="0.2">
      <c r="B243" s="10">
        <f>IF(LoanIsGood,IF(ROW()-ROW(PaymentSchedule[[#Headers],[PMT NO]])&gt;ScheduledNumberOfPayments,"",ROW()-ROW(PaymentSchedule[[#Headers],[PMT NO]])),"")</f>
        <v>232</v>
      </c>
      <c r="C243" s="12">
        <f>IF(PaymentSchedule[[#This Row],[PMT NO]]&lt;&gt;"",EOMONTH(LoanStartDate,ROW(PaymentSchedule[[#This Row],[PMT NO]])-ROW(PaymentSchedule[[#Headers],[PMT NO]])-2)+DAY(LoanStartDate),"")</f>
        <v>51957</v>
      </c>
      <c r="D243" s="14">
        <f>IF(PaymentSchedule[[#This Row],[PMT NO]]&lt;&gt;"",IF(ROW()-ROW(PaymentSchedule[[#Headers],[BEGINNING BALANCE]])=1,LoanAmount,INDEX(PaymentSchedule[ENDING BALANCE],ROW()-ROW(PaymentSchedule[[#Headers],[BEGINNING BALANCE]])-1)),"")</f>
        <v>1164285.8875970128</v>
      </c>
      <c r="E243" s="14">
        <f>IF(PaymentSchedule[[#This Row],[PMT NO]]&lt;&gt;"",ScheduledPayment,"")</f>
        <v>11400.419471082316</v>
      </c>
      <c r="F24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43" s="14">
        <f>IF(PaymentSchedule[[#This Row],[PMT NO]]&lt;&gt;"",PaymentSchedule[[#This Row],[TOTAL PAYMENT]]-PaymentSchedule[[#This Row],[INTEREST]],"")</f>
        <v>7034.3473925935177</v>
      </c>
      <c r="I243" s="14">
        <f>IF(PaymentSchedule[[#This Row],[PMT NO]]&lt;&gt;"",PaymentSchedule[[#This Row],[BEGINNING BALANCE]]*(InterestRate/PaymentsPerYear),"")</f>
        <v>4366.0720784887981</v>
      </c>
      <c r="J24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1157251.5402044193</v>
      </c>
      <c r="K243" s="14">
        <f>IF(PaymentSchedule[[#This Row],[PMT NO]]&lt;&gt;"",SUM(INDEX(PaymentSchedule[INTEREST],1,1):PaymentSchedule[[#This Row],[INTEREST]]),"")</f>
        <v>1552148.8574955179</v>
      </c>
    </row>
    <row r="244" spans="2:11" x14ac:dyDescent="0.2">
      <c r="B244" s="10">
        <f>IF(LoanIsGood,IF(ROW()-ROW(PaymentSchedule[[#Headers],[PMT NO]])&gt;ScheduledNumberOfPayments,"",ROW()-ROW(PaymentSchedule[[#Headers],[PMT NO]])),"")</f>
        <v>233</v>
      </c>
      <c r="C244" s="12">
        <f>IF(PaymentSchedule[[#This Row],[PMT NO]]&lt;&gt;"",EOMONTH(LoanStartDate,ROW(PaymentSchedule[[#This Row],[PMT NO]])-ROW(PaymentSchedule[[#Headers],[PMT NO]])-2)+DAY(LoanStartDate),"")</f>
        <v>51987</v>
      </c>
      <c r="D244" s="14">
        <f>IF(PaymentSchedule[[#This Row],[PMT NO]]&lt;&gt;"",IF(ROW()-ROW(PaymentSchedule[[#Headers],[BEGINNING BALANCE]])=1,LoanAmount,INDEX(PaymentSchedule[ENDING BALANCE],ROW()-ROW(PaymentSchedule[[#Headers],[BEGINNING BALANCE]])-1)),"")</f>
        <v>1157251.5402044193</v>
      </c>
      <c r="E244" s="14">
        <f>IF(PaymentSchedule[[#This Row],[PMT NO]]&lt;&gt;"",ScheduledPayment,"")</f>
        <v>11400.419471082316</v>
      </c>
      <c r="F24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44" s="14">
        <f>IF(PaymentSchedule[[#This Row],[PMT NO]]&lt;&gt;"",PaymentSchedule[[#This Row],[TOTAL PAYMENT]]-PaymentSchedule[[#This Row],[INTEREST]],"")</f>
        <v>7060.726195315744</v>
      </c>
      <c r="I244" s="14">
        <f>IF(PaymentSchedule[[#This Row],[PMT NO]]&lt;&gt;"",PaymentSchedule[[#This Row],[BEGINNING BALANCE]]*(InterestRate/PaymentsPerYear),"")</f>
        <v>4339.6932757665718</v>
      </c>
      <c r="J24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1150190.8140091035</v>
      </c>
      <c r="K244" s="14">
        <f>IF(PaymentSchedule[[#This Row],[PMT NO]]&lt;&gt;"",SUM(INDEX(PaymentSchedule[INTEREST],1,1):PaymentSchedule[[#This Row],[INTEREST]]),"")</f>
        <v>1556488.5507712846</v>
      </c>
    </row>
    <row r="245" spans="2:11" x14ac:dyDescent="0.2">
      <c r="B245" s="10">
        <f>IF(LoanIsGood,IF(ROW()-ROW(PaymentSchedule[[#Headers],[PMT NO]])&gt;ScheduledNumberOfPayments,"",ROW()-ROW(PaymentSchedule[[#Headers],[PMT NO]])),"")</f>
        <v>234</v>
      </c>
      <c r="C245" s="12">
        <f>IF(PaymentSchedule[[#This Row],[PMT NO]]&lt;&gt;"",EOMONTH(LoanStartDate,ROW(PaymentSchedule[[#This Row],[PMT NO]])-ROW(PaymentSchedule[[#Headers],[PMT NO]])-2)+DAY(LoanStartDate),"")</f>
        <v>52018</v>
      </c>
      <c r="D245" s="14">
        <f>IF(PaymentSchedule[[#This Row],[PMT NO]]&lt;&gt;"",IF(ROW()-ROW(PaymentSchedule[[#Headers],[BEGINNING BALANCE]])=1,LoanAmount,INDEX(PaymentSchedule[ENDING BALANCE],ROW()-ROW(PaymentSchedule[[#Headers],[BEGINNING BALANCE]])-1)),"")</f>
        <v>1150190.8140091035</v>
      </c>
      <c r="E245" s="14">
        <f>IF(PaymentSchedule[[#This Row],[PMT NO]]&lt;&gt;"",ScheduledPayment,"")</f>
        <v>11400.419471082316</v>
      </c>
      <c r="F24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45" s="14">
        <f>IF(PaymentSchedule[[#This Row],[PMT NO]]&lt;&gt;"",PaymentSchedule[[#This Row],[TOTAL PAYMENT]]-PaymentSchedule[[#This Row],[INTEREST]],"")</f>
        <v>7087.2039185481781</v>
      </c>
      <c r="I245" s="14">
        <f>IF(PaymentSchedule[[#This Row],[PMT NO]]&lt;&gt;"",PaymentSchedule[[#This Row],[BEGINNING BALANCE]]*(InterestRate/PaymentsPerYear),"")</f>
        <v>4313.2155525341377</v>
      </c>
      <c r="J24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1143103.6100905554</v>
      </c>
      <c r="K245" s="14">
        <f>IF(PaymentSchedule[[#This Row],[PMT NO]]&lt;&gt;"",SUM(INDEX(PaymentSchedule[INTEREST],1,1):PaymentSchedule[[#This Row],[INTEREST]]),"")</f>
        <v>1560801.7663238188</v>
      </c>
    </row>
    <row r="246" spans="2:11" x14ac:dyDescent="0.2">
      <c r="B246" s="10">
        <f>IF(LoanIsGood,IF(ROW()-ROW(PaymentSchedule[[#Headers],[PMT NO]])&gt;ScheduledNumberOfPayments,"",ROW()-ROW(PaymentSchedule[[#Headers],[PMT NO]])),"")</f>
        <v>235</v>
      </c>
      <c r="C246" s="12">
        <f>IF(PaymentSchedule[[#This Row],[PMT NO]]&lt;&gt;"",EOMONTH(LoanStartDate,ROW(PaymentSchedule[[#This Row],[PMT NO]])-ROW(PaymentSchedule[[#Headers],[PMT NO]])-2)+DAY(LoanStartDate),"")</f>
        <v>52048</v>
      </c>
      <c r="D246" s="14">
        <f>IF(PaymentSchedule[[#This Row],[PMT NO]]&lt;&gt;"",IF(ROW()-ROW(PaymentSchedule[[#Headers],[BEGINNING BALANCE]])=1,LoanAmount,INDEX(PaymentSchedule[ENDING BALANCE],ROW()-ROW(PaymentSchedule[[#Headers],[BEGINNING BALANCE]])-1)),"")</f>
        <v>1143103.6100905554</v>
      </c>
      <c r="E246" s="14">
        <f>IF(PaymentSchedule[[#This Row],[PMT NO]]&lt;&gt;"",ScheduledPayment,"")</f>
        <v>11400.419471082316</v>
      </c>
      <c r="F24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46" s="14">
        <f>IF(PaymentSchedule[[#This Row],[PMT NO]]&lt;&gt;"",PaymentSchedule[[#This Row],[TOTAL PAYMENT]]-PaymentSchedule[[#This Row],[INTEREST]],"")</f>
        <v>7113.7809332427332</v>
      </c>
      <c r="I246" s="14">
        <f>IF(PaymentSchedule[[#This Row],[PMT NO]]&lt;&gt;"",PaymentSchedule[[#This Row],[BEGINNING BALANCE]]*(InterestRate/PaymentsPerYear),"")</f>
        <v>4286.6385378395826</v>
      </c>
      <c r="J24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1135989.8291573126</v>
      </c>
      <c r="K246" s="14">
        <f>IF(PaymentSchedule[[#This Row],[PMT NO]]&lt;&gt;"",SUM(INDEX(PaymentSchedule[INTEREST],1,1):PaymentSchedule[[#This Row],[INTEREST]]),"")</f>
        <v>1565088.4048616583</v>
      </c>
    </row>
    <row r="247" spans="2:11" x14ac:dyDescent="0.2">
      <c r="B247" s="10">
        <f>IF(LoanIsGood,IF(ROW()-ROW(PaymentSchedule[[#Headers],[PMT NO]])&gt;ScheduledNumberOfPayments,"",ROW()-ROW(PaymentSchedule[[#Headers],[PMT NO]])),"")</f>
        <v>236</v>
      </c>
      <c r="C247" s="12">
        <f>IF(PaymentSchedule[[#This Row],[PMT NO]]&lt;&gt;"",EOMONTH(LoanStartDate,ROW(PaymentSchedule[[#This Row],[PMT NO]])-ROW(PaymentSchedule[[#Headers],[PMT NO]])-2)+DAY(LoanStartDate),"")</f>
        <v>52079</v>
      </c>
      <c r="D247" s="14">
        <f>IF(PaymentSchedule[[#This Row],[PMT NO]]&lt;&gt;"",IF(ROW()-ROW(PaymentSchedule[[#Headers],[BEGINNING BALANCE]])=1,LoanAmount,INDEX(PaymentSchedule[ENDING BALANCE],ROW()-ROW(PaymentSchedule[[#Headers],[BEGINNING BALANCE]])-1)),"")</f>
        <v>1135989.8291573126</v>
      </c>
      <c r="E247" s="14">
        <f>IF(PaymentSchedule[[#This Row],[PMT NO]]&lt;&gt;"",ScheduledPayment,"")</f>
        <v>11400.419471082316</v>
      </c>
      <c r="F24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47" s="14">
        <f>IF(PaymentSchedule[[#This Row],[PMT NO]]&lt;&gt;"",PaymentSchedule[[#This Row],[TOTAL PAYMENT]]-PaymentSchedule[[#This Row],[INTEREST]],"")</f>
        <v>7140.457611742394</v>
      </c>
      <c r="I247" s="14">
        <f>IF(PaymentSchedule[[#This Row],[PMT NO]]&lt;&gt;"",PaymentSchedule[[#This Row],[BEGINNING BALANCE]]*(InterestRate/PaymentsPerYear),"")</f>
        <v>4259.9618593399218</v>
      </c>
      <c r="J24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1128849.3715455702</v>
      </c>
      <c r="K247" s="14">
        <f>IF(PaymentSchedule[[#This Row],[PMT NO]]&lt;&gt;"",SUM(INDEX(PaymentSchedule[INTEREST],1,1):PaymentSchedule[[#This Row],[INTEREST]]),"")</f>
        <v>1569348.3667209982</v>
      </c>
    </row>
    <row r="248" spans="2:11" x14ac:dyDescent="0.2">
      <c r="B248" s="10">
        <f>IF(LoanIsGood,IF(ROW()-ROW(PaymentSchedule[[#Headers],[PMT NO]])&gt;ScheduledNumberOfPayments,"",ROW()-ROW(PaymentSchedule[[#Headers],[PMT NO]])),"")</f>
        <v>237</v>
      </c>
      <c r="C248" s="12">
        <f>IF(PaymentSchedule[[#This Row],[PMT NO]]&lt;&gt;"",EOMONTH(LoanStartDate,ROW(PaymentSchedule[[#This Row],[PMT NO]])-ROW(PaymentSchedule[[#Headers],[PMT NO]])-2)+DAY(LoanStartDate),"")</f>
        <v>52110</v>
      </c>
      <c r="D248" s="14">
        <f>IF(PaymentSchedule[[#This Row],[PMT NO]]&lt;&gt;"",IF(ROW()-ROW(PaymentSchedule[[#Headers],[BEGINNING BALANCE]])=1,LoanAmount,INDEX(PaymentSchedule[ENDING BALANCE],ROW()-ROW(PaymentSchedule[[#Headers],[BEGINNING BALANCE]])-1)),"")</f>
        <v>1128849.3715455702</v>
      </c>
      <c r="E248" s="14">
        <f>IF(PaymentSchedule[[#This Row],[PMT NO]]&lt;&gt;"",ScheduledPayment,"")</f>
        <v>11400.419471082316</v>
      </c>
      <c r="F24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48" s="14">
        <f>IF(PaymentSchedule[[#This Row],[PMT NO]]&lt;&gt;"",PaymentSchedule[[#This Row],[TOTAL PAYMENT]]-PaymentSchedule[[#This Row],[INTEREST]],"")</f>
        <v>7167.2343277864275</v>
      </c>
      <c r="I248" s="14">
        <f>IF(PaymentSchedule[[#This Row],[PMT NO]]&lt;&gt;"",PaymentSchedule[[#This Row],[BEGINNING BALANCE]]*(InterestRate/PaymentsPerYear),"")</f>
        <v>4233.1851432958883</v>
      </c>
      <c r="J24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1121682.1372177838</v>
      </c>
      <c r="K248" s="14">
        <f>IF(PaymentSchedule[[#This Row],[PMT NO]]&lt;&gt;"",SUM(INDEX(PaymentSchedule[INTEREST],1,1):PaymentSchedule[[#This Row],[INTEREST]]),"")</f>
        <v>1573581.5518642941</v>
      </c>
    </row>
    <row r="249" spans="2:11" x14ac:dyDescent="0.2">
      <c r="B249" s="10">
        <f>IF(LoanIsGood,IF(ROW()-ROW(PaymentSchedule[[#Headers],[PMT NO]])&gt;ScheduledNumberOfPayments,"",ROW()-ROW(PaymentSchedule[[#Headers],[PMT NO]])),"")</f>
        <v>238</v>
      </c>
      <c r="C249" s="12">
        <f>IF(PaymentSchedule[[#This Row],[PMT NO]]&lt;&gt;"",EOMONTH(LoanStartDate,ROW(PaymentSchedule[[#This Row],[PMT NO]])-ROW(PaymentSchedule[[#Headers],[PMT NO]])-2)+DAY(LoanStartDate),"")</f>
        <v>52140</v>
      </c>
      <c r="D249" s="14">
        <f>IF(PaymentSchedule[[#This Row],[PMT NO]]&lt;&gt;"",IF(ROW()-ROW(PaymentSchedule[[#Headers],[BEGINNING BALANCE]])=1,LoanAmount,INDEX(PaymentSchedule[ENDING BALANCE],ROW()-ROW(PaymentSchedule[[#Headers],[BEGINNING BALANCE]])-1)),"")</f>
        <v>1121682.1372177838</v>
      </c>
      <c r="E249" s="14">
        <f>IF(PaymentSchedule[[#This Row],[PMT NO]]&lt;&gt;"",ScheduledPayment,"")</f>
        <v>11400.419471082316</v>
      </c>
      <c r="F24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49" s="14">
        <f>IF(PaymentSchedule[[#This Row],[PMT NO]]&lt;&gt;"",PaymentSchedule[[#This Row],[TOTAL PAYMENT]]-PaymentSchedule[[#This Row],[INTEREST]],"")</f>
        <v>7194.1114565156267</v>
      </c>
      <c r="I249" s="14">
        <f>IF(PaymentSchedule[[#This Row],[PMT NO]]&lt;&gt;"",PaymentSchedule[[#This Row],[BEGINNING BALANCE]]*(InterestRate/PaymentsPerYear),"")</f>
        <v>4206.3080145666891</v>
      </c>
      <c r="J24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1114488.0257612681</v>
      </c>
      <c r="K249" s="14">
        <f>IF(PaymentSchedule[[#This Row],[PMT NO]]&lt;&gt;"",SUM(INDEX(PaymentSchedule[INTEREST],1,1):PaymentSchedule[[#This Row],[INTEREST]]),"")</f>
        <v>1577787.8598788609</v>
      </c>
    </row>
    <row r="250" spans="2:11" x14ac:dyDescent="0.2">
      <c r="B250" s="10">
        <f>IF(LoanIsGood,IF(ROW()-ROW(PaymentSchedule[[#Headers],[PMT NO]])&gt;ScheduledNumberOfPayments,"",ROW()-ROW(PaymentSchedule[[#Headers],[PMT NO]])),"")</f>
        <v>239</v>
      </c>
      <c r="C250" s="12">
        <f>IF(PaymentSchedule[[#This Row],[PMT NO]]&lt;&gt;"",EOMONTH(LoanStartDate,ROW(PaymentSchedule[[#This Row],[PMT NO]])-ROW(PaymentSchedule[[#Headers],[PMT NO]])-2)+DAY(LoanStartDate),"")</f>
        <v>52171</v>
      </c>
      <c r="D250" s="14">
        <f>IF(PaymentSchedule[[#This Row],[PMT NO]]&lt;&gt;"",IF(ROW()-ROW(PaymentSchedule[[#Headers],[BEGINNING BALANCE]])=1,LoanAmount,INDEX(PaymentSchedule[ENDING BALANCE],ROW()-ROW(PaymentSchedule[[#Headers],[BEGINNING BALANCE]])-1)),"")</f>
        <v>1114488.0257612681</v>
      </c>
      <c r="E250" s="14">
        <f>IF(PaymentSchedule[[#This Row],[PMT NO]]&lt;&gt;"",ScheduledPayment,"")</f>
        <v>11400.419471082316</v>
      </c>
      <c r="F25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50" s="14">
        <f>IF(PaymentSchedule[[#This Row],[PMT NO]]&lt;&gt;"",PaymentSchedule[[#This Row],[TOTAL PAYMENT]]-PaymentSchedule[[#This Row],[INTEREST]],"")</f>
        <v>7221.0893744775603</v>
      </c>
      <c r="I250" s="14">
        <f>IF(PaymentSchedule[[#This Row],[PMT NO]]&lt;&gt;"",PaymentSchedule[[#This Row],[BEGINNING BALANCE]]*(InterestRate/PaymentsPerYear),"")</f>
        <v>4179.3300966047555</v>
      </c>
      <c r="J25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1107266.9363867906</v>
      </c>
      <c r="K250" s="14">
        <f>IF(PaymentSchedule[[#This Row],[PMT NO]]&lt;&gt;"",SUM(INDEX(PaymentSchedule[INTEREST],1,1):PaymentSchedule[[#This Row],[INTEREST]]),"")</f>
        <v>1581967.1899754656</v>
      </c>
    </row>
    <row r="251" spans="2:11" x14ac:dyDescent="0.2">
      <c r="B251" s="10">
        <f>IF(LoanIsGood,IF(ROW()-ROW(PaymentSchedule[[#Headers],[PMT NO]])&gt;ScheduledNumberOfPayments,"",ROW()-ROW(PaymentSchedule[[#Headers],[PMT NO]])),"")</f>
        <v>240</v>
      </c>
      <c r="C251" s="12">
        <f>IF(PaymentSchedule[[#This Row],[PMT NO]]&lt;&gt;"",EOMONTH(LoanStartDate,ROW(PaymentSchedule[[#This Row],[PMT NO]])-ROW(PaymentSchedule[[#Headers],[PMT NO]])-2)+DAY(LoanStartDate),"")</f>
        <v>52201</v>
      </c>
      <c r="D251" s="14">
        <f>IF(PaymentSchedule[[#This Row],[PMT NO]]&lt;&gt;"",IF(ROW()-ROW(PaymentSchedule[[#Headers],[BEGINNING BALANCE]])=1,LoanAmount,INDEX(PaymentSchedule[ENDING BALANCE],ROW()-ROW(PaymentSchedule[[#Headers],[BEGINNING BALANCE]])-1)),"")</f>
        <v>1107266.9363867906</v>
      </c>
      <c r="E251" s="14">
        <f>IF(PaymentSchedule[[#This Row],[PMT NO]]&lt;&gt;"",ScheduledPayment,"")</f>
        <v>11400.419471082316</v>
      </c>
      <c r="F25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51" s="14">
        <f>IF(PaymentSchedule[[#This Row],[PMT NO]]&lt;&gt;"",PaymentSchedule[[#This Row],[TOTAL PAYMENT]]-PaymentSchedule[[#This Row],[INTEREST]],"")</f>
        <v>7248.168459631851</v>
      </c>
      <c r="I251" s="14">
        <f>IF(PaymentSchedule[[#This Row],[PMT NO]]&lt;&gt;"",PaymentSchedule[[#This Row],[BEGINNING BALANCE]]*(InterestRate/PaymentsPerYear),"")</f>
        <v>4152.2510114504648</v>
      </c>
      <c r="J25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1100018.7679271589</v>
      </c>
      <c r="K251" s="14">
        <f>IF(PaymentSchedule[[#This Row],[PMT NO]]&lt;&gt;"",SUM(INDEX(PaymentSchedule[INTEREST],1,1):PaymentSchedule[[#This Row],[INTEREST]]),"")</f>
        <v>1586119.4409869162</v>
      </c>
    </row>
    <row r="252" spans="2:11" x14ac:dyDescent="0.2">
      <c r="B252" s="10">
        <f>IF(LoanIsGood,IF(ROW()-ROW(PaymentSchedule[[#Headers],[PMT NO]])&gt;ScheduledNumberOfPayments,"",ROW()-ROW(PaymentSchedule[[#Headers],[PMT NO]])),"")</f>
        <v>241</v>
      </c>
      <c r="C252" s="12">
        <f>IF(PaymentSchedule[[#This Row],[PMT NO]]&lt;&gt;"",EOMONTH(LoanStartDate,ROW(PaymentSchedule[[#This Row],[PMT NO]])-ROW(PaymentSchedule[[#Headers],[PMT NO]])-2)+DAY(LoanStartDate),"")</f>
        <v>52232</v>
      </c>
      <c r="D252" s="14">
        <f>IF(PaymentSchedule[[#This Row],[PMT NO]]&lt;&gt;"",IF(ROW()-ROW(PaymentSchedule[[#Headers],[BEGINNING BALANCE]])=1,LoanAmount,INDEX(PaymentSchedule[ENDING BALANCE],ROW()-ROW(PaymentSchedule[[#Headers],[BEGINNING BALANCE]])-1)),"")</f>
        <v>1100018.7679271589</v>
      </c>
      <c r="E252" s="14">
        <f>IF(PaymentSchedule[[#This Row],[PMT NO]]&lt;&gt;"",ScheduledPayment,"")</f>
        <v>11400.419471082316</v>
      </c>
      <c r="F25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52" s="14">
        <f>IF(PaymentSchedule[[#This Row],[PMT NO]]&lt;&gt;"",PaymentSchedule[[#This Row],[TOTAL PAYMENT]]-PaymentSchedule[[#This Row],[INTEREST]],"")</f>
        <v>7275.3490913554706</v>
      </c>
      <c r="I252" s="14">
        <f>IF(PaymentSchedule[[#This Row],[PMT NO]]&lt;&gt;"",PaymentSchedule[[#This Row],[BEGINNING BALANCE]]*(InterestRate/PaymentsPerYear),"")</f>
        <v>4125.0703797268452</v>
      </c>
      <c r="J25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1092743.4188358034</v>
      </c>
      <c r="K252" s="14">
        <f>IF(PaymentSchedule[[#This Row],[PMT NO]]&lt;&gt;"",SUM(INDEX(PaymentSchedule[INTEREST],1,1):PaymentSchedule[[#This Row],[INTEREST]]),"")</f>
        <v>1590244.511366643</v>
      </c>
    </row>
    <row r="253" spans="2:11" x14ac:dyDescent="0.2">
      <c r="B253" s="10">
        <f>IF(LoanIsGood,IF(ROW()-ROW(PaymentSchedule[[#Headers],[PMT NO]])&gt;ScheduledNumberOfPayments,"",ROW()-ROW(PaymentSchedule[[#Headers],[PMT NO]])),"")</f>
        <v>242</v>
      </c>
      <c r="C253" s="12">
        <f>IF(PaymentSchedule[[#This Row],[PMT NO]]&lt;&gt;"",EOMONTH(LoanStartDate,ROW(PaymentSchedule[[#This Row],[PMT NO]])-ROW(PaymentSchedule[[#Headers],[PMT NO]])-2)+DAY(LoanStartDate),"")</f>
        <v>52263</v>
      </c>
      <c r="D253" s="14">
        <f>IF(PaymentSchedule[[#This Row],[PMT NO]]&lt;&gt;"",IF(ROW()-ROW(PaymentSchedule[[#Headers],[BEGINNING BALANCE]])=1,LoanAmount,INDEX(PaymentSchedule[ENDING BALANCE],ROW()-ROW(PaymentSchedule[[#Headers],[BEGINNING BALANCE]])-1)),"")</f>
        <v>1092743.4188358034</v>
      </c>
      <c r="E253" s="14">
        <f>IF(PaymentSchedule[[#This Row],[PMT NO]]&lt;&gt;"",ScheduledPayment,"")</f>
        <v>11400.419471082316</v>
      </c>
      <c r="F25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53" s="14">
        <f>IF(PaymentSchedule[[#This Row],[PMT NO]]&lt;&gt;"",PaymentSchedule[[#This Row],[TOTAL PAYMENT]]-PaymentSchedule[[#This Row],[INTEREST]],"")</f>
        <v>7302.6316504480528</v>
      </c>
      <c r="I253" s="14">
        <f>IF(PaymentSchedule[[#This Row],[PMT NO]]&lt;&gt;"",PaymentSchedule[[#This Row],[BEGINNING BALANCE]]*(InterestRate/PaymentsPerYear),"")</f>
        <v>4097.787820634263</v>
      </c>
      <c r="J25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1085440.7871853553</v>
      </c>
      <c r="K253" s="14">
        <f>IF(PaymentSchedule[[#This Row],[PMT NO]]&lt;&gt;"",SUM(INDEX(PaymentSchedule[INTEREST],1,1):PaymentSchedule[[#This Row],[INTEREST]]),"")</f>
        <v>1594342.2991872772</v>
      </c>
    </row>
    <row r="254" spans="2:11" x14ac:dyDescent="0.2">
      <c r="B254" s="10">
        <f>IF(LoanIsGood,IF(ROW()-ROW(PaymentSchedule[[#Headers],[PMT NO]])&gt;ScheduledNumberOfPayments,"",ROW()-ROW(PaymentSchedule[[#Headers],[PMT NO]])),"")</f>
        <v>243</v>
      </c>
      <c r="C254" s="12">
        <f>IF(PaymentSchedule[[#This Row],[PMT NO]]&lt;&gt;"",EOMONTH(LoanStartDate,ROW(PaymentSchedule[[#This Row],[PMT NO]])-ROW(PaymentSchedule[[#Headers],[PMT NO]])-2)+DAY(LoanStartDate),"")</f>
        <v>52291</v>
      </c>
      <c r="D254" s="14">
        <f>IF(PaymentSchedule[[#This Row],[PMT NO]]&lt;&gt;"",IF(ROW()-ROW(PaymentSchedule[[#Headers],[BEGINNING BALANCE]])=1,LoanAmount,INDEX(PaymentSchedule[ENDING BALANCE],ROW()-ROW(PaymentSchedule[[#Headers],[BEGINNING BALANCE]])-1)),"")</f>
        <v>1085440.7871853553</v>
      </c>
      <c r="E254" s="14">
        <f>IF(PaymentSchedule[[#This Row],[PMT NO]]&lt;&gt;"",ScheduledPayment,"")</f>
        <v>11400.419471082316</v>
      </c>
      <c r="F25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54" s="14">
        <f>IF(PaymentSchedule[[#This Row],[PMT NO]]&lt;&gt;"",PaymentSchedule[[#This Row],[TOTAL PAYMENT]]-PaymentSchedule[[#This Row],[INTEREST]],"")</f>
        <v>7330.0165191372334</v>
      </c>
      <c r="I254" s="14">
        <f>IF(PaymentSchedule[[#This Row],[PMT NO]]&lt;&gt;"",PaymentSchedule[[#This Row],[BEGINNING BALANCE]]*(InterestRate/PaymentsPerYear),"")</f>
        <v>4070.4029519450823</v>
      </c>
      <c r="J25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1078110.7706662181</v>
      </c>
      <c r="K254" s="14">
        <f>IF(PaymentSchedule[[#This Row],[PMT NO]]&lt;&gt;"",SUM(INDEX(PaymentSchedule[INTEREST],1,1):PaymentSchedule[[#This Row],[INTEREST]]),"")</f>
        <v>1598412.7021392223</v>
      </c>
    </row>
    <row r="255" spans="2:11" x14ac:dyDescent="0.2">
      <c r="B255" s="10">
        <f>IF(LoanIsGood,IF(ROW()-ROW(PaymentSchedule[[#Headers],[PMT NO]])&gt;ScheduledNumberOfPayments,"",ROW()-ROW(PaymentSchedule[[#Headers],[PMT NO]])),"")</f>
        <v>244</v>
      </c>
      <c r="C255" s="12">
        <f>IF(PaymentSchedule[[#This Row],[PMT NO]]&lt;&gt;"",EOMONTH(LoanStartDate,ROW(PaymentSchedule[[#This Row],[PMT NO]])-ROW(PaymentSchedule[[#Headers],[PMT NO]])-2)+DAY(LoanStartDate),"")</f>
        <v>52322</v>
      </c>
      <c r="D255" s="14">
        <f>IF(PaymentSchedule[[#This Row],[PMT NO]]&lt;&gt;"",IF(ROW()-ROW(PaymentSchedule[[#Headers],[BEGINNING BALANCE]])=1,LoanAmount,INDEX(PaymentSchedule[ENDING BALANCE],ROW()-ROW(PaymentSchedule[[#Headers],[BEGINNING BALANCE]])-1)),"")</f>
        <v>1078110.7706662181</v>
      </c>
      <c r="E255" s="14">
        <f>IF(PaymentSchedule[[#This Row],[PMT NO]]&lt;&gt;"",ScheduledPayment,"")</f>
        <v>11400.419471082316</v>
      </c>
      <c r="F25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55" s="14">
        <f>IF(PaymentSchedule[[#This Row],[PMT NO]]&lt;&gt;"",PaymentSchedule[[#This Row],[TOTAL PAYMENT]]-PaymentSchedule[[#This Row],[INTEREST]],"")</f>
        <v>7357.5040810839982</v>
      </c>
      <c r="I255" s="14">
        <f>IF(PaymentSchedule[[#This Row],[PMT NO]]&lt;&gt;"",PaymentSchedule[[#This Row],[BEGINNING BALANCE]]*(InterestRate/PaymentsPerYear),"")</f>
        <v>4042.915389998318</v>
      </c>
      <c r="J25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1070753.2665851342</v>
      </c>
      <c r="K255" s="14">
        <f>IF(PaymentSchedule[[#This Row],[PMT NO]]&lt;&gt;"",SUM(INDEX(PaymentSchedule[INTEREST],1,1):PaymentSchedule[[#This Row],[INTEREST]]),"")</f>
        <v>1602455.6175292206</v>
      </c>
    </row>
    <row r="256" spans="2:11" x14ac:dyDescent="0.2">
      <c r="B256" s="10">
        <f>IF(LoanIsGood,IF(ROW()-ROW(PaymentSchedule[[#Headers],[PMT NO]])&gt;ScheduledNumberOfPayments,"",ROW()-ROW(PaymentSchedule[[#Headers],[PMT NO]])),"")</f>
        <v>245</v>
      </c>
      <c r="C256" s="12">
        <f>IF(PaymentSchedule[[#This Row],[PMT NO]]&lt;&gt;"",EOMONTH(LoanStartDate,ROW(PaymentSchedule[[#This Row],[PMT NO]])-ROW(PaymentSchedule[[#Headers],[PMT NO]])-2)+DAY(LoanStartDate),"")</f>
        <v>52352</v>
      </c>
      <c r="D256" s="14">
        <f>IF(PaymentSchedule[[#This Row],[PMT NO]]&lt;&gt;"",IF(ROW()-ROW(PaymentSchedule[[#Headers],[BEGINNING BALANCE]])=1,LoanAmount,INDEX(PaymentSchedule[ENDING BALANCE],ROW()-ROW(PaymentSchedule[[#Headers],[BEGINNING BALANCE]])-1)),"")</f>
        <v>1070753.2665851342</v>
      </c>
      <c r="E256" s="14">
        <f>IF(PaymentSchedule[[#This Row],[PMT NO]]&lt;&gt;"",ScheduledPayment,"")</f>
        <v>11400.419471082316</v>
      </c>
      <c r="F25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56" s="14">
        <f>IF(PaymentSchedule[[#This Row],[PMT NO]]&lt;&gt;"",PaymentSchedule[[#This Row],[TOTAL PAYMENT]]-PaymentSchedule[[#This Row],[INTEREST]],"")</f>
        <v>7385.0947213880627</v>
      </c>
      <c r="I256" s="14">
        <f>IF(PaymentSchedule[[#This Row],[PMT NO]]&lt;&gt;"",PaymentSchedule[[#This Row],[BEGINNING BALANCE]]*(InterestRate/PaymentsPerYear),"")</f>
        <v>4015.3247496942531</v>
      </c>
      <c r="J25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1063368.1718637461</v>
      </c>
      <c r="K256" s="14">
        <f>IF(PaymentSchedule[[#This Row],[PMT NO]]&lt;&gt;"",SUM(INDEX(PaymentSchedule[INTEREST],1,1):PaymentSchedule[[#This Row],[INTEREST]]),"")</f>
        <v>1606470.9422789149</v>
      </c>
    </row>
    <row r="257" spans="2:11" x14ac:dyDescent="0.2">
      <c r="B257" s="10">
        <f>IF(LoanIsGood,IF(ROW()-ROW(PaymentSchedule[[#Headers],[PMT NO]])&gt;ScheduledNumberOfPayments,"",ROW()-ROW(PaymentSchedule[[#Headers],[PMT NO]])),"")</f>
        <v>246</v>
      </c>
      <c r="C257" s="12">
        <f>IF(PaymentSchedule[[#This Row],[PMT NO]]&lt;&gt;"",EOMONTH(LoanStartDate,ROW(PaymentSchedule[[#This Row],[PMT NO]])-ROW(PaymentSchedule[[#Headers],[PMT NO]])-2)+DAY(LoanStartDate),"")</f>
        <v>52383</v>
      </c>
      <c r="D257" s="14">
        <f>IF(PaymentSchedule[[#This Row],[PMT NO]]&lt;&gt;"",IF(ROW()-ROW(PaymentSchedule[[#Headers],[BEGINNING BALANCE]])=1,LoanAmount,INDEX(PaymentSchedule[ENDING BALANCE],ROW()-ROW(PaymentSchedule[[#Headers],[BEGINNING BALANCE]])-1)),"")</f>
        <v>1063368.1718637461</v>
      </c>
      <c r="E257" s="14">
        <f>IF(PaymentSchedule[[#This Row],[PMT NO]]&lt;&gt;"",ScheduledPayment,"")</f>
        <v>11400.419471082316</v>
      </c>
      <c r="F25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57" s="14">
        <f>IF(PaymentSchedule[[#This Row],[PMT NO]]&lt;&gt;"",PaymentSchedule[[#This Row],[TOTAL PAYMENT]]-PaymentSchedule[[#This Row],[INTEREST]],"")</f>
        <v>7412.7888265932679</v>
      </c>
      <c r="I257" s="14">
        <f>IF(PaymentSchedule[[#This Row],[PMT NO]]&lt;&gt;"",PaymentSchedule[[#This Row],[BEGINNING BALANCE]]*(InterestRate/PaymentsPerYear),"")</f>
        <v>3987.6306444890479</v>
      </c>
      <c r="J25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1055955.3830371529</v>
      </c>
      <c r="K257" s="14">
        <f>IF(PaymentSchedule[[#This Row],[PMT NO]]&lt;&gt;"",SUM(INDEX(PaymentSchedule[INTEREST],1,1):PaymentSchedule[[#This Row],[INTEREST]]),"")</f>
        <v>1610458.5729234039</v>
      </c>
    </row>
    <row r="258" spans="2:11" x14ac:dyDescent="0.2">
      <c r="B258" s="10">
        <f>IF(LoanIsGood,IF(ROW()-ROW(PaymentSchedule[[#Headers],[PMT NO]])&gt;ScheduledNumberOfPayments,"",ROW()-ROW(PaymentSchedule[[#Headers],[PMT NO]])),"")</f>
        <v>247</v>
      </c>
      <c r="C258" s="12">
        <f>IF(PaymentSchedule[[#This Row],[PMT NO]]&lt;&gt;"",EOMONTH(LoanStartDate,ROW(PaymentSchedule[[#This Row],[PMT NO]])-ROW(PaymentSchedule[[#Headers],[PMT NO]])-2)+DAY(LoanStartDate),"")</f>
        <v>52413</v>
      </c>
      <c r="D258" s="14">
        <f>IF(PaymentSchedule[[#This Row],[PMT NO]]&lt;&gt;"",IF(ROW()-ROW(PaymentSchedule[[#Headers],[BEGINNING BALANCE]])=1,LoanAmount,INDEX(PaymentSchedule[ENDING BALANCE],ROW()-ROW(PaymentSchedule[[#Headers],[BEGINNING BALANCE]])-1)),"")</f>
        <v>1055955.3830371529</v>
      </c>
      <c r="E258" s="14">
        <f>IF(PaymentSchedule[[#This Row],[PMT NO]]&lt;&gt;"",ScheduledPayment,"")</f>
        <v>11400.419471082316</v>
      </c>
      <c r="F25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58" s="14">
        <f>IF(PaymentSchedule[[#This Row],[PMT NO]]&lt;&gt;"",PaymentSchedule[[#This Row],[TOTAL PAYMENT]]-PaymentSchedule[[#This Row],[INTEREST]],"")</f>
        <v>7440.5867846929923</v>
      </c>
      <c r="I258" s="14">
        <f>IF(PaymentSchedule[[#This Row],[PMT NO]]&lt;&gt;"",PaymentSchedule[[#This Row],[BEGINNING BALANCE]]*(InterestRate/PaymentsPerYear),"")</f>
        <v>3959.8326863893235</v>
      </c>
      <c r="J25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1048514.79625246</v>
      </c>
      <c r="K258" s="14">
        <f>IF(PaymentSchedule[[#This Row],[PMT NO]]&lt;&gt;"",SUM(INDEX(PaymentSchedule[INTEREST],1,1):PaymentSchedule[[#This Row],[INTEREST]]),"")</f>
        <v>1614418.4056097933</v>
      </c>
    </row>
    <row r="259" spans="2:11" x14ac:dyDescent="0.2">
      <c r="B259" s="10">
        <f>IF(LoanIsGood,IF(ROW()-ROW(PaymentSchedule[[#Headers],[PMT NO]])&gt;ScheduledNumberOfPayments,"",ROW()-ROW(PaymentSchedule[[#Headers],[PMT NO]])),"")</f>
        <v>248</v>
      </c>
      <c r="C259" s="12">
        <f>IF(PaymentSchedule[[#This Row],[PMT NO]]&lt;&gt;"",EOMONTH(LoanStartDate,ROW(PaymentSchedule[[#This Row],[PMT NO]])-ROW(PaymentSchedule[[#Headers],[PMT NO]])-2)+DAY(LoanStartDate),"")</f>
        <v>52444</v>
      </c>
      <c r="D259" s="14">
        <f>IF(PaymentSchedule[[#This Row],[PMT NO]]&lt;&gt;"",IF(ROW()-ROW(PaymentSchedule[[#Headers],[BEGINNING BALANCE]])=1,LoanAmount,INDEX(PaymentSchedule[ENDING BALANCE],ROW()-ROW(PaymentSchedule[[#Headers],[BEGINNING BALANCE]])-1)),"")</f>
        <v>1048514.79625246</v>
      </c>
      <c r="E259" s="14">
        <f>IF(PaymentSchedule[[#This Row],[PMT NO]]&lt;&gt;"",ScheduledPayment,"")</f>
        <v>11400.419471082316</v>
      </c>
      <c r="F25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59" s="14">
        <f>IF(PaymentSchedule[[#This Row],[PMT NO]]&lt;&gt;"",PaymentSchedule[[#This Row],[TOTAL PAYMENT]]-PaymentSchedule[[#This Row],[INTEREST]],"")</f>
        <v>7468.4889851355911</v>
      </c>
      <c r="I259" s="14">
        <f>IF(PaymentSchedule[[#This Row],[PMT NO]]&lt;&gt;"",PaymentSchedule[[#This Row],[BEGINNING BALANCE]]*(InterestRate/PaymentsPerYear),"")</f>
        <v>3931.9304859467247</v>
      </c>
      <c r="J25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1041046.3072673244</v>
      </c>
      <c r="K259" s="14">
        <f>IF(PaymentSchedule[[#This Row],[PMT NO]]&lt;&gt;"",SUM(INDEX(PaymentSchedule[INTEREST],1,1):PaymentSchedule[[#This Row],[INTEREST]]),"")</f>
        <v>1618350.3360957401</v>
      </c>
    </row>
    <row r="260" spans="2:11" x14ac:dyDescent="0.2">
      <c r="B260" s="10">
        <f>IF(LoanIsGood,IF(ROW()-ROW(PaymentSchedule[[#Headers],[PMT NO]])&gt;ScheduledNumberOfPayments,"",ROW()-ROW(PaymentSchedule[[#Headers],[PMT NO]])),"")</f>
        <v>249</v>
      </c>
      <c r="C260" s="12">
        <f>IF(PaymentSchedule[[#This Row],[PMT NO]]&lt;&gt;"",EOMONTH(LoanStartDate,ROW(PaymentSchedule[[#This Row],[PMT NO]])-ROW(PaymentSchedule[[#Headers],[PMT NO]])-2)+DAY(LoanStartDate),"")</f>
        <v>52475</v>
      </c>
      <c r="D260" s="14">
        <f>IF(PaymentSchedule[[#This Row],[PMT NO]]&lt;&gt;"",IF(ROW()-ROW(PaymentSchedule[[#Headers],[BEGINNING BALANCE]])=1,LoanAmount,INDEX(PaymentSchedule[ENDING BALANCE],ROW()-ROW(PaymentSchedule[[#Headers],[BEGINNING BALANCE]])-1)),"")</f>
        <v>1041046.3072673244</v>
      </c>
      <c r="E260" s="14">
        <f>IF(PaymentSchedule[[#This Row],[PMT NO]]&lt;&gt;"",ScheduledPayment,"")</f>
        <v>11400.419471082316</v>
      </c>
      <c r="F26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60" s="14">
        <f>IF(PaymentSchedule[[#This Row],[PMT NO]]&lt;&gt;"",PaymentSchedule[[#This Row],[TOTAL PAYMENT]]-PaymentSchedule[[#This Row],[INTEREST]],"")</f>
        <v>7496.4958188298497</v>
      </c>
      <c r="I260" s="14">
        <f>IF(PaymentSchedule[[#This Row],[PMT NO]]&lt;&gt;"",PaymentSchedule[[#This Row],[BEGINNING BALANCE]]*(InterestRate/PaymentsPerYear),"")</f>
        <v>3903.9236522524666</v>
      </c>
      <c r="J26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1033549.8114484946</v>
      </c>
      <c r="K260" s="14">
        <f>IF(PaymentSchedule[[#This Row],[PMT NO]]&lt;&gt;"",SUM(INDEX(PaymentSchedule[INTEREST],1,1):PaymentSchedule[[#This Row],[INTEREST]]),"")</f>
        <v>1622254.2597479925</v>
      </c>
    </row>
    <row r="261" spans="2:11" x14ac:dyDescent="0.2">
      <c r="B261" s="10">
        <f>IF(LoanIsGood,IF(ROW()-ROW(PaymentSchedule[[#Headers],[PMT NO]])&gt;ScheduledNumberOfPayments,"",ROW()-ROW(PaymentSchedule[[#Headers],[PMT NO]])),"")</f>
        <v>250</v>
      </c>
      <c r="C261" s="12">
        <f>IF(PaymentSchedule[[#This Row],[PMT NO]]&lt;&gt;"",EOMONTH(LoanStartDate,ROW(PaymentSchedule[[#This Row],[PMT NO]])-ROW(PaymentSchedule[[#Headers],[PMT NO]])-2)+DAY(LoanStartDate),"")</f>
        <v>52505</v>
      </c>
      <c r="D261" s="14">
        <f>IF(PaymentSchedule[[#This Row],[PMT NO]]&lt;&gt;"",IF(ROW()-ROW(PaymentSchedule[[#Headers],[BEGINNING BALANCE]])=1,LoanAmount,INDEX(PaymentSchedule[ENDING BALANCE],ROW()-ROW(PaymentSchedule[[#Headers],[BEGINNING BALANCE]])-1)),"")</f>
        <v>1033549.8114484946</v>
      </c>
      <c r="E261" s="14">
        <f>IF(PaymentSchedule[[#This Row],[PMT NO]]&lt;&gt;"",ScheduledPayment,"")</f>
        <v>11400.419471082316</v>
      </c>
      <c r="F26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61" s="14">
        <f>IF(PaymentSchedule[[#This Row],[PMT NO]]&lt;&gt;"",PaymentSchedule[[#This Row],[TOTAL PAYMENT]]-PaymentSchedule[[#This Row],[INTEREST]],"")</f>
        <v>7524.6076781504617</v>
      </c>
      <c r="I261" s="14">
        <f>IF(PaymentSchedule[[#This Row],[PMT NO]]&lt;&gt;"",PaymentSchedule[[#This Row],[BEGINNING BALANCE]]*(InterestRate/PaymentsPerYear),"")</f>
        <v>3875.8117929318546</v>
      </c>
      <c r="J26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1026025.2037703441</v>
      </c>
      <c r="K261" s="14">
        <f>IF(PaymentSchedule[[#This Row],[PMT NO]]&lt;&gt;"",SUM(INDEX(PaymentSchedule[INTEREST],1,1):PaymentSchedule[[#This Row],[INTEREST]]),"")</f>
        <v>1626130.0715409243</v>
      </c>
    </row>
    <row r="262" spans="2:11" x14ac:dyDescent="0.2">
      <c r="B262" s="10">
        <f>IF(LoanIsGood,IF(ROW()-ROW(PaymentSchedule[[#Headers],[PMT NO]])&gt;ScheduledNumberOfPayments,"",ROW()-ROW(PaymentSchedule[[#Headers],[PMT NO]])),"")</f>
        <v>251</v>
      </c>
      <c r="C262" s="12">
        <f>IF(PaymentSchedule[[#This Row],[PMT NO]]&lt;&gt;"",EOMONTH(LoanStartDate,ROW(PaymentSchedule[[#This Row],[PMT NO]])-ROW(PaymentSchedule[[#Headers],[PMT NO]])-2)+DAY(LoanStartDate),"")</f>
        <v>52536</v>
      </c>
      <c r="D262" s="14">
        <f>IF(PaymentSchedule[[#This Row],[PMT NO]]&lt;&gt;"",IF(ROW()-ROW(PaymentSchedule[[#Headers],[BEGINNING BALANCE]])=1,LoanAmount,INDEX(PaymentSchedule[ENDING BALANCE],ROW()-ROW(PaymentSchedule[[#Headers],[BEGINNING BALANCE]])-1)),"")</f>
        <v>1026025.2037703441</v>
      </c>
      <c r="E262" s="14">
        <f>IF(PaymentSchedule[[#This Row],[PMT NO]]&lt;&gt;"",ScheduledPayment,"")</f>
        <v>11400.419471082316</v>
      </c>
      <c r="F26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62" s="14">
        <f>IF(PaymentSchedule[[#This Row],[PMT NO]]&lt;&gt;"",PaymentSchedule[[#This Row],[TOTAL PAYMENT]]-PaymentSchedule[[#This Row],[INTEREST]],"")</f>
        <v>7552.8249569435247</v>
      </c>
      <c r="I262" s="14">
        <f>IF(PaymentSchedule[[#This Row],[PMT NO]]&lt;&gt;"",PaymentSchedule[[#This Row],[BEGINNING BALANCE]]*(InterestRate/PaymentsPerYear),"")</f>
        <v>3847.5945141387906</v>
      </c>
      <c r="J26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1018472.3788134006</v>
      </c>
      <c r="K262" s="14">
        <f>IF(PaymentSchedule[[#This Row],[PMT NO]]&lt;&gt;"",SUM(INDEX(PaymentSchedule[INTEREST],1,1):PaymentSchedule[[#This Row],[INTEREST]]),"")</f>
        <v>1629977.666055063</v>
      </c>
    </row>
    <row r="263" spans="2:11" x14ac:dyDescent="0.2">
      <c r="B263" s="10">
        <f>IF(LoanIsGood,IF(ROW()-ROW(PaymentSchedule[[#Headers],[PMT NO]])&gt;ScheduledNumberOfPayments,"",ROW()-ROW(PaymentSchedule[[#Headers],[PMT NO]])),"")</f>
        <v>252</v>
      </c>
      <c r="C263" s="12">
        <f>IF(PaymentSchedule[[#This Row],[PMT NO]]&lt;&gt;"",EOMONTH(LoanStartDate,ROW(PaymentSchedule[[#This Row],[PMT NO]])-ROW(PaymentSchedule[[#Headers],[PMT NO]])-2)+DAY(LoanStartDate),"")</f>
        <v>52566</v>
      </c>
      <c r="D263" s="14">
        <f>IF(PaymentSchedule[[#This Row],[PMT NO]]&lt;&gt;"",IF(ROW()-ROW(PaymentSchedule[[#Headers],[BEGINNING BALANCE]])=1,LoanAmount,INDEX(PaymentSchedule[ENDING BALANCE],ROW()-ROW(PaymentSchedule[[#Headers],[BEGINNING BALANCE]])-1)),"")</f>
        <v>1018472.3788134006</v>
      </c>
      <c r="E263" s="14">
        <f>IF(PaymentSchedule[[#This Row],[PMT NO]]&lt;&gt;"",ScheduledPayment,"")</f>
        <v>11400.419471082316</v>
      </c>
      <c r="F26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63" s="14">
        <f>IF(PaymentSchedule[[#This Row],[PMT NO]]&lt;&gt;"",PaymentSchedule[[#This Row],[TOTAL PAYMENT]]-PaymentSchedule[[#This Row],[INTEREST]],"")</f>
        <v>7581.1480505320633</v>
      </c>
      <c r="I263" s="14">
        <f>IF(PaymentSchedule[[#This Row],[PMT NO]]&lt;&gt;"",PaymentSchedule[[#This Row],[BEGINNING BALANCE]]*(InterestRate/PaymentsPerYear),"")</f>
        <v>3819.2714205502521</v>
      </c>
      <c r="J26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1010891.2307628685</v>
      </c>
      <c r="K263" s="14">
        <f>IF(PaymentSchedule[[#This Row],[PMT NO]]&lt;&gt;"",SUM(INDEX(PaymentSchedule[INTEREST],1,1):PaymentSchedule[[#This Row],[INTEREST]]),"")</f>
        <v>1633796.9374756133</v>
      </c>
    </row>
    <row r="264" spans="2:11" x14ac:dyDescent="0.2">
      <c r="B264" s="10">
        <f>IF(LoanIsGood,IF(ROW()-ROW(PaymentSchedule[[#Headers],[PMT NO]])&gt;ScheduledNumberOfPayments,"",ROW()-ROW(PaymentSchedule[[#Headers],[PMT NO]])),"")</f>
        <v>253</v>
      </c>
      <c r="C264" s="12">
        <f>IF(PaymentSchedule[[#This Row],[PMT NO]]&lt;&gt;"",EOMONTH(LoanStartDate,ROW(PaymentSchedule[[#This Row],[PMT NO]])-ROW(PaymentSchedule[[#Headers],[PMT NO]])-2)+DAY(LoanStartDate),"")</f>
        <v>52597</v>
      </c>
      <c r="D264" s="14">
        <f>IF(PaymentSchedule[[#This Row],[PMT NO]]&lt;&gt;"",IF(ROW()-ROW(PaymentSchedule[[#Headers],[BEGINNING BALANCE]])=1,LoanAmount,INDEX(PaymentSchedule[ENDING BALANCE],ROW()-ROW(PaymentSchedule[[#Headers],[BEGINNING BALANCE]])-1)),"")</f>
        <v>1010891.2307628685</v>
      </c>
      <c r="E264" s="14">
        <f>IF(PaymentSchedule[[#This Row],[PMT NO]]&lt;&gt;"",ScheduledPayment,"")</f>
        <v>11400.419471082316</v>
      </c>
      <c r="F26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64" s="14">
        <f>IF(PaymentSchedule[[#This Row],[PMT NO]]&lt;&gt;"",PaymentSchedule[[#This Row],[TOTAL PAYMENT]]-PaymentSchedule[[#This Row],[INTEREST]],"")</f>
        <v>7609.5773557215589</v>
      </c>
      <c r="I264" s="14">
        <f>IF(PaymentSchedule[[#This Row],[PMT NO]]&lt;&gt;"",PaymentSchedule[[#This Row],[BEGINNING BALANCE]]*(InterestRate/PaymentsPerYear),"")</f>
        <v>3790.8421153607569</v>
      </c>
      <c r="J26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1003281.6534071469</v>
      </c>
      <c r="K264" s="14">
        <f>IF(PaymentSchedule[[#This Row],[PMT NO]]&lt;&gt;"",SUM(INDEX(PaymentSchedule[INTEREST],1,1):PaymentSchedule[[#This Row],[INTEREST]]),"")</f>
        <v>1637587.7795909741</v>
      </c>
    </row>
    <row r="265" spans="2:11" x14ac:dyDescent="0.2">
      <c r="B265" s="10">
        <f>IF(LoanIsGood,IF(ROW()-ROW(PaymentSchedule[[#Headers],[PMT NO]])&gt;ScheduledNumberOfPayments,"",ROW()-ROW(PaymentSchedule[[#Headers],[PMT NO]])),"")</f>
        <v>254</v>
      </c>
      <c r="C265" s="12">
        <f>IF(PaymentSchedule[[#This Row],[PMT NO]]&lt;&gt;"",EOMONTH(LoanStartDate,ROW(PaymentSchedule[[#This Row],[PMT NO]])-ROW(PaymentSchedule[[#Headers],[PMT NO]])-2)+DAY(LoanStartDate),"")</f>
        <v>52628</v>
      </c>
      <c r="D265" s="14">
        <f>IF(PaymentSchedule[[#This Row],[PMT NO]]&lt;&gt;"",IF(ROW()-ROW(PaymentSchedule[[#Headers],[BEGINNING BALANCE]])=1,LoanAmount,INDEX(PaymentSchedule[ENDING BALANCE],ROW()-ROW(PaymentSchedule[[#Headers],[BEGINNING BALANCE]])-1)),"")</f>
        <v>1003281.6534071469</v>
      </c>
      <c r="E265" s="14">
        <f>IF(PaymentSchedule[[#This Row],[PMT NO]]&lt;&gt;"",ScheduledPayment,"")</f>
        <v>11400.419471082316</v>
      </c>
      <c r="F26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65" s="14">
        <f>IF(PaymentSchedule[[#This Row],[PMT NO]]&lt;&gt;"",PaymentSchedule[[#This Row],[TOTAL PAYMENT]]-PaymentSchedule[[#This Row],[INTEREST]],"")</f>
        <v>7638.1132708055156</v>
      </c>
      <c r="I265" s="14">
        <f>IF(PaymentSchedule[[#This Row],[PMT NO]]&lt;&gt;"",PaymentSchedule[[#This Row],[BEGINNING BALANCE]]*(InterestRate/PaymentsPerYear),"")</f>
        <v>3762.3062002768006</v>
      </c>
      <c r="J26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995643.54013634135</v>
      </c>
      <c r="K265" s="14">
        <f>IF(PaymentSchedule[[#This Row],[PMT NO]]&lt;&gt;"",SUM(INDEX(PaymentSchedule[INTEREST],1,1):PaymentSchedule[[#This Row],[INTEREST]]),"")</f>
        <v>1641350.0857912509</v>
      </c>
    </row>
    <row r="266" spans="2:11" x14ac:dyDescent="0.2">
      <c r="B266" s="10">
        <f>IF(LoanIsGood,IF(ROW()-ROW(PaymentSchedule[[#Headers],[PMT NO]])&gt;ScheduledNumberOfPayments,"",ROW()-ROW(PaymentSchedule[[#Headers],[PMT NO]])),"")</f>
        <v>255</v>
      </c>
      <c r="C266" s="12">
        <f>IF(PaymentSchedule[[#This Row],[PMT NO]]&lt;&gt;"",EOMONTH(LoanStartDate,ROW(PaymentSchedule[[#This Row],[PMT NO]])-ROW(PaymentSchedule[[#Headers],[PMT NO]])-2)+DAY(LoanStartDate),"")</f>
        <v>52657</v>
      </c>
      <c r="D266" s="14">
        <f>IF(PaymentSchedule[[#This Row],[PMT NO]]&lt;&gt;"",IF(ROW()-ROW(PaymentSchedule[[#Headers],[BEGINNING BALANCE]])=1,LoanAmount,INDEX(PaymentSchedule[ENDING BALANCE],ROW()-ROW(PaymentSchedule[[#Headers],[BEGINNING BALANCE]])-1)),"")</f>
        <v>995643.54013634135</v>
      </c>
      <c r="E266" s="14">
        <f>IF(PaymentSchedule[[#This Row],[PMT NO]]&lt;&gt;"",ScheduledPayment,"")</f>
        <v>11400.419471082316</v>
      </c>
      <c r="F26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66" s="14">
        <f>IF(PaymentSchedule[[#This Row],[PMT NO]]&lt;&gt;"",PaymentSchedule[[#This Row],[TOTAL PAYMENT]]-PaymentSchedule[[#This Row],[INTEREST]],"")</f>
        <v>7666.7561955710353</v>
      </c>
      <c r="I266" s="14">
        <f>IF(PaymentSchedule[[#This Row],[PMT NO]]&lt;&gt;"",PaymentSchedule[[#This Row],[BEGINNING BALANCE]]*(InterestRate/PaymentsPerYear),"")</f>
        <v>3733.6632755112801</v>
      </c>
      <c r="J26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987976.78394077031</v>
      </c>
      <c r="K266" s="14">
        <f>IF(PaymentSchedule[[#This Row],[PMT NO]]&lt;&gt;"",SUM(INDEX(PaymentSchedule[INTEREST],1,1):PaymentSchedule[[#This Row],[INTEREST]]),"")</f>
        <v>1645083.7490667622</v>
      </c>
    </row>
    <row r="267" spans="2:11" x14ac:dyDescent="0.2">
      <c r="B267" s="10">
        <f>IF(LoanIsGood,IF(ROW()-ROW(PaymentSchedule[[#Headers],[PMT NO]])&gt;ScheduledNumberOfPayments,"",ROW()-ROW(PaymentSchedule[[#Headers],[PMT NO]])),"")</f>
        <v>256</v>
      </c>
      <c r="C267" s="12">
        <f>IF(PaymentSchedule[[#This Row],[PMT NO]]&lt;&gt;"",EOMONTH(LoanStartDate,ROW(PaymentSchedule[[#This Row],[PMT NO]])-ROW(PaymentSchedule[[#Headers],[PMT NO]])-2)+DAY(LoanStartDate),"")</f>
        <v>52688</v>
      </c>
      <c r="D267" s="14">
        <f>IF(PaymentSchedule[[#This Row],[PMT NO]]&lt;&gt;"",IF(ROW()-ROW(PaymentSchedule[[#Headers],[BEGINNING BALANCE]])=1,LoanAmount,INDEX(PaymentSchedule[ENDING BALANCE],ROW()-ROW(PaymentSchedule[[#Headers],[BEGINNING BALANCE]])-1)),"")</f>
        <v>987976.78394077031</v>
      </c>
      <c r="E267" s="14">
        <f>IF(PaymentSchedule[[#This Row],[PMT NO]]&lt;&gt;"",ScheduledPayment,"")</f>
        <v>11400.419471082316</v>
      </c>
      <c r="F26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67" s="14">
        <f>IF(PaymentSchedule[[#This Row],[PMT NO]]&lt;&gt;"",PaymentSchedule[[#This Row],[TOTAL PAYMENT]]-PaymentSchedule[[#This Row],[INTEREST]],"")</f>
        <v>7695.506531304427</v>
      </c>
      <c r="I267" s="14">
        <f>IF(PaymentSchedule[[#This Row],[PMT NO]]&lt;&gt;"",PaymentSchedule[[#This Row],[BEGINNING BALANCE]]*(InterestRate/PaymentsPerYear),"")</f>
        <v>3704.9129397778884</v>
      </c>
      <c r="J26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980281.27740946587</v>
      </c>
      <c r="K267" s="14">
        <f>IF(PaymentSchedule[[#This Row],[PMT NO]]&lt;&gt;"",SUM(INDEX(PaymentSchedule[INTEREST],1,1):PaymentSchedule[[#This Row],[INTEREST]]),"")</f>
        <v>1648788.66200654</v>
      </c>
    </row>
    <row r="268" spans="2:11" x14ac:dyDescent="0.2">
      <c r="B268" s="10">
        <f>IF(LoanIsGood,IF(ROW()-ROW(PaymentSchedule[[#Headers],[PMT NO]])&gt;ScheduledNumberOfPayments,"",ROW()-ROW(PaymentSchedule[[#Headers],[PMT NO]])),"")</f>
        <v>257</v>
      </c>
      <c r="C268" s="12">
        <f>IF(PaymentSchedule[[#This Row],[PMT NO]]&lt;&gt;"",EOMONTH(LoanStartDate,ROW(PaymentSchedule[[#This Row],[PMT NO]])-ROW(PaymentSchedule[[#Headers],[PMT NO]])-2)+DAY(LoanStartDate),"")</f>
        <v>52718</v>
      </c>
      <c r="D268" s="14">
        <f>IF(PaymentSchedule[[#This Row],[PMT NO]]&lt;&gt;"",IF(ROW()-ROW(PaymentSchedule[[#Headers],[BEGINNING BALANCE]])=1,LoanAmount,INDEX(PaymentSchedule[ENDING BALANCE],ROW()-ROW(PaymentSchedule[[#Headers],[BEGINNING BALANCE]])-1)),"")</f>
        <v>980281.27740946587</v>
      </c>
      <c r="E268" s="14">
        <f>IF(PaymentSchedule[[#This Row],[PMT NO]]&lt;&gt;"",ScheduledPayment,"")</f>
        <v>11400.419471082316</v>
      </c>
      <c r="F26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68" s="14">
        <f>IF(PaymentSchedule[[#This Row],[PMT NO]]&lt;&gt;"",PaymentSchedule[[#This Row],[TOTAL PAYMENT]]-PaymentSchedule[[#This Row],[INTEREST]],"")</f>
        <v>7724.3646807968189</v>
      </c>
      <c r="I268" s="14">
        <f>IF(PaymentSchedule[[#This Row],[PMT NO]]&lt;&gt;"",PaymentSchedule[[#This Row],[BEGINNING BALANCE]]*(InterestRate/PaymentsPerYear),"")</f>
        <v>3676.0547902854969</v>
      </c>
      <c r="J26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972556.91272866901</v>
      </c>
      <c r="K268" s="14">
        <f>IF(PaymentSchedule[[#This Row],[PMT NO]]&lt;&gt;"",SUM(INDEX(PaymentSchedule[INTEREST],1,1):PaymentSchedule[[#This Row],[INTEREST]]),"")</f>
        <v>1652464.7167968254</v>
      </c>
    </row>
    <row r="269" spans="2:11" x14ac:dyDescent="0.2">
      <c r="B269" s="10">
        <f>IF(LoanIsGood,IF(ROW()-ROW(PaymentSchedule[[#Headers],[PMT NO]])&gt;ScheduledNumberOfPayments,"",ROW()-ROW(PaymentSchedule[[#Headers],[PMT NO]])),"")</f>
        <v>258</v>
      </c>
      <c r="C269" s="12">
        <f>IF(PaymentSchedule[[#This Row],[PMT NO]]&lt;&gt;"",EOMONTH(LoanStartDate,ROW(PaymentSchedule[[#This Row],[PMT NO]])-ROW(PaymentSchedule[[#Headers],[PMT NO]])-2)+DAY(LoanStartDate),"")</f>
        <v>52749</v>
      </c>
      <c r="D269" s="14">
        <f>IF(PaymentSchedule[[#This Row],[PMT NO]]&lt;&gt;"",IF(ROW()-ROW(PaymentSchedule[[#Headers],[BEGINNING BALANCE]])=1,LoanAmount,INDEX(PaymentSchedule[ENDING BALANCE],ROW()-ROW(PaymentSchedule[[#Headers],[BEGINNING BALANCE]])-1)),"")</f>
        <v>972556.91272866901</v>
      </c>
      <c r="E269" s="14">
        <f>IF(PaymentSchedule[[#This Row],[PMT NO]]&lt;&gt;"",ScheduledPayment,"")</f>
        <v>11400.419471082316</v>
      </c>
      <c r="F26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69" s="14">
        <f>IF(PaymentSchedule[[#This Row],[PMT NO]]&lt;&gt;"",PaymentSchedule[[#This Row],[TOTAL PAYMENT]]-PaymentSchedule[[#This Row],[INTEREST]],"")</f>
        <v>7753.3310483498071</v>
      </c>
      <c r="I269" s="14">
        <f>IF(PaymentSchedule[[#This Row],[PMT NO]]&lt;&gt;"",PaymentSchedule[[#This Row],[BEGINNING BALANCE]]*(InterestRate/PaymentsPerYear),"")</f>
        <v>3647.0884227325087</v>
      </c>
      <c r="J26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964803.58168031916</v>
      </c>
      <c r="K269" s="14">
        <f>IF(PaymentSchedule[[#This Row],[PMT NO]]&lt;&gt;"",SUM(INDEX(PaymentSchedule[INTEREST],1,1):PaymentSchedule[[#This Row],[INTEREST]]),"")</f>
        <v>1656111.8052195578</v>
      </c>
    </row>
    <row r="270" spans="2:11" x14ac:dyDescent="0.2">
      <c r="B270" s="10">
        <f>IF(LoanIsGood,IF(ROW()-ROW(PaymentSchedule[[#Headers],[PMT NO]])&gt;ScheduledNumberOfPayments,"",ROW()-ROW(PaymentSchedule[[#Headers],[PMT NO]])),"")</f>
        <v>259</v>
      </c>
      <c r="C270" s="12">
        <f>IF(PaymentSchedule[[#This Row],[PMT NO]]&lt;&gt;"",EOMONTH(LoanStartDate,ROW(PaymentSchedule[[#This Row],[PMT NO]])-ROW(PaymentSchedule[[#Headers],[PMT NO]])-2)+DAY(LoanStartDate),"")</f>
        <v>52779</v>
      </c>
      <c r="D270" s="14">
        <f>IF(PaymentSchedule[[#This Row],[PMT NO]]&lt;&gt;"",IF(ROW()-ROW(PaymentSchedule[[#Headers],[BEGINNING BALANCE]])=1,LoanAmount,INDEX(PaymentSchedule[ENDING BALANCE],ROW()-ROW(PaymentSchedule[[#Headers],[BEGINNING BALANCE]])-1)),"")</f>
        <v>964803.58168031916</v>
      </c>
      <c r="E270" s="14">
        <f>IF(PaymentSchedule[[#This Row],[PMT NO]]&lt;&gt;"",ScheduledPayment,"")</f>
        <v>11400.419471082316</v>
      </c>
      <c r="F27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70" s="14">
        <f>IF(PaymentSchedule[[#This Row],[PMT NO]]&lt;&gt;"",PaymentSchedule[[#This Row],[TOTAL PAYMENT]]-PaymentSchedule[[#This Row],[INTEREST]],"")</f>
        <v>7782.406039781119</v>
      </c>
      <c r="I270" s="14">
        <f>IF(PaymentSchedule[[#This Row],[PMT NO]]&lt;&gt;"",PaymentSchedule[[#This Row],[BEGINNING BALANCE]]*(InterestRate/PaymentsPerYear),"")</f>
        <v>3618.0134313011968</v>
      </c>
      <c r="J27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957021.17564053799</v>
      </c>
      <c r="K270" s="14">
        <f>IF(PaymentSchedule[[#This Row],[PMT NO]]&lt;&gt;"",SUM(INDEX(PaymentSchedule[INTEREST],1,1):PaymentSchedule[[#This Row],[INTEREST]]),"")</f>
        <v>1659729.8186508589</v>
      </c>
    </row>
    <row r="271" spans="2:11" x14ac:dyDescent="0.2">
      <c r="B271" s="10">
        <f>IF(LoanIsGood,IF(ROW()-ROW(PaymentSchedule[[#Headers],[PMT NO]])&gt;ScheduledNumberOfPayments,"",ROW()-ROW(PaymentSchedule[[#Headers],[PMT NO]])),"")</f>
        <v>260</v>
      </c>
      <c r="C271" s="12">
        <f>IF(PaymentSchedule[[#This Row],[PMT NO]]&lt;&gt;"",EOMONTH(LoanStartDate,ROW(PaymentSchedule[[#This Row],[PMT NO]])-ROW(PaymentSchedule[[#Headers],[PMT NO]])-2)+DAY(LoanStartDate),"")</f>
        <v>52810</v>
      </c>
      <c r="D271" s="14">
        <f>IF(PaymentSchedule[[#This Row],[PMT NO]]&lt;&gt;"",IF(ROW()-ROW(PaymentSchedule[[#Headers],[BEGINNING BALANCE]])=1,LoanAmount,INDEX(PaymentSchedule[ENDING BALANCE],ROW()-ROW(PaymentSchedule[[#Headers],[BEGINNING BALANCE]])-1)),"")</f>
        <v>957021.17564053799</v>
      </c>
      <c r="E271" s="14">
        <f>IF(PaymentSchedule[[#This Row],[PMT NO]]&lt;&gt;"",ScheduledPayment,"")</f>
        <v>11400.419471082316</v>
      </c>
      <c r="F27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71" s="14">
        <f>IF(PaymentSchedule[[#This Row],[PMT NO]]&lt;&gt;"",PaymentSchedule[[#This Row],[TOTAL PAYMENT]]-PaymentSchedule[[#This Row],[INTEREST]],"")</f>
        <v>7811.5900624302985</v>
      </c>
      <c r="I271" s="14">
        <f>IF(PaymentSchedule[[#This Row],[PMT NO]]&lt;&gt;"",PaymentSchedule[[#This Row],[BEGINNING BALANCE]]*(InterestRate/PaymentsPerYear),"")</f>
        <v>3588.8294086520173</v>
      </c>
      <c r="J27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949209.58557810774</v>
      </c>
      <c r="K271" s="14">
        <f>IF(PaymentSchedule[[#This Row],[PMT NO]]&lt;&gt;"",SUM(INDEX(PaymentSchedule[INTEREST],1,1):PaymentSchedule[[#This Row],[INTEREST]]),"")</f>
        <v>1663318.6480595109</v>
      </c>
    </row>
    <row r="272" spans="2:11" x14ac:dyDescent="0.2">
      <c r="B272" s="10">
        <f>IF(LoanIsGood,IF(ROW()-ROW(PaymentSchedule[[#Headers],[PMT NO]])&gt;ScheduledNumberOfPayments,"",ROW()-ROW(PaymentSchedule[[#Headers],[PMT NO]])),"")</f>
        <v>261</v>
      </c>
      <c r="C272" s="12">
        <f>IF(PaymentSchedule[[#This Row],[PMT NO]]&lt;&gt;"",EOMONTH(LoanStartDate,ROW(PaymentSchedule[[#This Row],[PMT NO]])-ROW(PaymentSchedule[[#Headers],[PMT NO]])-2)+DAY(LoanStartDate),"")</f>
        <v>52841</v>
      </c>
      <c r="D272" s="14">
        <f>IF(PaymentSchedule[[#This Row],[PMT NO]]&lt;&gt;"",IF(ROW()-ROW(PaymentSchedule[[#Headers],[BEGINNING BALANCE]])=1,LoanAmount,INDEX(PaymentSchedule[ENDING BALANCE],ROW()-ROW(PaymentSchedule[[#Headers],[BEGINNING BALANCE]])-1)),"")</f>
        <v>949209.58557810774</v>
      </c>
      <c r="E272" s="14">
        <f>IF(PaymentSchedule[[#This Row],[PMT NO]]&lt;&gt;"",ScheduledPayment,"")</f>
        <v>11400.419471082316</v>
      </c>
      <c r="F27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72" s="14">
        <f>IF(PaymentSchedule[[#This Row],[PMT NO]]&lt;&gt;"",PaymentSchedule[[#This Row],[TOTAL PAYMENT]]-PaymentSchedule[[#This Row],[INTEREST]],"")</f>
        <v>7840.8835251644123</v>
      </c>
      <c r="I272" s="14">
        <f>IF(PaymentSchedule[[#This Row],[PMT NO]]&lt;&gt;"",PaymentSchedule[[#This Row],[BEGINNING BALANCE]]*(InterestRate/PaymentsPerYear),"")</f>
        <v>3559.535945917904</v>
      </c>
      <c r="J27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941368.70205294329</v>
      </c>
      <c r="K272" s="14">
        <f>IF(PaymentSchedule[[#This Row],[PMT NO]]&lt;&gt;"",SUM(INDEX(PaymentSchedule[INTEREST],1,1):PaymentSchedule[[#This Row],[INTEREST]]),"")</f>
        <v>1666878.1840054288</v>
      </c>
    </row>
    <row r="273" spans="2:11" x14ac:dyDescent="0.2">
      <c r="B273" s="10">
        <f>IF(LoanIsGood,IF(ROW()-ROW(PaymentSchedule[[#Headers],[PMT NO]])&gt;ScheduledNumberOfPayments,"",ROW()-ROW(PaymentSchedule[[#Headers],[PMT NO]])),"")</f>
        <v>262</v>
      </c>
      <c r="C273" s="12">
        <f>IF(PaymentSchedule[[#This Row],[PMT NO]]&lt;&gt;"",EOMONTH(LoanStartDate,ROW(PaymentSchedule[[#This Row],[PMT NO]])-ROW(PaymentSchedule[[#Headers],[PMT NO]])-2)+DAY(LoanStartDate),"")</f>
        <v>52871</v>
      </c>
      <c r="D273" s="14">
        <f>IF(PaymentSchedule[[#This Row],[PMT NO]]&lt;&gt;"",IF(ROW()-ROW(PaymentSchedule[[#Headers],[BEGINNING BALANCE]])=1,LoanAmount,INDEX(PaymentSchedule[ENDING BALANCE],ROW()-ROW(PaymentSchedule[[#Headers],[BEGINNING BALANCE]])-1)),"")</f>
        <v>941368.70205294329</v>
      </c>
      <c r="E273" s="14">
        <f>IF(PaymentSchedule[[#This Row],[PMT NO]]&lt;&gt;"",ScheduledPayment,"")</f>
        <v>11400.419471082316</v>
      </c>
      <c r="F27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73" s="14">
        <f>IF(PaymentSchedule[[#This Row],[PMT NO]]&lt;&gt;"",PaymentSchedule[[#This Row],[TOTAL PAYMENT]]-PaymentSchedule[[#This Row],[INTEREST]],"")</f>
        <v>7870.2868383837786</v>
      </c>
      <c r="I273" s="14">
        <f>IF(PaymentSchedule[[#This Row],[PMT NO]]&lt;&gt;"",PaymentSchedule[[#This Row],[BEGINNING BALANCE]]*(InterestRate/PaymentsPerYear),"")</f>
        <v>3530.1326326985372</v>
      </c>
      <c r="J27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933498.41521455953</v>
      </c>
      <c r="K273" s="14">
        <f>IF(PaymentSchedule[[#This Row],[PMT NO]]&lt;&gt;"",SUM(INDEX(PaymentSchedule[INTEREST],1,1):PaymentSchedule[[#This Row],[INTEREST]]),"")</f>
        <v>1670408.3166381274</v>
      </c>
    </row>
    <row r="274" spans="2:11" x14ac:dyDescent="0.2">
      <c r="B274" s="10">
        <f>IF(LoanIsGood,IF(ROW()-ROW(PaymentSchedule[[#Headers],[PMT NO]])&gt;ScheduledNumberOfPayments,"",ROW()-ROW(PaymentSchedule[[#Headers],[PMT NO]])),"")</f>
        <v>263</v>
      </c>
      <c r="C274" s="12">
        <f>IF(PaymentSchedule[[#This Row],[PMT NO]]&lt;&gt;"",EOMONTH(LoanStartDate,ROW(PaymentSchedule[[#This Row],[PMT NO]])-ROW(PaymentSchedule[[#Headers],[PMT NO]])-2)+DAY(LoanStartDate),"")</f>
        <v>52902</v>
      </c>
      <c r="D274" s="14">
        <f>IF(PaymentSchedule[[#This Row],[PMT NO]]&lt;&gt;"",IF(ROW()-ROW(PaymentSchedule[[#Headers],[BEGINNING BALANCE]])=1,LoanAmount,INDEX(PaymentSchedule[ENDING BALANCE],ROW()-ROW(PaymentSchedule[[#Headers],[BEGINNING BALANCE]])-1)),"")</f>
        <v>933498.41521455953</v>
      </c>
      <c r="E274" s="14">
        <f>IF(PaymentSchedule[[#This Row],[PMT NO]]&lt;&gt;"",ScheduledPayment,"")</f>
        <v>11400.419471082316</v>
      </c>
      <c r="F27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74" s="14">
        <f>IF(PaymentSchedule[[#This Row],[PMT NO]]&lt;&gt;"",PaymentSchedule[[#This Row],[TOTAL PAYMENT]]-PaymentSchedule[[#This Row],[INTEREST]],"")</f>
        <v>7899.8004140277171</v>
      </c>
      <c r="I274" s="14">
        <f>IF(PaymentSchedule[[#This Row],[PMT NO]]&lt;&gt;"",PaymentSchedule[[#This Row],[BEGINNING BALANCE]]*(InterestRate/PaymentsPerYear),"")</f>
        <v>3500.6190570545982</v>
      </c>
      <c r="J27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925598.61480053177</v>
      </c>
      <c r="K274" s="14">
        <f>IF(PaymentSchedule[[#This Row],[PMT NO]]&lt;&gt;"",SUM(INDEX(PaymentSchedule[INTEREST],1,1):PaymentSchedule[[#This Row],[INTEREST]]),"")</f>
        <v>1673908.9356951821</v>
      </c>
    </row>
    <row r="275" spans="2:11" x14ac:dyDescent="0.2">
      <c r="B275" s="10">
        <f>IF(LoanIsGood,IF(ROW()-ROW(PaymentSchedule[[#Headers],[PMT NO]])&gt;ScheduledNumberOfPayments,"",ROW()-ROW(PaymentSchedule[[#Headers],[PMT NO]])),"")</f>
        <v>264</v>
      </c>
      <c r="C275" s="12">
        <f>IF(PaymentSchedule[[#This Row],[PMT NO]]&lt;&gt;"",EOMONTH(LoanStartDate,ROW(PaymentSchedule[[#This Row],[PMT NO]])-ROW(PaymentSchedule[[#Headers],[PMT NO]])-2)+DAY(LoanStartDate),"")</f>
        <v>52932</v>
      </c>
      <c r="D275" s="14">
        <f>IF(PaymentSchedule[[#This Row],[PMT NO]]&lt;&gt;"",IF(ROW()-ROW(PaymentSchedule[[#Headers],[BEGINNING BALANCE]])=1,LoanAmount,INDEX(PaymentSchedule[ENDING BALANCE],ROW()-ROW(PaymentSchedule[[#Headers],[BEGINNING BALANCE]])-1)),"")</f>
        <v>925598.61480053177</v>
      </c>
      <c r="E275" s="14">
        <f>IF(PaymentSchedule[[#This Row],[PMT NO]]&lt;&gt;"",ScheduledPayment,"")</f>
        <v>11400.419471082316</v>
      </c>
      <c r="F27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75" s="14">
        <f>IF(PaymentSchedule[[#This Row],[PMT NO]]&lt;&gt;"",PaymentSchedule[[#This Row],[TOTAL PAYMENT]]-PaymentSchedule[[#This Row],[INTEREST]],"")</f>
        <v>7929.4246655803217</v>
      </c>
      <c r="I275" s="14">
        <f>IF(PaymentSchedule[[#This Row],[PMT NO]]&lt;&gt;"",PaymentSchedule[[#This Row],[BEGINNING BALANCE]]*(InterestRate/PaymentsPerYear),"")</f>
        <v>3470.9948055019941</v>
      </c>
      <c r="J27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917669.1901349515</v>
      </c>
      <c r="K275" s="14">
        <f>IF(PaymentSchedule[[#This Row],[PMT NO]]&lt;&gt;"",SUM(INDEX(PaymentSchedule[INTEREST],1,1):PaymentSchedule[[#This Row],[INTEREST]]),"")</f>
        <v>1677379.9305006841</v>
      </c>
    </row>
    <row r="276" spans="2:11" x14ac:dyDescent="0.2">
      <c r="B276" s="10">
        <f>IF(LoanIsGood,IF(ROW()-ROW(PaymentSchedule[[#Headers],[PMT NO]])&gt;ScheduledNumberOfPayments,"",ROW()-ROW(PaymentSchedule[[#Headers],[PMT NO]])),"")</f>
        <v>265</v>
      </c>
      <c r="C276" s="12">
        <f>IF(PaymentSchedule[[#This Row],[PMT NO]]&lt;&gt;"",EOMONTH(LoanStartDate,ROW(PaymentSchedule[[#This Row],[PMT NO]])-ROW(PaymentSchedule[[#Headers],[PMT NO]])-2)+DAY(LoanStartDate),"")</f>
        <v>52963</v>
      </c>
      <c r="D276" s="14">
        <f>IF(PaymentSchedule[[#This Row],[PMT NO]]&lt;&gt;"",IF(ROW()-ROW(PaymentSchedule[[#Headers],[BEGINNING BALANCE]])=1,LoanAmount,INDEX(PaymentSchedule[ENDING BALANCE],ROW()-ROW(PaymentSchedule[[#Headers],[BEGINNING BALANCE]])-1)),"")</f>
        <v>917669.1901349515</v>
      </c>
      <c r="E276" s="14">
        <f>IF(PaymentSchedule[[#This Row],[PMT NO]]&lt;&gt;"",ScheduledPayment,"")</f>
        <v>11400.419471082316</v>
      </c>
      <c r="F27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76" s="14">
        <f>IF(PaymentSchedule[[#This Row],[PMT NO]]&lt;&gt;"",PaymentSchedule[[#This Row],[TOTAL PAYMENT]]-PaymentSchedule[[#This Row],[INTEREST]],"")</f>
        <v>7959.1600080762473</v>
      </c>
      <c r="I276" s="14">
        <f>IF(PaymentSchedule[[#This Row],[PMT NO]]&lt;&gt;"",PaymentSchedule[[#This Row],[BEGINNING BALANCE]]*(InterestRate/PaymentsPerYear),"")</f>
        <v>3441.259463006068</v>
      </c>
      <c r="J27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909710.03012687527</v>
      </c>
      <c r="K276" s="14">
        <f>IF(PaymentSchedule[[#This Row],[PMT NO]]&lt;&gt;"",SUM(INDEX(PaymentSchedule[INTEREST],1,1):PaymentSchedule[[#This Row],[INTEREST]]),"")</f>
        <v>1680821.1899636902</v>
      </c>
    </row>
    <row r="277" spans="2:11" x14ac:dyDescent="0.2">
      <c r="B277" s="10">
        <f>IF(LoanIsGood,IF(ROW()-ROW(PaymentSchedule[[#Headers],[PMT NO]])&gt;ScheduledNumberOfPayments,"",ROW()-ROW(PaymentSchedule[[#Headers],[PMT NO]])),"")</f>
        <v>266</v>
      </c>
      <c r="C277" s="12">
        <f>IF(PaymentSchedule[[#This Row],[PMT NO]]&lt;&gt;"",EOMONTH(LoanStartDate,ROW(PaymentSchedule[[#This Row],[PMT NO]])-ROW(PaymentSchedule[[#Headers],[PMT NO]])-2)+DAY(LoanStartDate),"")</f>
        <v>52994</v>
      </c>
      <c r="D277" s="14">
        <f>IF(PaymentSchedule[[#This Row],[PMT NO]]&lt;&gt;"",IF(ROW()-ROW(PaymentSchedule[[#Headers],[BEGINNING BALANCE]])=1,LoanAmount,INDEX(PaymentSchedule[ENDING BALANCE],ROW()-ROW(PaymentSchedule[[#Headers],[BEGINNING BALANCE]])-1)),"")</f>
        <v>909710.03012687527</v>
      </c>
      <c r="E277" s="14">
        <f>IF(PaymentSchedule[[#This Row],[PMT NO]]&lt;&gt;"",ScheduledPayment,"")</f>
        <v>11400.419471082316</v>
      </c>
      <c r="F27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77" s="14">
        <f>IF(PaymentSchedule[[#This Row],[PMT NO]]&lt;&gt;"",PaymentSchedule[[#This Row],[TOTAL PAYMENT]]-PaymentSchedule[[#This Row],[INTEREST]],"")</f>
        <v>7989.0068581065334</v>
      </c>
      <c r="I277" s="14">
        <f>IF(PaymentSchedule[[#This Row],[PMT NO]]&lt;&gt;"",PaymentSchedule[[#This Row],[BEGINNING BALANCE]]*(InterestRate/PaymentsPerYear),"")</f>
        <v>3411.4126129757819</v>
      </c>
      <c r="J27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901721.02326876868</v>
      </c>
      <c r="K277" s="14">
        <f>IF(PaymentSchedule[[#This Row],[PMT NO]]&lt;&gt;"",SUM(INDEX(PaymentSchedule[INTEREST],1,1):PaymentSchedule[[#This Row],[INTEREST]]),"")</f>
        <v>1684232.602576666</v>
      </c>
    </row>
    <row r="278" spans="2:11" x14ac:dyDescent="0.2">
      <c r="B278" s="10">
        <f>IF(LoanIsGood,IF(ROW()-ROW(PaymentSchedule[[#Headers],[PMT NO]])&gt;ScheduledNumberOfPayments,"",ROW()-ROW(PaymentSchedule[[#Headers],[PMT NO]])),"")</f>
        <v>267</v>
      </c>
      <c r="C278" s="12">
        <f>IF(PaymentSchedule[[#This Row],[PMT NO]]&lt;&gt;"",EOMONTH(LoanStartDate,ROW(PaymentSchedule[[#This Row],[PMT NO]])-ROW(PaymentSchedule[[#Headers],[PMT NO]])-2)+DAY(LoanStartDate),"")</f>
        <v>53022</v>
      </c>
      <c r="D278" s="14">
        <f>IF(PaymentSchedule[[#This Row],[PMT NO]]&lt;&gt;"",IF(ROW()-ROW(PaymentSchedule[[#Headers],[BEGINNING BALANCE]])=1,LoanAmount,INDEX(PaymentSchedule[ENDING BALANCE],ROW()-ROW(PaymentSchedule[[#Headers],[BEGINNING BALANCE]])-1)),"")</f>
        <v>901721.02326876868</v>
      </c>
      <c r="E278" s="14">
        <f>IF(PaymentSchedule[[#This Row],[PMT NO]]&lt;&gt;"",ScheduledPayment,"")</f>
        <v>11400.419471082316</v>
      </c>
      <c r="F27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78" s="14">
        <f>IF(PaymentSchedule[[#This Row],[PMT NO]]&lt;&gt;"",PaymentSchedule[[#This Row],[TOTAL PAYMENT]]-PaymentSchedule[[#This Row],[INTEREST]],"")</f>
        <v>8018.9656338244331</v>
      </c>
      <c r="I278" s="14">
        <f>IF(PaymentSchedule[[#This Row],[PMT NO]]&lt;&gt;"",PaymentSchedule[[#This Row],[BEGINNING BALANCE]]*(InterestRate/PaymentsPerYear),"")</f>
        <v>3381.4538372578822</v>
      </c>
      <c r="J27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893702.05763494421</v>
      </c>
      <c r="K278" s="14">
        <f>IF(PaymentSchedule[[#This Row],[PMT NO]]&lt;&gt;"",SUM(INDEX(PaymentSchedule[INTEREST],1,1):PaymentSchedule[[#This Row],[INTEREST]]),"")</f>
        <v>1687614.0564139239</v>
      </c>
    </row>
    <row r="279" spans="2:11" x14ac:dyDescent="0.2">
      <c r="B279" s="10">
        <f>IF(LoanIsGood,IF(ROW()-ROW(PaymentSchedule[[#Headers],[PMT NO]])&gt;ScheduledNumberOfPayments,"",ROW()-ROW(PaymentSchedule[[#Headers],[PMT NO]])),"")</f>
        <v>268</v>
      </c>
      <c r="C279" s="12">
        <f>IF(PaymentSchedule[[#This Row],[PMT NO]]&lt;&gt;"",EOMONTH(LoanStartDate,ROW(PaymentSchedule[[#This Row],[PMT NO]])-ROW(PaymentSchedule[[#Headers],[PMT NO]])-2)+DAY(LoanStartDate),"")</f>
        <v>53053</v>
      </c>
      <c r="D279" s="14">
        <f>IF(PaymentSchedule[[#This Row],[PMT NO]]&lt;&gt;"",IF(ROW()-ROW(PaymentSchedule[[#Headers],[BEGINNING BALANCE]])=1,LoanAmount,INDEX(PaymentSchedule[ENDING BALANCE],ROW()-ROW(PaymentSchedule[[#Headers],[BEGINNING BALANCE]])-1)),"")</f>
        <v>893702.05763494421</v>
      </c>
      <c r="E279" s="14">
        <f>IF(PaymentSchedule[[#This Row],[PMT NO]]&lt;&gt;"",ScheduledPayment,"")</f>
        <v>11400.419471082316</v>
      </c>
      <c r="F27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79" s="14">
        <f>IF(PaymentSchedule[[#This Row],[PMT NO]]&lt;&gt;"",PaymentSchedule[[#This Row],[TOTAL PAYMENT]]-PaymentSchedule[[#This Row],[INTEREST]],"")</f>
        <v>8049.0367549512757</v>
      </c>
      <c r="I279" s="14">
        <f>IF(PaymentSchedule[[#This Row],[PMT NO]]&lt;&gt;"",PaymentSchedule[[#This Row],[BEGINNING BALANCE]]*(InterestRate/PaymentsPerYear),"")</f>
        <v>3351.3827161310405</v>
      </c>
      <c r="J27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885653.02087999298</v>
      </c>
      <c r="K279" s="14">
        <f>IF(PaymentSchedule[[#This Row],[PMT NO]]&lt;&gt;"",SUM(INDEX(PaymentSchedule[INTEREST],1,1):PaymentSchedule[[#This Row],[INTEREST]]),"")</f>
        <v>1690965.4391300548</v>
      </c>
    </row>
    <row r="280" spans="2:11" x14ac:dyDescent="0.2">
      <c r="B280" s="10">
        <f>IF(LoanIsGood,IF(ROW()-ROW(PaymentSchedule[[#Headers],[PMT NO]])&gt;ScheduledNumberOfPayments,"",ROW()-ROW(PaymentSchedule[[#Headers],[PMT NO]])),"")</f>
        <v>269</v>
      </c>
      <c r="C280" s="12">
        <f>IF(PaymentSchedule[[#This Row],[PMT NO]]&lt;&gt;"",EOMONTH(LoanStartDate,ROW(PaymentSchedule[[#This Row],[PMT NO]])-ROW(PaymentSchedule[[#Headers],[PMT NO]])-2)+DAY(LoanStartDate),"")</f>
        <v>53083</v>
      </c>
      <c r="D280" s="14">
        <f>IF(PaymentSchedule[[#This Row],[PMT NO]]&lt;&gt;"",IF(ROW()-ROW(PaymentSchedule[[#Headers],[BEGINNING BALANCE]])=1,LoanAmount,INDEX(PaymentSchedule[ENDING BALANCE],ROW()-ROW(PaymentSchedule[[#Headers],[BEGINNING BALANCE]])-1)),"")</f>
        <v>885653.02087999298</v>
      </c>
      <c r="E280" s="14">
        <f>IF(PaymentSchedule[[#This Row],[PMT NO]]&lt;&gt;"",ScheduledPayment,"")</f>
        <v>11400.419471082316</v>
      </c>
      <c r="F28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80" s="14">
        <f>IF(PaymentSchedule[[#This Row],[PMT NO]]&lt;&gt;"",PaymentSchedule[[#This Row],[TOTAL PAYMENT]]-PaymentSchedule[[#This Row],[INTEREST]],"")</f>
        <v>8079.2206427823421</v>
      </c>
      <c r="I280" s="14">
        <f>IF(PaymentSchedule[[#This Row],[PMT NO]]&lt;&gt;"",PaymentSchedule[[#This Row],[BEGINNING BALANCE]]*(InterestRate/PaymentsPerYear),"")</f>
        <v>3321.1988282999737</v>
      </c>
      <c r="J28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877573.80023721058</v>
      </c>
      <c r="K280" s="14">
        <f>IF(PaymentSchedule[[#This Row],[PMT NO]]&lt;&gt;"",SUM(INDEX(PaymentSchedule[INTEREST],1,1):PaymentSchedule[[#This Row],[INTEREST]]),"")</f>
        <v>1694286.6379583548</v>
      </c>
    </row>
    <row r="281" spans="2:11" x14ac:dyDescent="0.2">
      <c r="B281" s="10">
        <f>IF(LoanIsGood,IF(ROW()-ROW(PaymentSchedule[[#Headers],[PMT NO]])&gt;ScheduledNumberOfPayments,"",ROW()-ROW(PaymentSchedule[[#Headers],[PMT NO]])),"")</f>
        <v>270</v>
      </c>
      <c r="C281" s="12">
        <f>IF(PaymentSchedule[[#This Row],[PMT NO]]&lt;&gt;"",EOMONTH(LoanStartDate,ROW(PaymentSchedule[[#This Row],[PMT NO]])-ROW(PaymentSchedule[[#Headers],[PMT NO]])-2)+DAY(LoanStartDate),"")</f>
        <v>53114</v>
      </c>
      <c r="D281" s="14">
        <f>IF(PaymentSchedule[[#This Row],[PMT NO]]&lt;&gt;"",IF(ROW()-ROW(PaymentSchedule[[#Headers],[BEGINNING BALANCE]])=1,LoanAmount,INDEX(PaymentSchedule[ENDING BALANCE],ROW()-ROW(PaymentSchedule[[#Headers],[BEGINNING BALANCE]])-1)),"")</f>
        <v>877573.80023721058</v>
      </c>
      <c r="E281" s="14">
        <f>IF(PaymentSchedule[[#This Row],[PMT NO]]&lt;&gt;"",ScheduledPayment,"")</f>
        <v>11400.419471082316</v>
      </c>
      <c r="F28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81" s="14">
        <f>IF(PaymentSchedule[[#This Row],[PMT NO]]&lt;&gt;"",PaymentSchedule[[#This Row],[TOTAL PAYMENT]]-PaymentSchedule[[#This Row],[INTEREST]],"")</f>
        <v>8109.5177201927763</v>
      </c>
      <c r="I281" s="14">
        <f>IF(PaymentSchedule[[#This Row],[PMT NO]]&lt;&gt;"",PaymentSchedule[[#This Row],[BEGINNING BALANCE]]*(InterestRate/PaymentsPerYear),"")</f>
        <v>3290.9017508895395</v>
      </c>
      <c r="J28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869464.2825170178</v>
      </c>
      <c r="K281" s="14">
        <f>IF(PaymentSchedule[[#This Row],[PMT NO]]&lt;&gt;"",SUM(INDEX(PaymentSchedule[INTEREST],1,1):PaymentSchedule[[#This Row],[INTEREST]]),"")</f>
        <v>1697577.5397092444</v>
      </c>
    </row>
    <row r="282" spans="2:11" x14ac:dyDescent="0.2">
      <c r="B282" s="10">
        <f>IF(LoanIsGood,IF(ROW()-ROW(PaymentSchedule[[#Headers],[PMT NO]])&gt;ScheduledNumberOfPayments,"",ROW()-ROW(PaymentSchedule[[#Headers],[PMT NO]])),"")</f>
        <v>271</v>
      </c>
      <c r="C282" s="12">
        <f>IF(PaymentSchedule[[#This Row],[PMT NO]]&lt;&gt;"",EOMONTH(LoanStartDate,ROW(PaymentSchedule[[#This Row],[PMT NO]])-ROW(PaymentSchedule[[#Headers],[PMT NO]])-2)+DAY(LoanStartDate),"")</f>
        <v>53144</v>
      </c>
      <c r="D282" s="14">
        <f>IF(PaymentSchedule[[#This Row],[PMT NO]]&lt;&gt;"",IF(ROW()-ROW(PaymentSchedule[[#Headers],[BEGINNING BALANCE]])=1,LoanAmount,INDEX(PaymentSchedule[ENDING BALANCE],ROW()-ROW(PaymentSchedule[[#Headers],[BEGINNING BALANCE]])-1)),"")</f>
        <v>869464.2825170178</v>
      </c>
      <c r="E282" s="14">
        <f>IF(PaymentSchedule[[#This Row],[PMT NO]]&lt;&gt;"",ScheduledPayment,"")</f>
        <v>11400.419471082316</v>
      </c>
      <c r="F28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82" s="14">
        <f>IF(PaymentSchedule[[#This Row],[PMT NO]]&lt;&gt;"",PaymentSchedule[[#This Row],[TOTAL PAYMENT]]-PaymentSchedule[[#This Row],[INTEREST]],"")</f>
        <v>8139.9284116434992</v>
      </c>
      <c r="I282" s="14">
        <f>IF(PaymentSchedule[[#This Row],[PMT NO]]&lt;&gt;"",PaymentSchedule[[#This Row],[BEGINNING BALANCE]]*(InterestRate/PaymentsPerYear),"")</f>
        <v>3260.4910594388166</v>
      </c>
      <c r="J28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861324.35410537431</v>
      </c>
      <c r="K282" s="14">
        <f>IF(PaymentSchedule[[#This Row],[PMT NO]]&lt;&gt;"",SUM(INDEX(PaymentSchedule[INTEREST],1,1):PaymentSchedule[[#This Row],[INTEREST]]),"")</f>
        <v>1700838.0307686832</v>
      </c>
    </row>
    <row r="283" spans="2:11" x14ac:dyDescent="0.2">
      <c r="B283" s="10">
        <f>IF(LoanIsGood,IF(ROW()-ROW(PaymentSchedule[[#Headers],[PMT NO]])&gt;ScheduledNumberOfPayments,"",ROW()-ROW(PaymentSchedule[[#Headers],[PMT NO]])),"")</f>
        <v>272</v>
      </c>
      <c r="C283" s="12">
        <f>IF(PaymentSchedule[[#This Row],[PMT NO]]&lt;&gt;"",EOMONTH(LoanStartDate,ROW(PaymentSchedule[[#This Row],[PMT NO]])-ROW(PaymentSchedule[[#Headers],[PMT NO]])-2)+DAY(LoanStartDate),"")</f>
        <v>53175</v>
      </c>
      <c r="D283" s="14">
        <f>IF(PaymentSchedule[[#This Row],[PMT NO]]&lt;&gt;"",IF(ROW()-ROW(PaymentSchedule[[#Headers],[BEGINNING BALANCE]])=1,LoanAmount,INDEX(PaymentSchedule[ENDING BALANCE],ROW()-ROW(PaymentSchedule[[#Headers],[BEGINNING BALANCE]])-1)),"")</f>
        <v>861324.35410537431</v>
      </c>
      <c r="E283" s="14">
        <f>IF(PaymentSchedule[[#This Row],[PMT NO]]&lt;&gt;"",ScheduledPayment,"")</f>
        <v>11400.419471082316</v>
      </c>
      <c r="F28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83" s="14">
        <f>IF(PaymentSchedule[[#This Row],[PMT NO]]&lt;&gt;"",PaymentSchedule[[#This Row],[TOTAL PAYMENT]]-PaymentSchedule[[#This Row],[INTEREST]],"")</f>
        <v>8170.4531431871619</v>
      </c>
      <c r="I283" s="14">
        <f>IF(PaymentSchedule[[#This Row],[PMT NO]]&lt;&gt;"",PaymentSchedule[[#This Row],[BEGINNING BALANCE]]*(InterestRate/PaymentsPerYear),"")</f>
        <v>3229.9663278951534</v>
      </c>
      <c r="J28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853153.90096218709</v>
      </c>
      <c r="K283" s="14">
        <f>IF(PaymentSchedule[[#This Row],[PMT NO]]&lt;&gt;"",SUM(INDEX(PaymentSchedule[INTEREST],1,1):PaymentSchedule[[#This Row],[INTEREST]]),"")</f>
        <v>1704067.9970965784</v>
      </c>
    </row>
    <row r="284" spans="2:11" x14ac:dyDescent="0.2">
      <c r="B284" s="10">
        <f>IF(LoanIsGood,IF(ROW()-ROW(PaymentSchedule[[#Headers],[PMT NO]])&gt;ScheduledNumberOfPayments,"",ROW()-ROW(PaymentSchedule[[#Headers],[PMT NO]])),"")</f>
        <v>273</v>
      </c>
      <c r="C284" s="12">
        <f>IF(PaymentSchedule[[#This Row],[PMT NO]]&lt;&gt;"",EOMONTH(LoanStartDate,ROW(PaymentSchedule[[#This Row],[PMT NO]])-ROW(PaymentSchedule[[#Headers],[PMT NO]])-2)+DAY(LoanStartDate),"")</f>
        <v>53206</v>
      </c>
      <c r="D284" s="14">
        <f>IF(PaymentSchedule[[#This Row],[PMT NO]]&lt;&gt;"",IF(ROW()-ROW(PaymentSchedule[[#Headers],[BEGINNING BALANCE]])=1,LoanAmount,INDEX(PaymentSchedule[ENDING BALANCE],ROW()-ROW(PaymentSchedule[[#Headers],[BEGINNING BALANCE]])-1)),"")</f>
        <v>853153.90096218709</v>
      </c>
      <c r="E284" s="14">
        <f>IF(PaymentSchedule[[#This Row],[PMT NO]]&lt;&gt;"",ScheduledPayment,"")</f>
        <v>11400.419471082316</v>
      </c>
      <c r="F28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84" s="14">
        <f>IF(PaymentSchedule[[#This Row],[PMT NO]]&lt;&gt;"",PaymentSchedule[[#This Row],[TOTAL PAYMENT]]-PaymentSchedule[[#This Row],[INTEREST]],"")</f>
        <v>8201.092342474114</v>
      </c>
      <c r="I284" s="14">
        <f>IF(PaymentSchedule[[#This Row],[PMT NO]]&lt;&gt;"",PaymentSchedule[[#This Row],[BEGINNING BALANCE]]*(InterestRate/PaymentsPerYear),"")</f>
        <v>3199.3271286082013</v>
      </c>
      <c r="J28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844952.80861971295</v>
      </c>
      <c r="K284" s="14">
        <f>IF(PaymentSchedule[[#This Row],[PMT NO]]&lt;&gt;"",SUM(INDEX(PaymentSchedule[INTEREST],1,1):PaymentSchedule[[#This Row],[INTEREST]]),"")</f>
        <v>1707267.3242251866</v>
      </c>
    </row>
    <row r="285" spans="2:11" x14ac:dyDescent="0.2">
      <c r="B285" s="10">
        <f>IF(LoanIsGood,IF(ROW()-ROW(PaymentSchedule[[#Headers],[PMT NO]])&gt;ScheduledNumberOfPayments,"",ROW()-ROW(PaymentSchedule[[#Headers],[PMT NO]])),"")</f>
        <v>274</v>
      </c>
      <c r="C285" s="12">
        <f>IF(PaymentSchedule[[#This Row],[PMT NO]]&lt;&gt;"",EOMONTH(LoanStartDate,ROW(PaymentSchedule[[#This Row],[PMT NO]])-ROW(PaymentSchedule[[#Headers],[PMT NO]])-2)+DAY(LoanStartDate),"")</f>
        <v>53236</v>
      </c>
      <c r="D285" s="14">
        <f>IF(PaymentSchedule[[#This Row],[PMT NO]]&lt;&gt;"",IF(ROW()-ROW(PaymentSchedule[[#Headers],[BEGINNING BALANCE]])=1,LoanAmount,INDEX(PaymentSchedule[ENDING BALANCE],ROW()-ROW(PaymentSchedule[[#Headers],[BEGINNING BALANCE]])-1)),"")</f>
        <v>844952.80861971295</v>
      </c>
      <c r="E285" s="14">
        <f>IF(PaymentSchedule[[#This Row],[PMT NO]]&lt;&gt;"",ScheduledPayment,"")</f>
        <v>11400.419471082316</v>
      </c>
      <c r="F28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85" s="14">
        <f>IF(PaymentSchedule[[#This Row],[PMT NO]]&lt;&gt;"",PaymentSchedule[[#This Row],[TOTAL PAYMENT]]-PaymentSchedule[[#This Row],[INTEREST]],"")</f>
        <v>8231.8464387583917</v>
      </c>
      <c r="I285" s="14">
        <f>IF(PaymentSchedule[[#This Row],[PMT NO]]&lt;&gt;"",PaymentSchedule[[#This Row],[BEGINNING BALANCE]]*(InterestRate/PaymentsPerYear),"")</f>
        <v>3168.5730323239236</v>
      </c>
      <c r="J28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836720.96218095452</v>
      </c>
      <c r="K285" s="14">
        <f>IF(PaymentSchedule[[#This Row],[PMT NO]]&lt;&gt;"",SUM(INDEX(PaymentSchedule[INTEREST],1,1):PaymentSchedule[[#This Row],[INTEREST]]),"")</f>
        <v>1710435.8972575106</v>
      </c>
    </row>
    <row r="286" spans="2:11" x14ac:dyDescent="0.2">
      <c r="B286" s="10">
        <f>IF(LoanIsGood,IF(ROW()-ROW(PaymentSchedule[[#Headers],[PMT NO]])&gt;ScheduledNumberOfPayments,"",ROW()-ROW(PaymentSchedule[[#Headers],[PMT NO]])),"")</f>
        <v>275</v>
      </c>
      <c r="C286" s="12">
        <f>IF(PaymentSchedule[[#This Row],[PMT NO]]&lt;&gt;"",EOMONTH(LoanStartDate,ROW(PaymentSchedule[[#This Row],[PMT NO]])-ROW(PaymentSchedule[[#Headers],[PMT NO]])-2)+DAY(LoanStartDate),"")</f>
        <v>53267</v>
      </c>
      <c r="D286" s="14">
        <f>IF(PaymentSchedule[[#This Row],[PMT NO]]&lt;&gt;"",IF(ROW()-ROW(PaymentSchedule[[#Headers],[BEGINNING BALANCE]])=1,LoanAmount,INDEX(PaymentSchedule[ENDING BALANCE],ROW()-ROW(PaymentSchedule[[#Headers],[BEGINNING BALANCE]])-1)),"")</f>
        <v>836720.96218095452</v>
      </c>
      <c r="E286" s="14">
        <f>IF(PaymentSchedule[[#This Row],[PMT NO]]&lt;&gt;"",ScheduledPayment,"")</f>
        <v>11400.419471082316</v>
      </c>
      <c r="F28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86" s="14">
        <f>IF(PaymentSchedule[[#This Row],[PMT NO]]&lt;&gt;"",PaymentSchedule[[#This Row],[TOTAL PAYMENT]]-PaymentSchedule[[#This Row],[INTEREST]],"")</f>
        <v>8262.7158629037367</v>
      </c>
      <c r="I286" s="14">
        <f>IF(PaymentSchedule[[#This Row],[PMT NO]]&lt;&gt;"",PaymentSchedule[[#This Row],[BEGINNING BALANCE]]*(InterestRate/PaymentsPerYear),"")</f>
        <v>3137.7036081785795</v>
      </c>
      <c r="J28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828458.24631805078</v>
      </c>
      <c r="K286" s="14">
        <f>IF(PaymentSchedule[[#This Row],[PMT NO]]&lt;&gt;"",SUM(INDEX(PaymentSchedule[INTEREST],1,1):PaymentSchedule[[#This Row],[INTEREST]]),"")</f>
        <v>1713573.6008656891</v>
      </c>
    </row>
    <row r="287" spans="2:11" x14ac:dyDescent="0.2">
      <c r="B287" s="10">
        <f>IF(LoanIsGood,IF(ROW()-ROW(PaymentSchedule[[#Headers],[PMT NO]])&gt;ScheduledNumberOfPayments,"",ROW()-ROW(PaymentSchedule[[#Headers],[PMT NO]])),"")</f>
        <v>276</v>
      </c>
      <c r="C287" s="12">
        <f>IF(PaymentSchedule[[#This Row],[PMT NO]]&lt;&gt;"",EOMONTH(LoanStartDate,ROW(PaymentSchedule[[#This Row],[PMT NO]])-ROW(PaymentSchedule[[#Headers],[PMT NO]])-2)+DAY(LoanStartDate),"")</f>
        <v>53297</v>
      </c>
      <c r="D287" s="14">
        <f>IF(PaymentSchedule[[#This Row],[PMT NO]]&lt;&gt;"",IF(ROW()-ROW(PaymentSchedule[[#Headers],[BEGINNING BALANCE]])=1,LoanAmount,INDEX(PaymentSchedule[ENDING BALANCE],ROW()-ROW(PaymentSchedule[[#Headers],[BEGINNING BALANCE]])-1)),"")</f>
        <v>828458.24631805078</v>
      </c>
      <c r="E287" s="14">
        <f>IF(PaymentSchedule[[#This Row],[PMT NO]]&lt;&gt;"",ScheduledPayment,"")</f>
        <v>11400.419471082316</v>
      </c>
      <c r="F28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87" s="14">
        <f>IF(PaymentSchedule[[#This Row],[PMT NO]]&lt;&gt;"",PaymentSchedule[[#This Row],[TOTAL PAYMENT]]-PaymentSchedule[[#This Row],[INTEREST]],"")</f>
        <v>8293.7010473896262</v>
      </c>
      <c r="I287" s="14">
        <f>IF(PaymentSchedule[[#This Row],[PMT NO]]&lt;&gt;"",PaymentSchedule[[#This Row],[BEGINNING BALANCE]]*(InterestRate/PaymentsPerYear),"")</f>
        <v>3106.7184236926905</v>
      </c>
      <c r="J28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820164.54527066112</v>
      </c>
      <c r="K287" s="14">
        <f>IF(PaymentSchedule[[#This Row],[PMT NO]]&lt;&gt;"",SUM(INDEX(PaymentSchedule[INTEREST],1,1):PaymentSchedule[[#This Row],[INTEREST]]),"")</f>
        <v>1716680.3192893818</v>
      </c>
    </row>
    <row r="288" spans="2:11" x14ac:dyDescent="0.2">
      <c r="B288" s="10">
        <f>IF(LoanIsGood,IF(ROW()-ROW(PaymentSchedule[[#Headers],[PMT NO]])&gt;ScheduledNumberOfPayments,"",ROW()-ROW(PaymentSchedule[[#Headers],[PMT NO]])),"")</f>
        <v>277</v>
      </c>
      <c r="C288" s="12">
        <f>IF(PaymentSchedule[[#This Row],[PMT NO]]&lt;&gt;"",EOMONTH(LoanStartDate,ROW(PaymentSchedule[[#This Row],[PMT NO]])-ROW(PaymentSchedule[[#Headers],[PMT NO]])-2)+DAY(LoanStartDate),"")</f>
        <v>53328</v>
      </c>
      <c r="D288" s="14">
        <f>IF(PaymentSchedule[[#This Row],[PMT NO]]&lt;&gt;"",IF(ROW()-ROW(PaymentSchedule[[#Headers],[BEGINNING BALANCE]])=1,LoanAmount,INDEX(PaymentSchedule[ENDING BALANCE],ROW()-ROW(PaymentSchedule[[#Headers],[BEGINNING BALANCE]])-1)),"")</f>
        <v>820164.54527066112</v>
      </c>
      <c r="E288" s="14">
        <f>IF(PaymentSchedule[[#This Row],[PMT NO]]&lt;&gt;"",ScheduledPayment,"")</f>
        <v>11400.419471082316</v>
      </c>
      <c r="F28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88" s="14">
        <f>IF(PaymentSchedule[[#This Row],[PMT NO]]&lt;&gt;"",PaymentSchedule[[#This Row],[TOTAL PAYMENT]]-PaymentSchedule[[#This Row],[INTEREST]],"")</f>
        <v>8324.8024263173356</v>
      </c>
      <c r="I288" s="14">
        <f>IF(PaymentSchedule[[#This Row],[PMT NO]]&lt;&gt;"",PaymentSchedule[[#This Row],[BEGINNING BALANCE]]*(InterestRate/PaymentsPerYear),"")</f>
        <v>3075.6170447649793</v>
      </c>
      <c r="J28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811839.74284434377</v>
      </c>
      <c r="K288" s="14">
        <f>IF(PaymentSchedule[[#This Row],[PMT NO]]&lt;&gt;"",SUM(INDEX(PaymentSchedule[INTEREST],1,1):PaymentSchedule[[#This Row],[INTEREST]]),"")</f>
        <v>1719755.9363341469</v>
      </c>
    </row>
    <row r="289" spans="2:11" x14ac:dyDescent="0.2">
      <c r="B289" s="10">
        <f>IF(LoanIsGood,IF(ROW()-ROW(PaymentSchedule[[#Headers],[PMT NO]])&gt;ScheduledNumberOfPayments,"",ROW()-ROW(PaymentSchedule[[#Headers],[PMT NO]])),"")</f>
        <v>278</v>
      </c>
      <c r="C289" s="12">
        <f>IF(PaymentSchedule[[#This Row],[PMT NO]]&lt;&gt;"",EOMONTH(LoanStartDate,ROW(PaymentSchedule[[#This Row],[PMT NO]])-ROW(PaymentSchedule[[#Headers],[PMT NO]])-2)+DAY(LoanStartDate),"")</f>
        <v>53359</v>
      </c>
      <c r="D289" s="14">
        <f>IF(PaymentSchedule[[#This Row],[PMT NO]]&lt;&gt;"",IF(ROW()-ROW(PaymentSchedule[[#Headers],[BEGINNING BALANCE]])=1,LoanAmount,INDEX(PaymentSchedule[ENDING BALANCE],ROW()-ROW(PaymentSchedule[[#Headers],[BEGINNING BALANCE]])-1)),"")</f>
        <v>811839.74284434377</v>
      </c>
      <c r="E289" s="14">
        <f>IF(PaymentSchedule[[#This Row],[PMT NO]]&lt;&gt;"",ScheduledPayment,"")</f>
        <v>11400.419471082316</v>
      </c>
      <c r="F28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89" s="14">
        <f>IF(PaymentSchedule[[#This Row],[PMT NO]]&lt;&gt;"",PaymentSchedule[[#This Row],[TOTAL PAYMENT]]-PaymentSchedule[[#This Row],[INTEREST]],"")</f>
        <v>8356.0204354160269</v>
      </c>
      <c r="I289" s="14">
        <f>IF(PaymentSchedule[[#This Row],[PMT NO]]&lt;&gt;"",PaymentSchedule[[#This Row],[BEGINNING BALANCE]]*(InterestRate/PaymentsPerYear),"")</f>
        <v>3044.3990356662889</v>
      </c>
      <c r="J28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803483.72240892774</v>
      </c>
      <c r="K289" s="14">
        <f>IF(PaymentSchedule[[#This Row],[PMT NO]]&lt;&gt;"",SUM(INDEX(PaymentSchedule[INTEREST],1,1):PaymentSchedule[[#This Row],[INTEREST]]),"")</f>
        <v>1722800.3353698133</v>
      </c>
    </row>
    <row r="290" spans="2:11" x14ac:dyDescent="0.2">
      <c r="B290" s="10">
        <f>IF(LoanIsGood,IF(ROW()-ROW(PaymentSchedule[[#Headers],[PMT NO]])&gt;ScheduledNumberOfPayments,"",ROW()-ROW(PaymentSchedule[[#Headers],[PMT NO]])),"")</f>
        <v>279</v>
      </c>
      <c r="C290" s="12">
        <f>IF(PaymentSchedule[[#This Row],[PMT NO]]&lt;&gt;"",EOMONTH(LoanStartDate,ROW(PaymentSchedule[[#This Row],[PMT NO]])-ROW(PaymentSchedule[[#Headers],[PMT NO]])-2)+DAY(LoanStartDate),"")</f>
        <v>53387</v>
      </c>
      <c r="D290" s="14">
        <f>IF(PaymentSchedule[[#This Row],[PMT NO]]&lt;&gt;"",IF(ROW()-ROW(PaymentSchedule[[#Headers],[BEGINNING BALANCE]])=1,LoanAmount,INDEX(PaymentSchedule[ENDING BALANCE],ROW()-ROW(PaymentSchedule[[#Headers],[BEGINNING BALANCE]])-1)),"")</f>
        <v>803483.72240892774</v>
      </c>
      <c r="E290" s="14">
        <f>IF(PaymentSchedule[[#This Row],[PMT NO]]&lt;&gt;"",ScheduledPayment,"")</f>
        <v>11400.419471082316</v>
      </c>
      <c r="F29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90" s="14">
        <f>IF(PaymentSchedule[[#This Row],[PMT NO]]&lt;&gt;"",PaymentSchedule[[#This Row],[TOTAL PAYMENT]]-PaymentSchedule[[#This Row],[INTEREST]],"")</f>
        <v>8387.3555120488363</v>
      </c>
      <c r="I290" s="14">
        <f>IF(PaymentSchedule[[#This Row],[PMT NO]]&lt;&gt;"",PaymentSchedule[[#This Row],[BEGINNING BALANCE]]*(InterestRate/PaymentsPerYear),"")</f>
        <v>3013.063959033479</v>
      </c>
      <c r="J29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795096.36689687893</v>
      </c>
      <c r="K290" s="14">
        <f>IF(PaymentSchedule[[#This Row],[PMT NO]]&lt;&gt;"",SUM(INDEX(PaymentSchedule[INTEREST],1,1):PaymentSchedule[[#This Row],[INTEREST]]),"")</f>
        <v>1725813.3993288467</v>
      </c>
    </row>
    <row r="291" spans="2:11" x14ac:dyDescent="0.2">
      <c r="B291" s="10">
        <f>IF(LoanIsGood,IF(ROW()-ROW(PaymentSchedule[[#Headers],[PMT NO]])&gt;ScheduledNumberOfPayments,"",ROW()-ROW(PaymentSchedule[[#Headers],[PMT NO]])),"")</f>
        <v>280</v>
      </c>
      <c r="C291" s="12">
        <f>IF(PaymentSchedule[[#This Row],[PMT NO]]&lt;&gt;"",EOMONTH(LoanStartDate,ROW(PaymentSchedule[[#This Row],[PMT NO]])-ROW(PaymentSchedule[[#Headers],[PMT NO]])-2)+DAY(LoanStartDate),"")</f>
        <v>53418</v>
      </c>
      <c r="D291" s="14">
        <f>IF(PaymentSchedule[[#This Row],[PMT NO]]&lt;&gt;"",IF(ROW()-ROW(PaymentSchedule[[#Headers],[BEGINNING BALANCE]])=1,LoanAmount,INDEX(PaymentSchedule[ENDING BALANCE],ROW()-ROW(PaymentSchedule[[#Headers],[BEGINNING BALANCE]])-1)),"")</f>
        <v>795096.36689687893</v>
      </c>
      <c r="E291" s="14">
        <f>IF(PaymentSchedule[[#This Row],[PMT NO]]&lt;&gt;"",ScheduledPayment,"")</f>
        <v>11400.419471082316</v>
      </c>
      <c r="F29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91" s="14">
        <f>IF(PaymentSchedule[[#This Row],[PMT NO]]&lt;&gt;"",PaymentSchedule[[#This Row],[TOTAL PAYMENT]]-PaymentSchedule[[#This Row],[INTEREST]],"")</f>
        <v>8418.8080952190194</v>
      </c>
      <c r="I291" s="14">
        <f>IF(PaymentSchedule[[#This Row],[PMT NO]]&lt;&gt;"",PaymentSchedule[[#This Row],[BEGINNING BALANCE]]*(InterestRate/PaymentsPerYear),"")</f>
        <v>2981.611375863296</v>
      </c>
      <c r="J29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786677.55880165996</v>
      </c>
      <c r="K291" s="14">
        <f>IF(PaymentSchedule[[#This Row],[PMT NO]]&lt;&gt;"",SUM(INDEX(PaymentSchedule[INTEREST],1,1):PaymentSchedule[[#This Row],[INTEREST]]),"")</f>
        <v>1728795.0107047099</v>
      </c>
    </row>
    <row r="292" spans="2:11" x14ac:dyDescent="0.2">
      <c r="B292" s="10">
        <f>IF(LoanIsGood,IF(ROW()-ROW(PaymentSchedule[[#Headers],[PMT NO]])&gt;ScheduledNumberOfPayments,"",ROW()-ROW(PaymentSchedule[[#Headers],[PMT NO]])),"")</f>
        <v>281</v>
      </c>
      <c r="C292" s="12">
        <f>IF(PaymentSchedule[[#This Row],[PMT NO]]&lt;&gt;"",EOMONTH(LoanStartDate,ROW(PaymentSchedule[[#This Row],[PMT NO]])-ROW(PaymentSchedule[[#Headers],[PMT NO]])-2)+DAY(LoanStartDate),"")</f>
        <v>53448</v>
      </c>
      <c r="D292" s="14">
        <f>IF(PaymentSchedule[[#This Row],[PMT NO]]&lt;&gt;"",IF(ROW()-ROW(PaymentSchedule[[#Headers],[BEGINNING BALANCE]])=1,LoanAmount,INDEX(PaymentSchedule[ENDING BALANCE],ROW()-ROW(PaymentSchedule[[#Headers],[BEGINNING BALANCE]])-1)),"")</f>
        <v>786677.55880165996</v>
      </c>
      <c r="E292" s="14">
        <f>IF(PaymentSchedule[[#This Row],[PMT NO]]&lt;&gt;"",ScheduledPayment,"")</f>
        <v>11400.419471082316</v>
      </c>
      <c r="F29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92" s="14">
        <f>IF(PaymentSchedule[[#This Row],[PMT NO]]&lt;&gt;"",PaymentSchedule[[#This Row],[TOTAL PAYMENT]]-PaymentSchedule[[#This Row],[INTEREST]],"")</f>
        <v>8450.3786255760915</v>
      </c>
      <c r="I292" s="14">
        <f>IF(PaymentSchedule[[#This Row],[PMT NO]]&lt;&gt;"",PaymentSchedule[[#This Row],[BEGINNING BALANCE]]*(InterestRate/PaymentsPerYear),"")</f>
        <v>2950.0408455062247</v>
      </c>
      <c r="J29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778227.18017608393</v>
      </c>
      <c r="K292" s="14">
        <f>IF(PaymentSchedule[[#This Row],[PMT NO]]&lt;&gt;"",SUM(INDEX(PaymentSchedule[INTEREST],1,1):PaymentSchedule[[#This Row],[INTEREST]]),"")</f>
        <v>1731745.051550216</v>
      </c>
    </row>
    <row r="293" spans="2:11" x14ac:dyDescent="0.2">
      <c r="B293" s="10">
        <f>IF(LoanIsGood,IF(ROW()-ROW(PaymentSchedule[[#Headers],[PMT NO]])&gt;ScheduledNumberOfPayments,"",ROW()-ROW(PaymentSchedule[[#Headers],[PMT NO]])),"")</f>
        <v>282</v>
      </c>
      <c r="C293" s="12">
        <f>IF(PaymentSchedule[[#This Row],[PMT NO]]&lt;&gt;"",EOMONTH(LoanStartDate,ROW(PaymentSchedule[[#This Row],[PMT NO]])-ROW(PaymentSchedule[[#Headers],[PMT NO]])-2)+DAY(LoanStartDate),"")</f>
        <v>53479</v>
      </c>
      <c r="D293" s="14">
        <f>IF(PaymentSchedule[[#This Row],[PMT NO]]&lt;&gt;"",IF(ROW()-ROW(PaymentSchedule[[#Headers],[BEGINNING BALANCE]])=1,LoanAmount,INDEX(PaymentSchedule[ENDING BALANCE],ROW()-ROW(PaymentSchedule[[#Headers],[BEGINNING BALANCE]])-1)),"")</f>
        <v>778227.18017608393</v>
      </c>
      <c r="E293" s="14">
        <f>IF(PaymentSchedule[[#This Row],[PMT NO]]&lt;&gt;"",ScheduledPayment,"")</f>
        <v>11400.419471082316</v>
      </c>
      <c r="F29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93" s="14">
        <f>IF(PaymentSchedule[[#This Row],[PMT NO]]&lt;&gt;"",PaymentSchedule[[#This Row],[TOTAL PAYMENT]]-PaymentSchedule[[#This Row],[INTEREST]],"")</f>
        <v>8482.0675454220018</v>
      </c>
      <c r="I293" s="14">
        <f>IF(PaymentSchedule[[#This Row],[PMT NO]]&lt;&gt;"",PaymentSchedule[[#This Row],[BEGINNING BALANCE]]*(InterestRate/PaymentsPerYear),"")</f>
        <v>2918.3519256603145</v>
      </c>
      <c r="J29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769745.11263066193</v>
      </c>
      <c r="K293" s="14">
        <f>IF(PaymentSchedule[[#This Row],[PMT NO]]&lt;&gt;"",SUM(INDEX(PaymentSchedule[INTEREST],1,1):PaymentSchedule[[#This Row],[INTEREST]]),"")</f>
        <v>1734663.4034758764</v>
      </c>
    </row>
    <row r="294" spans="2:11" x14ac:dyDescent="0.2">
      <c r="B294" s="10">
        <f>IF(LoanIsGood,IF(ROW()-ROW(PaymentSchedule[[#Headers],[PMT NO]])&gt;ScheduledNumberOfPayments,"",ROW()-ROW(PaymentSchedule[[#Headers],[PMT NO]])),"")</f>
        <v>283</v>
      </c>
      <c r="C294" s="12">
        <f>IF(PaymentSchedule[[#This Row],[PMT NO]]&lt;&gt;"",EOMONTH(LoanStartDate,ROW(PaymentSchedule[[#This Row],[PMT NO]])-ROW(PaymentSchedule[[#Headers],[PMT NO]])-2)+DAY(LoanStartDate),"")</f>
        <v>53509</v>
      </c>
      <c r="D294" s="14">
        <f>IF(PaymentSchedule[[#This Row],[PMT NO]]&lt;&gt;"",IF(ROW()-ROW(PaymentSchedule[[#Headers],[BEGINNING BALANCE]])=1,LoanAmount,INDEX(PaymentSchedule[ENDING BALANCE],ROW()-ROW(PaymentSchedule[[#Headers],[BEGINNING BALANCE]])-1)),"")</f>
        <v>769745.11263066193</v>
      </c>
      <c r="E294" s="14">
        <f>IF(PaymentSchedule[[#This Row],[PMT NO]]&lt;&gt;"",ScheduledPayment,"")</f>
        <v>11400.419471082316</v>
      </c>
      <c r="F29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94" s="14">
        <f>IF(PaymentSchedule[[#This Row],[PMT NO]]&lt;&gt;"",PaymentSchedule[[#This Row],[TOTAL PAYMENT]]-PaymentSchedule[[#This Row],[INTEREST]],"")</f>
        <v>8513.8752987173339</v>
      </c>
      <c r="I294" s="14">
        <f>IF(PaymentSchedule[[#This Row],[PMT NO]]&lt;&gt;"",PaymentSchedule[[#This Row],[BEGINNING BALANCE]]*(InterestRate/PaymentsPerYear),"")</f>
        <v>2886.5441723649819</v>
      </c>
      <c r="J29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761231.23733194463</v>
      </c>
      <c r="K294" s="14">
        <f>IF(PaymentSchedule[[#This Row],[PMT NO]]&lt;&gt;"",SUM(INDEX(PaymentSchedule[INTEREST],1,1):PaymentSchedule[[#This Row],[INTEREST]]),"")</f>
        <v>1737549.9476482414</v>
      </c>
    </row>
    <row r="295" spans="2:11" x14ac:dyDescent="0.2">
      <c r="B295" s="10">
        <f>IF(LoanIsGood,IF(ROW()-ROW(PaymentSchedule[[#Headers],[PMT NO]])&gt;ScheduledNumberOfPayments,"",ROW()-ROW(PaymentSchedule[[#Headers],[PMT NO]])),"")</f>
        <v>284</v>
      </c>
      <c r="C295" s="12">
        <f>IF(PaymentSchedule[[#This Row],[PMT NO]]&lt;&gt;"",EOMONTH(LoanStartDate,ROW(PaymentSchedule[[#This Row],[PMT NO]])-ROW(PaymentSchedule[[#Headers],[PMT NO]])-2)+DAY(LoanStartDate),"")</f>
        <v>53540</v>
      </c>
      <c r="D295" s="14">
        <f>IF(PaymentSchedule[[#This Row],[PMT NO]]&lt;&gt;"",IF(ROW()-ROW(PaymentSchedule[[#Headers],[BEGINNING BALANCE]])=1,LoanAmount,INDEX(PaymentSchedule[ENDING BALANCE],ROW()-ROW(PaymentSchedule[[#Headers],[BEGINNING BALANCE]])-1)),"")</f>
        <v>761231.23733194463</v>
      </c>
      <c r="E295" s="14">
        <f>IF(PaymentSchedule[[#This Row],[PMT NO]]&lt;&gt;"",ScheduledPayment,"")</f>
        <v>11400.419471082316</v>
      </c>
      <c r="F29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95" s="14">
        <f>IF(PaymentSchedule[[#This Row],[PMT NO]]&lt;&gt;"",PaymentSchedule[[#This Row],[TOTAL PAYMENT]]-PaymentSchedule[[#This Row],[INTEREST]],"")</f>
        <v>8545.8023310875233</v>
      </c>
      <c r="I295" s="14">
        <f>IF(PaymentSchedule[[#This Row],[PMT NO]]&lt;&gt;"",PaymentSchedule[[#This Row],[BEGINNING BALANCE]]*(InterestRate/PaymentsPerYear),"")</f>
        <v>2854.6171399947921</v>
      </c>
      <c r="J29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752685.43500085711</v>
      </c>
      <c r="K295" s="14">
        <f>IF(PaymentSchedule[[#This Row],[PMT NO]]&lt;&gt;"",SUM(INDEX(PaymentSchedule[INTEREST],1,1):PaymentSchedule[[#This Row],[INTEREST]]),"")</f>
        <v>1740404.5647882363</v>
      </c>
    </row>
    <row r="296" spans="2:11" x14ac:dyDescent="0.2">
      <c r="B296" s="10">
        <f>IF(LoanIsGood,IF(ROW()-ROW(PaymentSchedule[[#Headers],[PMT NO]])&gt;ScheduledNumberOfPayments,"",ROW()-ROW(PaymentSchedule[[#Headers],[PMT NO]])),"")</f>
        <v>285</v>
      </c>
      <c r="C296" s="12">
        <f>IF(PaymentSchedule[[#This Row],[PMT NO]]&lt;&gt;"",EOMONTH(LoanStartDate,ROW(PaymentSchedule[[#This Row],[PMT NO]])-ROW(PaymentSchedule[[#Headers],[PMT NO]])-2)+DAY(LoanStartDate),"")</f>
        <v>53571</v>
      </c>
      <c r="D296" s="14">
        <f>IF(PaymentSchedule[[#This Row],[PMT NO]]&lt;&gt;"",IF(ROW()-ROW(PaymentSchedule[[#Headers],[BEGINNING BALANCE]])=1,LoanAmount,INDEX(PaymentSchedule[ENDING BALANCE],ROW()-ROW(PaymentSchedule[[#Headers],[BEGINNING BALANCE]])-1)),"")</f>
        <v>752685.43500085711</v>
      </c>
      <c r="E296" s="14">
        <f>IF(PaymentSchedule[[#This Row],[PMT NO]]&lt;&gt;"",ScheduledPayment,"")</f>
        <v>11400.419471082316</v>
      </c>
      <c r="F29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96" s="14">
        <f>IF(PaymentSchedule[[#This Row],[PMT NO]]&lt;&gt;"",PaymentSchedule[[#This Row],[TOTAL PAYMENT]]-PaymentSchedule[[#This Row],[INTEREST]],"")</f>
        <v>8577.849089829102</v>
      </c>
      <c r="I296" s="14">
        <f>IF(PaymentSchedule[[#This Row],[PMT NO]]&lt;&gt;"",PaymentSchedule[[#This Row],[BEGINNING BALANCE]]*(InterestRate/PaymentsPerYear),"")</f>
        <v>2822.5703812532142</v>
      </c>
      <c r="J29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744107.58591102797</v>
      </c>
      <c r="K296" s="14">
        <f>IF(PaymentSchedule[[#This Row],[PMT NO]]&lt;&gt;"",SUM(INDEX(PaymentSchedule[INTEREST],1,1):PaymentSchedule[[#This Row],[INTEREST]]),"")</f>
        <v>1743227.1351694895</v>
      </c>
    </row>
    <row r="297" spans="2:11" x14ac:dyDescent="0.2">
      <c r="B297" s="10">
        <f>IF(LoanIsGood,IF(ROW()-ROW(PaymentSchedule[[#Headers],[PMT NO]])&gt;ScheduledNumberOfPayments,"",ROW()-ROW(PaymentSchedule[[#Headers],[PMT NO]])),"")</f>
        <v>286</v>
      </c>
      <c r="C297" s="12">
        <f>IF(PaymentSchedule[[#This Row],[PMT NO]]&lt;&gt;"",EOMONTH(LoanStartDate,ROW(PaymentSchedule[[#This Row],[PMT NO]])-ROW(PaymentSchedule[[#Headers],[PMT NO]])-2)+DAY(LoanStartDate),"")</f>
        <v>53601</v>
      </c>
      <c r="D297" s="14">
        <f>IF(PaymentSchedule[[#This Row],[PMT NO]]&lt;&gt;"",IF(ROW()-ROW(PaymentSchedule[[#Headers],[BEGINNING BALANCE]])=1,LoanAmount,INDEX(PaymentSchedule[ENDING BALANCE],ROW()-ROW(PaymentSchedule[[#Headers],[BEGINNING BALANCE]])-1)),"")</f>
        <v>744107.58591102797</v>
      </c>
      <c r="E297" s="14">
        <f>IF(PaymentSchedule[[#This Row],[PMT NO]]&lt;&gt;"",ScheduledPayment,"")</f>
        <v>11400.419471082316</v>
      </c>
      <c r="F29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97" s="14">
        <f>IF(PaymentSchedule[[#This Row],[PMT NO]]&lt;&gt;"",PaymentSchedule[[#This Row],[TOTAL PAYMENT]]-PaymentSchedule[[#This Row],[INTEREST]],"")</f>
        <v>8610.0160239159613</v>
      </c>
      <c r="I297" s="14">
        <f>IF(PaymentSchedule[[#This Row],[PMT NO]]&lt;&gt;"",PaymentSchedule[[#This Row],[BEGINNING BALANCE]]*(InterestRate/PaymentsPerYear),"")</f>
        <v>2790.4034471663549</v>
      </c>
      <c r="J29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735497.56988711201</v>
      </c>
      <c r="K297" s="14">
        <f>IF(PaymentSchedule[[#This Row],[PMT NO]]&lt;&gt;"",SUM(INDEX(PaymentSchedule[INTEREST],1,1):PaymentSchedule[[#This Row],[INTEREST]]),"")</f>
        <v>1746017.5386166559</v>
      </c>
    </row>
    <row r="298" spans="2:11" x14ac:dyDescent="0.2">
      <c r="B298" s="10">
        <f>IF(LoanIsGood,IF(ROW()-ROW(PaymentSchedule[[#Headers],[PMT NO]])&gt;ScheduledNumberOfPayments,"",ROW()-ROW(PaymentSchedule[[#Headers],[PMT NO]])),"")</f>
        <v>287</v>
      </c>
      <c r="C298" s="12">
        <f>IF(PaymentSchedule[[#This Row],[PMT NO]]&lt;&gt;"",EOMONTH(LoanStartDate,ROW(PaymentSchedule[[#This Row],[PMT NO]])-ROW(PaymentSchedule[[#Headers],[PMT NO]])-2)+DAY(LoanStartDate),"")</f>
        <v>53632</v>
      </c>
      <c r="D298" s="14">
        <f>IF(PaymentSchedule[[#This Row],[PMT NO]]&lt;&gt;"",IF(ROW()-ROW(PaymentSchedule[[#Headers],[BEGINNING BALANCE]])=1,LoanAmount,INDEX(PaymentSchedule[ENDING BALANCE],ROW()-ROW(PaymentSchedule[[#Headers],[BEGINNING BALANCE]])-1)),"")</f>
        <v>735497.56988711201</v>
      </c>
      <c r="E298" s="14">
        <f>IF(PaymentSchedule[[#This Row],[PMT NO]]&lt;&gt;"",ScheduledPayment,"")</f>
        <v>11400.419471082316</v>
      </c>
      <c r="F29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98" s="14">
        <f>IF(PaymentSchedule[[#This Row],[PMT NO]]&lt;&gt;"",PaymentSchedule[[#This Row],[TOTAL PAYMENT]]-PaymentSchedule[[#This Row],[INTEREST]],"")</f>
        <v>8642.3035840056455</v>
      </c>
      <c r="I298" s="14">
        <f>IF(PaymentSchedule[[#This Row],[PMT NO]]&lt;&gt;"",PaymentSchedule[[#This Row],[BEGINNING BALANCE]]*(InterestRate/PaymentsPerYear),"")</f>
        <v>2758.1158870766699</v>
      </c>
      <c r="J29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726855.26630310633</v>
      </c>
      <c r="K298" s="14">
        <f>IF(PaymentSchedule[[#This Row],[PMT NO]]&lt;&gt;"",SUM(INDEX(PaymentSchedule[INTEREST],1,1):PaymentSchedule[[#This Row],[INTEREST]]),"")</f>
        <v>1748775.6545037325</v>
      </c>
    </row>
    <row r="299" spans="2:11" x14ac:dyDescent="0.2">
      <c r="B299" s="10">
        <f>IF(LoanIsGood,IF(ROW()-ROW(PaymentSchedule[[#Headers],[PMT NO]])&gt;ScheduledNumberOfPayments,"",ROW()-ROW(PaymentSchedule[[#Headers],[PMT NO]])),"")</f>
        <v>288</v>
      </c>
      <c r="C299" s="12">
        <f>IF(PaymentSchedule[[#This Row],[PMT NO]]&lt;&gt;"",EOMONTH(LoanStartDate,ROW(PaymentSchedule[[#This Row],[PMT NO]])-ROW(PaymentSchedule[[#Headers],[PMT NO]])-2)+DAY(LoanStartDate),"")</f>
        <v>53662</v>
      </c>
      <c r="D299" s="14">
        <f>IF(PaymentSchedule[[#This Row],[PMT NO]]&lt;&gt;"",IF(ROW()-ROW(PaymentSchedule[[#Headers],[BEGINNING BALANCE]])=1,LoanAmount,INDEX(PaymentSchedule[ENDING BALANCE],ROW()-ROW(PaymentSchedule[[#Headers],[BEGINNING BALANCE]])-1)),"")</f>
        <v>726855.26630310633</v>
      </c>
      <c r="E299" s="14">
        <f>IF(PaymentSchedule[[#This Row],[PMT NO]]&lt;&gt;"",ScheduledPayment,"")</f>
        <v>11400.419471082316</v>
      </c>
      <c r="F29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299" s="14">
        <f>IF(PaymentSchedule[[#This Row],[PMT NO]]&lt;&gt;"",PaymentSchedule[[#This Row],[TOTAL PAYMENT]]-PaymentSchedule[[#This Row],[INTEREST]],"")</f>
        <v>8674.7122224456671</v>
      </c>
      <c r="I299" s="14">
        <f>IF(PaymentSchedule[[#This Row],[PMT NO]]&lt;&gt;"",PaymentSchedule[[#This Row],[BEGINNING BALANCE]]*(InterestRate/PaymentsPerYear),"")</f>
        <v>2725.7072486366487</v>
      </c>
      <c r="J29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718180.55408066069</v>
      </c>
      <c r="K299" s="14">
        <f>IF(PaymentSchedule[[#This Row],[PMT NO]]&lt;&gt;"",SUM(INDEX(PaymentSchedule[INTEREST],1,1):PaymentSchedule[[#This Row],[INTEREST]]),"")</f>
        <v>1751501.3617523692</v>
      </c>
    </row>
    <row r="300" spans="2:11" x14ac:dyDescent="0.2">
      <c r="B300" s="10">
        <f>IF(LoanIsGood,IF(ROW()-ROW(PaymentSchedule[[#Headers],[PMT NO]])&gt;ScheduledNumberOfPayments,"",ROW()-ROW(PaymentSchedule[[#Headers],[PMT NO]])),"")</f>
        <v>289</v>
      </c>
      <c r="C300" s="12">
        <f>IF(PaymentSchedule[[#This Row],[PMT NO]]&lt;&gt;"",EOMONTH(LoanStartDate,ROW(PaymentSchedule[[#This Row],[PMT NO]])-ROW(PaymentSchedule[[#Headers],[PMT NO]])-2)+DAY(LoanStartDate),"")</f>
        <v>53693</v>
      </c>
      <c r="D300" s="14">
        <f>IF(PaymentSchedule[[#This Row],[PMT NO]]&lt;&gt;"",IF(ROW()-ROW(PaymentSchedule[[#Headers],[BEGINNING BALANCE]])=1,LoanAmount,INDEX(PaymentSchedule[ENDING BALANCE],ROW()-ROW(PaymentSchedule[[#Headers],[BEGINNING BALANCE]])-1)),"")</f>
        <v>718180.55408066069</v>
      </c>
      <c r="E300" s="14">
        <f>IF(PaymentSchedule[[#This Row],[PMT NO]]&lt;&gt;"",ScheduledPayment,"")</f>
        <v>11400.419471082316</v>
      </c>
      <c r="F30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00" s="14">
        <f>IF(PaymentSchedule[[#This Row],[PMT NO]]&lt;&gt;"",PaymentSchedule[[#This Row],[TOTAL PAYMENT]]-PaymentSchedule[[#This Row],[INTEREST]],"")</f>
        <v>8707.2423932798374</v>
      </c>
      <c r="I300" s="14">
        <f>IF(PaymentSchedule[[#This Row],[PMT NO]]&lt;&gt;"",PaymentSchedule[[#This Row],[BEGINNING BALANCE]]*(InterestRate/PaymentsPerYear),"")</f>
        <v>2693.1770778024775</v>
      </c>
      <c r="J30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709473.31168738089</v>
      </c>
      <c r="K300" s="14">
        <f>IF(PaymentSchedule[[#This Row],[PMT NO]]&lt;&gt;"",SUM(INDEX(PaymentSchedule[INTEREST],1,1):PaymentSchedule[[#This Row],[INTEREST]]),"")</f>
        <v>1754194.5388301716</v>
      </c>
    </row>
    <row r="301" spans="2:11" x14ac:dyDescent="0.2">
      <c r="B301" s="10">
        <f>IF(LoanIsGood,IF(ROW()-ROW(PaymentSchedule[[#Headers],[PMT NO]])&gt;ScheduledNumberOfPayments,"",ROW()-ROW(PaymentSchedule[[#Headers],[PMT NO]])),"")</f>
        <v>290</v>
      </c>
      <c r="C301" s="12">
        <f>IF(PaymentSchedule[[#This Row],[PMT NO]]&lt;&gt;"",EOMONTH(LoanStartDate,ROW(PaymentSchedule[[#This Row],[PMT NO]])-ROW(PaymentSchedule[[#Headers],[PMT NO]])-2)+DAY(LoanStartDate),"")</f>
        <v>53724</v>
      </c>
      <c r="D301" s="14">
        <f>IF(PaymentSchedule[[#This Row],[PMT NO]]&lt;&gt;"",IF(ROW()-ROW(PaymentSchedule[[#Headers],[BEGINNING BALANCE]])=1,LoanAmount,INDEX(PaymentSchedule[ENDING BALANCE],ROW()-ROW(PaymentSchedule[[#Headers],[BEGINNING BALANCE]])-1)),"")</f>
        <v>709473.31168738089</v>
      </c>
      <c r="E301" s="14">
        <f>IF(PaymentSchedule[[#This Row],[PMT NO]]&lt;&gt;"",ScheduledPayment,"")</f>
        <v>11400.419471082316</v>
      </c>
      <c r="F30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01" s="14">
        <f>IF(PaymentSchedule[[#This Row],[PMT NO]]&lt;&gt;"",PaymentSchedule[[#This Row],[TOTAL PAYMENT]]-PaymentSchedule[[#This Row],[INTEREST]],"")</f>
        <v>8739.8945522546383</v>
      </c>
      <c r="I301" s="14">
        <f>IF(PaymentSchedule[[#This Row],[PMT NO]]&lt;&gt;"",PaymentSchedule[[#This Row],[BEGINNING BALANCE]]*(InterestRate/PaymentsPerYear),"")</f>
        <v>2660.5249188276784</v>
      </c>
      <c r="J30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700733.41713512631</v>
      </c>
      <c r="K301" s="14">
        <f>IF(PaymentSchedule[[#This Row],[PMT NO]]&lt;&gt;"",SUM(INDEX(PaymentSchedule[INTEREST],1,1):PaymentSchedule[[#This Row],[INTEREST]]),"")</f>
        <v>1756855.0637489993</v>
      </c>
    </row>
    <row r="302" spans="2:11" x14ac:dyDescent="0.2">
      <c r="B302" s="10">
        <f>IF(LoanIsGood,IF(ROW()-ROW(PaymentSchedule[[#Headers],[PMT NO]])&gt;ScheduledNumberOfPayments,"",ROW()-ROW(PaymentSchedule[[#Headers],[PMT NO]])),"")</f>
        <v>291</v>
      </c>
      <c r="C302" s="12">
        <f>IF(PaymentSchedule[[#This Row],[PMT NO]]&lt;&gt;"",EOMONTH(LoanStartDate,ROW(PaymentSchedule[[#This Row],[PMT NO]])-ROW(PaymentSchedule[[#Headers],[PMT NO]])-2)+DAY(LoanStartDate),"")</f>
        <v>53752</v>
      </c>
      <c r="D302" s="14">
        <f>IF(PaymentSchedule[[#This Row],[PMT NO]]&lt;&gt;"",IF(ROW()-ROW(PaymentSchedule[[#Headers],[BEGINNING BALANCE]])=1,LoanAmount,INDEX(PaymentSchedule[ENDING BALANCE],ROW()-ROW(PaymentSchedule[[#Headers],[BEGINNING BALANCE]])-1)),"")</f>
        <v>700733.41713512631</v>
      </c>
      <c r="E302" s="14">
        <f>IF(PaymentSchedule[[#This Row],[PMT NO]]&lt;&gt;"",ScheduledPayment,"")</f>
        <v>11400.419471082316</v>
      </c>
      <c r="F30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02" s="14">
        <f>IF(PaymentSchedule[[#This Row],[PMT NO]]&lt;&gt;"",PaymentSchedule[[#This Row],[TOTAL PAYMENT]]-PaymentSchedule[[#This Row],[INTEREST]],"")</f>
        <v>8772.6691568255919</v>
      </c>
      <c r="I302" s="14">
        <f>IF(PaymentSchedule[[#This Row],[PMT NO]]&lt;&gt;"",PaymentSchedule[[#This Row],[BEGINNING BALANCE]]*(InterestRate/PaymentsPerYear),"")</f>
        <v>2627.7503142567234</v>
      </c>
      <c r="J30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691960.74797830067</v>
      </c>
      <c r="K302" s="14">
        <f>IF(PaymentSchedule[[#This Row],[PMT NO]]&lt;&gt;"",SUM(INDEX(PaymentSchedule[INTEREST],1,1):PaymentSchedule[[#This Row],[INTEREST]]),"")</f>
        <v>1759482.8140632559</v>
      </c>
    </row>
    <row r="303" spans="2:11" x14ac:dyDescent="0.2">
      <c r="B303" s="10">
        <f>IF(LoanIsGood,IF(ROW()-ROW(PaymentSchedule[[#Headers],[PMT NO]])&gt;ScheduledNumberOfPayments,"",ROW()-ROW(PaymentSchedule[[#Headers],[PMT NO]])),"")</f>
        <v>292</v>
      </c>
      <c r="C303" s="12">
        <f>IF(PaymentSchedule[[#This Row],[PMT NO]]&lt;&gt;"",EOMONTH(LoanStartDate,ROW(PaymentSchedule[[#This Row],[PMT NO]])-ROW(PaymentSchedule[[#Headers],[PMT NO]])-2)+DAY(LoanStartDate),"")</f>
        <v>53783</v>
      </c>
      <c r="D303" s="14">
        <f>IF(PaymentSchedule[[#This Row],[PMT NO]]&lt;&gt;"",IF(ROW()-ROW(PaymentSchedule[[#Headers],[BEGINNING BALANCE]])=1,LoanAmount,INDEX(PaymentSchedule[ENDING BALANCE],ROW()-ROW(PaymentSchedule[[#Headers],[BEGINNING BALANCE]])-1)),"")</f>
        <v>691960.74797830067</v>
      </c>
      <c r="E303" s="14">
        <f>IF(PaymentSchedule[[#This Row],[PMT NO]]&lt;&gt;"",ScheduledPayment,"")</f>
        <v>11400.419471082316</v>
      </c>
      <c r="F30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03" s="14">
        <f>IF(PaymentSchedule[[#This Row],[PMT NO]]&lt;&gt;"",PaymentSchedule[[#This Row],[TOTAL PAYMENT]]-PaymentSchedule[[#This Row],[INTEREST]],"")</f>
        <v>8805.5666661636878</v>
      </c>
      <c r="I303" s="14">
        <f>IF(PaymentSchedule[[#This Row],[PMT NO]]&lt;&gt;"",PaymentSchedule[[#This Row],[BEGINNING BALANCE]]*(InterestRate/PaymentsPerYear),"")</f>
        <v>2594.8528049186275</v>
      </c>
      <c r="J30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683155.18131213693</v>
      </c>
      <c r="K303" s="14">
        <f>IF(PaymentSchedule[[#This Row],[PMT NO]]&lt;&gt;"",SUM(INDEX(PaymentSchedule[INTEREST],1,1):PaymentSchedule[[#This Row],[INTEREST]]),"")</f>
        <v>1762077.6668681744</v>
      </c>
    </row>
    <row r="304" spans="2:11" x14ac:dyDescent="0.2">
      <c r="B304" s="10">
        <f>IF(LoanIsGood,IF(ROW()-ROW(PaymentSchedule[[#Headers],[PMT NO]])&gt;ScheduledNumberOfPayments,"",ROW()-ROW(PaymentSchedule[[#Headers],[PMT NO]])),"")</f>
        <v>293</v>
      </c>
      <c r="C304" s="12">
        <f>IF(PaymentSchedule[[#This Row],[PMT NO]]&lt;&gt;"",EOMONTH(LoanStartDate,ROW(PaymentSchedule[[#This Row],[PMT NO]])-ROW(PaymentSchedule[[#Headers],[PMT NO]])-2)+DAY(LoanStartDate),"")</f>
        <v>53813</v>
      </c>
      <c r="D304" s="14">
        <f>IF(PaymentSchedule[[#This Row],[PMT NO]]&lt;&gt;"",IF(ROW()-ROW(PaymentSchedule[[#Headers],[BEGINNING BALANCE]])=1,LoanAmount,INDEX(PaymentSchedule[ENDING BALANCE],ROW()-ROW(PaymentSchedule[[#Headers],[BEGINNING BALANCE]])-1)),"")</f>
        <v>683155.18131213693</v>
      </c>
      <c r="E304" s="14">
        <f>IF(PaymentSchedule[[#This Row],[PMT NO]]&lt;&gt;"",ScheduledPayment,"")</f>
        <v>11400.419471082316</v>
      </c>
      <c r="F30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04" s="14">
        <f>IF(PaymentSchedule[[#This Row],[PMT NO]]&lt;&gt;"",PaymentSchedule[[#This Row],[TOTAL PAYMENT]]-PaymentSchedule[[#This Row],[INTEREST]],"")</f>
        <v>8838.5875411618017</v>
      </c>
      <c r="I304" s="14">
        <f>IF(PaymentSchedule[[#This Row],[PMT NO]]&lt;&gt;"",PaymentSchedule[[#This Row],[BEGINNING BALANCE]]*(InterestRate/PaymentsPerYear),"")</f>
        <v>2561.8319299205136</v>
      </c>
      <c r="J30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674316.59377097513</v>
      </c>
      <c r="K304" s="14">
        <f>IF(PaymentSchedule[[#This Row],[PMT NO]]&lt;&gt;"",SUM(INDEX(PaymentSchedule[INTEREST],1,1):PaymentSchedule[[#This Row],[INTEREST]]),"")</f>
        <v>1764639.4987980949</v>
      </c>
    </row>
    <row r="305" spans="2:11" x14ac:dyDescent="0.2">
      <c r="B305" s="10">
        <f>IF(LoanIsGood,IF(ROW()-ROW(PaymentSchedule[[#Headers],[PMT NO]])&gt;ScheduledNumberOfPayments,"",ROW()-ROW(PaymentSchedule[[#Headers],[PMT NO]])),"")</f>
        <v>294</v>
      </c>
      <c r="C305" s="12">
        <f>IF(PaymentSchedule[[#This Row],[PMT NO]]&lt;&gt;"",EOMONTH(LoanStartDate,ROW(PaymentSchedule[[#This Row],[PMT NO]])-ROW(PaymentSchedule[[#Headers],[PMT NO]])-2)+DAY(LoanStartDate),"")</f>
        <v>53844</v>
      </c>
      <c r="D305" s="14">
        <f>IF(PaymentSchedule[[#This Row],[PMT NO]]&lt;&gt;"",IF(ROW()-ROW(PaymentSchedule[[#Headers],[BEGINNING BALANCE]])=1,LoanAmount,INDEX(PaymentSchedule[ENDING BALANCE],ROW()-ROW(PaymentSchedule[[#Headers],[BEGINNING BALANCE]])-1)),"")</f>
        <v>674316.59377097513</v>
      </c>
      <c r="E305" s="14">
        <f>IF(PaymentSchedule[[#This Row],[PMT NO]]&lt;&gt;"",ScheduledPayment,"")</f>
        <v>11400.419471082316</v>
      </c>
      <c r="F30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05" s="14">
        <f>IF(PaymentSchedule[[#This Row],[PMT NO]]&lt;&gt;"",PaymentSchedule[[#This Row],[TOTAL PAYMENT]]-PaymentSchedule[[#This Row],[INTEREST]],"")</f>
        <v>8871.7322444411584</v>
      </c>
      <c r="I305" s="14">
        <f>IF(PaymentSchedule[[#This Row],[PMT NO]]&lt;&gt;"",PaymentSchedule[[#This Row],[BEGINNING BALANCE]]*(InterestRate/PaymentsPerYear),"")</f>
        <v>2528.6872266411565</v>
      </c>
      <c r="J30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665444.86152653396</v>
      </c>
      <c r="K305" s="14">
        <f>IF(PaymentSchedule[[#This Row],[PMT NO]]&lt;&gt;"",SUM(INDEX(PaymentSchedule[INTEREST],1,1):PaymentSchedule[[#This Row],[INTEREST]]),"")</f>
        <v>1767168.1860247361</v>
      </c>
    </row>
    <row r="306" spans="2:11" x14ac:dyDescent="0.2">
      <c r="B306" s="10">
        <f>IF(LoanIsGood,IF(ROW()-ROW(PaymentSchedule[[#Headers],[PMT NO]])&gt;ScheduledNumberOfPayments,"",ROW()-ROW(PaymentSchedule[[#Headers],[PMT NO]])),"")</f>
        <v>295</v>
      </c>
      <c r="C306" s="12">
        <f>IF(PaymentSchedule[[#This Row],[PMT NO]]&lt;&gt;"",EOMONTH(LoanStartDate,ROW(PaymentSchedule[[#This Row],[PMT NO]])-ROW(PaymentSchedule[[#Headers],[PMT NO]])-2)+DAY(LoanStartDate),"")</f>
        <v>53874</v>
      </c>
      <c r="D306" s="14">
        <f>IF(PaymentSchedule[[#This Row],[PMT NO]]&lt;&gt;"",IF(ROW()-ROW(PaymentSchedule[[#Headers],[BEGINNING BALANCE]])=1,LoanAmount,INDEX(PaymentSchedule[ENDING BALANCE],ROW()-ROW(PaymentSchedule[[#Headers],[BEGINNING BALANCE]])-1)),"")</f>
        <v>665444.86152653396</v>
      </c>
      <c r="E306" s="14">
        <f>IF(PaymentSchedule[[#This Row],[PMT NO]]&lt;&gt;"",ScheduledPayment,"")</f>
        <v>11400.419471082316</v>
      </c>
      <c r="F30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06" s="14">
        <f>IF(PaymentSchedule[[#This Row],[PMT NO]]&lt;&gt;"",PaymentSchedule[[#This Row],[TOTAL PAYMENT]]-PaymentSchedule[[#This Row],[INTEREST]],"")</f>
        <v>8905.001240357813</v>
      </c>
      <c r="I306" s="14">
        <f>IF(PaymentSchedule[[#This Row],[PMT NO]]&lt;&gt;"",PaymentSchedule[[#This Row],[BEGINNING BALANCE]]*(InterestRate/PaymentsPerYear),"")</f>
        <v>2495.4182307245023</v>
      </c>
      <c r="J30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656539.8602861762</v>
      </c>
      <c r="K306" s="14">
        <f>IF(PaymentSchedule[[#This Row],[PMT NO]]&lt;&gt;"",SUM(INDEX(PaymentSchedule[INTEREST],1,1):PaymentSchedule[[#This Row],[INTEREST]]),"")</f>
        <v>1769663.6042554607</v>
      </c>
    </row>
    <row r="307" spans="2:11" x14ac:dyDescent="0.2">
      <c r="B307" s="10">
        <f>IF(LoanIsGood,IF(ROW()-ROW(PaymentSchedule[[#Headers],[PMT NO]])&gt;ScheduledNumberOfPayments,"",ROW()-ROW(PaymentSchedule[[#Headers],[PMT NO]])),"")</f>
        <v>296</v>
      </c>
      <c r="C307" s="12">
        <f>IF(PaymentSchedule[[#This Row],[PMT NO]]&lt;&gt;"",EOMONTH(LoanStartDate,ROW(PaymentSchedule[[#This Row],[PMT NO]])-ROW(PaymentSchedule[[#Headers],[PMT NO]])-2)+DAY(LoanStartDate),"")</f>
        <v>53905</v>
      </c>
      <c r="D307" s="14">
        <f>IF(PaymentSchedule[[#This Row],[PMT NO]]&lt;&gt;"",IF(ROW()-ROW(PaymentSchedule[[#Headers],[BEGINNING BALANCE]])=1,LoanAmount,INDEX(PaymentSchedule[ENDING BALANCE],ROW()-ROW(PaymentSchedule[[#Headers],[BEGINNING BALANCE]])-1)),"")</f>
        <v>656539.8602861762</v>
      </c>
      <c r="E307" s="14">
        <f>IF(PaymentSchedule[[#This Row],[PMT NO]]&lt;&gt;"",ScheduledPayment,"")</f>
        <v>11400.419471082316</v>
      </c>
      <c r="F30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07" s="14">
        <f>IF(PaymentSchedule[[#This Row],[PMT NO]]&lt;&gt;"",PaymentSchedule[[#This Row],[TOTAL PAYMENT]]-PaymentSchedule[[#This Row],[INTEREST]],"")</f>
        <v>8938.3949950091555</v>
      </c>
      <c r="I307" s="14">
        <f>IF(PaymentSchedule[[#This Row],[PMT NO]]&lt;&gt;"",PaymentSchedule[[#This Row],[BEGINNING BALANCE]]*(InterestRate/PaymentsPerYear),"")</f>
        <v>2462.0244760731607</v>
      </c>
      <c r="J30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647601.46529116703</v>
      </c>
      <c r="K307" s="14">
        <f>IF(PaymentSchedule[[#This Row],[PMT NO]]&lt;&gt;"",SUM(INDEX(PaymentSchedule[INTEREST],1,1):PaymentSchedule[[#This Row],[INTEREST]]),"")</f>
        <v>1772125.6287315339</v>
      </c>
    </row>
    <row r="308" spans="2:11" x14ac:dyDescent="0.2">
      <c r="B308" s="10">
        <f>IF(LoanIsGood,IF(ROW()-ROW(PaymentSchedule[[#Headers],[PMT NO]])&gt;ScheduledNumberOfPayments,"",ROW()-ROW(PaymentSchedule[[#Headers],[PMT NO]])),"")</f>
        <v>297</v>
      </c>
      <c r="C308" s="12">
        <f>IF(PaymentSchedule[[#This Row],[PMT NO]]&lt;&gt;"",EOMONTH(LoanStartDate,ROW(PaymentSchedule[[#This Row],[PMT NO]])-ROW(PaymentSchedule[[#Headers],[PMT NO]])-2)+DAY(LoanStartDate),"")</f>
        <v>53936</v>
      </c>
      <c r="D308" s="14">
        <f>IF(PaymentSchedule[[#This Row],[PMT NO]]&lt;&gt;"",IF(ROW()-ROW(PaymentSchedule[[#Headers],[BEGINNING BALANCE]])=1,LoanAmount,INDEX(PaymentSchedule[ENDING BALANCE],ROW()-ROW(PaymentSchedule[[#Headers],[BEGINNING BALANCE]])-1)),"")</f>
        <v>647601.46529116703</v>
      </c>
      <c r="E308" s="14">
        <f>IF(PaymentSchedule[[#This Row],[PMT NO]]&lt;&gt;"",ScheduledPayment,"")</f>
        <v>11400.419471082316</v>
      </c>
      <c r="F30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08" s="14">
        <f>IF(PaymentSchedule[[#This Row],[PMT NO]]&lt;&gt;"",PaymentSchedule[[#This Row],[TOTAL PAYMENT]]-PaymentSchedule[[#This Row],[INTEREST]],"")</f>
        <v>8971.9139762404393</v>
      </c>
      <c r="I308" s="14">
        <f>IF(PaymentSchedule[[#This Row],[PMT NO]]&lt;&gt;"",PaymentSchedule[[#This Row],[BEGINNING BALANCE]]*(InterestRate/PaymentsPerYear),"")</f>
        <v>2428.505494841876</v>
      </c>
      <c r="J30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638629.55131492659</v>
      </c>
      <c r="K308" s="14">
        <f>IF(PaymentSchedule[[#This Row],[PMT NO]]&lt;&gt;"",SUM(INDEX(PaymentSchedule[INTEREST],1,1):PaymentSchedule[[#This Row],[INTEREST]]),"")</f>
        <v>1774554.1342263757</v>
      </c>
    </row>
    <row r="309" spans="2:11" x14ac:dyDescent="0.2">
      <c r="B309" s="10">
        <f>IF(LoanIsGood,IF(ROW()-ROW(PaymentSchedule[[#Headers],[PMT NO]])&gt;ScheduledNumberOfPayments,"",ROW()-ROW(PaymentSchedule[[#Headers],[PMT NO]])),"")</f>
        <v>298</v>
      </c>
      <c r="C309" s="12">
        <f>IF(PaymentSchedule[[#This Row],[PMT NO]]&lt;&gt;"",EOMONTH(LoanStartDate,ROW(PaymentSchedule[[#This Row],[PMT NO]])-ROW(PaymentSchedule[[#Headers],[PMT NO]])-2)+DAY(LoanStartDate),"")</f>
        <v>53966</v>
      </c>
      <c r="D309" s="14">
        <f>IF(PaymentSchedule[[#This Row],[PMT NO]]&lt;&gt;"",IF(ROW()-ROW(PaymentSchedule[[#Headers],[BEGINNING BALANCE]])=1,LoanAmount,INDEX(PaymentSchedule[ENDING BALANCE],ROW()-ROW(PaymentSchedule[[#Headers],[BEGINNING BALANCE]])-1)),"")</f>
        <v>638629.55131492659</v>
      </c>
      <c r="E309" s="14">
        <f>IF(PaymentSchedule[[#This Row],[PMT NO]]&lt;&gt;"",ScheduledPayment,"")</f>
        <v>11400.419471082316</v>
      </c>
      <c r="F30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09" s="14">
        <f>IF(PaymentSchedule[[#This Row],[PMT NO]]&lt;&gt;"",PaymentSchedule[[#This Row],[TOTAL PAYMENT]]-PaymentSchedule[[#This Row],[INTEREST]],"")</f>
        <v>9005.5586536513401</v>
      </c>
      <c r="I309" s="14">
        <f>IF(PaymentSchedule[[#This Row],[PMT NO]]&lt;&gt;"",PaymentSchedule[[#This Row],[BEGINNING BALANCE]]*(InterestRate/PaymentsPerYear),"")</f>
        <v>2394.8608174309747</v>
      </c>
      <c r="J30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629623.9926612752</v>
      </c>
      <c r="K309" s="14">
        <f>IF(PaymentSchedule[[#This Row],[PMT NO]]&lt;&gt;"",SUM(INDEX(PaymentSchedule[INTEREST],1,1):PaymentSchedule[[#This Row],[INTEREST]]),"")</f>
        <v>1776948.9950438067</v>
      </c>
    </row>
    <row r="310" spans="2:11" x14ac:dyDescent="0.2">
      <c r="B310" s="10">
        <f>IF(LoanIsGood,IF(ROW()-ROW(PaymentSchedule[[#Headers],[PMT NO]])&gt;ScheduledNumberOfPayments,"",ROW()-ROW(PaymentSchedule[[#Headers],[PMT NO]])),"")</f>
        <v>299</v>
      </c>
      <c r="C310" s="12">
        <f>IF(PaymentSchedule[[#This Row],[PMT NO]]&lt;&gt;"",EOMONTH(LoanStartDate,ROW(PaymentSchedule[[#This Row],[PMT NO]])-ROW(PaymentSchedule[[#Headers],[PMT NO]])-2)+DAY(LoanStartDate),"")</f>
        <v>53997</v>
      </c>
      <c r="D310" s="14">
        <f>IF(PaymentSchedule[[#This Row],[PMT NO]]&lt;&gt;"",IF(ROW()-ROW(PaymentSchedule[[#Headers],[BEGINNING BALANCE]])=1,LoanAmount,INDEX(PaymentSchedule[ENDING BALANCE],ROW()-ROW(PaymentSchedule[[#Headers],[BEGINNING BALANCE]])-1)),"")</f>
        <v>629623.9926612752</v>
      </c>
      <c r="E310" s="14">
        <f>IF(PaymentSchedule[[#This Row],[PMT NO]]&lt;&gt;"",ScheduledPayment,"")</f>
        <v>11400.419471082316</v>
      </c>
      <c r="F31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10" s="14">
        <f>IF(PaymentSchedule[[#This Row],[PMT NO]]&lt;&gt;"",PaymentSchedule[[#This Row],[TOTAL PAYMENT]]-PaymentSchedule[[#This Row],[INTEREST]],"")</f>
        <v>9039.3294986025339</v>
      </c>
      <c r="I310" s="14">
        <f>IF(PaymentSchedule[[#This Row],[PMT NO]]&lt;&gt;"",PaymentSchedule[[#This Row],[BEGINNING BALANCE]]*(InterestRate/PaymentsPerYear),"")</f>
        <v>2361.0899724797819</v>
      </c>
      <c r="J31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620584.66316267266</v>
      </c>
      <c r="K310" s="14">
        <f>IF(PaymentSchedule[[#This Row],[PMT NO]]&lt;&gt;"",SUM(INDEX(PaymentSchedule[INTEREST],1,1):PaymentSchedule[[#This Row],[INTEREST]]),"")</f>
        <v>1779310.0850162865</v>
      </c>
    </row>
    <row r="311" spans="2:11" x14ac:dyDescent="0.2">
      <c r="B311" s="10">
        <f>IF(LoanIsGood,IF(ROW()-ROW(PaymentSchedule[[#Headers],[PMT NO]])&gt;ScheduledNumberOfPayments,"",ROW()-ROW(PaymentSchedule[[#Headers],[PMT NO]])),"")</f>
        <v>300</v>
      </c>
      <c r="C311" s="12">
        <f>IF(PaymentSchedule[[#This Row],[PMT NO]]&lt;&gt;"",EOMONTH(LoanStartDate,ROW(PaymentSchedule[[#This Row],[PMT NO]])-ROW(PaymentSchedule[[#Headers],[PMT NO]])-2)+DAY(LoanStartDate),"")</f>
        <v>54027</v>
      </c>
      <c r="D311" s="14">
        <f>IF(PaymentSchedule[[#This Row],[PMT NO]]&lt;&gt;"",IF(ROW()-ROW(PaymentSchedule[[#Headers],[BEGINNING BALANCE]])=1,LoanAmount,INDEX(PaymentSchedule[ENDING BALANCE],ROW()-ROW(PaymentSchedule[[#Headers],[BEGINNING BALANCE]])-1)),"")</f>
        <v>620584.66316267266</v>
      </c>
      <c r="E311" s="14">
        <f>IF(PaymentSchedule[[#This Row],[PMT NO]]&lt;&gt;"",ScheduledPayment,"")</f>
        <v>11400.419471082316</v>
      </c>
      <c r="F31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11" s="14">
        <f>IF(PaymentSchedule[[#This Row],[PMT NO]]&lt;&gt;"",PaymentSchedule[[#This Row],[TOTAL PAYMENT]]-PaymentSchedule[[#This Row],[INTEREST]],"")</f>
        <v>9073.226984222294</v>
      </c>
      <c r="I311" s="14">
        <f>IF(PaymentSchedule[[#This Row],[PMT NO]]&lt;&gt;"",PaymentSchedule[[#This Row],[BEGINNING BALANCE]]*(InterestRate/PaymentsPerYear),"")</f>
        <v>2327.1924868600222</v>
      </c>
      <c r="J31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611511.43617845036</v>
      </c>
      <c r="K311" s="14">
        <f>IF(PaymentSchedule[[#This Row],[PMT NO]]&lt;&gt;"",SUM(INDEX(PaymentSchedule[INTEREST],1,1):PaymentSchedule[[#This Row],[INTEREST]]),"")</f>
        <v>1781637.2775031466</v>
      </c>
    </row>
    <row r="312" spans="2:11" x14ac:dyDescent="0.2">
      <c r="B312" s="10">
        <f>IF(LoanIsGood,IF(ROW()-ROW(PaymentSchedule[[#Headers],[PMT NO]])&gt;ScheduledNumberOfPayments,"",ROW()-ROW(PaymentSchedule[[#Headers],[PMT NO]])),"")</f>
        <v>301</v>
      </c>
      <c r="C312" s="12">
        <f>IF(PaymentSchedule[[#This Row],[PMT NO]]&lt;&gt;"",EOMONTH(LoanStartDate,ROW(PaymentSchedule[[#This Row],[PMT NO]])-ROW(PaymentSchedule[[#Headers],[PMT NO]])-2)+DAY(LoanStartDate),"")</f>
        <v>54058</v>
      </c>
      <c r="D312" s="14">
        <f>IF(PaymentSchedule[[#This Row],[PMT NO]]&lt;&gt;"",IF(ROW()-ROW(PaymentSchedule[[#Headers],[BEGINNING BALANCE]])=1,LoanAmount,INDEX(PaymentSchedule[ENDING BALANCE],ROW()-ROW(PaymentSchedule[[#Headers],[BEGINNING BALANCE]])-1)),"")</f>
        <v>611511.43617845036</v>
      </c>
      <c r="E312" s="14">
        <f>IF(PaymentSchedule[[#This Row],[PMT NO]]&lt;&gt;"",ScheduledPayment,"")</f>
        <v>11400.419471082316</v>
      </c>
      <c r="F31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12" s="14">
        <f>IF(PaymentSchedule[[#This Row],[PMT NO]]&lt;&gt;"",PaymentSchedule[[#This Row],[TOTAL PAYMENT]]-PaymentSchedule[[#This Row],[INTEREST]],"")</f>
        <v>9107.251585413127</v>
      </c>
      <c r="I312" s="14">
        <f>IF(PaymentSchedule[[#This Row],[PMT NO]]&lt;&gt;"",PaymentSchedule[[#This Row],[BEGINNING BALANCE]]*(InterestRate/PaymentsPerYear),"")</f>
        <v>2293.1678856691888</v>
      </c>
      <c r="J31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602404.18459303724</v>
      </c>
      <c r="K312" s="14">
        <f>IF(PaymentSchedule[[#This Row],[PMT NO]]&lt;&gt;"",SUM(INDEX(PaymentSchedule[INTEREST],1,1):PaymentSchedule[[#This Row],[INTEREST]]),"")</f>
        <v>1783930.4453888158</v>
      </c>
    </row>
    <row r="313" spans="2:11" x14ac:dyDescent="0.2">
      <c r="B313" s="10">
        <f>IF(LoanIsGood,IF(ROW()-ROW(PaymentSchedule[[#Headers],[PMT NO]])&gt;ScheduledNumberOfPayments,"",ROW()-ROW(PaymentSchedule[[#Headers],[PMT NO]])),"")</f>
        <v>302</v>
      </c>
      <c r="C313" s="12">
        <f>IF(PaymentSchedule[[#This Row],[PMT NO]]&lt;&gt;"",EOMONTH(LoanStartDate,ROW(PaymentSchedule[[#This Row],[PMT NO]])-ROW(PaymentSchedule[[#Headers],[PMT NO]])-2)+DAY(LoanStartDate),"")</f>
        <v>54089</v>
      </c>
      <c r="D313" s="14">
        <f>IF(PaymentSchedule[[#This Row],[PMT NO]]&lt;&gt;"",IF(ROW()-ROW(PaymentSchedule[[#Headers],[BEGINNING BALANCE]])=1,LoanAmount,INDEX(PaymentSchedule[ENDING BALANCE],ROW()-ROW(PaymentSchedule[[#Headers],[BEGINNING BALANCE]])-1)),"")</f>
        <v>602404.18459303724</v>
      </c>
      <c r="E313" s="14">
        <f>IF(PaymentSchedule[[#This Row],[PMT NO]]&lt;&gt;"",ScheduledPayment,"")</f>
        <v>11400.419471082316</v>
      </c>
      <c r="F31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13" s="14">
        <f>IF(PaymentSchedule[[#This Row],[PMT NO]]&lt;&gt;"",PaymentSchedule[[#This Row],[TOTAL PAYMENT]]-PaymentSchedule[[#This Row],[INTEREST]],"")</f>
        <v>9141.4037788584264</v>
      </c>
      <c r="I313" s="14">
        <f>IF(PaymentSchedule[[#This Row],[PMT NO]]&lt;&gt;"",PaymentSchedule[[#This Row],[BEGINNING BALANCE]]*(InterestRate/PaymentsPerYear),"")</f>
        <v>2259.0156922238893</v>
      </c>
      <c r="J31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593262.78081417875</v>
      </c>
      <c r="K313" s="14">
        <f>IF(PaymentSchedule[[#This Row],[PMT NO]]&lt;&gt;"",SUM(INDEX(PaymentSchedule[INTEREST],1,1):PaymentSchedule[[#This Row],[INTEREST]]),"")</f>
        <v>1786189.4610810396</v>
      </c>
    </row>
    <row r="314" spans="2:11" x14ac:dyDescent="0.2">
      <c r="B314" s="10">
        <f>IF(LoanIsGood,IF(ROW()-ROW(PaymentSchedule[[#Headers],[PMT NO]])&gt;ScheduledNumberOfPayments,"",ROW()-ROW(PaymentSchedule[[#Headers],[PMT NO]])),"")</f>
        <v>303</v>
      </c>
      <c r="C314" s="12">
        <f>IF(PaymentSchedule[[#This Row],[PMT NO]]&lt;&gt;"",EOMONTH(LoanStartDate,ROW(PaymentSchedule[[#This Row],[PMT NO]])-ROW(PaymentSchedule[[#Headers],[PMT NO]])-2)+DAY(LoanStartDate),"")</f>
        <v>54118</v>
      </c>
      <c r="D314" s="14">
        <f>IF(PaymentSchedule[[#This Row],[PMT NO]]&lt;&gt;"",IF(ROW()-ROW(PaymentSchedule[[#Headers],[BEGINNING BALANCE]])=1,LoanAmount,INDEX(PaymentSchedule[ENDING BALANCE],ROW()-ROW(PaymentSchedule[[#Headers],[BEGINNING BALANCE]])-1)),"")</f>
        <v>593262.78081417875</v>
      </c>
      <c r="E314" s="14">
        <f>IF(PaymentSchedule[[#This Row],[PMT NO]]&lt;&gt;"",ScheduledPayment,"")</f>
        <v>11400.419471082316</v>
      </c>
      <c r="F31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14" s="14">
        <f>IF(PaymentSchedule[[#This Row],[PMT NO]]&lt;&gt;"",PaymentSchedule[[#This Row],[TOTAL PAYMENT]]-PaymentSchedule[[#This Row],[INTEREST]],"")</f>
        <v>9175.684043029145</v>
      </c>
      <c r="I314" s="14">
        <f>IF(PaymentSchedule[[#This Row],[PMT NO]]&lt;&gt;"",PaymentSchedule[[#This Row],[BEGINNING BALANCE]]*(InterestRate/PaymentsPerYear),"")</f>
        <v>2224.7354280531704</v>
      </c>
      <c r="J31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584087.09677114966</v>
      </c>
      <c r="K314" s="14">
        <f>IF(PaymentSchedule[[#This Row],[PMT NO]]&lt;&gt;"",SUM(INDEX(PaymentSchedule[INTEREST],1,1):PaymentSchedule[[#This Row],[INTEREST]]),"")</f>
        <v>1788414.1965090928</v>
      </c>
    </row>
    <row r="315" spans="2:11" x14ac:dyDescent="0.2">
      <c r="B315" s="10">
        <f>IF(LoanIsGood,IF(ROW()-ROW(PaymentSchedule[[#Headers],[PMT NO]])&gt;ScheduledNumberOfPayments,"",ROW()-ROW(PaymentSchedule[[#Headers],[PMT NO]])),"")</f>
        <v>304</v>
      </c>
      <c r="C315" s="12">
        <f>IF(PaymentSchedule[[#This Row],[PMT NO]]&lt;&gt;"",EOMONTH(LoanStartDate,ROW(PaymentSchedule[[#This Row],[PMT NO]])-ROW(PaymentSchedule[[#Headers],[PMT NO]])-2)+DAY(LoanStartDate),"")</f>
        <v>54149</v>
      </c>
      <c r="D315" s="14">
        <f>IF(PaymentSchedule[[#This Row],[PMT NO]]&lt;&gt;"",IF(ROW()-ROW(PaymentSchedule[[#Headers],[BEGINNING BALANCE]])=1,LoanAmount,INDEX(PaymentSchedule[ENDING BALANCE],ROW()-ROW(PaymentSchedule[[#Headers],[BEGINNING BALANCE]])-1)),"")</f>
        <v>584087.09677114966</v>
      </c>
      <c r="E315" s="14">
        <f>IF(PaymentSchedule[[#This Row],[PMT NO]]&lt;&gt;"",ScheduledPayment,"")</f>
        <v>11400.419471082316</v>
      </c>
      <c r="F31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15" s="14">
        <f>IF(PaymentSchedule[[#This Row],[PMT NO]]&lt;&gt;"",PaymentSchedule[[#This Row],[TOTAL PAYMENT]]-PaymentSchedule[[#This Row],[INTEREST]],"")</f>
        <v>9210.0928581905046</v>
      </c>
      <c r="I315" s="14">
        <f>IF(PaymentSchedule[[#This Row],[PMT NO]]&lt;&gt;"",PaymentSchedule[[#This Row],[BEGINNING BALANCE]]*(InterestRate/PaymentsPerYear),"")</f>
        <v>2190.3266128918112</v>
      </c>
      <c r="J31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574877.00391295913</v>
      </c>
      <c r="K315" s="14">
        <f>IF(PaymentSchedule[[#This Row],[PMT NO]]&lt;&gt;"",SUM(INDEX(PaymentSchedule[INTEREST],1,1):PaymentSchedule[[#This Row],[INTEREST]]),"")</f>
        <v>1790604.5231219847</v>
      </c>
    </row>
    <row r="316" spans="2:11" x14ac:dyDescent="0.2">
      <c r="B316" s="10">
        <f>IF(LoanIsGood,IF(ROW()-ROW(PaymentSchedule[[#Headers],[PMT NO]])&gt;ScheduledNumberOfPayments,"",ROW()-ROW(PaymentSchedule[[#Headers],[PMT NO]])),"")</f>
        <v>305</v>
      </c>
      <c r="C316" s="12">
        <f>IF(PaymentSchedule[[#This Row],[PMT NO]]&lt;&gt;"",EOMONTH(LoanStartDate,ROW(PaymentSchedule[[#This Row],[PMT NO]])-ROW(PaymentSchedule[[#Headers],[PMT NO]])-2)+DAY(LoanStartDate),"")</f>
        <v>54179</v>
      </c>
      <c r="D316" s="14">
        <f>IF(PaymentSchedule[[#This Row],[PMT NO]]&lt;&gt;"",IF(ROW()-ROW(PaymentSchedule[[#Headers],[BEGINNING BALANCE]])=1,LoanAmount,INDEX(PaymentSchedule[ENDING BALANCE],ROW()-ROW(PaymentSchedule[[#Headers],[BEGINNING BALANCE]])-1)),"")</f>
        <v>574877.00391295913</v>
      </c>
      <c r="E316" s="14">
        <f>IF(PaymentSchedule[[#This Row],[PMT NO]]&lt;&gt;"",ScheduledPayment,"")</f>
        <v>11400.419471082316</v>
      </c>
      <c r="F31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16" s="14">
        <f>IF(PaymentSchedule[[#This Row],[PMT NO]]&lt;&gt;"",PaymentSchedule[[#This Row],[TOTAL PAYMENT]]-PaymentSchedule[[#This Row],[INTEREST]],"")</f>
        <v>9244.6307064087196</v>
      </c>
      <c r="I316" s="14">
        <f>IF(PaymentSchedule[[#This Row],[PMT NO]]&lt;&gt;"",PaymentSchedule[[#This Row],[BEGINNING BALANCE]]*(InterestRate/PaymentsPerYear),"")</f>
        <v>2155.7887646735967</v>
      </c>
      <c r="J31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565632.37320655037</v>
      </c>
      <c r="K316" s="14">
        <f>IF(PaymentSchedule[[#This Row],[PMT NO]]&lt;&gt;"",SUM(INDEX(PaymentSchedule[INTEREST],1,1):PaymentSchedule[[#This Row],[INTEREST]]),"")</f>
        <v>1792760.3118866582</v>
      </c>
    </row>
    <row r="317" spans="2:11" x14ac:dyDescent="0.2">
      <c r="B317" s="10">
        <f>IF(LoanIsGood,IF(ROW()-ROW(PaymentSchedule[[#Headers],[PMT NO]])&gt;ScheduledNumberOfPayments,"",ROW()-ROW(PaymentSchedule[[#Headers],[PMT NO]])),"")</f>
        <v>306</v>
      </c>
      <c r="C317" s="12">
        <f>IF(PaymentSchedule[[#This Row],[PMT NO]]&lt;&gt;"",EOMONTH(LoanStartDate,ROW(PaymentSchedule[[#This Row],[PMT NO]])-ROW(PaymentSchedule[[#Headers],[PMT NO]])-2)+DAY(LoanStartDate),"")</f>
        <v>54210</v>
      </c>
      <c r="D317" s="14">
        <f>IF(PaymentSchedule[[#This Row],[PMT NO]]&lt;&gt;"",IF(ROW()-ROW(PaymentSchedule[[#Headers],[BEGINNING BALANCE]])=1,LoanAmount,INDEX(PaymentSchedule[ENDING BALANCE],ROW()-ROW(PaymentSchedule[[#Headers],[BEGINNING BALANCE]])-1)),"")</f>
        <v>565632.37320655037</v>
      </c>
      <c r="E317" s="14">
        <f>IF(PaymentSchedule[[#This Row],[PMT NO]]&lt;&gt;"",ScheduledPayment,"")</f>
        <v>11400.419471082316</v>
      </c>
      <c r="F31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17" s="14">
        <f>IF(PaymentSchedule[[#This Row],[PMT NO]]&lt;&gt;"",PaymentSchedule[[#This Row],[TOTAL PAYMENT]]-PaymentSchedule[[#This Row],[INTEREST]],"")</f>
        <v>9279.2980715577523</v>
      </c>
      <c r="I317" s="14">
        <f>IF(PaymentSchedule[[#This Row],[PMT NO]]&lt;&gt;"",PaymentSchedule[[#This Row],[BEGINNING BALANCE]]*(InterestRate/PaymentsPerYear),"")</f>
        <v>2121.1213995245639</v>
      </c>
      <c r="J31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556353.0751349926</v>
      </c>
      <c r="K317" s="14">
        <f>IF(PaymentSchedule[[#This Row],[PMT NO]]&lt;&gt;"",SUM(INDEX(PaymentSchedule[INTEREST],1,1):PaymentSchedule[[#This Row],[INTEREST]]),"")</f>
        <v>1794881.4332861828</v>
      </c>
    </row>
    <row r="318" spans="2:11" x14ac:dyDescent="0.2">
      <c r="B318" s="10">
        <f>IF(LoanIsGood,IF(ROW()-ROW(PaymentSchedule[[#Headers],[PMT NO]])&gt;ScheduledNumberOfPayments,"",ROW()-ROW(PaymentSchedule[[#Headers],[PMT NO]])),"")</f>
        <v>307</v>
      </c>
      <c r="C318" s="12">
        <f>IF(PaymentSchedule[[#This Row],[PMT NO]]&lt;&gt;"",EOMONTH(LoanStartDate,ROW(PaymentSchedule[[#This Row],[PMT NO]])-ROW(PaymentSchedule[[#Headers],[PMT NO]])-2)+DAY(LoanStartDate),"")</f>
        <v>54240</v>
      </c>
      <c r="D318" s="14">
        <f>IF(PaymentSchedule[[#This Row],[PMT NO]]&lt;&gt;"",IF(ROW()-ROW(PaymentSchedule[[#Headers],[BEGINNING BALANCE]])=1,LoanAmount,INDEX(PaymentSchedule[ENDING BALANCE],ROW()-ROW(PaymentSchedule[[#Headers],[BEGINNING BALANCE]])-1)),"")</f>
        <v>556353.0751349926</v>
      </c>
      <c r="E318" s="14">
        <f>IF(PaymentSchedule[[#This Row],[PMT NO]]&lt;&gt;"",ScheduledPayment,"")</f>
        <v>11400.419471082316</v>
      </c>
      <c r="F31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18" s="14">
        <f>IF(PaymentSchedule[[#This Row],[PMT NO]]&lt;&gt;"",PaymentSchedule[[#This Row],[TOTAL PAYMENT]]-PaymentSchedule[[#This Row],[INTEREST]],"")</f>
        <v>9314.0954393260945</v>
      </c>
      <c r="I318" s="14">
        <f>IF(PaymentSchedule[[#This Row],[PMT NO]]&lt;&gt;"",PaymentSchedule[[#This Row],[BEGINNING BALANCE]]*(InterestRate/PaymentsPerYear),"")</f>
        <v>2086.3240317562222</v>
      </c>
      <c r="J31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547038.97969566646</v>
      </c>
      <c r="K318" s="14">
        <f>IF(PaymentSchedule[[#This Row],[PMT NO]]&lt;&gt;"",SUM(INDEX(PaymentSchedule[INTEREST],1,1):PaymentSchedule[[#This Row],[INTEREST]]),"")</f>
        <v>1796967.7573179391</v>
      </c>
    </row>
    <row r="319" spans="2:11" x14ac:dyDescent="0.2">
      <c r="B319" s="10">
        <f>IF(LoanIsGood,IF(ROW()-ROW(PaymentSchedule[[#Headers],[PMT NO]])&gt;ScheduledNumberOfPayments,"",ROW()-ROW(PaymentSchedule[[#Headers],[PMT NO]])),"")</f>
        <v>308</v>
      </c>
      <c r="C319" s="12">
        <f>IF(PaymentSchedule[[#This Row],[PMT NO]]&lt;&gt;"",EOMONTH(LoanStartDate,ROW(PaymentSchedule[[#This Row],[PMT NO]])-ROW(PaymentSchedule[[#Headers],[PMT NO]])-2)+DAY(LoanStartDate),"")</f>
        <v>54271</v>
      </c>
      <c r="D319" s="14">
        <f>IF(PaymentSchedule[[#This Row],[PMT NO]]&lt;&gt;"",IF(ROW()-ROW(PaymentSchedule[[#Headers],[BEGINNING BALANCE]])=1,LoanAmount,INDEX(PaymentSchedule[ENDING BALANCE],ROW()-ROW(PaymentSchedule[[#Headers],[BEGINNING BALANCE]])-1)),"")</f>
        <v>547038.97969566646</v>
      </c>
      <c r="E319" s="14">
        <f>IF(PaymentSchedule[[#This Row],[PMT NO]]&lt;&gt;"",ScheduledPayment,"")</f>
        <v>11400.419471082316</v>
      </c>
      <c r="F31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19" s="14">
        <f>IF(PaymentSchedule[[#This Row],[PMT NO]]&lt;&gt;"",PaymentSchedule[[#This Row],[TOTAL PAYMENT]]-PaymentSchedule[[#This Row],[INTEREST]],"")</f>
        <v>9349.0232972235663</v>
      </c>
      <c r="I319" s="14">
        <f>IF(PaymentSchedule[[#This Row],[PMT NO]]&lt;&gt;"",PaymentSchedule[[#This Row],[BEGINNING BALANCE]]*(InterestRate/PaymentsPerYear),"")</f>
        <v>2051.3961738587491</v>
      </c>
      <c r="J31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537689.95639844285</v>
      </c>
      <c r="K319" s="14">
        <f>IF(PaymentSchedule[[#This Row],[PMT NO]]&lt;&gt;"",SUM(INDEX(PaymentSchedule[INTEREST],1,1):PaymentSchedule[[#This Row],[INTEREST]]),"")</f>
        <v>1799019.1534917979</v>
      </c>
    </row>
    <row r="320" spans="2:11" x14ac:dyDescent="0.2">
      <c r="B320" s="10">
        <f>IF(LoanIsGood,IF(ROW()-ROW(PaymentSchedule[[#Headers],[PMT NO]])&gt;ScheduledNumberOfPayments,"",ROW()-ROW(PaymentSchedule[[#Headers],[PMT NO]])),"")</f>
        <v>309</v>
      </c>
      <c r="C320" s="12">
        <f>IF(PaymentSchedule[[#This Row],[PMT NO]]&lt;&gt;"",EOMONTH(LoanStartDate,ROW(PaymentSchedule[[#This Row],[PMT NO]])-ROW(PaymentSchedule[[#Headers],[PMT NO]])-2)+DAY(LoanStartDate),"")</f>
        <v>54302</v>
      </c>
      <c r="D320" s="14">
        <f>IF(PaymentSchedule[[#This Row],[PMT NO]]&lt;&gt;"",IF(ROW()-ROW(PaymentSchedule[[#Headers],[BEGINNING BALANCE]])=1,LoanAmount,INDEX(PaymentSchedule[ENDING BALANCE],ROW()-ROW(PaymentSchedule[[#Headers],[BEGINNING BALANCE]])-1)),"")</f>
        <v>537689.95639844285</v>
      </c>
      <c r="E320" s="14">
        <f>IF(PaymentSchedule[[#This Row],[PMT NO]]&lt;&gt;"",ScheduledPayment,"")</f>
        <v>11400.419471082316</v>
      </c>
      <c r="F32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20" s="14">
        <f>IF(PaymentSchedule[[#This Row],[PMT NO]]&lt;&gt;"",PaymentSchedule[[#This Row],[TOTAL PAYMENT]]-PaymentSchedule[[#This Row],[INTEREST]],"")</f>
        <v>9384.0821345881559</v>
      </c>
      <c r="I320" s="14">
        <f>IF(PaymentSchedule[[#This Row],[PMT NO]]&lt;&gt;"",PaymentSchedule[[#This Row],[BEGINNING BALANCE]]*(InterestRate/PaymentsPerYear),"")</f>
        <v>2016.3373364941606</v>
      </c>
      <c r="J32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528305.8742638547</v>
      </c>
      <c r="K320" s="14">
        <f>IF(PaymentSchedule[[#This Row],[PMT NO]]&lt;&gt;"",SUM(INDEX(PaymentSchedule[INTEREST],1,1):PaymentSchedule[[#This Row],[INTEREST]]),"")</f>
        <v>1801035.490828292</v>
      </c>
    </row>
    <row r="321" spans="2:11" x14ac:dyDescent="0.2">
      <c r="B321" s="10">
        <f>IF(LoanIsGood,IF(ROW()-ROW(PaymentSchedule[[#Headers],[PMT NO]])&gt;ScheduledNumberOfPayments,"",ROW()-ROW(PaymentSchedule[[#Headers],[PMT NO]])),"")</f>
        <v>310</v>
      </c>
      <c r="C321" s="12">
        <f>IF(PaymentSchedule[[#This Row],[PMT NO]]&lt;&gt;"",EOMONTH(LoanStartDate,ROW(PaymentSchedule[[#This Row],[PMT NO]])-ROW(PaymentSchedule[[#Headers],[PMT NO]])-2)+DAY(LoanStartDate),"")</f>
        <v>54332</v>
      </c>
      <c r="D321" s="14">
        <f>IF(PaymentSchedule[[#This Row],[PMT NO]]&lt;&gt;"",IF(ROW()-ROW(PaymentSchedule[[#Headers],[BEGINNING BALANCE]])=1,LoanAmount,INDEX(PaymentSchedule[ENDING BALANCE],ROW()-ROW(PaymentSchedule[[#Headers],[BEGINNING BALANCE]])-1)),"")</f>
        <v>528305.8742638547</v>
      </c>
      <c r="E321" s="14">
        <f>IF(PaymentSchedule[[#This Row],[PMT NO]]&lt;&gt;"",ScheduledPayment,"")</f>
        <v>11400.419471082316</v>
      </c>
      <c r="F32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21" s="14">
        <f>IF(PaymentSchedule[[#This Row],[PMT NO]]&lt;&gt;"",PaymentSchedule[[#This Row],[TOTAL PAYMENT]]-PaymentSchedule[[#This Row],[INTEREST]],"")</f>
        <v>9419.2724425928609</v>
      </c>
      <c r="I321" s="14">
        <f>IF(PaymentSchedule[[#This Row],[PMT NO]]&lt;&gt;"",PaymentSchedule[[#This Row],[BEGINNING BALANCE]]*(InterestRate/PaymentsPerYear),"")</f>
        <v>1981.1470284894551</v>
      </c>
      <c r="J32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518886.60182126181</v>
      </c>
      <c r="K321" s="14">
        <f>IF(PaymentSchedule[[#This Row],[PMT NO]]&lt;&gt;"",SUM(INDEX(PaymentSchedule[INTEREST],1,1):PaymentSchedule[[#This Row],[INTEREST]]),"")</f>
        <v>1803016.6378567815</v>
      </c>
    </row>
    <row r="322" spans="2:11" x14ac:dyDescent="0.2">
      <c r="B322" s="10">
        <f>IF(LoanIsGood,IF(ROW()-ROW(PaymentSchedule[[#Headers],[PMT NO]])&gt;ScheduledNumberOfPayments,"",ROW()-ROW(PaymentSchedule[[#Headers],[PMT NO]])),"")</f>
        <v>311</v>
      </c>
      <c r="C322" s="12">
        <f>IF(PaymentSchedule[[#This Row],[PMT NO]]&lt;&gt;"",EOMONTH(LoanStartDate,ROW(PaymentSchedule[[#This Row],[PMT NO]])-ROW(PaymentSchedule[[#Headers],[PMT NO]])-2)+DAY(LoanStartDate),"")</f>
        <v>54363</v>
      </c>
      <c r="D322" s="14">
        <f>IF(PaymentSchedule[[#This Row],[PMT NO]]&lt;&gt;"",IF(ROW()-ROW(PaymentSchedule[[#Headers],[BEGINNING BALANCE]])=1,LoanAmount,INDEX(PaymentSchedule[ENDING BALANCE],ROW()-ROW(PaymentSchedule[[#Headers],[BEGINNING BALANCE]])-1)),"")</f>
        <v>518886.60182126181</v>
      </c>
      <c r="E322" s="14">
        <f>IF(PaymentSchedule[[#This Row],[PMT NO]]&lt;&gt;"",ScheduledPayment,"")</f>
        <v>11400.419471082316</v>
      </c>
      <c r="F32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22" s="14">
        <f>IF(PaymentSchedule[[#This Row],[PMT NO]]&lt;&gt;"",PaymentSchedule[[#This Row],[TOTAL PAYMENT]]-PaymentSchedule[[#This Row],[INTEREST]],"")</f>
        <v>9454.5947142525838</v>
      </c>
      <c r="I322" s="14">
        <f>IF(PaymentSchedule[[#This Row],[PMT NO]]&lt;&gt;"",PaymentSchedule[[#This Row],[BEGINNING BALANCE]]*(InterestRate/PaymentsPerYear),"")</f>
        <v>1945.8247568297318</v>
      </c>
      <c r="J32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509432.00710700924</v>
      </c>
      <c r="K322" s="14">
        <f>IF(PaymentSchedule[[#This Row],[PMT NO]]&lt;&gt;"",SUM(INDEX(PaymentSchedule[INTEREST],1,1):PaymentSchedule[[#This Row],[INTEREST]]),"")</f>
        <v>1804962.4626136112</v>
      </c>
    </row>
    <row r="323" spans="2:11" x14ac:dyDescent="0.2">
      <c r="B323" s="10">
        <f>IF(LoanIsGood,IF(ROW()-ROW(PaymentSchedule[[#Headers],[PMT NO]])&gt;ScheduledNumberOfPayments,"",ROW()-ROW(PaymentSchedule[[#Headers],[PMT NO]])),"")</f>
        <v>312</v>
      </c>
      <c r="C323" s="12">
        <f>IF(PaymentSchedule[[#This Row],[PMT NO]]&lt;&gt;"",EOMONTH(LoanStartDate,ROW(PaymentSchedule[[#This Row],[PMT NO]])-ROW(PaymentSchedule[[#Headers],[PMT NO]])-2)+DAY(LoanStartDate),"")</f>
        <v>54393</v>
      </c>
      <c r="D323" s="14">
        <f>IF(PaymentSchedule[[#This Row],[PMT NO]]&lt;&gt;"",IF(ROW()-ROW(PaymentSchedule[[#Headers],[BEGINNING BALANCE]])=1,LoanAmount,INDEX(PaymentSchedule[ENDING BALANCE],ROW()-ROW(PaymentSchedule[[#Headers],[BEGINNING BALANCE]])-1)),"")</f>
        <v>509432.00710700924</v>
      </c>
      <c r="E323" s="14">
        <f>IF(PaymentSchedule[[#This Row],[PMT NO]]&lt;&gt;"",ScheduledPayment,"")</f>
        <v>11400.419471082316</v>
      </c>
      <c r="F32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23" s="14">
        <f>IF(PaymentSchedule[[#This Row],[PMT NO]]&lt;&gt;"",PaymentSchedule[[#This Row],[TOTAL PAYMENT]]-PaymentSchedule[[#This Row],[INTEREST]],"")</f>
        <v>9490.0494444310316</v>
      </c>
      <c r="I323" s="14">
        <f>IF(PaymentSchedule[[#This Row],[PMT NO]]&lt;&gt;"",PaymentSchedule[[#This Row],[BEGINNING BALANCE]]*(InterestRate/PaymentsPerYear),"")</f>
        <v>1910.3700266512847</v>
      </c>
      <c r="J32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499941.95766257821</v>
      </c>
      <c r="K323" s="14">
        <f>IF(PaymentSchedule[[#This Row],[PMT NO]]&lt;&gt;"",SUM(INDEX(PaymentSchedule[INTEREST],1,1):PaymentSchedule[[#This Row],[INTEREST]]),"")</f>
        <v>1806872.8326402626</v>
      </c>
    </row>
    <row r="324" spans="2:11" x14ac:dyDescent="0.2">
      <c r="B324" s="10">
        <f>IF(LoanIsGood,IF(ROW()-ROW(PaymentSchedule[[#Headers],[PMT NO]])&gt;ScheduledNumberOfPayments,"",ROW()-ROW(PaymentSchedule[[#Headers],[PMT NO]])),"")</f>
        <v>313</v>
      </c>
      <c r="C324" s="12">
        <f>IF(PaymentSchedule[[#This Row],[PMT NO]]&lt;&gt;"",EOMONTH(LoanStartDate,ROW(PaymentSchedule[[#This Row],[PMT NO]])-ROW(PaymentSchedule[[#Headers],[PMT NO]])-2)+DAY(LoanStartDate),"")</f>
        <v>54424</v>
      </c>
      <c r="D324" s="14">
        <f>IF(PaymentSchedule[[#This Row],[PMT NO]]&lt;&gt;"",IF(ROW()-ROW(PaymentSchedule[[#Headers],[BEGINNING BALANCE]])=1,LoanAmount,INDEX(PaymentSchedule[ENDING BALANCE],ROW()-ROW(PaymentSchedule[[#Headers],[BEGINNING BALANCE]])-1)),"")</f>
        <v>499941.95766257821</v>
      </c>
      <c r="E324" s="14">
        <f>IF(PaymentSchedule[[#This Row],[PMT NO]]&lt;&gt;"",ScheduledPayment,"")</f>
        <v>11400.419471082316</v>
      </c>
      <c r="F32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24" s="14">
        <f>IF(PaymentSchedule[[#This Row],[PMT NO]]&lt;&gt;"",PaymentSchedule[[#This Row],[TOTAL PAYMENT]]-PaymentSchedule[[#This Row],[INTEREST]],"")</f>
        <v>9525.6371298476479</v>
      </c>
      <c r="I324" s="14">
        <f>IF(PaymentSchedule[[#This Row],[PMT NO]]&lt;&gt;"",PaymentSchedule[[#This Row],[BEGINNING BALANCE]]*(InterestRate/PaymentsPerYear),"")</f>
        <v>1874.7823412346681</v>
      </c>
      <c r="J32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490416.32053273055</v>
      </c>
      <c r="K324" s="14">
        <f>IF(PaymentSchedule[[#This Row],[PMT NO]]&lt;&gt;"",SUM(INDEX(PaymentSchedule[INTEREST],1,1):PaymentSchedule[[#This Row],[INTEREST]]),"")</f>
        <v>1808747.6149814972</v>
      </c>
    </row>
    <row r="325" spans="2:11" x14ac:dyDescent="0.2">
      <c r="B325" s="10">
        <f>IF(LoanIsGood,IF(ROW()-ROW(PaymentSchedule[[#Headers],[PMT NO]])&gt;ScheduledNumberOfPayments,"",ROW()-ROW(PaymentSchedule[[#Headers],[PMT NO]])),"")</f>
        <v>314</v>
      </c>
      <c r="C325" s="12">
        <f>IF(PaymentSchedule[[#This Row],[PMT NO]]&lt;&gt;"",EOMONTH(LoanStartDate,ROW(PaymentSchedule[[#This Row],[PMT NO]])-ROW(PaymentSchedule[[#Headers],[PMT NO]])-2)+DAY(LoanStartDate),"")</f>
        <v>54455</v>
      </c>
      <c r="D325" s="14">
        <f>IF(PaymentSchedule[[#This Row],[PMT NO]]&lt;&gt;"",IF(ROW()-ROW(PaymentSchedule[[#Headers],[BEGINNING BALANCE]])=1,LoanAmount,INDEX(PaymentSchedule[ENDING BALANCE],ROW()-ROW(PaymentSchedule[[#Headers],[BEGINNING BALANCE]])-1)),"")</f>
        <v>490416.32053273055</v>
      </c>
      <c r="E325" s="14">
        <f>IF(PaymentSchedule[[#This Row],[PMT NO]]&lt;&gt;"",ScheduledPayment,"")</f>
        <v>11400.419471082316</v>
      </c>
      <c r="F32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25" s="14">
        <f>IF(PaymentSchedule[[#This Row],[PMT NO]]&lt;&gt;"",PaymentSchedule[[#This Row],[TOTAL PAYMENT]]-PaymentSchedule[[#This Row],[INTEREST]],"")</f>
        <v>9561.358269084576</v>
      </c>
      <c r="I325" s="14">
        <f>IF(PaymentSchedule[[#This Row],[PMT NO]]&lt;&gt;"",PaymentSchedule[[#This Row],[BEGINNING BALANCE]]*(InterestRate/PaymentsPerYear),"")</f>
        <v>1839.0612019977395</v>
      </c>
      <c r="J32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480854.96226364595</v>
      </c>
      <c r="K325" s="14">
        <f>IF(PaymentSchedule[[#This Row],[PMT NO]]&lt;&gt;"",SUM(INDEX(PaymentSchedule[INTEREST],1,1):PaymentSchedule[[#This Row],[INTEREST]]),"")</f>
        <v>1810586.676183495</v>
      </c>
    </row>
    <row r="326" spans="2:11" x14ac:dyDescent="0.2">
      <c r="B326" s="10">
        <f>IF(LoanIsGood,IF(ROW()-ROW(PaymentSchedule[[#Headers],[PMT NO]])&gt;ScheduledNumberOfPayments,"",ROW()-ROW(PaymentSchedule[[#Headers],[PMT NO]])),"")</f>
        <v>315</v>
      </c>
      <c r="C326" s="12">
        <f>IF(PaymentSchedule[[#This Row],[PMT NO]]&lt;&gt;"",EOMONTH(LoanStartDate,ROW(PaymentSchedule[[#This Row],[PMT NO]])-ROW(PaymentSchedule[[#Headers],[PMT NO]])-2)+DAY(LoanStartDate),"")</f>
        <v>54483</v>
      </c>
      <c r="D326" s="14">
        <f>IF(PaymentSchedule[[#This Row],[PMT NO]]&lt;&gt;"",IF(ROW()-ROW(PaymentSchedule[[#Headers],[BEGINNING BALANCE]])=1,LoanAmount,INDEX(PaymentSchedule[ENDING BALANCE],ROW()-ROW(PaymentSchedule[[#Headers],[BEGINNING BALANCE]])-1)),"")</f>
        <v>480854.96226364595</v>
      </c>
      <c r="E326" s="14">
        <f>IF(PaymentSchedule[[#This Row],[PMT NO]]&lt;&gt;"",ScheduledPayment,"")</f>
        <v>11400.419471082316</v>
      </c>
      <c r="F32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26" s="14">
        <f>IF(PaymentSchedule[[#This Row],[PMT NO]]&lt;&gt;"",PaymentSchedule[[#This Row],[TOTAL PAYMENT]]-PaymentSchedule[[#This Row],[INTEREST]],"")</f>
        <v>9597.213362593644</v>
      </c>
      <c r="I326" s="14">
        <f>IF(PaymentSchedule[[#This Row],[PMT NO]]&lt;&gt;"",PaymentSchedule[[#This Row],[BEGINNING BALANCE]]*(InterestRate/PaymentsPerYear),"")</f>
        <v>1803.2061084886723</v>
      </c>
      <c r="J32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471257.74890105228</v>
      </c>
      <c r="K326" s="14">
        <f>IF(PaymentSchedule[[#This Row],[PMT NO]]&lt;&gt;"",SUM(INDEX(PaymentSchedule[INTEREST],1,1):PaymentSchedule[[#This Row],[INTEREST]]),"")</f>
        <v>1812389.8822919836</v>
      </c>
    </row>
    <row r="327" spans="2:11" x14ac:dyDescent="0.2">
      <c r="B327" s="10">
        <f>IF(LoanIsGood,IF(ROW()-ROW(PaymentSchedule[[#Headers],[PMT NO]])&gt;ScheduledNumberOfPayments,"",ROW()-ROW(PaymentSchedule[[#Headers],[PMT NO]])),"")</f>
        <v>316</v>
      </c>
      <c r="C327" s="12">
        <f>IF(PaymentSchedule[[#This Row],[PMT NO]]&lt;&gt;"",EOMONTH(LoanStartDate,ROW(PaymentSchedule[[#This Row],[PMT NO]])-ROW(PaymentSchedule[[#Headers],[PMT NO]])-2)+DAY(LoanStartDate),"")</f>
        <v>54514</v>
      </c>
      <c r="D327" s="14">
        <f>IF(PaymentSchedule[[#This Row],[PMT NO]]&lt;&gt;"",IF(ROW()-ROW(PaymentSchedule[[#Headers],[BEGINNING BALANCE]])=1,LoanAmount,INDEX(PaymentSchedule[ENDING BALANCE],ROW()-ROW(PaymentSchedule[[#Headers],[BEGINNING BALANCE]])-1)),"")</f>
        <v>471257.74890105228</v>
      </c>
      <c r="E327" s="14">
        <f>IF(PaymentSchedule[[#This Row],[PMT NO]]&lt;&gt;"",ScheduledPayment,"")</f>
        <v>11400.419471082316</v>
      </c>
      <c r="F32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27" s="14">
        <f>IF(PaymentSchedule[[#This Row],[PMT NO]]&lt;&gt;"",PaymentSchedule[[#This Row],[TOTAL PAYMENT]]-PaymentSchedule[[#This Row],[INTEREST]],"")</f>
        <v>9633.2029127033693</v>
      </c>
      <c r="I327" s="14">
        <f>IF(PaymentSchedule[[#This Row],[PMT NO]]&lt;&gt;"",PaymentSchedule[[#This Row],[BEGINNING BALANCE]]*(InterestRate/PaymentsPerYear),"")</f>
        <v>1767.216558378946</v>
      </c>
      <c r="J32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461624.54598834889</v>
      </c>
      <c r="K327" s="14">
        <f>IF(PaymentSchedule[[#This Row],[PMT NO]]&lt;&gt;"",SUM(INDEX(PaymentSchedule[INTEREST],1,1):PaymentSchedule[[#This Row],[INTEREST]]),"")</f>
        <v>1814157.0988503625</v>
      </c>
    </row>
    <row r="328" spans="2:11" x14ac:dyDescent="0.2">
      <c r="B328" s="10">
        <f>IF(LoanIsGood,IF(ROW()-ROW(PaymentSchedule[[#Headers],[PMT NO]])&gt;ScheduledNumberOfPayments,"",ROW()-ROW(PaymentSchedule[[#Headers],[PMT NO]])),"")</f>
        <v>317</v>
      </c>
      <c r="C328" s="12">
        <f>IF(PaymentSchedule[[#This Row],[PMT NO]]&lt;&gt;"",EOMONTH(LoanStartDate,ROW(PaymentSchedule[[#This Row],[PMT NO]])-ROW(PaymentSchedule[[#Headers],[PMT NO]])-2)+DAY(LoanStartDate),"")</f>
        <v>54544</v>
      </c>
      <c r="D328" s="14">
        <f>IF(PaymentSchedule[[#This Row],[PMT NO]]&lt;&gt;"",IF(ROW()-ROW(PaymentSchedule[[#Headers],[BEGINNING BALANCE]])=1,LoanAmount,INDEX(PaymentSchedule[ENDING BALANCE],ROW()-ROW(PaymentSchedule[[#Headers],[BEGINNING BALANCE]])-1)),"")</f>
        <v>461624.54598834889</v>
      </c>
      <c r="E328" s="14">
        <f>IF(PaymentSchedule[[#This Row],[PMT NO]]&lt;&gt;"",ScheduledPayment,"")</f>
        <v>11400.419471082316</v>
      </c>
      <c r="F32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28" s="14">
        <f>IF(PaymentSchedule[[#This Row],[PMT NO]]&lt;&gt;"",PaymentSchedule[[#This Row],[TOTAL PAYMENT]]-PaymentSchedule[[#This Row],[INTEREST]],"")</f>
        <v>9669.3274236260077</v>
      </c>
      <c r="I328" s="14">
        <f>IF(PaymentSchedule[[#This Row],[PMT NO]]&lt;&gt;"",PaymentSchedule[[#This Row],[BEGINNING BALANCE]]*(InterestRate/PaymentsPerYear),"")</f>
        <v>1731.0920474563084</v>
      </c>
      <c r="J32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451955.21856472286</v>
      </c>
      <c r="K328" s="14">
        <f>IF(PaymentSchedule[[#This Row],[PMT NO]]&lt;&gt;"",SUM(INDEX(PaymentSchedule[INTEREST],1,1):PaymentSchedule[[#This Row],[INTEREST]]),"")</f>
        <v>1815888.1908978189</v>
      </c>
    </row>
    <row r="329" spans="2:11" x14ac:dyDescent="0.2">
      <c r="B329" s="10">
        <f>IF(LoanIsGood,IF(ROW()-ROW(PaymentSchedule[[#Headers],[PMT NO]])&gt;ScheduledNumberOfPayments,"",ROW()-ROW(PaymentSchedule[[#Headers],[PMT NO]])),"")</f>
        <v>318</v>
      </c>
      <c r="C329" s="12">
        <f>IF(PaymentSchedule[[#This Row],[PMT NO]]&lt;&gt;"",EOMONTH(LoanStartDate,ROW(PaymentSchedule[[#This Row],[PMT NO]])-ROW(PaymentSchedule[[#Headers],[PMT NO]])-2)+DAY(LoanStartDate),"")</f>
        <v>54575</v>
      </c>
      <c r="D329" s="14">
        <f>IF(PaymentSchedule[[#This Row],[PMT NO]]&lt;&gt;"",IF(ROW()-ROW(PaymentSchedule[[#Headers],[BEGINNING BALANCE]])=1,LoanAmount,INDEX(PaymentSchedule[ENDING BALANCE],ROW()-ROW(PaymentSchedule[[#Headers],[BEGINNING BALANCE]])-1)),"")</f>
        <v>451955.21856472286</v>
      </c>
      <c r="E329" s="14">
        <f>IF(PaymentSchedule[[#This Row],[PMT NO]]&lt;&gt;"",ScheduledPayment,"")</f>
        <v>11400.419471082316</v>
      </c>
      <c r="F32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29" s="14">
        <f>IF(PaymentSchedule[[#This Row],[PMT NO]]&lt;&gt;"",PaymentSchedule[[#This Row],[TOTAL PAYMENT]]-PaymentSchedule[[#This Row],[INTEREST]],"")</f>
        <v>9705.5874014646051</v>
      </c>
      <c r="I329" s="14">
        <f>IF(PaymentSchedule[[#This Row],[PMT NO]]&lt;&gt;"",PaymentSchedule[[#This Row],[BEGINNING BALANCE]]*(InterestRate/PaymentsPerYear),"")</f>
        <v>1694.8320696177107</v>
      </c>
      <c r="J32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442249.63116325828</v>
      </c>
      <c r="K329" s="14">
        <f>IF(PaymentSchedule[[#This Row],[PMT NO]]&lt;&gt;"",SUM(INDEX(PaymentSchedule[INTEREST],1,1):PaymentSchedule[[#This Row],[INTEREST]]),"")</f>
        <v>1817583.0229674366</v>
      </c>
    </row>
    <row r="330" spans="2:11" x14ac:dyDescent="0.2">
      <c r="B330" s="10">
        <f>IF(LoanIsGood,IF(ROW()-ROW(PaymentSchedule[[#Headers],[PMT NO]])&gt;ScheduledNumberOfPayments,"",ROW()-ROW(PaymentSchedule[[#Headers],[PMT NO]])),"")</f>
        <v>319</v>
      </c>
      <c r="C330" s="12">
        <f>IF(PaymentSchedule[[#This Row],[PMT NO]]&lt;&gt;"",EOMONTH(LoanStartDate,ROW(PaymentSchedule[[#This Row],[PMT NO]])-ROW(PaymentSchedule[[#Headers],[PMT NO]])-2)+DAY(LoanStartDate),"")</f>
        <v>54605</v>
      </c>
      <c r="D330" s="14">
        <f>IF(PaymentSchedule[[#This Row],[PMT NO]]&lt;&gt;"",IF(ROW()-ROW(PaymentSchedule[[#Headers],[BEGINNING BALANCE]])=1,LoanAmount,INDEX(PaymentSchedule[ENDING BALANCE],ROW()-ROW(PaymentSchedule[[#Headers],[BEGINNING BALANCE]])-1)),"")</f>
        <v>442249.63116325828</v>
      </c>
      <c r="E330" s="14">
        <f>IF(PaymentSchedule[[#This Row],[PMT NO]]&lt;&gt;"",ScheduledPayment,"")</f>
        <v>11400.419471082316</v>
      </c>
      <c r="F33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30" s="14">
        <f>IF(PaymentSchedule[[#This Row],[PMT NO]]&lt;&gt;"",PaymentSchedule[[#This Row],[TOTAL PAYMENT]]-PaymentSchedule[[#This Row],[INTEREST]],"")</f>
        <v>9741.9833542200977</v>
      </c>
      <c r="I330" s="14">
        <f>IF(PaymentSchedule[[#This Row],[PMT NO]]&lt;&gt;"",PaymentSchedule[[#This Row],[BEGINNING BALANCE]]*(InterestRate/PaymentsPerYear),"")</f>
        <v>1658.4361168622186</v>
      </c>
      <c r="J33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432507.64780903817</v>
      </c>
      <c r="K330" s="14">
        <f>IF(PaymentSchedule[[#This Row],[PMT NO]]&lt;&gt;"",SUM(INDEX(PaymentSchedule[INTEREST],1,1):PaymentSchedule[[#This Row],[INTEREST]]),"")</f>
        <v>1819241.4590842987</v>
      </c>
    </row>
    <row r="331" spans="2:11" x14ac:dyDescent="0.2">
      <c r="B331" s="10">
        <f>IF(LoanIsGood,IF(ROW()-ROW(PaymentSchedule[[#Headers],[PMT NO]])&gt;ScheduledNumberOfPayments,"",ROW()-ROW(PaymentSchedule[[#Headers],[PMT NO]])),"")</f>
        <v>320</v>
      </c>
      <c r="C331" s="12">
        <f>IF(PaymentSchedule[[#This Row],[PMT NO]]&lt;&gt;"",EOMONTH(LoanStartDate,ROW(PaymentSchedule[[#This Row],[PMT NO]])-ROW(PaymentSchedule[[#Headers],[PMT NO]])-2)+DAY(LoanStartDate),"")</f>
        <v>54636</v>
      </c>
      <c r="D331" s="14">
        <f>IF(PaymentSchedule[[#This Row],[PMT NO]]&lt;&gt;"",IF(ROW()-ROW(PaymentSchedule[[#Headers],[BEGINNING BALANCE]])=1,LoanAmount,INDEX(PaymentSchedule[ENDING BALANCE],ROW()-ROW(PaymentSchedule[[#Headers],[BEGINNING BALANCE]])-1)),"")</f>
        <v>432507.64780903817</v>
      </c>
      <c r="E331" s="14">
        <f>IF(PaymentSchedule[[#This Row],[PMT NO]]&lt;&gt;"",ScheduledPayment,"")</f>
        <v>11400.419471082316</v>
      </c>
      <c r="F33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31" s="14">
        <f>IF(PaymentSchedule[[#This Row],[PMT NO]]&lt;&gt;"",PaymentSchedule[[#This Row],[TOTAL PAYMENT]]-PaymentSchedule[[#This Row],[INTEREST]],"")</f>
        <v>9778.5157917984234</v>
      </c>
      <c r="I331" s="14">
        <f>IF(PaymentSchedule[[#This Row],[PMT NO]]&lt;&gt;"",PaymentSchedule[[#This Row],[BEGINNING BALANCE]]*(InterestRate/PaymentsPerYear),"")</f>
        <v>1621.9036792838931</v>
      </c>
      <c r="J33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422729.13201723975</v>
      </c>
      <c r="K331" s="14">
        <f>IF(PaymentSchedule[[#This Row],[PMT NO]]&lt;&gt;"",SUM(INDEX(PaymentSchedule[INTEREST],1,1):PaymentSchedule[[#This Row],[INTEREST]]),"")</f>
        <v>1820863.3627635825</v>
      </c>
    </row>
    <row r="332" spans="2:11" x14ac:dyDescent="0.2">
      <c r="B332" s="10">
        <f>IF(LoanIsGood,IF(ROW()-ROW(PaymentSchedule[[#Headers],[PMT NO]])&gt;ScheduledNumberOfPayments,"",ROW()-ROW(PaymentSchedule[[#Headers],[PMT NO]])),"")</f>
        <v>321</v>
      </c>
      <c r="C332" s="12">
        <f>IF(PaymentSchedule[[#This Row],[PMT NO]]&lt;&gt;"",EOMONTH(LoanStartDate,ROW(PaymentSchedule[[#This Row],[PMT NO]])-ROW(PaymentSchedule[[#Headers],[PMT NO]])-2)+DAY(LoanStartDate),"")</f>
        <v>54667</v>
      </c>
      <c r="D332" s="14">
        <f>IF(PaymentSchedule[[#This Row],[PMT NO]]&lt;&gt;"",IF(ROW()-ROW(PaymentSchedule[[#Headers],[BEGINNING BALANCE]])=1,LoanAmount,INDEX(PaymentSchedule[ENDING BALANCE],ROW()-ROW(PaymentSchedule[[#Headers],[BEGINNING BALANCE]])-1)),"")</f>
        <v>422729.13201723975</v>
      </c>
      <c r="E332" s="14">
        <f>IF(PaymentSchedule[[#This Row],[PMT NO]]&lt;&gt;"",ScheduledPayment,"")</f>
        <v>11400.419471082316</v>
      </c>
      <c r="F33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32" s="14">
        <f>IF(PaymentSchedule[[#This Row],[PMT NO]]&lt;&gt;"",PaymentSchedule[[#This Row],[TOTAL PAYMENT]]-PaymentSchedule[[#This Row],[INTEREST]],"")</f>
        <v>9815.1852260176674</v>
      </c>
      <c r="I332" s="14">
        <f>IF(PaymentSchedule[[#This Row],[PMT NO]]&lt;&gt;"",PaymentSchedule[[#This Row],[BEGINNING BALANCE]]*(InterestRate/PaymentsPerYear),"")</f>
        <v>1585.234245064649</v>
      </c>
      <c r="J33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412913.94679122209</v>
      </c>
      <c r="K332" s="14">
        <f>IF(PaymentSchedule[[#This Row],[PMT NO]]&lt;&gt;"",SUM(INDEX(PaymentSchedule[INTEREST],1,1):PaymentSchedule[[#This Row],[INTEREST]]),"")</f>
        <v>1822448.5970086472</v>
      </c>
    </row>
    <row r="333" spans="2:11" x14ac:dyDescent="0.2">
      <c r="B333" s="10">
        <f>IF(LoanIsGood,IF(ROW()-ROW(PaymentSchedule[[#Headers],[PMT NO]])&gt;ScheduledNumberOfPayments,"",ROW()-ROW(PaymentSchedule[[#Headers],[PMT NO]])),"")</f>
        <v>322</v>
      </c>
      <c r="C333" s="12">
        <f>IF(PaymentSchedule[[#This Row],[PMT NO]]&lt;&gt;"",EOMONTH(LoanStartDate,ROW(PaymentSchedule[[#This Row],[PMT NO]])-ROW(PaymentSchedule[[#Headers],[PMT NO]])-2)+DAY(LoanStartDate),"")</f>
        <v>54697</v>
      </c>
      <c r="D333" s="14">
        <f>IF(PaymentSchedule[[#This Row],[PMT NO]]&lt;&gt;"",IF(ROW()-ROW(PaymentSchedule[[#Headers],[BEGINNING BALANCE]])=1,LoanAmount,INDEX(PaymentSchedule[ENDING BALANCE],ROW()-ROW(PaymentSchedule[[#Headers],[BEGINNING BALANCE]])-1)),"")</f>
        <v>412913.94679122209</v>
      </c>
      <c r="E333" s="14">
        <f>IF(PaymentSchedule[[#This Row],[PMT NO]]&lt;&gt;"",ScheduledPayment,"")</f>
        <v>11400.419471082316</v>
      </c>
      <c r="F33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33" s="14">
        <f>IF(PaymentSchedule[[#This Row],[PMT NO]]&lt;&gt;"",PaymentSchedule[[#This Row],[TOTAL PAYMENT]]-PaymentSchedule[[#This Row],[INTEREST]],"")</f>
        <v>9851.9921706152327</v>
      </c>
      <c r="I333" s="14">
        <f>IF(PaymentSchedule[[#This Row],[PMT NO]]&lt;&gt;"",PaymentSchedule[[#This Row],[BEGINNING BALANCE]]*(InterestRate/PaymentsPerYear),"")</f>
        <v>1548.4273004670827</v>
      </c>
      <c r="J33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403061.95462060685</v>
      </c>
      <c r="K333" s="14">
        <f>IF(PaymentSchedule[[#This Row],[PMT NO]]&lt;&gt;"",SUM(INDEX(PaymentSchedule[INTEREST],1,1):PaymentSchedule[[#This Row],[INTEREST]]),"")</f>
        <v>1823997.0243091143</v>
      </c>
    </row>
    <row r="334" spans="2:11" x14ac:dyDescent="0.2">
      <c r="B334" s="10">
        <f>IF(LoanIsGood,IF(ROW()-ROW(PaymentSchedule[[#Headers],[PMT NO]])&gt;ScheduledNumberOfPayments,"",ROW()-ROW(PaymentSchedule[[#Headers],[PMT NO]])),"")</f>
        <v>323</v>
      </c>
      <c r="C334" s="12">
        <f>IF(PaymentSchedule[[#This Row],[PMT NO]]&lt;&gt;"",EOMONTH(LoanStartDate,ROW(PaymentSchedule[[#This Row],[PMT NO]])-ROW(PaymentSchedule[[#Headers],[PMT NO]])-2)+DAY(LoanStartDate),"")</f>
        <v>54728</v>
      </c>
      <c r="D334" s="14">
        <f>IF(PaymentSchedule[[#This Row],[PMT NO]]&lt;&gt;"",IF(ROW()-ROW(PaymentSchedule[[#Headers],[BEGINNING BALANCE]])=1,LoanAmount,INDEX(PaymentSchedule[ENDING BALANCE],ROW()-ROW(PaymentSchedule[[#Headers],[BEGINNING BALANCE]])-1)),"")</f>
        <v>403061.95462060685</v>
      </c>
      <c r="E334" s="14">
        <f>IF(PaymentSchedule[[#This Row],[PMT NO]]&lt;&gt;"",ScheduledPayment,"")</f>
        <v>11400.419471082316</v>
      </c>
      <c r="F33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34" s="14">
        <f>IF(PaymentSchedule[[#This Row],[PMT NO]]&lt;&gt;"",PaymentSchedule[[#This Row],[TOTAL PAYMENT]]-PaymentSchedule[[#This Row],[INTEREST]],"")</f>
        <v>9888.9371412550408</v>
      </c>
      <c r="I334" s="14">
        <f>IF(PaymentSchedule[[#This Row],[PMT NO]]&lt;&gt;"",PaymentSchedule[[#This Row],[BEGINNING BALANCE]]*(InterestRate/PaymentsPerYear),"")</f>
        <v>1511.4823298272756</v>
      </c>
      <c r="J33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393173.01747935178</v>
      </c>
      <c r="K334" s="14">
        <f>IF(PaymentSchedule[[#This Row],[PMT NO]]&lt;&gt;"",SUM(INDEX(PaymentSchedule[INTEREST],1,1):PaymentSchedule[[#This Row],[INTEREST]]),"")</f>
        <v>1825508.5066389416</v>
      </c>
    </row>
    <row r="335" spans="2:11" x14ac:dyDescent="0.2">
      <c r="B335" s="10">
        <f>IF(LoanIsGood,IF(ROW()-ROW(PaymentSchedule[[#Headers],[PMT NO]])&gt;ScheduledNumberOfPayments,"",ROW()-ROW(PaymentSchedule[[#Headers],[PMT NO]])),"")</f>
        <v>324</v>
      </c>
      <c r="C335" s="12">
        <f>IF(PaymentSchedule[[#This Row],[PMT NO]]&lt;&gt;"",EOMONTH(LoanStartDate,ROW(PaymentSchedule[[#This Row],[PMT NO]])-ROW(PaymentSchedule[[#Headers],[PMT NO]])-2)+DAY(LoanStartDate),"")</f>
        <v>54758</v>
      </c>
      <c r="D335" s="14">
        <f>IF(PaymentSchedule[[#This Row],[PMT NO]]&lt;&gt;"",IF(ROW()-ROW(PaymentSchedule[[#Headers],[BEGINNING BALANCE]])=1,LoanAmount,INDEX(PaymentSchedule[ENDING BALANCE],ROW()-ROW(PaymentSchedule[[#Headers],[BEGINNING BALANCE]])-1)),"")</f>
        <v>393173.01747935178</v>
      </c>
      <c r="E335" s="14">
        <f>IF(PaymentSchedule[[#This Row],[PMT NO]]&lt;&gt;"",ScheduledPayment,"")</f>
        <v>11400.419471082316</v>
      </c>
      <c r="F33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35" s="14">
        <f>IF(PaymentSchedule[[#This Row],[PMT NO]]&lt;&gt;"",PaymentSchedule[[#This Row],[TOTAL PAYMENT]]-PaymentSchedule[[#This Row],[INTEREST]],"")</f>
        <v>9926.0206555347468</v>
      </c>
      <c r="I335" s="14">
        <f>IF(PaymentSchedule[[#This Row],[PMT NO]]&lt;&gt;"",PaymentSchedule[[#This Row],[BEGINNING BALANCE]]*(InterestRate/PaymentsPerYear),"")</f>
        <v>1474.398815547569</v>
      </c>
      <c r="J33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383246.99682381703</v>
      </c>
      <c r="K335" s="14">
        <f>IF(PaymentSchedule[[#This Row],[PMT NO]]&lt;&gt;"",SUM(INDEX(PaymentSchedule[INTEREST],1,1):PaymentSchedule[[#This Row],[INTEREST]]),"")</f>
        <v>1826982.9054544892</v>
      </c>
    </row>
    <row r="336" spans="2:11" x14ac:dyDescent="0.2">
      <c r="B336" s="10">
        <f>IF(LoanIsGood,IF(ROW()-ROW(PaymentSchedule[[#Headers],[PMT NO]])&gt;ScheduledNumberOfPayments,"",ROW()-ROW(PaymentSchedule[[#Headers],[PMT NO]])),"")</f>
        <v>325</v>
      </c>
      <c r="C336" s="12">
        <f>IF(PaymentSchedule[[#This Row],[PMT NO]]&lt;&gt;"",EOMONTH(LoanStartDate,ROW(PaymentSchedule[[#This Row],[PMT NO]])-ROW(PaymentSchedule[[#Headers],[PMT NO]])-2)+DAY(LoanStartDate),"")</f>
        <v>54789</v>
      </c>
      <c r="D336" s="14">
        <f>IF(PaymentSchedule[[#This Row],[PMT NO]]&lt;&gt;"",IF(ROW()-ROW(PaymentSchedule[[#Headers],[BEGINNING BALANCE]])=1,LoanAmount,INDEX(PaymentSchedule[ENDING BALANCE],ROW()-ROW(PaymentSchedule[[#Headers],[BEGINNING BALANCE]])-1)),"")</f>
        <v>383246.99682381703</v>
      </c>
      <c r="E336" s="14">
        <f>IF(PaymentSchedule[[#This Row],[PMT NO]]&lt;&gt;"",ScheduledPayment,"")</f>
        <v>11400.419471082316</v>
      </c>
      <c r="F33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36" s="14">
        <f>IF(PaymentSchedule[[#This Row],[PMT NO]]&lt;&gt;"",PaymentSchedule[[#This Row],[TOTAL PAYMENT]]-PaymentSchedule[[#This Row],[INTEREST]],"")</f>
        <v>9963.2432329930016</v>
      </c>
      <c r="I336" s="14">
        <f>IF(PaymentSchedule[[#This Row],[PMT NO]]&lt;&gt;"",PaymentSchedule[[#This Row],[BEGINNING BALANCE]]*(InterestRate/PaymentsPerYear),"")</f>
        <v>1437.1762380893138</v>
      </c>
      <c r="J33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373283.75359082402</v>
      </c>
      <c r="K336" s="14">
        <f>IF(PaymentSchedule[[#This Row],[PMT NO]]&lt;&gt;"",SUM(INDEX(PaymentSchedule[INTEREST],1,1):PaymentSchedule[[#This Row],[INTEREST]]),"")</f>
        <v>1828420.0816925785</v>
      </c>
    </row>
    <row r="337" spans="2:11" x14ac:dyDescent="0.2">
      <c r="B337" s="10">
        <f>IF(LoanIsGood,IF(ROW()-ROW(PaymentSchedule[[#Headers],[PMT NO]])&gt;ScheduledNumberOfPayments,"",ROW()-ROW(PaymentSchedule[[#Headers],[PMT NO]])),"")</f>
        <v>326</v>
      </c>
      <c r="C337" s="12">
        <f>IF(PaymentSchedule[[#This Row],[PMT NO]]&lt;&gt;"",EOMONTH(LoanStartDate,ROW(PaymentSchedule[[#This Row],[PMT NO]])-ROW(PaymentSchedule[[#Headers],[PMT NO]])-2)+DAY(LoanStartDate),"")</f>
        <v>54820</v>
      </c>
      <c r="D337" s="14">
        <f>IF(PaymentSchedule[[#This Row],[PMT NO]]&lt;&gt;"",IF(ROW()-ROW(PaymentSchedule[[#Headers],[BEGINNING BALANCE]])=1,LoanAmount,INDEX(PaymentSchedule[ENDING BALANCE],ROW()-ROW(PaymentSchedule[[#Headers],[BEGINNING BALANCE]])-1)),"")</f>
        <v>373283.75359082402</v>
      </c>
      <c r="E337" s="14">
        <f>IF(PaymentSchedule[[#This Row],[PMT NO]]&lt;&gt;"",ScheduledPayment,"")</f>
        <v>11400.419471082316</v>
      </c>
      <c r="F33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37" s="14">
        <f>IF(PaymentSchedule[[#This Row],[PMT NO]]&lt;&gt;"",PaymentSchedule[[#This Row],[TOTAL PAYMENT]]-PaymentSchedule[[#This Row],[INTEREST]],"")</f>
        <v>10000.605395116725</v>
      </c>
      <c r="I337" s="14">
        <f>IF(PaymentSchedule[[#This Row],[PMT NO]]&lt;&gt;"",PaymentSchedule[[#This Row],[BEGINNING BALANCE]]*(InterestRate/PaymentsPerYear),"")</f>
        <v>1399.8140759655901</v>
      </c>
      <c r="J33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363283.1481957073</v>
      </c>
      <c r="K337" s="14">
        <f>IF(PaymentSchedule[[#This Row],[PMT NO]]&lt;&gt;"",SUM(INDEX(PaymentSchedule[INTEREST],1,1):PaymentSchedule[[#This Row],[INTEREST]]),"")</f>
        <v>1829819.8957685442</v>
      </c>
    </row>
    <row r="338" spans="2:11" x14ac:dyDescent="0.2">
      <c r="B338" s="10">
        <f>IF(LoanIsGood,IF(ROW()-ROW(PaymentSchedule[[#Headers],[PMT NO]])&gt;ScheduledNumberOfPayments,"",ROW()-ROW(PaymentSchedule[[#Headers],[PMT NO]])),"")</f>
        <v>327</v>
      </c>
      <c r="C338" s="12">
        <f>IF(PaymentSchedule[[#This Row],[PMT NO]]&lt;&gt;"",EOMONTH(LoanStartDate,ROW(PaymentSchedule[[#This Row],[PMT NO]])-ROW(PaymentSchedule[[#Headers],[PMT NO]])-2)+DAY(LoanStartDate),"")</f>
        <v>54848</v>
      </c>
      <c r="D338" s="14">
        <f>IF(PaymentSchedule[[#This Row],[PMT NO]]&lt;&gt;"",IF(ROW()-ROW(PaymentSchedule[[#Headers],[BEGINNING BALANCE]])=1,LoanAmount,INDEX(PaymentSchedule[ENDING BALANCE],ROW()-ROW(PaymentSchedule[[#Headers],[BEGINNING BALANCE]])-1)),"")</f>
        <v>363283.1481957073</v>
      </c>
      <c r="E338" s="14">
        <f>IF(PaymentSchedule[[#This Row],[PMT NO]]&lt;&gt;"",ScheduledPayment,"")</f>
        <v>11400.419471082316</v>
      </c>
      <c r="F33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38" s="14">
        <f>IF(PaymentSchedule[[#This Row],[PMT NO]]&lt;&gt;"",PaymentSchedule[[#This Row],[TOTAL PAYMENT]]-PaymentSchedule[[#This Row],[INTEREST]],"")</f>
        <v>10038.107665348414</v>
      </c>
      <c r="I338" s="14">
        <f>IF(PaymentSchedule[[#This Row],[PMT NO]]&lt;&gt;"",PaymentSchedule[[#This Row],[BEGINNING BALANCE]]*(InterestRate/PaymentsPerYear),"")</f>
        <v>1362.3118057339022</v>
      </c>
      <c r="J33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353245.04053035891</v>
      </c>
      <c r="K338" s="14">
        <f>IF(PaymentSchedule[[#This Row],[PMT NO]]&lt;&gt;"",SUM(INDEX(PaymentSchedule[INTEREST],1,1):PaymentSchedule[[#This Row],[INTEREST]]),"")</f>
        <v>1831182.2075742781</v>
      </c>
    </row>
    <row r="339" spans="2:11" x14ac:dyDescent="0.2">
      <c r="B339" s="10">
        <f>IF(LoanIsGood,IF(ROW()-ROW(PaymentSchedule[[#Headers],[PMT NO]])&gt;ScheduledNumberOfPayments,"",ROW()-ROW(PaymentSchedule[[#Headers],[PMT NO]])),"")</f>
        <v>328</v>
      </c>
      <c r="C339" s="12">
        <f>IF(PaymentSchedule[[#This Row],[PMT NO]]&lt;&gt;"",EOMONTH(LoanStartDate,ROW(PaymentSchedule[[#This Row],[PMT NO]])-ROW(PaymentSchedule[[#Headers],[PMT NO]])-2)+DAY(LoanStartDate),"")</f>
        <v>54879</v>
      </c>
      <c r="D339" s="14">
        <f>IF(PaymentSchedule[[#This Row],[PMT NO]]&lt;&gt;"",IF(ROW()-ROW(PaymentSchedule[[#Headers],[BEGINNING BALANCE]])=1,LoanAmount,INDEX(PaymentSchedule[ENDING BALANCE],ROW()-ROW(PaymentSchedule[[#Headers],[BEGINNING BALANCE]])-1)),"")</f>
        <v>353245.04053035891</v>
      </c>
      <c r="E339" s="14">
        <f>IF(PaymentSchedule[[#This Row],[PMT NO]]&lt;&gt;"",ScheduledPayment,"")</f>
        <v>11400.419471082316</v>
      </c>
      <c r="F33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39" s="14">
        <f>IF(PaymentSchedule[[#This Row],[PMT NO]]&lt;&gt;"",PaymentSchedule[[#This Row],[TOTAL PAYMENT]]-PaymentSchedule[[#This Row],[INTEREST]],"")</f>
        <v>10075.75056909347</v>
      </c>
      <c r="I339" s="14">
        <f>IF(PaymentSchedule[[#This Row],[PMT NO]]&lt;&gt;"",PaymentSchedule[[#This Row],[BEGINNING BALANCE]]*(InterestRate/PaymentsPerYear),"")</f>
        <v>1324.6689019888458</v>
      </c>
      <c r="J33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343169.28996126546</v>
      </c>
      <c r="K339" s="14">
        <f>IF(PaymentSchedule[[#This Row],[PMT NO]]&lt;&gt;"",SUM(INDEX(PaymentSchedule[INTEREST],1,1):PaymentSchedule[[#This Row],[INTEREST]]),"")</f>
        <v>1832506.8764762669</v>
      </c>
    </row>
    <row r="340" spans="2:11" x14ac:dyDescent="0.2">
      <c r="B340" s="10">
        <f>IF(LoanIsGood,IF(ROW()-ROW(PaymentSchedule[[#Headers],[PMT NO]])&gt;ScheduledNumberOfPayments,"",ROW()-ROW(PaymentSchedule[[#Headers],[PMT NO]])),"")</f>
        <v>329</v>
      </c>
      <c r="C340" s="12">
        <f>IF(PaymentSchedule[[#This Row],[PMT NO]]&lt;&gt;"",EOMONTH(LoanStartDate,ROW(PaymentSchedule[[#This Row],[PMT NO]])-ROW(PaymentSchedule[[#Headers],[PMT NO]])-2)+DAY(LoanStartDate),"")</f>
        <v>54909</v>
      </c>
      <c r="D340" s="14">
        <f>IF(PaymentSchedule[[#This Row],[PMT NO]]&lt;&gt;"",IF(ROW()-ROW(PaymentSchedule[[#Headers],[BEGINNING BALANCE]])=1,LoanAmount,INDEX(PaymentSchedule[ENDING BALANCE],ROW()-ROW(PaymentSchedule[[#Headers],[BEGINNING BALANCE]])-1)),"")</f>
        <v>343169.28996126546</v>
      </c>
      <c r="E340" s="14">
        <f>IF(PaymentSchedule[[#This Row],[PMT NO]]&lt;&gt;"",ScheduledPayment,"")</f>
        <v>11400.419471082316</v>
      </c>
      <c r="F34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40" s="14">
        <f>IF(PaymentSchedule[[#This Row],[PMT NO]]&lt;&gt;"",PaymentSchedule[[#This Row],[TOTAL PAYMENT]]-PaymentSchedule[[#This Row],[INTEREST]],"")</f>
        <v>10113.53463372757</v>
      </c>
      <c r="I340" s="14">
        <f>IF(PaymentSchedule[[#This Row],[PMT NO]]&lt;&gt;"",PaymentSchedule[[#This Row],[BEGINNING BALANCE]]*(InterestRate/PaymentsPerYear),"")</f>
        <v>1286.8848373547455</v>
      </c>
      <c r="J34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333055.75532753789</v>
      </c>
      <c r="K340" s="14">
        <f>IF(PaymentSchedule[[#This Row],[PMT NO]]&lt;&gt;"",SUM(INDEX(PaymentSchedule[INTEREST],1,1):PaymentSchedule[[#This Row],[INTEREST]]),"")</f>
        <v>1833793.7613136217</v>
      </c>
    </row>
    <row r="341" spans="2:11" x14ac:dyDescent="0.2">
      <c r="B341" s="10">
        <f>IF(LoanIsGood,IF(ROW()-ROW(PaymentSchedule[[#Headers],[PMT NO]])&gt;ScheduledNumberOfPayments,"",ROW()-ROW(PaymentSchedule[[#Headers],[PMT NO]])),"")</f>
        <v>330</v>
      </c>
      <c r="C341" s="12">
        <f>IF(PaymentSchedule[[#This Row],[PMT NO]]&lt;&gt;"",EOMONTH(LoanStartDate,ROW(PaymentSchedule[[#This Row],[PMT NO]])-ROW(PaymentSchedule[[#Headers],[PMT NO]])-2)+DAY(LoanStartDate),"")</f>
        <v>54940</v>
      </c>
      <c r="D341" s="14">
        <f>IF(PaymentSchedule[[#This Row],[PMT NO]]&lt;&gt;"",IF(ROW()-ROW(PaymentSchedule[[#Headers],[BEGINNING BALANCE]])=1,LoanAmount,INDEX(PaymentSchedule[ENDING BALANCE],ROW()-ROW(PaymentSchedule[[#Headers],[BEGINNING BALANCE]])-1)),"")</f>
        <v>333055.75532753789</v>
      </c>
      <c r="E341" s="14">
        <f>IF(PaymentSchedule[[#This Row],[PMT NO]]&lt;&gt;"",ScheduledPayment,"")</f>
        <v>11400.419471082316</v>
      </c>
      <c r="F34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41" s="14">
        <f>IF(PaymentSchedule[[#This Row],[PMT NO]]&lt;&gt;"",PaymentSchedule[[#This Row],[TOTAL PAYMENT]]-PaymentSchedule[[#This Row],[INTEREST]],"")</f>
        <v>10151.46038860405</v>
      </c>
      <c r="I341" s="14">
        <f>IF(PaymentSchedule[[#This Row],[PMT NO]]&lt;&gt;"",PaymentSchedule[[#This Row],[BEGINNING BALANCE]]*(InterestRate/PaymentsPerYear),"")</f>
        <v>1248.959082478267</v>
      </c>
      <c r="J34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322904.29493893386</v>
      </c>
      <c r="K341" s="14">
        <f>IF(PaymentSchedule[[#This Row],[PMT NO]]&lt;&gt;"",SUM(INDEX(PaymentSchedule[INTEREST],1,1):PaymentSchedule[[#This Row],[INTEREST]]),"")</f>
        <v>1835042.7203960998</v>
      </c>
    </row>
    <row r="342" spans="2:11" x14ac:dyDescent="0.2">
      <c r="B342" s="10">
        <f>IF(LoanIsGood,IF(ROW()-ROW(PaymentSchedule[[#Headers],[PMT NO]])&gt;ScheduledNumberOfPayments,"",ROW()-ROW(PaymentSchedule[[#Headers],[PMT NO]])),"")</f>
        <v>331</v>
      </c>
      <c r="C342" s="12">
        <f>IF(PaymentSchedule[[#This Row],[PMT NO]]&lt;&gt;"",EOMONTH(LoanStartDate,ROW(PaymentSchedule[[#This Row],[PMT NO]])-ROW(PaymentSchedule[[#Headers],[PMT NO]])-2)+DAY(LoanStartDate),"")</f>
        <v>54970</v>
      </c>
      <c r="D342" s="14">
        <f>IF(PaymentSchedule[[#This Row],[PMT NO]]&lt;&gt;"",IF(ROW()-ROW(PaymentSchedule[[#Headers],[BEGINNING BALANCE]])=1,LoanAmount,INDEX(PaymentSchedule[ENDING BALANCE],ROW()-ROW(PaymentSchedule[[#Headers],[BEGINNING BALANCE]])-1)),"")</f>
        <v>322904.29493893386</v>
      </c>
      <c r="E342" s="14">
        <f>IF(PaymentSchedule[[#This Row],[PMT NO]]&lt;&gt;"",ScheduledPayment,"")</f>
        <v>11400.419471082316</v>
      </c>
      <c r="F34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42" s="14">
        <f>IF(PaymentSchedule[[#This Row],[PMT NO]]&lt;&gt;"",PaymentSchedule[[#This Row],[TOTAL PAYMENT]]-PaymentSchedule[[#This Row],[INTEREST]],"")</f>
        <v>10189.528365061315</v>
      </c>
      <c r="I342" s="14">
        <f>IF(PaymentSchedule[[#This Row],[PMT NO]]&lt;&gt;"",PaymentSchedule[[#This Row],[BEGINNING BALANCE]]*(InterestRate/PaymentsPerYear),"")</f>
        <v>1210.8911060210019</v>
      </c>
      <c r="J34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312714.76657387253</v>
      </c>
      <c r="K342" s="14">
        <f>IF(PaymentSchedule[[#This Row],[PMT NO]]&lt;&gt;"",SUM(INDEX(PaymentSchedule[INTEREST],1,1):PaymentSchedule[[#This Row],[INTEREST]]),"")</f>
        <v>1836253.6115021207</v>
      </c>
    </row>
    <row r="343" spans="2:11" x14ac:dyDescent="0.2">
      <c r="B343" s="10">
        <f>IF(LoanIsGood,IF(ROW()-ROW(PaymentSchedule[[#Headers],[PMT NO]])&gt;ScheduledNumberOfPayments,"",ROW()-ROW(PaymentSchedule[[#Headers],[PMT NO]])),"")</f>
        <v>332</v>
      </c>
      <c r="C343" s="12">
        <f>IF(PaymentSchedule[[#This Row],[PMT NO]]&lt;&gt;"",EOMONTH(LoanStartDate,ROW(PaymentSchedule[[#This Row],[PMT NO]])-ROW(PaymentSchedule[[#Headers],[PMT NO]])-2)+DAY(LoanStartDate),"")</f>
        <v>55001</v>
      </c>
      <c r="D343" s="14">
        <f>IF(PaymentSchedule[[#This Row],[PMT NO]]&lt;&gt;"",IF(ROW()-ROW(PaymentSchedule[[#Headers],[BEGINNING BALANCE]])=1,LoanAmount,INDEX(PaymentSchedule[ENDING BALANCE],ROW()-ROW(PaymentSchedule[[#Headers],[BEGINNING BALANCE]])-1)),"")</f>
        <v>312714.76657387253</v>
      </c>
      <c r="E343" s="14">
        <f>IF(PaymentSchedule[[#This Row],[PMT NO]]&lt;&gt;"",ScheduledPayment,"")</f>
        <v>11400.419471082316</v>
      </c>
      <c r="F34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43" s="14">
        <f>IF(PaymentSchedule[[#This Row],[PMT NO]]&lt;&gt;"",PaymentSchedule[[#This Row],[TOTAL PAYMENT]]-PaymentSchedule[[#This Row],[INTEREST]],"")</f>
        <v>10227.739096430294</v>
      </c>
      <c r="I343" s="14">
        <f>IF(PaymentSchedule[[#This Row],[PMT NO]]&lt;&gt;"",PaymentSchedule[[#This Row],[BEGINNING BALANCE]]*(InterestRate/PaymentsPerYear),"")</f>
        <v>1172.680374652022</v>
      </c>
      <c r="J34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302487.02747744223</v>
      </c>
      <c r="K343" s="14">
        <f>IF(PaymentSchedule[[#This Row],[PMT NO]]&lt;&gt;"",SUM(INDEX(PaymentSchedule[INTEREST],1,1):PaymentSchedule[[#This Row],[INTEREST]]),"")</f>
        <v>1837426.2918767727</v>
      </c>
    </row>
    <row r="344" spans="2:11" x14ac:dyDescent="0.2">
      <c r="B344" s="10">
        <f>IF(LoanIsGood,IF(ROW()-ROW(PaymentSchedule[[#Headers],[PMT NO]])&gt;ScheduledNumberOfPayments,"",ROW()-ROW(PaymentSchedule[[#Headers],[PMT NO]])),"")</f>
        <v>333</v>
      </c>
      <c r="C344" s="12">
        <f>IF(PaymentSchedule[[#This Row],[PMT NO]]&lt;&gt;"",EOMONTH(LoanStartDate,ROW(PaymentSchedule[[#This Row],[PMT NO]])-ROW(PaymentSchedule[[#Headers],[PMT NO]])-2)+DAY(LoanStartDate),"")</f>
        <v>55032</v>
      </c>
      <c r="D344" s="14">
        <f>IF(PaymentSchedule[[#This Row],[PMT NO]]&lt;&gt;"",IF(ROW()-ROW(PaymentSchedule[[#Headers],[BEGINNING BALANCE]])=1,LoanAmount,INDEX(PaymentSchedule[ENDING BALANCE],ROW()-ROW(PaymentSchedule[[#Headers],[BEGINNING BALANCE]])-1)),"")</f>
        <v>302487.02747744223</v>
      </c>
      <c r="E344" s="14">
        <f>IF(PaymentSchedule[[#This Row],[PMT NO]]&lt;&gt;"",ScheduledPayment,"")</f>
        <v>11400.419471082316</v>
      </c>
      <c r="F34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44" s="14">
        <f>IF(PaymentSchedule[[#This Row],[PMT NO]]&lt;&gt;"",PaymentSchedule[[#This Row],[TOTAL PAYMENT]]-PaymentSchedule[[#This Row],[INTEREST]],"")</f>
        <v>10266.093118041907</v>
      </c>
      <c r="I344" s="14">
        <f>IF(PaymentSchedule[[#This Row],[PMT NO]]&lt;&gt;"",PaymentSchedule[[#This Row],[BEGINNING BALANCE]]*(InterestRate/PaymentsPerYear),"")</f>
        <v>1134.3263530404083</v>
      </c>
      <c r="J34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292220.9343594003</v>
      </c>
      <c r="K344" s="14">
        <f>IF(PaymentSchedule[[#This Row],[PMT NO]]&lt;&gt;"",SUM(INDEX(PaymentSchedule[INTEREST],1,1):PaymentSchedule[[#This Row],[INTEREST]]),"")</f>
        <v>1838560.6182298132</v>
      </c>
    </row>
    <row r="345" spans="2:11" x14ac:dyDescent="0.2">
      <c r="B345" s="10">
        <f>IF(LoanIsGood,IF(ROW()-ROW(PaymentSchedule[[#Headers],[PMT NO]])&gt;ScheduledNumberOfPayments,"",ROW()-ROW(PaymentSchedule[[#Headers],[PMT NO]])),"")</f>
        <v>334</v>
      </c>
      <c r="C345" s="12">
        <f>IF(PaymentSchedule[[#This Row],[PMT NO]]&lt;&gt;"",EOMONTH(LoanStartDate,ROW(PaymentSchedule[[#This Row],[PMT NO]])-ROW(PaymentSchedule[[#Headers],[PMT NO]])-2)+DAY(LoanStartDate),"")</f>
        <v>55062</v>
      </c>
      <c r="D345" s="14">
        <f>IF(PaymentSchedule[[#This Row],[PMT NO]]&lt;&gt;"",IF(ROW()-ROW(PaymentSchedule[[#Headers],[BEGINNING BALANCE]])=1,LoanAmount,INDEX(PaymentSchedule[ENDING BALANCE],ROW()-ROW(PaymentSchedule[[#Headers],[BEGINNING BALANCE]])-1)),"")</f>
        <v>292220.9343594003</v>
      </c>
      <c r="E345" s="14">
        <f>IF(PaymentSchedule[[#This Row],[PMT NO]]&lt;&gt;"",ScheduledPayment,"")</f>
        <v>11400.419471082316</v>
      </c>
      <c r="F34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45" s="14">
        <f>IF(PaymentSchedule[[#This Row],[PMT NO]]&lt;&gt;"",PaymentSchedule[[#This Row],[TOTAL PAYMENT]]-PaymentSchedule[[#This Row],[INTEREST]],"")</f>
        <v>10304.590967234564</v>
      </c>
      <c r="I345" s="14">
        <f>IF(PaymentSchedule[[#This Row],[PMT NO]]&lt;&gt;"",PaymentSchedule[[#This Row],[BEGINNING BALANCE]]*(InterestRate/PaymentsPerYear),"")</f>
        <v>1095.8285038477511</v>
      </c>
      <c r="J34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281916.34339216573</v>
      </c>
      <c r="K345" s="14">
        <f>IF(PaymentSchedule[[#This Row],[PMT NO]]&lt;&gt;"",SUM(INDEX(PaymentSchedule[INTEREST],1,1):PaymentSchedule[[#This Row],[INTEREST]]),"")</f>
        <v>1839656.446733661</v>
      </c>
    </row>
    <row r="346" spans="2:11" x14ac:dyDescent="0.2">
      <c r="B346" s="10">
        <f>IF(LoanIsGood,IF(ROW()-ROW(PaymentSchedule[[#Headers],[PMT NO]])&gt;ScheduledNumberOfPayments,"",ROW()-ROW(PaymentSchedule[[#Headers],[PMT NO]])),"")</f>
        <v>335</v>
      </c>
      <c r="C346" s="12">
        <f>IF(PaymentSchedule[[#This Row],[PMT NO]]&lt;&gt;"",EOMONTH(LoanStartDate,ROW(PaymentSchedule[[#This Row],[PMT NO]])-ROW(PaymentSchedule[[#Headers],[PMT NO]])-2)+DAY(LoanStartDate),"")</f>
        <v>55093</v>
      </c>
      <c r="D346" s="14">
        <f>IF(PaymentSchedule[[#This Row],[PMT NO]]&lt;&gt;"",IF(ROW()-ROW(PaymentSchedule[[#Headers],[BEGINNING BALANCE]])=1,LoanAmount,INDEX(PaymentSchedule[ENDING BALANCE],ROW()-ROW(PaymentSchedule[[#Headers],[BEGINNING BALANCE]])-1)),"")</f>
        <v>281916.34339216573</v>
      </c>
      <c r="E346" s="14">
        <f>IF(PaymentSchedule[[#This Row],[PMT NO]]&lt;&gt;"",ScheduledPayment,"")</f>
        <v>11400.419471082316</v>
      </c>
      <c r="F34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46" s="14">
        <f>IF(PaymentSchedule[[#This Row],[PMT NO]]&lt;&gt;"",PaymentSchedule[[#This Row],[TOTAL PAYMENT]]-PaymentSchedule[[#This Row],[INTEREST]],"")</f>
        <v>10343.233183361694</v>
      </c>
      <c r="I346" s="14">
        <f>IF(PaymentSchedule[[#This Row],[PMT NO]]&lt;&gt;"",PaymentSchedule[[#This Row],[BEGINNING BALANCE]]*(InterestRate/PaymentsPerYear),"")</f>
        <v>1057.1862877206215</v>
      </c>
      <c r="J34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271573.11020880402</v>
      </c>
      <c r="K346" s="14">
        <f>IF(PaymentSchedule[[#This Row],[PMT NO]]&lt;&gt;"",SUM(INDEX(PaymentSchedule[INTEREST],1,1):PaymentSchedule[[#This Row],[INTEREST]]),"")</f>
        <v>1840713.6330213817</v>
      </c>
    </row>
    <row r="347" spans="2:11" x14ac:dyDescent="0.2">
      <c r="B347" s="10">
        <f>IF(LoanIsGood,IF(ROW()-ROW(PaymentSchedule[[#Headers],[PMT NO]])&gt;ScheduledNumberOfPayments,"",ROW()-ROW(PaymentSchedule[[#Headers],[PMT NO]])),"")</f>
        <v>336</v>
      </c>
      <c r="C347" s="12">
        <f>IF(PaymentSchedule[[#This Row],[PMT NO]]&lt;&gt;"",EOMONTH(LoanStartDate,ROW(PaymentSchedule[[#This Row],[PMT NO]])-ROW(PaymentSchedule[[#Headers],[PMT NO]])-2)+DAY(LoanStartDate),"")</f>
        <v>55123</v>
      </c>
      <c r="D347" s="14">
        <f>IF(PaymentSchedule[[#This Row],[PMT NO]]&lt;&gt;"",IF(ROW()-ROW(PaymentSchedule[[#Headers],[BEGINNING BALANCE]])=1,LoanAmount,INDEX(PaymentSchedule[ENDING BALANCE],ROW()-ROW(PaymentSchedule[[#Headers],[BEGINNING BALANCE]])-1)),"")</f>
        <v>271573.11020880402</v>
      </c>
      <c r="E347" s="14">
        <f>IF(PaymentSchedule[[#This Row],[PMT NO]]&lt;&gt;"",ScheduledPayment,"")</f>
        <v>11400.419471082316</v>
      </c>
      <c r="F34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47" s="14">
        <f>IF(PaymentSchedule[[#This Row],[PMT NO]]&lt;&gt;"",PaymentSchedule[[#This Row],[TOTAL PAYMENT]]-PaymentSchedule[[#This Row],[INTEREST]],"")</f>
        <v>10382.020307799301</v>
      </c>
      <c r="I347" s="14">
        <f>IF(PaymentSchedule[[#This Row],[PMT NO]]&lt;&gt;"",PaymentSchedule[[#This Row],[BEGINNING BALANCE]]*(InterestRate/PaymentsPerYear),"")</f>
        <v>1018.399163283015</v>
      </c>
      <c r="J34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261191.08990100471</v>
      </c>
      <c r="K347" s="14">
        <f>IF(PaymentSchedule[[#This Row],[PMT NO]]&lt;&gt;"",SUM(INDEX(PaymentSchedule[INTEREST],1,1):PaymentSchedule[[#This Row],[INTEREST]]),"")</f>
        <v>1841732.0321846646</v>
      </c>
    </row>
    <row r="348" spans="2:11" x14ac:dyDescent="0.2">
      <c r="B348" s="10">
        <f>IF(LoanIsGood,IF(ROW()-ROW(PaymentSchedule[[#Headers],[PMT NO]])&gt;ScheduledNumberOfPayments,"",ROW()-ROW(PaymentSchedule[[#Headers],[PMT NO]])),"")</f>
        <v>337</v>
      </c>
      <c r="C348" s="12">
        <f>IF(PaymentSchedule[[#This Row],[PMT NO]]&lt;&gt;"",EOMONTH(LoanStartDate,ROW(PaymentSchedule[[#This Row],[PMT NO]])-ROW(PaymentSchedule[[#Headers],[PMT NO]])-2)+DAY(LoanStartDate),"")</f>
        <v>55154</v>
      </c>
      <c r="D348" s="14">
        <f>IF(PaymentSchedule[[#This Row],[PMT NO]]&lt;&gt;"",IF(ROW()-ROW(PaymentSchedule[[#Headers],[BEGINNING BALANCE]])=1,LoanAmount,INDEX(PaymentSchedule[ENDING BALANCE],ROW()-ROW(PaymentSchedule[[#Headers],[BEGINNING BALANCE]])-1)),"")</f>
        <v>261191.08990100471</v>
      </c>
      <c r="E348" s="14">
        <f>IF(PaymentSchedule[[#This Row],[PMT NO]]&lt;&gt;"",ScheduledPayment,"")</f>
        <v>11400.419471082316</v>
      </c>
      <c r="F34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48" s="14">
        <f>IF(PaymentSchedule[[#This Row],[PMT NO]]&lt;&gt;"",PaymentSchedule[[#This Row],[TOTAL PAYMENT]]-PaymentSchedule[[#This Row],[INTEREST]],"")</f>
        <v>10420.952883953549</v>
      </c>
      <c r="I348" s="14">
        <f>IF(PaymentSchedule[[#This Row],[PMT NO]]&lt;&gt;"",PaymentSchedule[[#This Row],[BEGINNING BALANCE]]*(InterestRate/PaymentsPerYear),"")</f>
        <v>979.46658712876763</v>
      </c>
      <c r="J34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250770.13701705117</v>
      </c>
      <c r="K348" s="14">
        <f>IF(PaymentSchedule[[#This Row],[PMT NO]]&lt;&gt;"",SUM(INDEX(PaymentSchedule[INTEREST],1,1):PaymentSchedule[[#This Row],[INTEREST]]),"")</f>
        <v>1842711.4987717934</v>
      </c>
    </row>
    <row r="349" spans="2:11" x14ac:dyDescent="0.2">
      <c r="B349" s="10">
        <f>IF(LoanIsGood,IF(ROW()-ROW(PaymentSchedule[[#Headers],[PMT NO]])&gt;ScheduledNumberOfPayments,"",ROW()-ROW(PaymentSchedule[[#Headers],[PMT NO]])),"")</f>
        <v>338</v>
      </c>
      <c r="C349" s="12">
        <f>IF(PaymentSchedule[[#This Row],[PMT NO]]&lt;&gt;"",EOMONTH(LoanStartDate,ROW(PaymentSchedule[[#This Row],[PMT NO]])-ROW(PaymentSchedule[[#Headers],[PMT NO]])-2)+DAY(LoanStartDate),"")</f>
        <v>55185</v>
      </c>
      <c r="D349" s="14">
        <f>IF(PaymentSchedule[[#This Row],[PMT NO]]&lt;&gt;"",IF(ROW()-ROW(PaymentSchedule[[#Headers],[BEGINNING BALANCE]])=1,LoanAmount,INDEX(PaymentSchedule[ENDING BALANCE],ROW()-ROW(PaymentSchedule[[#Headers],[BEGINNING BALANCE]])-1)),"")</f>
        <v>250770.13701705117</v>
      </c>
      <c r="E349" s="14">
        <f>IF(PaymentSchedule[[#This Row],[PMT NO]]&lt;&gt;"",ScheduledPayment,"")</f>
        <v>11400.419471082316</v>
      </c>
      <c r="F34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49" s="14">
        <f>IF(PaymentSchedule[[#This Row],[PMT NO]]&lt;&gt;"",PaymentSchedule[[#This Row],[TOTAL PAYMENT]]-PaymentSchedule[[#This Row],[INTEREST]],"")</f>
        <v>10460.031457268375</v>
      </c>
      <c r="I349" s="14">
        <f>IF(PaymentSchedule[[#This Row],[PMT NO]]&lt;&gt;"",PaymentSchedule[[#This Row],[BEGINNING BALANCE]]*(InterestRate/PaymentsPerYear),"")</f>
        <v>940.38801381394182</v>
      </c>
      <c r="J34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240310.10555978279</v>
      </c>
      <c r="K349" s="14">
        <f>IF(PaymentSchedule[[#This Row],[PMT NO]]&lt;&gt;"",SUM(INDEX(PaymentSchedule[INTEREST],1,1):PaymentSchedule[[#This Row],[INTEREST]]),"")</f>
        <v>1843651.8867856073</v>
      </c>
    </row>
    <row r="350" spans="2:11" x14ac:dyDescent="0.2">
      <c r="B350" s="10">
        <f>IF(LoanIsGood,IF(ROW()-ROW(PaymentSchedule[[#Headers],[PMT NO]])&gt;ScheduledNumberOfPayments,"",ROW()-ROW(PaymentSchedule[[#Headers],[PMT NO]])),"")</f>
        <v>339</v>
      </c>
      <c r="C350" s="12">
        <f>IF(PaymentSchedule[[#This Row],[PMT NO]]&lt;&gt;"",EOMONTH(LoanStartDate,ROW(PaymentSchedule[[#This Row],[PMT NO]])-ROW(PaymentSchedule[[#Headers],[PMT NO]])-2)+DAY(LoanStartDate),"")</f>
        <v>55213</v>
      </c>
      <c r="D350" s="14">
        <f>IF(PaymentSchedule[[#This Row],[PMT NO]]&lt;&gt;"",IF(ROW()-ROW(PaymentSchedule[[#Headers],[BEGINNING BALANCE]])=1,LoanAmount,INDEX(PaymentSchedule[ENDING BALANCE],ROW()-ROW(PaymentSchedule[[#Headers],[BEGINNING BALANCE]])-1)),"")</f>
        <v>240310.10555978279</v>
      </c>
      <c r="E350" s="14">
        <f>IF(PaymentSchedule[[#This Row],[PMT NO]]&lt;&gt;"",ScheduledPayment,"")</f>
        <v>11400.419471082316</v>
      </c>
      <c r="F35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50" s="14">
        <f>IF(PaymentSchedule[[#This Row],[PMT NO]]&lt;&gt;"",PaymentSchedule[[#This Row],[TOTAL PAYMENT]]-PaymentSchedule[[#This Row],[INTEREST]],"")</f>
        <v>10499.25657523313</v>
      </c>
      <c r="I350" s="14">
        <f>IF(PaymentSchedule[[#This Row],[PMT NO]]&lt;&gt;"",PaymentSchedule[[#This Row],[BEGINNING BALANCE]]*(InterestRate/PaymentsPerYear),"")</f>
        <v>901.16289584918547</v>
      </c>
      <c r="J35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229810.84898454967</v>
      </c>
      <c r="K350" s="14">
        <f>IF(PaymentSchedule[[#This Row],[PMT NO]]&lt;&gt;"",SUM(INDEX(PaymentSchedule[INTEREST],1,1):PaymentSchedule[[#This Row],[INTEREST]]),"")</f>
        <v>1844553.0496814565</v>
      </c>
    </row>
    <row r="351" spans="2:11" x14ac:dyDescent="0.2">
      <c r="B351" s="10">
        <f>IF(LoanIsGood,IF(ROW()-ROW(PaymentSchedule[[#Headers],[PMT NO]])&gt;ScheduledNumberOfPayments,"",ROW()-ROW(PaymentSchedule[[#Headers],[PMT NO]])),"")</f>
        <v>340</v>
      </c>
      <c r="C351" s="12">
        <f>IF(PaymentSchedule[[#This Row],[PMT NO]]&lt;&gt;"",EOMONTH(LoanStartDate,ROW(PaymentSchedule[[#This Row],[PMT NO]])-ROW(PaymentSchedule[[#Headers],[PMT NO]])-2)+DAY(LoanStartDate),"")</f>
        <v>55244</v>
      </c>
      <c r="D351" s="14">
        <f>IF(PaymentSchedule[[#This Row],[PMT NO]]&lt;&gt;"",IF(ROW()-ROW(PaymentSchedule[[#Headers],[BEGINNING BALANCE]])=1,LoanAmount,INDEX(PaymentSchedule[ENDING BALANCE],ROW()-ROW(PaymentSchedule[[#Headers],[BEGINNING BALANCE]])-1)),"")</f>
        <v>229810.84898454967</v>
      </c>
      <c r="E351" s="14">
        <f>IF(PaymentSchedule[[#This Row],[PMT NO]]&lt;&gt;"",ScheduledPayment,"")</f>
        <v>11400.419471082316</v>
      </c>
      <c r="F35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51" s="14">
        <f>IF(PaymentSchedule[[#This Row],[PMT NO]]&lt;&gt;"",PaymentSchedule[[#This Row],[TOTAL PAYMENT]]-PaymentSchedule[[#This Row],[INTEREST]],"")</f>
        <v>10538.628787390255</v>
      </c>
      <c r="I351" s="14">
        <f>IF(PaymentSchedule[[#This Row],[PMT NO]]&lt;&gt;"",PaymentSchedule[[#This Row],[BEGINNING BALANCE]]*(InterestRate/PaymentsPerYear),"")</f>
        <v>861.79068369206118</v>
      </c>
      <c r="J35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219272.22019715942</v>
      </c>
      <c r="K351" s="14">
        <f>IF(PaymentSchedule[[#This Row],[PMT NO]]&lt;&gt;"",SUM(INDEX(PaymentSchedule[INTEREST],1,1):PaymentSchedule[[#This Row],[INTEREST]]),"")</f>
        <v>1845414.8403651486</v>
      </c>
    </row>
    <row r="352" spans="2:11" x14ac:dyDescent="0.2">
      <c r="B352" s="10">
        <f>IF(LoanIsGood,IF(ROW()-ROW(PaymentSchedule[[#Headers],[PMT NO]])&gt;ScheduledNumberOfPayments,"",ROW()-ROW(PaymentSchedule[[#Headers],[PMT NO]])),"")</f>
        <v>341</v>
      </c>
      <c r="C352" s="12">
        <f>IF(PaymentSchedule[[#This Row],[PMT NO]]&lt;&gt;"",EOMONTH(LoanStartDate,ROW(PaymentSchedule[[#This Row],[PMT NO]])-ROW(PaymentSchedule[[#Headers],[PMT NO]])-2)+DAY(LoanStartDate),"")</f>
        <v>55274</v>
      </c>
      <c r="D352" s="14">
        <f>IF(PaymentSchedule[[#This Row],[PMT NO]]&lt;&gt;"",IF(ROW()-ROW(PaymentSchedule[[#Headers],[BEGINNING BALANCE]])=1,LoanAmount,INDEX(PaymentSchedule[ENDING BALANCE],ROW()-ROW(PaymentSchedule[[#Headers],[BEGINNING BALANCE]])-1)),"")</f>
        <v>219272.22019715942</v>
      </c>
      <c r="E352" s="14">
        <f>IF(PaymentSchedule[[#This Row],[PMT NO]]&lt;&gt;"",ScheduledPayment,"")</f>
        <v>11400.419471082316</v>
      </c>
      <c r="F35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52" s="14">
        <f>IF(PaymentSchedule[[#This Row],[PMT NO]]&lt;&gt;"",PaymentSchedule[[#This Row],[TOTAL PAYMENT]]-PaymentSchedule[[#This Row],[INTEREST]],"")</f>
        <v>10578.148645342968</v>
      </c>
      <c r="I352" s="14">
        <f>IF(PaymentSchedule[[#This Row],[PMT NO]]&lt;&gt;"",PaymentSchedule[[#This Row],[BEGINNING BALANCE]]*(InterestRate/PaymentsPerYear),"")</f>
        <v>822.27082573934774</v>
      </c>
      <c r="J35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208694.07155181645</v>
      </c>
      <c r="K352" s="14">
        <f>IF(PaymentSchedule[[#This Row],[PMT NO]]&lt;&gt;"",SUM(INDEX(PaymentSchedule[INTEREST],1,1):PaymentSchedule[[#This Row],[INTEREST]]),"")</f>
        <v>1846237.1111908879</v>
      </c>
    </row>
    <row r="353" spans="2:11" x14ac:dyDescent="0.2">
      <c r="B353" s="10">
        <f>IF(LoanIsGood,IF(ROW()-ROW(PaymentSchedule[[#Headers],[PMT NO]])&gt;ScheduledNumberOfPayments,"",ROW()-ROW(PaymentSchedule[[#Headers],[PMT NO]])),"")</f>
        <v>342</v>
      </c>
      <c r="C353" s="12">
        <f>IF(PaymentSchedule[[#This Row],[PMT NO]]&lt;&gt;"",EOMONTH(LoanStartDate,ROW(PaymentSchedule[[#This Row],[PMT NO]])-ROW(PaymentSchedule[[#Headers],[PMT NO]])-2)+DAY(LoanStartDate),"")</f>
        <v>55305</v>
      </c>
      <c r="D353" s="14">
        <f>IF(PaymentSchedule[[#This Row],[PMT NO]]&lt;&gt;"",IF(ROW()-ROW(PaymentSchedule[[#Headers],[BEGINNING BALANCE]])=1,LoanAmount,INDEX(PaymentSchedule[ENDING BALANCE],ROW()-ROW(PaymentSchedule[[#Headers],[BEGINNING BALANCE]])-1)),"")</f>
        <v>208694.07155181645</v>
      </c>
      <c r="E353" s="14">
        <f>IF(PaymentSchedule[[#This Row],[PMT NO]]&lt;&gt;"",ScheduledPayment,"")</f>
        <v>11400.419471082316</v>
      </c>
      <c r="F35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53" s="14">
        <f>IF(PaymentSchedule[[#This Row],[PMT NO]]&lt;&gt;"",PaymentSchedule[[#This Row],[TOTAL PAYMENT]]-PaymentSchedule[[#This Row],[INTEREST]],"")</f>
        <v>10617.816702763004</v>
      </c>
      <c r="I353" s="14">
        <f>IF(PaymentSchedule[[#This Row],[PMT NO]]&lt;&gt;"",PaymentSchedule[[#This Row],[BEGINNING BALANCE]]*(InterestRate/PaymentsPerYear),"")</f>
        <v>782.60276831931162</v>
      </c>
      <c r="J35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198076.25484905345</v>
      </c>
      <c r="K353" s="14">
        <f>IF(PaymentSchedule[[#This Row],[PMT NO]]&lt;&gt;"",SUM(INDEX(PaymentSchedule[INTEREST],1,1):PaymentSchedule[[#This Row],[INTEREST]]),"")</f>
        <v>1847019.7139592073</v>
      </c>
    </row>
    <row r="354" spans="2:11" x14ac:dyDescent="0.2">
      <c r="B354" s="10">
        <f>IF(LoanIsGood,IF(ROW()-ROW(PaymentSchedule[[#Headers],[PMT NO]])&gt;ScheduledNumberOfPayments,"",ROW()-ROW(PaymentSchedule[[#Headers],[PMT NO]])),"")</f>
        <v>343</v>
      </c>
      <c r="C354" s="12">
        <f>IF(PaymentSchedule[[#This Row],[PMT NO]]&lt;&gt;"",EOMONTH(LoanStartDate,ROW(PaymentSchedule[[#This Row],[PMT NO]])-ROW(PaymentSchedule[[#Headers],[PMT NO]])-2)+DAY(LoanStartDate),"")</f>
        <v>55335</v>
      </c>
      <c r="D354" s="14">
        <f>IF(PaymentSchedule[[#This Row],[PMT NO]]&lt;&gt;"",IF(ROW()-ROW(PaymentSchedule[[#Headers],[BEGINNING BALANCE]])=1,LoanAmount,INDEX(PaymentSchedule[ENDING BALANCE],ROW()-ROW(PaymentSchedule[[#Headers],[BEGINNING BALANCE]])-1)),"")</f>
        <v>198076.25484905345</v>
      </c>
      <c r="E354" s="14">
        <f>IF(PaymentSchedule[[#This Row],[PMT NO]]&lt;&gt;"",ScheduledPayment,"")</f>
        <v>11400.419471082316</v>
      </c>
      <c r="F35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54" s="14">
        <f>IF(PaymentSchedule[[#This Row],[PMT NO]]&lt;&gt;"",PaymentSchedule[[#This Row],[TOTAL PAYMENT]]-PaymentSchedule[[#This Row],[INTEREST]],"")</f>
        <v>10657.633515398365</v>
      </c>
      <c r="I354" s="14">
        <f>IF(PaymentSchedule[[#This Row],[PMT NO]]&lt;&gt;"",PaymentSchedule[[#This Row],[BEGINNING BALANCE]]*(InterestRate/PaymentsPerYear),"")</f>
        <v>742.78595568395042</v>
      </c>
      <c r="J35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187418.62133365509</v>
      </c>
      <c r="K354" s="14">
        <f>IF(PaymentSchedule[[#This Row],[PMT NO]]&lt;&gt;"",SUM(INDEX(PaymentSchedule[INTEREST],1,1):PaymentSchedule[[#This Row],[INTEREST]]),"")</f>
        <v>1847762.4999148913</v>
      </c>
    </row>
    <row r="355" spans="2:11" x14ac:dyDescent="0.2">
      <c r="B355" s="10">
        <f>IF(LoanIsGood,IF(ROW()-ROW(PaymentSchedule[[#Headers],[PMT NO]])&gt;ScheduledNumberOfPayments,"",ROW()-ROW(PaymentSchedule[[#Headers],[PMT NO]])),"")</f>
        <v>344</v>
      </c>
      <c r="C355" s="12">
        <f>IF(PaymentSchedule[[#This Row],[PMT NO]]&lt;&gt;"",EOMONTH(LoanStartDate,ROW(PaymentSchedule[[#This Row],[PMT NO]])-ROW(PaymentSchedule[[#Headers],[PMT NO]])-2)+DAY(LoanStartDate),"")</f>
        <v>55366</v>
      </c>
      <c r="D355" s="14">
        <f>IF(PaymentSchedule[[#This Row],[PMT NO]]&lt;&gt;"",IF(ROW()-ROW(PaymentSchedule[[#Headers],[BEGINNING BALANCE]])=1,LoanAmount,INDEX(PaymentSchedule[ENDING BALANCE],ROW()-ROW(PaymentSchedule[[#Headers],[BEGINNING BALANCE]])-1)),"")</f>
        <v>187418.62133365509</v>
      </c>
      <c r="E355" s="14">
        <f>IF(PaymentSchedule[[#This Row],[PMT NO]]&lt;&gt;"",ScheduledPayment,"")</f>
        <v>11400.419471082316</v>
      </c>
      <c r="F35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55" s="14">
        <f>IF(PaymentSchedule[[#This Row],[PMT NO]]&lt;&gt;"",PaymentSchedule[[#This Row],[TOTAL PAYMENT]]-PaymentSchedule[[#This Row],[INTEREST]],"")</f>
        <v>10697.599641081109</v>
      </c>
      <c r="I355" s="14">
        <f>IF(PaymentSchedule[[#This Row],[PMT NO]]&lt;&gt;"",PaymentSchedule[[#This Row],[BEGINNING BALANCE]]*(InterestRate/PaymentsPerYear),"")</f>
        <v>702.81983000120658</v>
      </c>
      <c r="J35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176721.02169257397</v>
      </c>
      <c r="K355" s="14">
        <f>IF(PaymentSchedule[[#This Row],[PMT NO]]&lt;&gt;"",SUM(INDEX(PaymentSchedule[INTEREST],1,1):PaymentSchedule[[#This Row],[INTEREST]]),"")</f>
        <v>1848465.3197448924</v>
      </c>
    </row>
    <row r="356" spans="2:11" x14ac:dyDescent="0.2">
      <c r="B356" s="10">
        <f>IF(LoanIsGood,IF(ROW()-ROW(PaymentSchedule[[#Headers],[PMT NO]])&gt;ScheduledNumberOfPayments,"",ROW()-ROW(PaymentSchedule[[#Headers],[PMT NO]])),"")</f>
        <v>345</v>
      </c>
      <c r="C356" s="12">
        <f>IF(PaymentSchedule[[#This Row],[PMT NO]]&lt;&gt;"",EOMONTH(LoanStartDate,ROW(PaymentSchedule[[#This Row],[PMT NO]])-ROW(PaymentSchedule[[#Headers],[PMT NO]])-2)+DAY(LoanStartDate),"")</f>
        <v>55397</v>
      </c>
      <c r="D356" s="14">
        <f>IF(PaymentSchedule[[#This Row],[PMT NO]]&lt;&gt;"",IF(ROW()-ROW(PaymentSchedule[[#Headers],[BEGINNING BALANCE]])=1,LoanAmount,INDEX(PaymentSchedule[ENDING BALANCE],ROW()-ROW(PaymentSchedule[[#Headers],[BEGINNING BALANCE]])-1)),"")</f>
        <v>176721.02169257397</v>
      </c>
      <c r="E356" s="14">
        <f>IF(PaymentSchedule[[#This Row],[PMT NO]]&lt;&gt;"",ScheduledPayment,"")</f>
        <v>11400.419471082316</v>
      </c>
      <c r="F35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56" s="14">
        <f>IF(PaymentSchedule[[#This Row],[PMT NO]]&lt;&gt;"",PaymentSchedule[[#This Row],[TOTAL PAYMENT]]-PaymentSchedule[[#This Row],[INTEREST]],"")</f>
        <v>10737.715639735163</v>
      </c>
      <c r="I356" s="14">
        <f>IF(PaymentSchedule[[#This Row],[PMT NO]]&lt;&gt;"",PaymentSchedule[[#This Row],[BEGINNING BALANCE]]*(InterestRate/PaymentsPerYear),"")</f>
        <v>662.70383134715235</v>
      </c>
      <c r="J35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165983.3060528388</v>
      </c>
      <c r="K356" s="14">
        <f>IF(PaymentSchedule[[#This Row],[PMT NO]]&lt;&gt;"",SUM(INDEX(PaymentSchedule[INTEREST],1,1):PaymentSchedule[[#This Row],[INTEREST]]),"")</f>
        <v>1849128.0235762396</v>
      </c>
    </row>
    <row r="357" spans="2:11" x14ac:dyDescent="0.2">
      <c r="B357" s="10">
        <f>IF(LoanIsGood,IF(ROW()-ROW(PaymentSchedule[[#Headers],[PMT NO]])&gt;ScheduledNumberOfPayments,"",ROW()-ROW(PaymentSchedule[[#Headers],[PMT NO]])),"")</f>
        <v>346</v>
      </c>
      <c r="C357" s="12">
        <f>IF(PaymentSchedule[[#This Row],[PMT NO]]&lt;&gt;"",EOMONTH(LoanStartDate,ROW(PaymentSchedule[[#This Row],[PMT NO]])-ROW(PaymentSchedule[[#Headers],[PMT NO]])-2)+DAY(LoanStartDate),"")</f>
        <v>55427</v>
      </c>
      <c r="D357" s="14">
        <f>IF(PaymentSchedule[[#This Row],[PMT NO]]&lt;&gt;"",IF(ROW()-ROW(PaymentSchedule[[#Headers],[BEGINNING BALANCE]])=1,LoanAmount,INDEX(PaymentSchedule[ENDING BALANCE],ROW()-ROW(PaymentSchedule[[#Headers],[BEGINNING BALANCE]])-1)),"")</f>
        <v>165983.3060528388</v>
      </c>
      <c r="E357" s="14">
        <f>IF(PaymentSchedule[[#This Row],[PMT NO]]&lt;&gt;"",ScheduledPayment,"")</f>
        <v>11400.419471082316</v>
      </c>
      <c r="F35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57" s="14">
        <f>IF(PaymentSchedule[[#This Row],[PMT NO]]&lt;&gt;"",PaymentSchedule[[#This Row],[TOTAL PAYMENT]]-PaymentSchedule[[#This Row],[INTEREST]],"")</f>
        <v>10777.98207338417</v>
      </c>
      <c r="I357" s="14">
        <f>IF(PaymentSchedule[[#This Row],[PMT NO]]&lt;&gt;"",PaymentSchedule[[#This Row],[BEGINNING BALANCE]]*(InterestRate/PaymentsPerYear),"")</f>
        <v>622.43739769814545</v>
      </c>
      <c r="J35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155205.32397945464</v>
      </c>
      <c r="K357" s="14">
        <f>IF(PaymentSchedule[[#This Row],[PMT NO]]&lt;&gt;"",SUM(INDEX(PaymentSchedule[INTEREST],1,1):PaymentSchedule[[#This Row],[INTEREST]]),"")</f>
        <v>1849750.4609739378</v>
      </c>
    </row>
    <row r="358" spans="2:11" x14ac:dyDescent="0.2">
      <c r="B358" s="10">
        <f>IF(LoanIsGood,IF(ROW()-ROW(PaymentSchedule[[#Headers],[PMT NO]])&gt;ScheduledNumberOfPayments,"",ROW()-ROW(PaymentSchedule[[#Headers],[PMT NO]])),"")</f>
        <v>347</v>
      </c>
      <c r="C358" s="12">
        <f>IF(PaymentSchedule[[#This Row],[PMT NO]]&lt;&gt;"",EOMONTH(LoanStartDate,ROW(PaymentSchedule[[#This Row],[PMT NO]])-ROW(PaymentSchedule[[#Headers],[PMT NO]])-2)+DAY(LoanStartDate),"")</f>
        <v>55458</v>
      </c>
      <c r="D358" s="14">
        <f>IF(PaymentSchedule[[#This Row],[PMT NO]]&lt;&gt;"",IF(ROW()-ROW(PaymentSchedule[[#Headers],[BEGINNING BALANCE]])=1,LoanAmount,INDEX(PaymentSchedule[ENDING BALANCE],ROW()-ROW(PaymentSchedule[[#Headers],[BEGINNING BALANCE]])-1)),"")</f>
        <v>155205.32397945464</v>
      </c>
      <c r="E358" s="14">
        <f>IF(PaymentSchedule[[#This Row],[PMT NO]]&lt;&gt;"",ScheduledPayment,"")</f>
        <v>11400.419471082316</v>
      </c>
      <c r="F35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58" s="14">
        <f>IF(PaymentSchedule[[#This Row],[PMT NO]]&lt;&gt;"",PaymentSchedule[[#This Row],[TOTAL PAYMENT]]-PaymentSchedule[[#This Row],[INTEREST]],"")</f>
        <v>10818.399506159361</v>
      </c>
      <c r="I358" s="14">
        <f>IF(PaymentSchedule[[#This Row],[PMT NO]]&lt;&gt;"",PaymentSchedule[[#This Row],[BEGINNING BALANCE]]*(InterestRate/PaymentsPerYear),"")</f>
        <v>582.01996492295484</v>
      </c>
      <c r="J35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144386.92447329528</v>
      </c>
      <c r="K358" s="14">
        <f>IF(PaymentSchedule[[#This Row],[PMT NO]]&lt;&gt;"",SUM(INDEX(PaymentSchedule[INTEREST],1,1):PaymentSchedule[[#This Row],[INTEREST]]),"")</f>
        <v>1850332.4809388607</v>
      </c>
    </row>
    <row r="359" spans="2:11" x14ac:dyDescent="0.2">
      <c r="B359" s="10">
        <f>IF(LoanIsGood,IF(ROW()-ROW(PaymentSchedule[[#Headers],[PMT NO]])&gt;ScheduledNumberOfPayments,"",ROW()-ROW(PaymentSchedule[[#Headers],[PMT NO]])),"")</f>
        <v>348</v>
      </c>
      <c r="C359" s="12">
        <f>IF(PaymentSchedule[[#This Row],[PMT NO]]&lt;&gt;"",EOMONTH(LoanStartDate,ROW(PaymentSchedule[[#This Row],[PMT NO]])-ROW(PaymentSchedule[[#Headers],[PMT NO]])-2)+DAY(LoanStartDate),"")</f>
        <v>55488</v>
      </c>
      <c r="D359" s="14">
        <f>IF(PaymentSchedule[[#This Row],[PMT NO]]&lt;&gt;"",IF(ROW()-ROW(PaymentSchedule[[#Headers],[BEGINNING BALANCE]])=1,LoanAmount,INDEX(PaymentSchedule[ENDING BALANCE],ROW()-ROW(PaymentSchedule[[#Headers],[BEGINNING BALANCE]])-1)),"")</f>
        <v>144386.92447329528</v>
      </c>
      <c r="E359" s="14">
        <f>IF(PaymentSchedule[[#This Row],[PMT NO]]&lt;&gt;"",ScheduledPayment,"")</f>
        <v>11400.419471082316</v>
      </c>
      <c r="F35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59" s="14">
        <f>IF(PaymentSchedule[[#This Row],[PMT NO]]&lt;&gt;"",PaymentSchedule[[#This Row],[TOTAL PAYMENT]]-PaymentSchedule[[#This Row],[INTEREST]],"")</f>
        <v>10858.968504307459</v>
      </c>
      <c r="I359" s="14">
        <f>IF(PaymentSchedule[[#This Row],[PMT NO]]&lt;&gt;"",PaymentSchedule[[#This Row],[BEGINNING BALANCE]]*(InterestRate/PaymentsPerYear),"")</f>
        <v>541.45096677485731</v>
      </c>
      <c r="J35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133527.95596898781</v>
      </c>
      <c r="K359" s="14">
        <f>IF(PaymentSchedule[[#This Row],[PMT NO]]&lt;&gt;"",SUM(INDEX(PaymentSchedule[INTEREST],1,1):PaymentSchedule[[#This Row],[INTEREST]]),"")</f>
        <v>1850873.9319056356</v>
      </c>
    </row>
    <row r="360" spans="2:11" x14ac:dyDescent="0.2">
      <c r="B360" s="10">
        <f>IF(LoanIsGood,IF(ROW()-ROW(PaymentSchedule[[#Headers],[PMT NO]])&gt;ScheduledNumberOfPayments,"",ROW()-ROW(PaymentSchedule[[#Headers],[PMT NO]])),"")</f>
        <v>349</v>
      </c>
      <c r="C360" s="12">
        <f>IF(PaymentSchedule[[#This Row],[PMT NO]]&lt;&gt;"",EOMONTH(LoanStartDate,ROW(PaymentSchedule[[#This Row],[PMT NO]])-ROW(PaymentSchedule[[#Headers],[PMT NO]])-2)+DAY(LoanStartDate),"")</f>
        <v>55519</v>
      </c>
      <c r="D360" s="14">
        <f>IF(PaymentSchedule[[#This Row],[PMT NO]]&lt;&gt;"",IF(ROW()-ROW(PaymentSchedule[[#Headers],[BEGINNING BALANCE]])=1,LoanAmount,INDEX(PaymentSchedule[ENDING BALANCE],ROW()-ROW(PaymentSchedule[[#Headers],[BEGINNING BALANCE]])-1)),"")</f>
        <v>133527.95596898781</v>
      </c>
      <c r="E360" s="14">
        <f>IF(PaymentSchedule[[#This Row],[PMT NO]]&lt;&gt;"",ScheduledPayment,"")</f>
        <v>11400.419471082316</v>
      </c>
      <c r="F36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60" s="14">
        <f>IF(PaymentSchedule[[#This Row],[PMT NO]]&lt;&gt;"",PaymentSchedule[[#This Row],[TOTAL PAYMENT]]-PaymentSchedule[[#This Row],[INTEREST]],"")</f>
        <v>10899.689636198611</v>
      </c>
      <c r="I360" s="14">
        <f>IF(PaymentSchedule[[#This Row],[PMT NO]]&lt;&gt;"",PaymentSchedule[[#This Row],[BEGINNING BALANCE]]*(InterestRate/PaymentsPerYear),"")</f>
        <v>500.72983488370426</v>
      </c>
      <c r="J36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122628.26633278919</v>
      </c>
      <c r="K360" s="14">
        <f>IF(PaymentSchedule[[#This Row],[PMT NO]]&lt;&gt;"",SUM(INDEX(PaymentSchedule[INTEREST],1,1):PaymentSchedule[[#This Row],[INTEREST]]),"")</f>
        <v>1851374.6617405193</v>
      </c>
    </row>
    <row r="361" spans="2:11" x14ac:dyDescent="0.2">
      <c r="B361" s="10">
        <f>IF(LoanIsGood,IF(ROW()-ROW(PaymentSchedule[[#Headers],[PMT NO]])&gt;ScheduledNumberOfPayments,"",ROW()-ROW(PaymentSchedule[[#Headers],[PMT NO]])),"")</f>
        <v>350</v>
      </c>
      <c r="C361" s="12">
        <f>IF(PaymentSchedule[[#This Row],[PMT NO]]&lt;&gt;"",EOMONTH(LoanStartDate,ROW(PaymentSchedule[[#This Row],[PMT NO]])-ROW(PaymentSchedule[[#Headers],[PMT NO]])-2)+DAY(LoanStartDate),"")</f>
        <v>55550</v>
      </c>
      <c r="D361" s="14">
        <f>IF(PaymentSchedule[[#This Row],[PMT NO]]&lt;&gt;"",IF(ROW()-ROW(PaymentSchedule[[#Headers],[BEGINNING BALANCE]])=1,LoanAmount,INDEX(PaymentSchedule[ENDING BALANCE],ROW()-ROW(PaymentSchedule[[#Headers],[BEGINNING BALANCE]])-1)),"")</f>
        <v>122628.26633278919</v>
      </c>
      <c r="E361" s="14">
        <f>IF(PaymentSchedule[[#This Row],[PMT NO]]&lt;&gt;"",ScheduledPayment,"")</f>
        <v>11400.419471082316</v>
      </c>
      <c r="F36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61" s="14">
        <f>IF(PaymentSchedule[[#This Row],[PMT NO]]&lt;&gt;"",PaymentSchedule[[#This Row],[TOTAL PAYMENT]]-PaymentSchedule[[#This Row],[INTEREST]],"")</f>
        <v>10940.563472334356</v>
      </c>
      <c r="I361" s="14">
        <f>IF(PaymentSchedule[[#This Row],[PMT NO]]&lt;&gt;"",PaymentSchedule[[#This Row],[BEGINNING BALANCE]]*(InterestRate/PaymentsPerYear),"")</f>
        <v>459.85599874795946</v>
      </c>
      <c r="J36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111687.70286045484</v>
      </c>
      <c r="K361" s="14">
        <f>IF(PaymentSchedule[[#This Row],[PMT NO]]&lt;&gt;"",SUM(INDEX(PaymentSchedule[INTEREST],1,1):PaymentSchedule[[#This Row],[INTEREST]]),"")</f>
        <v>1851834.5177392673</v>
      </c>
    </row>
    <row r="362" spans="2:11" x14ac:dyDescent="0.2">
      <c r="B362" s="10">
        <f>IF(LoanIsGood,IF(ROW()-ROW(PaymentSchedule[[#Headers],[PMT NO]])&gt;ScheduledNumberOfPayments,"",ROW()-ROW(PaymentSchedule[[#Headers],[PMT NO]])),"")</f>
        <v>351</v>
      </c>
      <c r="C362" s="12">
        <f>IF(PaymentSchedule[[#This Row],[PMT NO]]&lt;&gt;"",EOMONTH(LoanStartDate,ROW(PaymentSchedule[[#This Row],[PMT NO]])-ROW(PaymentSchedule[[#Headers],[PMT NO]])-2)+DAY(LoanStartDate),"")</f>
        <v>55579</v>
      </c>
      <c r="D362" s="14">
        <f>IF(PaymentSchedule[[#This Row],[PMT NO]]&lt;&gt;"",IF(ROW()-ROW(PaymentSchedule[[#Headers],[BEGINNING BALANCE]])=1,LoanAmount,INDEX(PaymentSchedule[ENDING BALANCE],ROW()-ROW(PaymentSchedule[[#Headers],[BEGINNING BALANCE]])-1)),"")</f>
        <v>111687.70286045484</v>
      </c>
      <c r="E362" s="14">
        <f>IF(PaymentSchedule[[#This Row],[PMT NO]]&lt;&gt;"",ScheduledPayment,"")</f>
        <v>11400.419471082316</v>
      </c>
      <c r="F362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2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62" s="14">
        <f>IF(PaymentSchedule[[#This Row],[PMT NO]]&lt;&gt;"",PaymentSchedule[[#This Row],[TOTAL PAYMENT]]-PaymentSchedule[[#This Row],[INTEREST]],"")</f>
        <v>10981.590585355611</v>
      </c>
      <c r="I362" s="14">
        <f>IF(PaymentSchedule[[#This Row],[PMT NO]]&lt;&gt;"",PaymentSchedule[[#This Row],[BEGINNING BALANCE]]*(InterestRate/PaymentsPerYear),"")</f>
        <v>418.82888572670561</v>
      </c>
      <c r="J362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100706.11227509924</v>
      </c>
      <c r="K362" s="14">
        <f>IF(PaymentSchedule[[#This Row],[PMT NO]]&lt;&gt;"",SUM(INDEX(PaymentSchedule[INTEREST],1,1):PaymentSchedule[[#This Row],[INTEREST]]),"")</f>
        <v>1852253.346624994</v>
      </c>
    </row>
    <row r="363" spans="2:11" x14ac:dyDescent="0.2">
      <c r="B363" s="10">
        <f>IF(LoanIsGood,IF(ROW()-ROW(PaymentSchedule[[#Headers],[PMT NO]])&gt;ScheduledNumberOfPayments,"",ROW()-ROW(PaymentSchedule[[#Headers],[PMT NO]])),"")</f>
        <v>352</v>
      </c>
      <c r="C363" s="12">
        <f>IF(PaymentSchedule[[#This Row],[PMT NO]]&lt;&gt;"",EOMONTH(LoanStartDate,ROW(PaymentSchedule[[#This Row],[PMT NO]])-ROW(PaymentSchedule[[#Headers],[PMT NO]])-2)+DAY(LoanStartDate),"")</f>
        <v>55610</v>
      </c>
      <c r="D363" s="14">
        <f>IF(PaymentSchedule[[#This Row],[PMT NO]]&lt;&gt;"",IF(ROW()-ROW(PaymentSchedule[[#Headers],[BEGINNING BALANCE]])=1,LoanAmount,INDEX(PaymentSchedule[ENDING BALANCE],ROW()-ROW(PaymentSchedule[[#Headers],[BEGINNING BALANCE]])-1)),"")</f>
        <v>100706.11227509924</v>
      </c>
      <c r="E363" s="14">
        <f>IF(PaymentSchedule[[#This Row],[PMT NO]]&lt;&gt;"",ScheduledPayment,"")</f>
        <v>11400.419471082316</v>
      </c>
      <c r="F363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3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63" s="14">
        <f>IF(PaymentSchedule[[#This Row],[PMT NO]]&lt;&gt;"",PaymentSchedule[[#This Row],[TOTAL PAYMENT]]-PaymentSchedule[[#This Row],[INTEREST]],"")</f>
        <v>11022.771550050693</v>
      </c>
      <c r="I363" s="14">
        <f>IF(PaymentSchedule[[#This Row],[PMT NO]]&lt;&gt;"",PaymentSchedule[[#This Row],[BEGINNING BALANCE]]*(InterestRate/PaymentsPerYear),"")</f>
        <v>377.6479210316221</v>
      </c>
      <c r="J363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89683.340725048547</v>
      </c>
      <c r="K363" s="14">
        <f>IF(PaymentSchedule[[#This Row],[PMT NO]]&lt;&gt;"",SUM(INDEX(PaymentSchedule[INTEREST],1,1):PaymentSchedule[[#This Row],[INTEREST]]),"")</f>
        <v>1852630.9945460255</v>
      </c>
    </row>
    <row r="364" spans="2:11" x14ac:dyDescent="0.2">
      <c r="B364" s="10">
        <f>IF(LoanIsGood,IF(ROW()-ROW(PaymentSchedule[[#Headers],[PMT NO]])&gt;ScheduledNumberOfPayments,"",ROW()-ROW(PaymentSchedule[[#Headers],[PMT NO]])),"")</f>
        <v>353</v>
      </c>
      <c r="C364" s="12">
        <f>IF(PaymentSchedule[[#This Row],[PMT NO]]&lt;&gt;"",EOMONTH(LoanStartDate,ROW(PaymentSchedule[[#This Row],[PMT NO]])-ROW(PaymentSchedule[[#Headers],[PMT NO]])-2)+DAY(LoanStartDate),"")</f>
        <v>55640</v>
      </c>
      <c r="D364" s="14">
        <f>IF(PaymentSchedule[[#This Row],[PMT NO]]&lt;&gt;"",IF(ROW()-ROW(PaymentSchedule[[#Headers],[BEGINNING BALANCE]])=1,LoanAmount,INDEX(PaymentSchedule[ENDING BALANCE],ROW()-ROW(PaymentSchedule[[#Headers],[BEGINNING BALANCE]])-1)),"")</f>
        <v>89683.340725048547</v>
      </c>
      <c r="E364" s="14">
        <f>IF(PaymentSchedule[[#This Row],[PMT NO]]&lt;&gt;"",ScheduledPayment,"")</f>
        <v>11400.419471082316</v>
      </c>
      <c r="F364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4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64" s="14">
        <f>IF(PaymentSchedule[[#This Row],[PMT NO]]&lt;&gt;"",PaymentSchedule[[#This Row],[TOTAL PAYMENT]]-PaymentSchedule[[#This Row],[INTEREST]],"")</f>
        <v>11064.106943363384</v>
      </c>
      <c r="I364" s="14">
        <f>IF(PaymentSchedule[[#This Row],[PMT NO]]&lt;&gt;"",PaymentSchedule[[#This Row],[BEGINNING BALANCE]]*(InterestRate/PaymentsPerYear),"")</f>
        <v>336.31252771893202</v>
      </c>
      <c r="J364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78619.233781685165</v>
      </c>
      <c r="K364" s="14">
        <f>IF(PaymentSchedule[[#This Row],[PMT NO]]&lt;&gt;"",SUM(INDEX(PaymentSchedule[INTEREST],1,1):PaymentSchedule[[#This Row],[INTEREST]]),"")</f>
        <v>1852967.3070737445</v>
      </c>
    </row>
    <row r="365" spans="2:11" x14ac:dyDescent="0.2">
      <c r="B365" s="10">
        <f>IF(LoanIsGood,IF(ROW()-ROW(PaymentSchedule[[#Headers],[PMT NO]])&gt;ScheduledNumberOfPayments,"",ROW()-ROW(PaymentSchedule[[#Headers],[PMT NO]])),"")</f>
        <v>354</v>
      </c>
      <c r="C365" s="12">
        <f>IF(PaymentSchedule[[#This Row],[PMT NO]]&lt;&gt;"",EOMONTH(LoanStartDate,ROW(PaymentSchedule[[#This Row],[PMT NO]])-ROW(PaymentSchedule[[#Headers],[PMT NO]])-2)+DAY(LoanStartDate),"")</f>
        <v>55671</v>
      </c>
      <c r="D365" s="14">
        <f>IF(PaymentSchedule[[#This Row],[PMT NO]]&lt;&gt;"",IF(ROW()-ROW(PaymentSchedule[[#Headers],[BEGINNING BALANCE]])=1,LoanAmount,INDEX(PaymentSchedule[ENDING BALANCE],ROW()-ROW(PaymentSchedule[[#Headers],[BEGINNING BALANCE]])-1)),"")</f>
        <v>78619.233781685165</v>
      </c>
      <c r="E365" s="14">
        <f>IF(PaymentSchedule[[#This Row],[PMT NO]]&lt;&gt;"",ScheduledPayment,"")</f>
        <v>11400.419471082316</v>
      </c>
      <c r="F365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5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65" s="14">
        <f>IF(PaymentSchedule[[#This Row],[PMT NO]]&lt;&gt;"",PaymentSchedule[[#This Row],[TOTAL PAYMENT]]-PaymentSchedule[[#This Row],[INTEREST]],"")</f>
        <v>11105.597344400996</v>
      </c>
      <c r="I365" s="14">
        <f>IF(PaymentSchedule[[#This Row],[PMT NO]]&lt;&gt;"",PaymentSchedule[[#This Row],[BEGINNING BALANCE]]*(InterestRate/PaymentsPerYear),"")</f>
        <v>294.82212668131933</v>
      </c>
      <c r="J365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67513.636437284164</v>
      </c>
      <c r="K365" s="14">
        <f>IF(PaymentSchedule[[#This Row],[PMT NO]]&lt;&gt;"",SUM(INDEX(PaymentSchedule[INTEREST],1,1):PaymentSchedule[[#This Row],[INTEREST]]),"")</f>
        <v>1853262.1292004257</v>
      </c>
    </row>
    <row r="366" spans="2:11" x14ac:dyDescent="0.2">
      <c r="B366" s="10">
        <f>IF(LoanIsGood,IF(ROW()-ROW(PaymentSchedule[[#Headers],[PMT NO]])&gt;ScheduledNumberOfPayments,"",ROW()-ROW(PaymentSchedule[[#Headers],[PMT NO]])),"")</f>
        <v>355</v>
      </c>
      <c r="C366" s="12">
        <f>IF(PaymentSchedule[[#This Row],[PMT NO]]&lt;&gt;"",EOMONTH(LoanStartDate,ROW(PaymentSchedule[[#This Row],[PMT NO]])-ROW(PaymentSchedule[[#Headers],[PMT NO]])-2)+DAY(LoanStartDate),"")</f>
        <v>55701</v>
      </c>
      <c r="D366" s="14">
        <f>IF(PaymentSchedule[[#This Row],[PMT NO]]&lt;&gt;"",IF(ROW()-ROW(PaymentSchedule[[#Headers],[BEGINNING BALANCE]])=1,LoanAmount,INDEX(PaymentSchedule[ENDING BALANCE],ROW()-ROW(PaymentSchedule[[#Headers],[BEGINNING BALANCE]])-1)),"")</f>
        <v>67513.636437284164</v>
      </c>
      <c r="E366" s="14">
        <f>IF(PaymentSchedule[[#This Row],[PMT NO]]&lt;&gt;"",ScheduledPayment,"")</f>
        <v>11400.419471082316</v>
      </c>
      <c r="F366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6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66" s="14">
        <f>IF(PaymentSchedule[[#This Row],[PMT NO]]&lt;&gt;"",PaymentSchedule[[#This Row],[TOTAL PAYMENT]]-PaymentSchedule[[#This Row],[INTEREST]],"")</f>
        <v>11147.243334442501</v>
      </c>
      <c r="I366" s="14">
        <f>IF(PaymentSchedule[[#This Row],[PMT NO]]&lt;&gt;"",PaymentSchedule[[#This Row],[BEGINNING BALANCE]]*(InterestRate/PaymentsPerYear),"")</f>
        <v>253.17613663981561</v>
      </c>
      <c r="J366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56366.393102841663</v>
      </c>
      <c r="K366" s="14">
        <f>IF(PaymentSchedule[[#This Row],[PMT NO]]&lt;&gt;"",SUM(INDEX(PaymentSchedule[INTEREST],1,1):PaymentSchedule[[#This Row],[INTEREST]]),"")</f>
        <v>1853515.3053370656</v>
      </c>
    </row>
    <row r="367" spans="2:11" x14ac:dyDescent="0.2">
      <c r="B367" s="10">
        <f>IF(LoanIsGood,IF(ROW()-ROW(PaymentSchedule[[#Headers],[PMT NO]])&gt;ScheduledNumberOfPayments,"",ROW()-ROW(PaymentSchedule[[#Headers],[PMT NO]])),"")</f>
        <v>356</v>
      </c>
      <c r="C367" s="12">
        <f>IF(PaymentSchedule[[#This Row],[PMT NO]]&lt;&gt;"",EOMONTH(LoanStartDate,ROW(PaymentSchedule[[#This Row],[PMT NO]])-ROW(PaymentSchedule[[#Headers],[PMT NO]])-2)+DAY(LoanStartDate),"")</f>
        <v>55732</v>
      </c>
      <c r="D367" s="14">
        <f>IF(PaymentSchedule[[#This Row],[PMT NO]]&lt;&gt;"",IF(ROW()-ROW(PaymentSchedule[[#Headers],[BEGINNING BALANCE]])=1,LoanAmount,INDEX(PaymentSchedule[ENDING BALANCE],ROW()-ROW(PaymentSchedule[[#Headers],[BEGINNING BALANCE]])-1)),"")</f>
        <v>56366.393102841663</v>
      </c>
      <c r="E367" s="14">
        <f>IF(PaymentSchedule[[#This Row],[PMT NO]]&lt;&gt;"",ScheduledPayment,"")</f>
        <v>11400.419471082316</v>
      </c>
      <c r="F367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7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67" s="14">
        <f>IF(PaymentSchedule[[#This Row],[PMT NO]]&lt;&gt;"",PaymentSchedule[[#This Row],[TOTAL PAYMENT]]-PaymentSchedule[[#This Row],[INTEREST]],"")</f>
        <v>11189.045496946659</v>
      </c>
      <c r="I367" s="14">
        <f>IF(PaymentSchedule[[#This Row],[PMT NO]]&lt;&gt;"",PaymentSchedule[[#This Row],[BEGINNING BALANCE]]*(InterestRate/PaymentsPerYear),"")</f>
        <v>211.37397413565623</v>
      </c>
      <c r="J367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45177.347605895004</v>
      </c>
      <c r="K367" s="14">
        <f>IF(PaymentSchedule[[#This Row],[PMT NO]]&lt;&gt;"",SUM(INDEX(PaymentSchedule[INTEREST],1,1):PaymentSchedule[[#This Row],[INTEREST]]),"")</f>
        <v>1853726.6793112012</v>
      </c>
    </row>
    <row r="368" spans="2:11" x14ac:dyDescent="0.2">
      <c r="B368" s="10">
        <f>IF(LoanIsGood,IF(ROW()-ROW(PaymentSchedule[[#Headers],[PMT NO]])&gt;ScheduledNumberOfPayments,"",ROW()-ROW(PaymentSchedule[[#Headers],[PMT NO]])),"")</f>
        <v>357</v>
      </c>
      <c r="C368" s="12">
        <f>IF(PaymentSchedule[[#This Row],[PMT NO]]&lt;&gt;"",EOMONTH(LoanStartDate,ROW(PaymentSchedule[[#This Row],[PMT NO]])-ROW(PaymentSchedule[[#Headers],[PMT NO]])-2)+DAY(LoanStartDate),"")</f>
        <v>55763</v>
      </c>
      <c r="D368" s="14">
        <f>IF(PaymentSchedule[[#This Row],[PMT NO]]&lt;&gt;"",IF(ROW()-ROW(PaymentSchedule[[#Headers],[BEGINNING BALANCE]])=1,LoanAmount,INDEX(PaymentSchedule[ENDING BALANCE],ROW()-ROW(PaymentSchedule[[#Headers],[BEGINNING BALANCE]])-1)),"")</f>
        <v>45177.347605895004</v>
      </c>
      <c r="E368" s="14">
        <f>IF(PaymentSchedule[[#This Row],[PMT NO]]&lt;&gt;"",ScheduledPayment,"")</f>
        <v>11400.419471082316</v>
      </c>
      <c r="F368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8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68" s="14">
        <f>IF(PaymentSchedule[[#This Row],[PMT NO]]&lt;&gt;"",PaymentSchedule[[#This Row],[TOTAL PAYMENT]]-PaymentSchedule[[#This Row],[INTEREST]],"")</f>
        <v>11231.004417560209</v>
      </c>
      <c r="I368" s="14">
        <f>IF(PaymentSchedule[[#This Row],[PMT NO]]&lt;&gt;"",PaymentSchedule[[#This Row],[BEGINNING BALANCE]]*(InterestRate/PaymentsPerYear),"")</f>
        <v>169.41505352210626</v>
      </c>
      <c r="J368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33946.343188334795</v>
      </c>
      <c r="K368" s="14">
        <f>IF(PaymentSchedule[[#This Row],[PMT NO]]&lt;&gt;"",SUM(INDEX(PaymentSchedule[INTEREST],1,1):PaymentSchedule[[#This Row],[INTEREST]]),"")</f>
        <v>1853896.0943647234</v>
      </c>
    </row>
    <row r="369" spans="2:11" x14ac:dyDescent="0.2">
      <c r="B369" s="10">
        <f>IF(LoanIsGood,IF(ROW()-ROW(PaymentSchedule[[#Headers],[PMT NO]])&gt;ScheduledNumberOfPayments,"",ROW()-ROW(PaymentSchedule[[#Headers],[PMT NO]])),"")</f>
        <v>358</v>
      </c>
      <c r="C369" s="12">
        <f>IF(PaymentSchedule[[#This Row],[PMT NO]]&lt;&gt;"",EOMONTH(LoanStartDate,ROW(PaymentSchedule[[#This Row],[PMT NO]])-ROW(PaymentSchedule[[#Headers],[PMT NO]])-2)+DAY(LoanStartDate),"")</f>
        <v>55793</v>
      </c>
      <c r="D369" s="14">
        <f>IF(PaymentSchedule[[#This Row],[PMT NO]]&lt;&gt;"",IF(ROW()-ROW(PaymentSchedule[[#Headers],[BEGINNING BALANCE]])=1,LoanAmount,INDEX(PaymentSchedule[ENDING BALANCE],ROW()-ROW(PaymentSchedule[[#Headers],[BEGINNING BALANCE]])-1)),"")</f>
        <v>33946.343188334795</v>
      </c>
      <c r="E369" s="14">
        <f>IF(PaymentSchedule[[#This Row],[PMT NO]]&lt;&gt;"",ScheduledPayment,"")</f>
        <v>11400.419471082316</v>
      </c>
      <c r="F369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9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69" s="14">
        <f>IF(PaymentSchedule[[#This Row],[PMT NO]]&lt;&gt;"",PaymentSchedule[[#This Row],[TOTAL PAYMENT]]-PaymentSchedule[[#This Row],[INTEREST]],"")</f>
        <v>11273.120684126061</v>
      </c>
      <c r="I369" s="14">
        <f>IF(PaymentSchedule[[#This Row],[PMT NO]]&lt;&gt;"",PaymentSchedule[[#This Row],[BEGINNING BALANCE]]*(InterestRate/PaymentsPerYear),"")</f>
        <v>127.29878695625547</v>
      </c>
      <c r="J369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22673.222504208734</v>
      </c>
      <c r="K369" s="14">
        <f>IF(PaymentSchedule[[#This Row],[PMT NO]]&lt;&gt;"",SUM(INDEX(PaymentSchedule[INTEREST],1,1):PaymentSchedule[[#This Row],[INTEREST]]),"")</f>
        <v>1854023.3931516798</v>
      </c>
    </row>
    <row r="370" spans="2:11" x14ac:dyDescent="0.2">
      <c r="B370" s="10">
        <f>IF(LoanIsGood,IF(ROW()-ROW(PaymentSchedule[[#Headers],[PMT NO]])&gt;ScheduledNumberOfPayments,"",ROW()-ROW(PaymentSchedule[[#Headers],[PMT NO]])),"")</f>
        <v>359</v>
      </c>
      <c r="C370" s="12">
        <f>IF(PaymentSchedule[[#This Row],[PMT NO]]&lt;&gt;"",EOMONTH(LoanStartDate,ROW(PaymentSchedule[[#This Row],[PMT NO]])-ROW(PaymentSchedule[[#Headers],[PMT NO]])-2)+DAY(LoanStartDate),"")</f>
        <v>55824</v>
      </c>
      <c r="D370" s="14">
        <f>IF(PaymentSchedule[[#This Row],[PMT NO]]&lt;&gt;"",IF(ROW()-ROW(PaymentSchedule[[#Headers],[BEGINNING BALANCE]])=1,LoanAmount,INDEX(PaymentSchedule[ENDING BALANCE],ROW()-ROW(PaymentSchedule[[#Headers],[BEGINNING BALANCE]])-1)),"")</f>
        <v>22673.222504208734</v>
      </c>
      <c r="E370" s="14">
        <f>IF(PaymentSchedule[[#This Row],[PMT NO]]&lt;&gt;"",ScheduledPayment,"")</f>
        <v>11400.419471082316</v>
      </c>
      <c r="F370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0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11400.419471082316</v>
      </c>
      <c r="H370" s="14">
        <f>IF(PaymentSchedule[[#This Row],[PMT NO]]&lt;&gt;"",PaymentSchedule[[#This Row],[TOTAL PAYMENT]]-PaymentSchedule[[#This Row],[INTEREST]],"")</f>
        <v>11315.394886691533</v>
      </c>
      <c r="I370" s="14">
        <f>IF(PaymentSchedule[[#This Row],[PMT NO]]&lt;&gt;"",PaymentSchedule[[#This Row],[BEGINNING BALANCE]]*(InterestRate/PaymentsPerYear),"")</f>
        <v>85.024584390782749</v>
      </c>
      <c r="J370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11357.827617517201</v>
      </c>
      <c r="K370" s="14">
        <f>IF(PaymentSchedule[[#This Row],[PMT NO]]&lt;&gt;"",SUM(INDEX(PaymentSchedule[INTEREST],1,1):PaymentSchedule[[#This Row],[INTEREST]]),"")</f>
        <v>1854108.4177360705</v>
      </c>
    </row>
    <row r="371" spans="2:11" x14ac:dyDescent="0.2">
      <c r="B371" s="10">
        <f>IF(LoanIsGood,IF(ROW()-ROW(PaymentSchedule[[#Headers],[PMT NO]])&gt;ScheduledNumberOfPayments,"",ROW()-ROW(PaymentSchedule[[#Headers],[PMT NO]])),"")</f>
        <v>360</v>
      </c>
      <c r="C371" s="12">
        <f>IF(PaymentSchedule[[#This Row],[PMT NO]]&lt;&gt;"",EOMONTH(LoanStartDate,ROW(PaymentSchedule[[#This Row],[PMT NO]])-ROW(PaymentSchedule[[#Headers],[PMT NO]])-2)+DAY(LoanStartDate),"")</f>
        <v>55854</v>
      </c>
      <c r="D371" s="14">
        <f>IF(PaymentSchedule[[#This Row],[PMT NO]]&lt;&gt;"",IF(ROW()-ROW(PaymentSchedule[[#Headers],[BEGINNING BALANCE]])=1,LoanAmount,INDEX(PaymentSchedule[ENDING BALANCE],ROW()-ROW(PaymentSchedule[[#Headers],[BEGINNING BALANCE]])-1)),"")</f>
        <v>11357.827617517201</v>
      </c>
      <c r="E371" s="14">
        <f>IF(PaymentSchedule[[#This Row],[PMT NO]]&lt;&gt;"",ScheduledPayment,"")</f>
        <v>11400.419471082316</v>
      </c>
      <c r="F371" s="1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1" s="1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11357.827617517201</v>
      </c>
      <c r="H371" s="14">
        <f>IF(PaymentSchedule[[#This Row],[PMT NO]]&lt;&gt;"",PaymentSchedule[[#This Row],[TOTAL PAYMENT]]-PaymentSchedule[[#This Row],[INTEREST]],"")</f>
        <v>11315.235763951512</v>
      </c>
      <c r="I371" s="14">
        <f>IF(PaymentSchedule[[#This Row],[PMT NO]]&lt;&gt;"",PaymentSchedule[[#This Row],[BEGINNING BALANCE]]*(InterestRate/PaymentsPerYear),"")</f>
        <v>42.591853565689505</v>
      </c>
      <c r="J371" s="1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1" s="14">
        <f>IF(PaymentSchedule[[#This Row],[PMT NO]]&lt;&gt;"",SUM(INDEX(PaymentSchedule[INTEREST],1,1):PaymentSchedule[[#This Row],[INTEREST]]),"")</f>
        <v>1854151.0095896362</v>
      </c>
    </row>
  </sheetData>
  <mergeCells count="12">
    <mergeCell ref="C9:D9"/>
    <mergeCell ref="G3:H3"/>
    <mergeCell ref="G4:H4"/>
    <mergeCell ref="G5:H5"/>
    <mergeCell ref="G6:H6"/>
    <mergeCell ref="G7:H7"/>
    <mergeCell ref="H9:I9"/>
    <mergeCell ref="C3:D3"/>
    <mergeCell ref="C4:D4"/>
    <mergeCell ref="C5:D5"/>
    <mergeCell ref="C6:D6"/>
    <mergeCell ref="C7:D7"/>
  </mergeCells>
  <conditionalFormatting sqref="B12:K371">
    <cfRule type="expression" dxfId="0" priority="1">
      <formula>($B12="")+(($D12=0)*($F12=0))</formula>
    </cfRule>
  </conditionalFormatting>
  <dataValidations count="26">
    <dataValidation allowBlank="1" showInputMessage="1" showErrorMessage="1" prompt="Enter Loan Amount in this cell" sqref="E3" xr:uid="{00000000-0002-0000-0200-000000000000}"/>
    <dataValidation allowBlank="1" showInputMessage="1" showErrorMessage="1" prompt="Enter interest rate to be paid annually in this cell" sqref="E4" xr:uid="{00000000-0002-0000-0200-000001000000}"/>
    <dataValidation allowBlank="1" showInputMessage="1" showErrorMessage="1" prompt="Enter loan period in years in this cell" sqref="E5" xr:uid="{00000000-0002-0000-0200-000002000000}"/>
    <dataValidation allowBlank="1" showInputMessage="1" showErrorMessage="1" prompt="Enter the number of payments to be made in a year in this cell" sqref="E6" xr:uid="{00000000-0002-0000-0200-000003000000}"/>
    <dataValidation allowBlank="1" showInputMessage="1" showErrorMessage="1" prompt="Enter the start date of loan in this cell" sqref="E7" xr:uid="{00000000-0002-0000-0200-000004000000}"/>
    <dataValidation allowBlank="1" showInputMessage="1" showErrorMessage="1" prompt="Enter the amount of extra payment in this cell" sqref="E9" xr:uid="{00000000-0002-0000-0200-000005000000}"/>
    <dataValidation allowBlank="1" showInputMessage="1" showErrorMessage="1" prompt="Automatically calculated total interest" sqref="I7" xr:uid="{00000000-0002-0000-0200-000006000000}"/>
    <dataValidation allowBlank="1" showInputMessage="1" showErrorMessage="1" prompt="Automatically updated scheduled payment amount" sqref="I3" xr:uid="{00000000-0002-0000-0200-000007000000}"/>
    <dataValidation allowBlank="1" showInputMessage="1" showErrorMessage="1" prompt="Automatically updated scheduled number of payments" sqref="I4" xr:uid="{00000000-0002-0000-0200-000008000000}"/>
    <dataValidation allowBlank="1" showInputMessage="1" showErrorMessage="1" prompt="Automatically updated actual number of payments" sqref="I5" xr:uid="{00000000-0002-0000-0200-000009000000}"/>
    <dataValidation allowBlank="1" showInputMessage="1" showErrorMessage="1" prompt="This workbook produces a loan amortization schedule that calculates total interest and total payments &amp; includes the option for extra payments" sqref="A1" xr:uid="{00000000-0002-0000-0200-00000A000000}"/>
    <dataValidation allowBlank="1" showInputMessage="1" showErrorMessage="1" prompt="Enter loan values in cells E3 to E7 and E9. Description of each loan value is in column C. Payment Schedule table starting in cell B11 will automatically update" sqref="C2" xr:uid="{00000000-0002-0000-0200-00000B000000}"/>
    <dataValidation allowBlank="1" showInputMessage="1" showErrorMessage="1" prompt="Loan Summary fields from I3 to I7 are automatically adjusted based on the values entered. Enter the Lender's name in I9" sqref="G2" xr:uid="{00000000-0002-0000-0200-00000C000000}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1" xr:uid="{00000000-0002-0000-0200-00000D000000}"/>
    <dataValidation allowBlank="1" showInputMessage="1" showErrorMessage="1" prompt="Automatically updated total early payments" sqref="I6" xr:uid="{00000000-0002-0000-0200-00000E000000}"/>
    <dataValidation allowBlank="1" showInputMessage="1" showErrorMessage="1" prompt="Payment number is automatically updated in this column" sqref="B11" xr:uid="{00000000-0002-0000-0200-00000F000000}"/>
    <dataValidation allowBlank="1" showInputMessage="1" showErrorMessage="1" prompt="Payment date is automatically updated in this column" sqref="C11" xr:uid="{00000000-0002-0000-0200-000010000000}"/>
    <dataValidation allowBlank="1" showInputMessage="1" showErrorMessage="1" prompt="Beginning balance is automatically updated in this column" sqref="D11" xr:uid="{00000000-0002-0000-0200-000011000000}"/>
    <dataValidation allowBlank="1" showInputMessage="1" showErrorMessage="1" prompt="Scheduled payment is automatically updated in this column" sqref="E11" xr:uid="{00000000-0002-0000-0200-000012000000}"/>
    <dataValidation allowBlank="1" showInputMessage="1" showErrorMessage="1" prompt="Extra payment is automatically updated in this column" sqref="F11" xr:uid="{00000000-0002-0000-0200-000013000000}"/>
    <dataValidation allowBlank="1" showInputMessage="1" showErrorMessage="1" prompt="Total payment is automatically updated in this column" sqref="G11" xr:uid="{00000000-0002-0000-0200-000014000000}"/>
    <dataValidation allowBlank="1" showInputMessage="1" showErrorMessage="1" prompt="Principal is automatically updated in this column" sqref="H11" xr:uid="{00000000-0002-0000-0200-000015000000}"/>
    <dataValidation allowBlank="1" showInputMessage="1" showErrorMessage="1" prompt="Interest is automatically updated in this column" sqref="I11" xr:uid="{00000000-0002-0000-0200-000016000000}"/>
    <dataValidation allowBlank="1" showInputMessage="1" showErrorMessage="1" prompt="Ending balance is automatically updated in this column" sqref="J11" xr:uid="{00000000-0002-0000-0200-000017000000}"/>
    <dataValidation allowBlank="1" showInputMessage="1" showErrorMessage="1" prompt="Cumulative interest is automatically updated in this column" sqref="K11" xr:uid="{00000000-0002-0000-0200-000018000000}"/>
    <dataValidation allowBlank="1" showInputMessage="1" showErrorMessage="1" prompt="Enter the name of the lender in this cell" sqref="H9:I9" xr:uid="{00000000-0002-0000-0200-000019000000}"/>
  </dataValidations>
  <printOptions horizontalCentered="1"/>
  <pageMargins left="0.4" right="0.4" top="0.4" bottom="0.5" header="0.3" footer="0.3"/>
  <pageSetup scale="79"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15A2EB-941F-4941-BAF5-77589AE67C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3917D6-7F1F-44FC-BCB6-B88EB57B4D65}">
  <ds:schemaRefs>
    <ds:schemaRef ds:uri="http://schemas.microsoft.com/office/2006/metadata/properties"/>
    <ds:schemaRef ds:uri="http://schemas.microsoft.com/office/infopath/2007/PartnerControls"/>
    <ds:schemaRef ds:uri="daea435f-7073-4c60-9060-e78a3a9f8d50"/>
    <ds:schemaRef ds:uri="ae06fcea-541a-49e3-952a-5eaf56d381f3"/>
  </ds:schemaRefs>
</ds:datastoreItem>
</file>

<file path=customXml/itemProps3.xml><?xml version="1.0" encoding="utf-8"?>
<ds:datastoreItem xmlns:ds="http://schemas.openxmlformats.org/officeDocument/2006/customXml" ds:itemID="{7BD770FE-8EF8-4380-A1D5-7FC6E4095B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6fcea-541a-49e3-952a-5eaf56d381f3"/>
    <ds:schemaRef ds:uri="daea435f-7073-4c60-9060-e78a3a9f8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Cost</vt:lpstr>
      <vt:lpstr>EIA Table 1</vt:lpstr>
      <vt:lpstr>Loan Schedule</vt:lpstr>
      <vt:lpstr>ColumnTitle1</vt:lpstr>
      <vt:lpstr>End_Bal</vt:lpstr>
      <vt:lpstr>ExtraPayments</vt:lpstr>
      <vt:lpstr>InterestRate</vt:lpstr>
      <vt:lpstr>LenderName</vt:lpstr>
      <vt:lpstr>LoanAmount</vt:lpstr>
      <vt:lpstr>LoanPeriod</vt:lpstr>
      <vt:lpstr>LoanStartDate</vt:lpstr>
      <vt:lpstr>PaymentsPerYear</vt:lpstr>
      <vt:lpstr>Cost!Print_Area</vt:lpstr>
      <vt:lpstr>'Loan Schedule'!Print_Titles</vt:lpstr>
      <vt:lpstr>RowTitleRegion1..E9</vt:lpstr>
      <vt:lpstr>RowTitleRegion2..I7</vt:lpstr>
      <vt:lpstr>RowTitleRegion3..E9</vt:lpstr>
      <vt:lpstr>RowTitleRegion4..H9</vt:lpstr>
      <vt:lpstr>ScheduledNumberOfPayments</vt:lpstr>
      <vt:lpstr>ScheduledPayment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Craig Johnson</dc:creator>
  <cp:keywords/>
  <dc:description/>
  <cp:lastModifiedBy>Jessica Fitch-Snedegar</cp:lastModifiedBy>
  <cp:revision/>
  <dcterms:created xsi:type="dcterms:W3CDTF">2016-12-02T10:43:28Z</dcterms:created>
  <dcterms:modified xsi:type="dcterms:W3CDTF">2024-11-14T21:20:50Z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