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A:\CKY\EGC\2024\06-2024\Filing\"/>
    </mc:Choice>
  </mc:AlternateContent>
  <xr:revisionPtr revIDLastSave="0" documentId="13_ncr:1_{A58775B9-4059-4BD7-8048-AC4FB9BE736E}" xr6:coauthVersionLast="47" xr6:coauthVersionMax="47" xr10:uidLastSave="{00000000-0000-0000-0000-000000000000}"/>
  <bookViews>
    <workbookView xWindow="-110" yWindow="-110" windowWidth="22780" windowHeight="14660" tabRatio="913" xr2:uid="{00000000-000D-0000-FFFF-FFFF00000000}"/>
  </bookViews>
  <sheets>
    <sheet name="Summ" sheetId="17" r:id="rId1"/>
    <sheet name="1 EGC" sheetId="4" r:id="rId2"/>
    <sheet name="2 UnitDemCost" sheetId="29" r:id="rId3"/>
    <sheet name="4 DemCr" sheetId="11" r:id="rId4"/>
    <sheet name="3 DemCost" sheetId="10" r:id="rId5"/>
    <sheet name="5 NonApp" sheetId="19" r:id="rId6"/>
    <sheet name="6 App" sheetId="15" r:id="rId7"/>
    <sheet name="7 AnnRet" sheetId="28" r:id="rId8"/>
    <sheet name="8 BankBal" sheetId="30" r:id="rId9"/>
    <sheet name="AttE ChoBalCharge" sheetId="32" r:id="rId10"/>
    <sheet name="StoCommCost" sheetId="31" r:id="rId11"/>
    <sheet name="detail TariffSplit" sheetId="25" r:id="rId12"/>
    <sheet name="Page 5 DO NOT FILE" sheetId="33" state="veryHidden" r:id="rId13"/>
    <sheet name="Page 6 DO NOT FILE" sheetId="34" state="veryHidden" r:id="rId14"/>
    <sheet name="Page 7 DO NOT FILE" sheetId="35" state="veryHidden" r:id="rId15"/>
    <sheet name="Macros" sheetId="1" state="veryHidden" r:id="rId16"/>
  </sheets>
  <externalReferences>
    <externalReference r:id="rId17"/>
  </externalReferences>
  <definedNames>
    <definedName name="_Key1" localSheetId="12" hidden="1">[1]Summ!#REF!</definedName>
    <definedName name="_Key1" hidden="1">Summ!#REF!</definedName>
    <definedName name="_Order1" hidden="1">255</definedName>
    <definedName name="_Regression_Int" localSheetId="0" hidden="1">1</definedName>
    <definedName name="_Sort" localSheetId="12" hidden="1">[1]Summ!#REF!</definedName>
    <definedName name="_Sort" hidden="1">Summ!#REF!</definedName>
    <definedName name="AnnualPeriod" localSheetId="12">#REF!</definedName>
    <definedName name="AnnualPeriod">#REF!</definedName>
    <definedName name="BTU" localSheetId="12">#REF!</definedName>
    <definedName name="BTU">#REF!</definedName>
    <definedName name="COST">Summ!$A$31:$G$68</definedName>
    <definedName name="FirstMonth" localSheetId="12">#REF!</definedName>
    <definedName name="FirstMonth">#REF!</definedName>
    <definedName name="LAUF" localSheetId="12">#REF!</definedName>
    <definedName name="LAUF">#REF!</definedName>
    <definedName name="OLE_LINK1" localSheetId="12">'Page 5 DO NOT FILE'!$B$2</definedName>
    <definedName name="Period" localSheetId="12">#REF!</definedName>
    <definedName name="Period">#REF!</definedName>
    <definedName name="PGACOMP">Summ!$A$1:$G$30</definedName>
    <definedName name="_xlnm.Print_Area" localSheetId="1">'1 EGC'!$A$1:$J$56</definedName>
    <definedName name="_xlnm.Print_Area" localSheetId="2">'2 UnitDemCost'!$A$1:$G$32</definedName>
    <definedName name="_xlnm.Print_Area" localSheetId="5">'5 NonApp'!$A$1:$M$26</definedName>
    <definedName name="_xlnm.Print_Area" localSheetId="6">'6 App'!$A$1:$G$23</definedName>
    <definedName name="_xlnm.Print_Area" localSheetId="7">'7 AnnRet'!$A$1:$J$35</definedName>
    <definedName name="_xlnm.Print_Area" localSheetId="8">'8 BankBal'!$A$1:$H$54</definedName>
    <definedName name="_xlnm.Print_Area" localSheetId="9">'AttE ChoBalCharge'!$A$1:$L$39</definedName>
    <definedName name="_xlnm.Print_Area" localSheetId="0">Summ!$A$1:$G$69</definedName>
    <definedName name="PRINT_AREA_MI">Summ!$A$31:$G$68</definedName>
    <definedName name="Quarter2" localSheetId="12">#REF!</definedName>
    <definedName name="Quarter2">#REF!</definedName>
    <definedName name="Quarter3" localSheetId="12">#REF!</definedName>
    <definedName name="Quarter3">#REF!</definedName>
    <definedName name="Quarter4" localSheetId="12">#REF!</definedName>
    <definedName name="Quarter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 i="25" l="1"/>
  <c r="C11" i="25"/>
  <c r="F39" i="30" l="1"/>
  <c r="D10" i="17" l="1"/>
  <c r="D22" i="17" s="1"/>
  <c r="F33" i="30" l="1"/>
  <c r="A23" i="32" l="1"/>
  <c r="A19" i="32"/>
  <c r="A15" i="32"/>
  <c r="A11" i="10"/>
  <c r="A16" i="10" s="1"/>
  <c r="A17" i="10" s="1"/>
  <c r="A21" i="10" s="1"/>
  <c r="A23" i="10" s="1"/>
  <c r="A25" i="10" s="1"/>
  <c r="A29" i="10" s="1"/>
  <c r="A31" i="10" s="1"/>
  <c r="A16" i="11"/>
  <c r="A17" i="11" s="1"/>
  <c r="A19" i="11" s="1"/>
  <c r="A21" i="11" s="1"/>
  <c r="A23" i="11" s="1"/>
  <c r="A25" i="11" s="1"/>
  <c r="A27" i="11" s="1"/>
  <c r="A29" i="11" s="1"/>
  <c r="C17" i="11" l="1"/>
  <c r="C15" i="32" l="1"/>
  <c r="I11" i="10"/>
  <c r="H23" i="34" l="1"/>
  <c r="H22" i="34"/>
  <c r="H21" i="34"/>
  <c r="H33" i="33"/>
  <c r="H22" i="33"/>
  <c r="H14" i="33"/>
  <c r="H9" i="33"/>
  <c r="B37" i="25"/>
  <c r="B36" i="25"/>
  <c r="C35" i="25"/>
  <c r="B35" i="25"/>
  <c r="C22" i="25"/>
  <c r="C37" i="25" s="1"/>
  <c r="D19" i="31"/>
  <c r="D18" i="31"/>
  <c r="D9" i="31"/>
  <c r="I24" i="32"/>
  <c r="G24" i="32"/>
  <c r="F24" i="32"/>
  <c r="G23" i="32"/>
  <c r="F23" i="32"/>
  <c r="A16" i="32"/>
  <c r="A17" i="32" s="1"/>
  <c r="A18" i="32" s="1"/>
  <c r="A24" i="32" s="1"/>
  <c r="A26" i="32" s="1"/>
  <c r="A28" i="32" s="1"/>
  <c r="A32" i="32" s="1"/>
  <c r="A33" i="32" s="1"/>
  <c r="A34" i="32" s="1"/>
  <c r="A36" i="32" s="1"/>
  <c r="G51" i="30"/>
  <c r="F27" i="30"/>
  <c r="D16" i="30"/>
  <c r="F34" i="30" s="1"/>
  <c r="A18" i="28"/>
  <c r="A19" i="28" s="1"/>
  <c r="A21" i="28" s="1"/>
  <c r="A22" i="28" s="1"/>
  <c r="A23" i="28" s="1"/>
  <c r="A24" i="28" s="1"/>
  <c r="A27" i="28" s="1"/>
  <c r="A30" i="28" s="1"/>
  <c r="A31" i="28" s="1"/>
  <c r="A34" i="28" s="1"/>
  <c r="A14" i="15"/>
  <c r="A15" i="15" s="1"/>
  <c r="A19" i="19"/>
  <c r="A18" i="19"/>
  <c r="E27" i="11"/>
  <c r="D17" i="11"/>
  <c r="E17" i="11" s="1"/>
  <c r="D16" i="11"/>
  <c r="C16" i="11"/>
  <c r="I29" i="10"/>
  <c r="I23" i="10"/>
  <c r="I21" i="10"/>
  <c r="I17" i="10"/>
  <c r="I16" i="10"/>
  <c r="I10" i="10"/>
  <c r="A4" i="11"/>
  <c r="A3" i="28"/>
  <c r="A52" i="17"/>
  <c r="A54" i="17" s="1"/>
  <c r="A56" i="17" s="1"/>
  <c r="A58" i="17" s="1"/>
  <c r="A59" i="17" s="1"/>
  <c r="A61" i="17" s="1"/>
  <c r="A62" i="17" s="1"/>
  <c r="F43" i="17"/>
  <c r="E18" i="17" s="1"/>
  <c r="G18" i="17" s="1"/>
  <c r="E20" i="17"/>
  <c r="G20" i="17" s="1"/>
  <c r="E16" i="17"/>
  <c r="G16" i="17" s="1"/>
  <c r="E14" i="17"/>
  <c r="G14" i="17" s="1"/>
  <c r="E12" i="17"/>
  <c r="C13" i="25" s="1"/>
  <c r="F28" i="30" l="1"/>
  <c r="H21" i="28"/>
  <c r="H23" i="28" s="1"/>
  <c r="D25" i="31"/>
  <c r="H16" i="4" s="1"/>
  <c r="C12" i="25"/>
  <c r="G12" i="17"/>
  <c r="D18" i="30"/>
  <c r="D20" i="30" s="1"/>
  <c r="F23" i="30" s="1"/>
  <c r="G35" i="30" s="1"/>
  <c r="F21" i="28"/>
  <c r="F23" i="28" s="1"/>
  <c r="E16" i="11"/>
  <c r="E19" i="11" s="1"/>
  <c r="E23" i="11" s="1"/>
  <c r="C21" i="25"/>
  <c r="C36" i="25" s="1"/>
  <c r="I25" i="10"/>
  <c r="D17" i="15"/>
  <c r="J28" i="4" s="1"/>
  <c r="F41" i="30"/>
  <c r="J27" i="28"/>
  <c r="E29" i="4"/>
  <c r="C17" i="15"/>
  <c r="E28" i="4" s="1"/>
  <c r="C21" i="19"/>
  <c r="F24" i="29"/>
  <c r="G21" i="28"/>
  <c r="G23" i="28" s="1"/>
  <c r="A3" i="29"/>
  <c r="A3" i="15"/>
  <c r="A5" i="32"/>
  <c r="A3" i="19"/>
  <c r="C16" i="32"/>
  <c r="C19" i="32" s="1"/>
  <c r="C38" i="25" l="1"/>
  <c r="C31" i="35" s="1"/>
  <c r="E21" i="19"/>
  <c r="G21" i="19" s="1"/>
  <c r="D10" i="31"/>
  <c r="D30" i="31" s="1"/>
  <c r="K19" i="19"/>
  <c r="I31" i="10"/>
  <c r="G29" i="30"/>
  <c r="J14" i="4"/>
  <c r="G42" i="30"/>
  <c r="K18" i="19"/>
  <c r="J13" i="4"/>
  <c r="D14" i="31"/>
  <c r="F28" i="29"/>
  <c r="F30" i="29" s="1"/>
  <c r="D36" i="31" s="1"/>
  <c r="J18" i="28"/>
  <c r="E21" i="28"/>
  <c r="H24" i="32"/>
  <c r="K24" i="32" s="1"/>
  <c r="H23" i="32"/>
  <c r="K23" i="32" s="1"/>
  <c r="H12" i="11" l="1"/>
  <c r="E25" i="11" s="1"/>
  <c r="E28" i="17" s="1"/>
  <c r="G45" i="30"/>
  <c r="G53" i="30" s="1"/>
  <c r="E33" i="34" s="1"/>
  <c r="D29" i="31"/>
  <c r="J16" i="4"/>
  <c r="F8" i="29"/>
  <c r="I21" i="19"/>
  <c r="E11" i="34"/>
  <c r="H11" i="34" s="1"/>
  <c r="E29" i="33"/>
  <c r="H29" i="33" s="1"/>
  <c r="H29" i="11"/>
  <c r="F12" i="29" s="1"/>
  <c r="J14" i="28"/>
  <c r="D31" i="31"/>
  <c r="D15" i="31"/>
  <c r="D32" i="31" s="1"/>
  <c r="D28" i="31"/>
  <c r="J13" i="28"/>
  <c r="E23" i="28"/>
  <c r="J21" i="28"/>
  <c r="K26" i="32"/>
  <c r="L28" i="32" s="1"/>
  <c r="L33" i="32" s="1"/>
  <c r="G28" i="17"/>
  <c r="F62" i="17"/>
  <c r="F14" i="29" l="1"/>
  <c r="F16" i="29" s="1"/>
  <c r="F32" i="29" s="1"/>
  <c r="G51" i="4" s="1"/>
  <c r="E19" i="4"/>
  <c r="E21" i="4" s="1"/>
  <c r="J20" i="4"/>
  <c r="J21" i="4" s="1"/>
  <c r="E25" i="17"/>
  <c r="G25" i="17" s="1"/>
  <c r="K17" i="19"/>
  <c r="K21" i="19" s="1"/>
  <c r="E27" i="4" s="1"/>
  <c r="E31" i="4" s="1"/>
  <c r="J15" i="28"/>
  <c r="G30" i="28" s="1"/>
  <c r="D33" i="31"/>
  <c r="D38" i="31" s="1"/>
  <c r="L34" i="32" s="1"/>
  <c r="E39" i="34"/>
  <c r="H39" i="34" s="1"/>
  <c r="H33" i="34"/>
  <c r="J23" i="28"/>
  <c r="E8" i="17" l="1"/>
  <c r="G8" i="17" s="1"/>
  <c r="C10" i="25"/>
  <c r="C14" i="25" s="1"/>
  <c r="L32" i="32" s="1"/>
  <c r="L36" i="32" s="1"/>
  <c r="C36" i="35" s="1"/>
  <c r="E34" i="4"/>
  <c r="E37" i="4" s="1"/>
  <c r="E38" i="4" s="1"/>
  <c r="D40" i="4" s="1"/>
  <c r="H30" i="28"/>
  <c r="M21" i="19"/>
  <c r="E30" i="28"/>
  <c r="J29" i="4" s="1"/>
  <c r="F30" i="28"/>
  <c r="F24" i="28"/>
  <c r="J24" i="28"/>
  <c r="G24" i="28"/>
  <c r="H24" i="28"/>
  <c r="E24" i="28"/>
  <c r="J27" i="4" l="1"/>
  <c r="E10" i="33"/>
  <c r="E16" i="33" s="1"/>
  <c r="E17" i="33" s="1"/>
  <c r="C28" i="25"/>
  <c r="J30" i="28"/>
  <c r="H31" i="28" s="1"/>
  <c r="H34" i="28" s="1"/>
  <c r="J31" i="4"/>
  <c r="E35" i="33" l="1"/>
  <c r="E31" i="28"/>
  <c r="E34" i="28" s="1"/>
  <c r="G45" i="4" s="1"/>
  <c r="G31" i="28"/>
  <c r="G34" i="28" s="1"/>
  <c r="F31" i="28"/>
  <c r="F34" i="28" s="1"/>
  <c r="J34" i="4"/>
  <c r="E18" i="33"/>
  <c r="G44" i="4" l="1"/>
  <c r="G46" i="4" s="1"/>
  <c r="J31" i="28"/>
  <c r="J34" i="28" s="1"/>
  <c r="E19" i="33"/>
  <c r="G48" i="4" l="1"/>
  <c r="G49" i="4" s="1"/>
  <c r="E6" i="17" l="1"/>
  <c r="G6" i="17" s="1"/>
  <c r="G53" i="4"/>
  <c r="F41" i="17" s="1"/>
  <c r="F59" i="17" s="1"/>
  <c r="C19" i="25"/>
  <c r="C23" i="25" s="1"/>
  <c r="F12" i="34" s="1"/>
  <c r="H12" i="34" s="1"/>
  <c r="E10" i="17" l="1"/>
  <c r="E22" i="17" s="1"/>
  <c r="G22" i="17" s="1"/>
  <c r="F10" i="33"/>
  <c r="H10" i="33" s="1"/>
  <c r="C29" i="25"/>
  <c r="C30" i="25" s="1"/>
  <c r="F41" i="33"/>
  <c r="G10" i="17" l="1"/>
  <c r="F24" i="33"/>
  <c r="H24" i="33" s="1"/>
  <c r="F35" i="33"/>
  <c r="H35" i="33" s="1"/>
  <c r="F26" i="33"/>
  <c r="H26" i="33" s="1"/>
  <c r="F16" i="33"/>
  <c r="H16" i="33" s="1"/>
  <c r="F25" i="33"/>
  <c r="H25" i="33" s="1"/>
  <c r="F17" i="33" l="1"/>
  <c r="F18" i="33" s="1"/>
  <c r="F19" i="33" s="1"/>
  <c r="H19" i="33" s="1"/>
  <c r="H18" i="33" l="1"/>
  <c r="H17" i="33"/>
</calcChain>
</file>

<file path=xl/sharedStrings.xml><?xml version="1.0" encoding="utf-8"?>
<sst xmlns="http://schemas.openxmlformats.org/spreadsheetml/2006/main" count="573" uniqueCount="415">
  <si>
    <t xml:space="preserve"> </t>
  </si>
  <si>
    <t>$/Dth</t>
  </si>
  <si>
    <t>Mcf</t>
  </si>
  <si>
    <t>COLUMBIA GAS OF KENTUCKY, INC.</t>
  </si>
  <si>
    <t>Line</t>
  </si>
  <si>
    <t>No.</t>
  </si>
  <si>
    <t>CURRENT</t>
  </si>
  <si>
    <t>PROPOSED</t>
  </si>
  <si>
    <t>DIFFERENCE</t>
  </si>
  <si>
    <t>SAS Refund Adjustment</t>
  </si>
  <si>
    <t>Balancing Adjustment</t>
  </si>
  <si>
    <t>Supplier Refund Adjustment</t>
  </si>
  <si>
    <t>Actual Cost Adjustment</t>
  </si>
  <si>
    <t>Rate Schedule FI and GSO</t>
  </si>
  <si>
    <t>Customer Demand Charge</t>
  </si>
  <si>
    <t>Description</t>
  </si>
  <si>
    <t>Amount</t>
  </si>
  <si>
    <t>Expires</t>
  </si>
  <si>
    <t>Expected Gas Cost (EGC)</t>
  </si>
  <si>
    <t>Schedule No. 1</t>
  </si>
  <si>
    <t>SAS Refund Adjustment (RA)</t>
  </si>
  <si>
    <t>Schedule No. 2</t>
  </si>
  <si>
    <t>Balancing Adjustment (BA)</t>
  </si>
  <si>
    <t>Expected Demand Cost (EDC) per Mcf</t>
  </si>
  <si>
    <t>(Applicable to Rate Schedule IS/SS and GSO)</t>
  </si>
  <si>
    <t>Sheet 4</t>
  </si>
  <si>
    <t>Sheet 5</t>
  </si>
  <si>
    <t>Sheet 6</t>
  </si>
  <si>
    <t>Sheet 2</t>
  </si>
  <si>
    <t>Detail</t>
  </si>
  <si>
    <t>(1)</t>
  </si>
  <si>
    <t>(2)</t>
  </si>
  <si>
    <t>(3)</t>
  </si>
  <si>
    <t>Dth</t>
  </si>
  <si>
    <t>/Mcf</t>
  </si>
  <si>
    <t>Rate</t>
  </si>
  <si>
    <t>Columbia Gas Transmission Corporation</t>
  </si>
  <si>
    <t>Tennessee Gas</t>
  </si>
  <si>
    <t>Month</t>
  </si>
  <si>
    <t>DETERMINATION OF THE BANKING AND</t>
  </si>
  <si>
    <t>BALANCING CHARGE</t>
  </si>
  <si>
    <t xml:space="preserve">For Transportation </t>
  </si>
  <si>
    <t>Customers</t>
  </si>
  <si>
    <t>Net Transportation Volume</t>
  </si>
  <si>
    <t>Contract Tolerance Level @ 5%</t>
  </si>
  <si>
    <t>Percent of Annual Storage Applicable</t>
  </si>
  <si>
    <t xml:space="preserve">     to Transportation Customers</t>
  </si>
  <si>
    <t xml:space="preserve">   Rate</t>
  </si>
  <si>
    <t xml:space="preserve">   SCQ Charge - Annualized</t>
  </si>
  <si>
    <t xml:space="preserve">   Amount Applicable To Transportation Customers</t>
  </si>
  <si>
    <t>FSS Injection and Withdrawal Charge</t>
  </si>
  <si>
    <t xml:space="preserve">   Total Cost</t>
  </si>
  <si>
    <t>SST Commodity Charge</t>
  </si>
  <si>
    <t>Total Cost Applicable To Transportation Customers</t>
  </si>
  <si>
    <t>Total Transportation Volume - Mcf</t>
  </si>
  <si>
    <t>Flex and Special Contract Transportation Volume - Mcf</t>
  </si>
  <si>
    <t>BY:  J. M. Cooper</t>
  </si>
  <si>
    <t>Total</t>
  </si>
  <si>
    <t>Non-Appalachian</t>
  </si>
  <si>
    <t>Dth.</t>
  </si>
  <si>
    <t>Cost</t>
  </si>
  <si>
    <t>Per Dth</t>
  </si>
  <si>
    <t>Sheet 1</t>
  </si>
  <si>
    <t>Per Mcf</t>
  </si>
  <si>
    <t>Reference</t>
  </si>
  <si>
    <t>= (2) / (1)</t>
  </si>
  <si>
    <t>= (3) x (5)</t>
  </si>
  <si>
    <t>Units</t>
  </si>
  <si>
    <t>Less Rate Schedule IS/SS and GSO Customer Demand Charge Recovery</t>
  </si>
  <si>
    <t>Less Storage Service Recovery from Delivery Service Customers</t>
  </si>
  <si>
    <t>Sch.1, Sht. 5, Ln. 4</t>
  </si>
  <si>
    <t>Sheet  3</t>
  </si>
  <si>
    <t xml:space="preserve">Sch.1, Sht. 6, Ln. 4 </t>
  </si>
  <si>
    <t>A/ Gross, before retention.</t>
  </si>
  <si>
    <t>Storage Supply</t>
  </si>
  <si>
    <t>Less Fuel Retention By Interstate Pipelines</t>
  </si>
  <si>
    <t>At City-Gate</t>
  </si>
  <si>
    <t>At Customer Meter</t>
  </si>
  <si>
    <t>Lost and Unaccounted - For</t>
  </si>
  <si>
    <t>Annualized</t>
  </si>
  <si>
    <t>Expected Demand Costs (Per Sheet 3)</t>
  </si>
  <si>
    <t>Divided by Average BTU Factor</t>
  </si>
  <si>
    <t>City-Gate Capacity:</t>
  </si>
  <si>
    <t>Columbia Gas Transmission</t>
  </si>
  <si>
    <t>Daily</t>
  </si>
  <si>
    <t>Volume</t>
  </si>
  <si>
    <t xml:space="preserve">Cost </t>
  </si>
  <si>
    <t xml:space="preserve">Appalachian Supplies </t>
  </si>
  <si>
    <t xml:space="preserve">Schedule No. 5 </t>
  </si>
  <si>
    <t>Schedule No. 1, Sheet 4</t>
  </si>
  <si>
    <t>COLUMBIA GAS OF KENTUCKY</t>
  </si>
  <si>
    <t>CALCULATION OF DEMAND/COMMODITY SPLIT OF GAS COST ADJUSTMENT FOR TARIFFS</t>
  </si>
  <si>
    <t>Demand Component of Gas Cost Adjustment</t>
  </si>
  <si>
    <t xml:space="preserve">     Total Demand Rate per Mcf</t>
  </si>
  <si>
    <t>Commodity Component of Gas Cost Adjustment</t>
  </si>
  <si>
    <t xml:space="preserve">     Total Commodity Rate per Mcf</t>
  </si>
  <si>
    <t xml:space="preserve">                                                                        CHECK:</t>
  </si>
  <si>
    <t xml:space="preserve">           COST OF GAS TO TARIFF CUSTOMERS (GCA)</t>
  </si>
  <si>
    <t>Columbia Gas of Kentucky, Inc.</t>
  </si>
  <si>
    <t>Gas purchased by CKY for the remaining sales customers</t>
  </si>
  <si>
    <t>Consumption by the remaining sales customers</t>
  </si>
  <si>
    <t>At city gate</t>
  </si>
  <si>
    <t>Lost and unaccounted for portion</t>
  </si>
  <si>
    <t>At customer meters</t>
  </si>
  <si>
    <t>Heat content</t>
  </si>
  <si>
    <t>Dth/MCF</t>
  </si>
  <si>
    <t>MCF</t>
  </si>
  <si>
    <t xml:space="preserve">Gas retained by upstream pipelines </t>
  </si>
  <si>
    <t>$/MCF</t>
  </si>
  <si>
    <t>Commodity Cost Including Transportation</t>
  </si>
  <si>
    <t>Allocated to quarters by consumption</t>
  </si>
  <si>
    <t>Use:</t>
  </si>
  <si>
    <t>Sheet 1, line 7</t>
  </si>
  <si>
    <t>= (1) + (4)</t>
  </si>
  <si>
    <t># Months</t>
  </si>
  <si>
    <t>= (1) x (2)</t>
  </si>
  <si>
    <t>per MCF</t>
  </si>
  <si>
    <t>At city-gate</t>
  </si>
  <si>
    <t>Factor</t>
  </si>
  <si>
    <t xml:space="preserve">Firm Storage Service - FSS                   </t>
  </si>
  <si>
    <t xml:space="preserve">Firm Transportation Service - FTS         </t>
  </si>
  <si>
    <t>Seasonal Contract Quantity  (SCQ)</t>
  </si>
  <si>
    <t>Cost of Gas to Tariff Customers (GCA)</t>
  </si>
  <si>
    <t>Banking and Balancing Service</t>
  </si>
  <si>
    <t>Total Flowing Supply  Including Gas Injected Into Storage</t>
  </si>
  <si>
    <t>Net Flowing Supply for Current Consumption</t>
  </si>
  <si>
    <t>Net Storage Injection</t>
  </si>
  <si>
    <t>The volumes and costs shown are for sales customers only.</t>
  </si>
  <si>
    <t>Expected Demand Cost:  Annual</t>
  </si>
  <si>
    <t>Projected Annual Demand: Sales + Choice</t>
  </si>
  <si>
    <t>In Dth</t>
  </si>
  <si>
    <t>In MCF</t>
  </si>
  <si>
    <t xml:space="preserve">Annual  </t>
  </si>
  <si>
    <t>Unit cost</t>
  </si>
  <si>
    <t>Retention costs are incurred proportionally to the volumes purchased, but recovery of the costs is allocated to quarter by volume consumed.</t>
  </si>
  <si>
    <t>Withdrawal</t>
  </si>
  <si>
    <t>Injection</t>
  </si>
  <si>
    <t>Excludes volumes injected into or withdrawn from storage.</t>
  </si>
  <si>
    <t>Flowing Supply</t>
  </si>
  <si>
    <t>Expected Gas Cost for Sales Customers</t>
  </si>
  <si>
    <t>Commodity Cost</t>
  </si>
  <si>
    <t>Commodity Charge</t>
  </si>
  <si>
    <t>Total Supply</t>
  </si>
  <si>
    <t>Lost and Unaccounted For</t>
  </si>
  <si>
    <t>Sales Volume</t>
  </si>
  <si>
    <t>Unit Costs</t>
  </si>
  <si>
    <t>Excluding Cost of Pipeline Retention</t>
  </si>
  <si>
    <t xml:space="preserve">Annualized Unit Cost of Retention </t>
  </si>
  <si>
    <t>Including Cost of Pipeline Retention</t>
  </si>
  <si>
    <t>Demand Cost</t>
  </si>
  <si>
    <t>Commodity Cost of Gas</t>
  </si>
  <si>
    <t>Demand Cost of Gas</t>
  </si>
  <si>
    <t>Total: Expected Gas Cost (EGC)</t>
  </si>
  <si>
    <t>Total Expected Gas Cost (EGC)</t>
  </si>
  <si>
    <t>Includes storage activity for sales customers only</t>
  </si>
  <si>
    <t>A/  BTU Factor =</t>
  </si>
  <si>
    <t>Volume A/</t>
  </si>
  <si>
    <t>To Sheet 1, line 9</t>
  </si>
  <si>
    <t>Sheet 8</t>
  </si>
  <si>
    <t>Sheet 7</t>
  </si>
  <si>
    <t>Sch. 1,Sheet 7, Lines 21, 22</t>
  </si>
  <si>
    <t>Sch. 1,Sheet 7, Line 24</t>
  </si>
  <si>
    <t>Line No.</t>
  </si>
  <si>
    <t>Expected Annual Demand Cost</t>
  </si>
  <si>
    <t>Monthly Rate $/Dth</t>
  </si>
  <si>
    <t>Firm Transportation Service (FTS)</t>
  </si>
  <si>
    <t xml:space="preserve">FSS Max Daily Storage Quantity (MDSQ)                                </t>
  </si>
  <si>
    <t xml:space="preserve">FSS Seasonal Contract Quantity (SCQ)                                 </t>
  </si>
  <si>
    <t>Firm Storage Service (FSS)</t>
  </si>
  <si>
    <t>Storage Service Transportation (SST)</t>
  </si>
  <si>
    <t xml:space="preserve">Firm Transportation      </t>
  </si>
  <si>
    <t>Capacity</t>
  </si>
  <si>
    <t>Annual Cost</t>
  </si>
  <si>
    <t>Firm Volumes of IS/SS and GSO Customers</t>
  </si>
  <si>
    <t>Sch. No.1, Sheet 4, Ln.  10</t>
  </si>
  <si>
    <t>Non-Appalachian Supply: Volume and Cost</t>
  </si>
  <si>
    <t>Appalachian Supply: Volume and Cost</t>
  </si>
  <si>
    <t>Cost includes transportation commodity cost and retention by the interstate pipelines,</t>
  </si>
  <si>
    <t>but excludes pipeline demand costs.</t>
  </si>
  <si>
    <t>Unit Cost</t>
  </si>
  <si>
    <t>Unit Costs $/MCF</t>
  </si>
  <si>
    <t>GCA Unit Demand Cost</t>
  </si>
  <si>
    <t>Annual Demand Cost of Interstate Pipeline Capacity</t>
  </si>
  <si>
    <t>Annualized Unit Charge for Gas Retained by Upstream Pipelines</t>
  </si>
  <si>
    <t>Gas Cost Adjustment Clause</t>
  </si>
  <si>
    <t>Expected Demand Costs Recovered Annually From Rate Schedule IS/SS and GSO Customers</t>
  </si>
  <si>
    <t>Calculation of Storage Injection, Withdrawal, Retention and Commodity Cost Credit</t>
  </si>
  <si>
    <t>Value</t>
  </si>
  <si>
    <t>Storage Withdrawal: Dth</t>
  </si>
  <si>
    <t>Projected Annual Withdrawal at storage, Dth</t>
  </si>
  <si>
    <t>SST Retention @</t>
  </si>
  <si>
    <t>Storage Injection: Dth</t>
  </si>
  <si>
    <t xml:space="preserve">Retention Rate = </t>
  </si>
  <si>
    <t>Injection and Withdrawal Charge, per Dth</t>
  </si>
  <si>
    <t>SST Commodity Transportation Rate, per Dth</t>
  </si>
  <si>
    <t>Annual Storage Commodity Costs</t>
  </si>
  <si>
    <t>Projected Annual Sales + Choice Throughput, Mcf, at</t>
  </si>
  <si>
    <t xml:space="preserve">    customer meter</t>
  </si>
  <si>
    <t>per Mcf</t>
  </si>
  <si>
    <t>&lt;-- from Sheet 2, line 8</t>
  </si>
  <si>
    <t>BTU factor Dth/MCF</t>
  </si>
  <si>
    <t>Units $/MCF</t>
  </si>
  <si>
    <t>TCO FTS</t>
  </si>
  <si>
    <t>Total Demand Cost of Assigned FTS, per unit</t>
  </si>
  <si>
    <t>Balancing Charge</t>
  </si>
  <si>
    <t>100% Load Factor Rate of Assigned FTS Capacity</t>
  </si>
  <si>
    <t>CKY Choice Program</t>
  </si>
  <si>
    <t>Gas Cost Adjustment</t>
  </si>
  <si>
    <t>Sheet 3</t>
  </si>
  <si>
    <t>Retention</t>
  </si>
  <si>
    <t>Contract</t>
  </si>
  <si>
    <t>Assignment Proportions</t>
  </si>
  <si>
    <t>(4)</t>
  </si>
  <si>
    <t>(5)</t>
  </si>
  <si>
    <t>Adjustment for retention on downstream pipe, if any</t>
  </si>
  <si>
    <t>Monthly demand charges</t>
  </si>
  <si>
    <t>TGP FTS-A, upstream to TCO FTS</t>
  </si>
  <si>
    <t>Annual demand cost of capacity assigned to choice marketers</t>
  </si>
  <si>
    <t>City gate capacity assigned to Choice marketers</t>
  </si>
  <si>
    <t>Demand Cost Recovery Factor in GCA, per Mcf per CKY Tariff Sheet No. 5</t>
  </si>
  <si>
    <t>Less credit for cost of assigned capacity</t>
  </si>
  <si>
    <t>Plus storage commodity costs incurred by CKY for the Choice marketer</t>
  </si>
  <si>
    <t>Annual costs</t>
  </si>
  <si>
    <t>Balancing charge, paid by Choice marketers</t>
  </si>
  <si>
    <t>11a</t>
  </si>
  <si>
    <t>11b</t>
  </si>
  <si>
    <t>Storage weighted average commodity cost of gas (WACCOG) rate.</t>
  </si>
  <si>
    <t>Includes pipeline retention and comm costs, but excludes demand charges.</t>
  </si>
  <si>
    <t>Calculation of Rate Schedule SVGTS - Actual Gas Cost Adjustment</t>
  </si>
  <si>
    <t xml:space="preserve"> Withdrawals: gas cost includes pipeline fuel and commodity charges </t>
  </si>
  <si>
    <t>Schedule No. 4</t>
  </si>
  <si>
    <t xml:space="preserve">Summer                   </t>
  </si>
  <si>
    <t xml:space="preserve">Winter           </t>
  </si>
  <si>
    <t>Less: Right-of-Way Contract Volume</t>
  </si>
  <si>
    <t>Line 11 / Line 16</t>
  </si>
  <si>
    <t>Right of way Volumes</t>
  </si>
  <si>
    <t>Sch.1, Sht. 2, Line 10</t>
  </si>
  <si>
    <t>Projected Annual Storage Withdrawal, Dth</t>
  </si>
  <si>
    <t xml:space="preserve">Uncollectible Ratio </t>
  </si>
  <si>
    <t>Gas Cost Uncollectible Charge</t>
  </si>
  <si>
    <t>Total Commodity Cost</t>
  </si>
  <si>
    <t>Line 19 * Line 20</t>
  </si>
  <si>
    <t>Commodity Cost of Gas (Schedule No. 1, Sheet 1, Line 22)</t>
  </si>
  <si>
    <t>Demand Cost of Gas (Schedule No. 1, Sheet 1, Line 23)</t>
  </si>
  <si>
    <t>To Sheet 1, line 18</t>
  </si>
  <si>
    <t>Net of pipeline retention volumes and cost.  Add unit retention cost on line 18</t>
  </si>
  <si>
    <t>Schedule No. 3</t>
  </si>
  <si>
    <t>Schedule No. 6</t>
  </si>
  <si>
    <t>100% Load Factor Rate (Line 13 / 365 days)</t>
  </si>
  <si>
    <t>SAS Refund Adjustment  (Schedule No. 5)</t>
  </si>
  <si>
    <t>Sch. No.1, Sheet 3, Ln. 11</t>
  </si>
  <si>
    <t>Performance Based Rate Adjustment</t>
  </si>
  <si>
    <t>Performance Based Rate Adjustment (PBRA)</t>
  </si>
  <si>
    <t>Comparison of Current and Proposed GCAs</t>
  </si>
  <si>
    <t>Gas Cost Recovery Rate</t>
  </si>
  <si>
    <t>Total Actual Cost Adjustment (ACA)</t>
  </si>
  <si>
    <t>Total Supplier Refund Adjustment (RA)</t>
  </si>
  <si>
    <t>For filling Page 5 of Tariff -DO NOT FILE</t>
  </si>
  <si>
    <t>CURRENTLY EFFECTIVE BILLING RATES</t>
  </si>
  <si>
    <t>SALES SERVICE</t>
  </si>
  <si>
    <t>Total Billing Rate</t>
  </si>
  <si>
    <t>Base Charge</t>
  </si>
  <si>
    <t>Demand</t>
  </si>
  <si>
    <t>Commodity</t>
  </si>
  <si>
    <t>$</t>
  </si>
  <si>
    <t xml:space="preserve">RATE SCHEDULE GSR </t>
  </si>
  <si>
    <t xml:space="preserve">  Customer Charge per billing period                       </t>
  </si>
  <si>
    <t xml:space="preserve">Delivery Charge per Mcf   </t>
  </si>
  <si>
    <t>RATE SCHEDULE GSO</t>
  </si>
  <si>
    <t>Commercial or Industrial</t>
  </si>
  <si>
    <r>
      <t xml:space="preserve">  </t>
    </r>
    <r>
      <rPr>
        <sz val="10"/>
        <color theme="1"/>
        <rFont val="Arial"/>
        <family val="2"/>
      </rPr>
      <t>Customer Charge per billing period</t>
    </r>
  </si>
  <si>
    <r>
      <t xml:space="preserve">  Delivery</t>
    </r>
    <r>
      <rPr>
        <u/>
        <sz val="10"/>
        <color theme="1"/>
        <rFont val="Arial"/>
        <family val="2"/>
      </rPr>
      <t xml:space="preserve"> Charge per Mcf -</t>
    </r>
  </si>
  <si>
    <r>
      <t>First 50 Mcf or less</t>
    </r>
    <r>
      <rPr>
        <u/>
        <sz val="10"/>
        <color rgb="FFFF0000"/>
        <rFont val="Arial"/>
        <family val="2"/>
      </rPr>
      <t xml:space="preserve"> </t>
    </r>
    <r>
      <rPr>
        <sz val="10"/>
        <color theme="1"/>
        <rFont val="Arial"/>
        <family val="2"/>
      </rPr>
      <t xml:space="preserve">per billing period   </t>
    </r>
  </si>
  <si>
    <t xml:space="preserve">  Next 350 Mcf per billing period   </t>
  </si>
  <si>
    <t xml:space="preserve">  Next 600 Mcf per billing period             </t>
  </si>
  <si>
    <t xml:space="preserve">  Over 1,000 Mcf per billing period          </t>
  </si>
  <si>
    <r>
      <t xml:space="preserve"> </t>
    </r>
    <r>
      <rPr>
        <b/>
        <u/>
        <sz val="10"/>
        <color theme="1"/>
        <rFont val="Arial"/>
        <family val="2"/>
      </rPr>
      <t>RATE SCHEDULE IS</t>
    </r>
  </si>
  <si>
    <t>Customer Charge per billing period</t>
  </si>
  <si>
    <r>
      <t>Delivery Charge per Mcf</t>
    </r>
    <r>
      <rPr>
        <u/>
        <sz val="10"/>
        <color theme="1"/>
        <rFont val="Arial"/>
        <family val="2"/>
      </rPr>
      <t xml:space="preserve"> </t>
    </r>
  </si>
  <si>
    <t xml:space="preserve">    First 30,000 Mcf per billing period</t>
  </si>
  <si>
    <t>Next 70,000 Mcf per billing period</t>
  </si>
  <si>
    <t xml:space="preserve">    Over 100,000 Mcf per billing period</t>
  </si>
  <si>
    <t>Firm Service Demand Charge</t>
  </si>
  <si>
    <t>Demand Charge times Daily Firm</t>
  </si>
  <si>
    <t>Volume (Mcf) in Customer Service Agreement</t>
  </si>
  <si>
    <r>
      <t>RATE SCHEDULE IUS</t>
    </r>
    <r>
      <rPr>
        <b/>
        <sz val="10"/>
        <color theme="1"/>
        <rFont val="Arial"/>
        <family val="2"/>
      </rPr>
      <t xml:space="preserve">  </t>
    </r>
  </si>
  <si>
    <t xml:space="preserve">Customer Charge per billing period                </t>
  </si>
  <si>
    <t xml:space="preserve">Delivery Charge per Mcf </t>
  </si>
  <si>
    <t xml:space="preserve">  For All Volumes Delivered</t>
  </si>
  <si>
    <t>For filling Page 6 of Tariff -DO NOT FILE</t>
  </si>
  <si>
    <t>TRANSPORTATION SERVICE</t>
  </si>
  <si>
    <t>RATE SCHEDULE SS</t>
  </si>
  <si>
    <t>Standby Service Demand Charge per Mcf</t>
  </si>
  <si>
    <t xml:space="preserve">Standby Service Commodity Charge per Mcf                                                 </t>
  </si>
  <si>
    <t>RATE SCHEDULE DS</t>
  </si>
  <si>
    <t xml:space="preserve">  </t>
  </si>
  <si>
    <r>
      <t xml:space="preserve">  Customer Charge per billing period </t>
    </r>
    <r>
      <rPr>
        <vertAlign val="superscript"/>
        <sz val="9"/>
        <color theme="1"/>
        <rFont val="Arial"/>
        <family val="2"/>
      </rPr>
      <t>2/</t>
    </r>
  </si>
  <si>
    <t xml:space="preserve">  Customer Charge per billing period (GDS only)</t>
  </si>
  <si>
    <t xml:space="preserve">  Customer Charge per billing period (IUDS only)</t>
  </si>
  <si>
    <r>
      <t xml:space="preserve">  </t>
    </r>
    <r>
      <rPr>
        <u/>
        <sz val="9"/>
        <color theme="1"/>
        <rFont val="Arial"/>
        <family val="2"/>
      </rPr>
      <t>Delivery Charge per Mcf</t>
    </r>
    <r>
      <rPr>
        <u/>
        <vertAlign val="superscript"/>
        <sz val="9"/>
        <color theme="1"/>
        <rFont val="Arial"/>
        <family val="2"/>
      </rPr>
      <t>2/</t>
    </r>
  </si>
  <si>
    <t xml:space="preserve">  First 30,000 Mcf</t>
  </si>
  <si>
    <t xml:space="preserve">  Next 70,000 Mcf</t>
  </si>
  <si>
    <t xml:space="preserve"> Over 100,000 Mcf</t>
  </si>
  <si>
    <t>– Grandfathered Delivery Service</t>
  </si>
  <si>
    <t xml:space="preserve">      First 50 Mcf or less per billing period</t>
  </si>
  <si>
    <t xml:space="preserve">Next 350 Mcf per billing period             </t>
  </si>
  <si>
    <t xml:space="preserve">Next 600 Mcf per billing period                </t>
  </si>
  <si>
    <t xml:space="preserve">      All Over 1,000 Mcf per billing period         </t>
  </si>
  <si>
    <t xml:space="preserve">  – Intrastate Utility Delivery Service</t>
  </si>
  <si>
    <t xml:space="preserve">      All Volumes per billing period</t>
  </si>
  <si>
    <t xml:space="preserve">      Rate per Mcf                             </t>
  </si>
  <si>
    <t>RATE SCHEDULE MLDS</t>
  </si>
  <si>
    <t xml:space="preserve">  Customer Charge per billing period                                                                                                 </t>
  </si>
  <si>
    <t xml:space="preserve">  Delivery Charge per Mcf                                                                                                                  </t>
  </si>
  <si>
    <t xml:space="preserve">  Banking and Balancing Service</t>
  </si>
  <si>
    <t xml:space="preserve">     Rate per Mcf                                 </t>
  </si>
  <si>
    <t>For filling Page 7 of Tariff -DO NOT FILE</t>
  </si>
  <si>
    <t>RATE SCHEDULE SVGTS</t>
  </si>
  <si>
    <t>Base Rate Charge</t>
  </si>
  <si>
    <t>General Service Residential (SGVTS GSR)</t>
  </si>
  <si>
    <t xml:space="preserve">Customer Charge per billing period                                    </t>
  </si>
  <si>
    <t xml:space="preserve">Delivery Charge per Mcf                                  </t>
  </si>
  <si>
    <t>General Service Other - Commercial or Industrial (SVGTS GSO)</t>
  </si>
  <si>
    <t>Delivery Charge per Mcf -</t>
  </si>
  <si>
    <t>Next 350 Mcf  per billing period</t>
  </si>
  <si>
    <t>Next 600 Mcf  per billing period</t>
  </si>
  <si>
    <t>Over 1,000 Mcf  per billing period</t>
  </si>
  <si>
    <t>Intrastate Utility Service</t>
  </si>
  <si>
    <t>Delivery Charge per Mcf</t>
  </si>
  <si>
    <t>Billing Rate</t>
  </si>
  <si>
    <r>
      <t xml:space="preserve">Actual Gas Cost Adjustment </t>
    </r>
    <r>
      <rPr>
        <u/>
        <vertAlign val="superscript"/>
        <sz val="10"/>
        <color theme="1"/>
        <rFont val="Arial"/>
        <family val="2"/>
      </rPr>
      <t>1/</t>
    </r>
  </si>
  <si>
    <t>For all volumes per billing period per Mcf</t>
  </si>
  <si>
    <t>RATE SCHEDULE SVAS</t>
  </si>
  <si>
    <t xml:space="preserve"> Balancing Charge – per Mcf</t>
  </si>
  <si>
    <t>R</t>
  </si>
  <si>
    <t>I</t>
  </si>
  <si>
    <t>Line 3</t>
  </si>
  <si>
    <t>Summary</t>
  </si>
  <si>
    <t>Net Demand Cost Applicable</t>
  </si>
  <si>
    <t>Line 1 + Line 2 + Line 3</t>
  </si>
  <si>
    <t>Line 4 or Line 5</t>
  </si>
  <si>
    <t>Line 7 + Line 8 + Line 9</t>
  </si>
  <si>
    <t>Line 6 + Line 10</t>
  </si>
  <si>
    <t>Line 11 * Line 12</t>
  </si>
  <si>
    <t>Line 11 + Line 13</t>
  </si>
  <si>
    <t>Line 14-Line 15</t>
  </si>
  <si>
    <t>Line 17 + Line 18</t>
  </si>
  <si>
    <t>Line 19 + Line 21</t>
  </si>
  <si>
    <t>Line 22 + Line 23</t>
  </si>
  <si>
    <t>Line 5 x Line 6</t>
  </si>
  <si>
    <t>Line 5 - Line 7 - Line 8</t>
  </si>
  <si>
    <t>Line 4 / Line 9</t>
  </si>
  <si>
    <t>Subtotal -- Sum of Lines 1 through 6</t>
  </si>
  <si>
    <t>Unit Demand Cost -- To Sheet 1, Line 23</t>
  </si>
  <si>
    <r>
      <t xml:space="preserve">Total </t>
    </r>
    <r>
      <rPr>
        <sz val="10"/>
        <rFont val="Calibri"/>
        <family val="2"/>
        <scheme val="minor"/>
      </rPr>
      <t>-- Sum of Lines 7 through 11</t>
    </r>
    <r>
      <rPr>
        <b/>
        <sz val="10"/>
        <rFont val="Calibri"/>
        <family val="2"/>
        <scheme val="minor"/>
      </rPr>
      <t xml:space="preserve"> --</t>
    </r>
    <r>
      <rPr>
        <sz val="10"/>
        <rFont val="Calibri"/>
        <family val="2"/>
        <scheme val="minor"/>
      </rPr>
      <t xml:space="preserve">  To Sheet 2, line 1</t>
    </r>
  </si>
  <si>
    <t>Total -- Sum of Lines 2 through 4</t>
  </si>
  <si>
    <t>Total Capacity - Annualized -- Line 5 / Line 6</t>
  </si>
  <si>
    <t>Monthly Unit Expected Demand Cost (EDC) of Daily Capacity Applicable to Rate Schedules IS/SS and GSO -- Line 1  / Line 7</t>
  </si>
  <si>
    <t>Expected Demand Charges to be Recovered Annually from Rate Schedule IS/SS and GSO Customers -- Line 8 x Line 9</t>
  </si>
  <si>
    <t>To Sheet 2, line  2</t>
  </si>
  <si>
    <t>Total -- Sum of Lines 1 through 3</t>
  </si>
  <si>
    <t>Sheet 1, Line 8</t>
  </si>
  <si>
    <t>In Dth = (100% - Line 5) x Line 4</t>
  </si>
  <si>
    <t>In MCF = Line 6 / Line 7</t>
  </si>
  <si>
    <t>Portion of annual  -- Line 8 / Annual</t>
  </si>
  <si>
    <t>Annualized unit charge  -- Line 12 / Line 8</t>
  </si>
  <si>
    <t>Net Transportation Volume - Mcf  -- Line 20 + Line 21</t>
  </si>
  <si>
    <t>Banking and Balancing Rate - Mcf -- Line 19 / Line 22 - To Line 11 of the GCA Comparison</t>
  </si>
  <si>
    <t>Total Storage Capacity -- From Sheet 3, Line 2</t>
  </si>
  <si>
    <r>
      <t xml:space="preserve">Volume  </t>
    </r>
    <r>
      <rPr>
        <b/>
        <sz val="8"/>
        <rFont val="Calibri"/>
        <family val="2"/>
        <scheme val="minor"/>
      </rPr>
      <t>A/</t>
    </r>
  </si>
  <si>
    <t>Number of Months</t>
  </si>
  <si>
    <t>Line 7 or Line 8</t>
  </si>
  <si>
    <t>(6) = 1 / (100% - (2))</t>
  </si>
  <si>
    <t>(7) = (3)x(4)x(5)x(6)</t>
  </si>
  <si>
    <t>Balancing Charge, per Mcf -- Sum of Lines 15 through 17</t>
  </si>
  <si>
    <t>TCO FTS -- Line 3 / Line 4</t>
  </si>
  <si>
    <t>Storage withdrawal @ the city-gate: Line 2 * (1- Line 3)</t>
  </si>
  <si>
    <t>Volume Injected Line 2 / (1- Line 6)</t>
  </si>
  <si>
    <t>Projected Annual Storage Retention (Line 7- Line 2)</t>
  </si>
  <si>
    <t>Units $/Dth  -- Line 11a / Line 11b</t>
  </si>
  <si>
    <t>Storage Injection (Line 7 x Line 9)</t>
  </si>
  <si>
    <t>SST Commodity (Line 4 x Line 10)</t>
  </si>
  <si>
    <t xml:space="preserve">Storage Withdrawal  (Line 2 x Line 9)   </t>
  </si>
  <si>
    <t>SST Fuel  (Line 2 - Line 4) x Line 11</t>
  </si>
  <si>
    <t>Storage Retention (Line 8 x Line 11)</t>
  </si>
  <si>
    <t>Total (Sum of Lines 13 through 17)</t>
  </si>
  <si>
    <t>Storage Inj, W/D Retention &amp; Commodity Cost Credit (Line 18 / Line 19)</t>
  </si>
  <si>
    <t>Quarterly -- Deduct from Sheet 1  -- Line 3 x Line 10</t>
  </si>
  <si>
    <r>
      <t xml:space="preserve">1/ The Gas Cost Adjustment, as shown, is an adjustment per Mcf determined in accordance with the "Gas Cost Adjustment Clause" as set forth on Sheets 48 through 51 of this Tariff.  The Gas Cost Adjustment applicable to a customer who is receiving service under Rate Schedule GS or IUS and received service under Rate Schedule SVGTS shall be </t>
    </r>
    <r>
      <rPr>
        <b/>
        <sz val="9"/>
        <color rgb="FF0000FF"/>
        <rFont val="Calibri"/>
        <family val="2"/>
        <scheme val="minor"/>
      </rPr>
      <t>X.XXXX</t>
    </r>
    <r>
      <rPr>
        <sz val="9"/>
        <color theme="1"/>
        <rFont val="Calibri"/>
        <family val="2"/>
        <scheme val="minor"/>
      </rPr>
      <t xml:space="preserve"> per Mcf only for those months of the prior twelve months during which they were served under Rate Schedule SVGTS.</t>
    </r>
  </si>
  <si>
    <t xml:space="preserve">Contract Volume </t>
  </si>
  <si>
    <t>CN 2021-00183</t>
  </si>
  <si>
    <t>FOR THE PERIOD BEGINNING UNIT 1 JUNE 2023 (MAY 31, 2023)</t>
  </si>
  <si>
    <t>Mar 24</t>
  </si>
  <si>
    <t>Jun 24</t>
  </si>
  <si>
    <t>Case No. 2023-00250</t>
  </si>
  <si>
    <t>Unit 21 August (08-27-2024)</t>
  </si>
  <si>
    <t>Case No. 2023-00350</t>
  </si>
  <si>
    <t>Unit 21 November  (11-25-2024)</t>
  </si>
  <si>
    <t>Case No. 2024-00011</t>
  </si>
  <si>
    <t>Unit 21 February  (02-27-2025)</t>
  </si>
  <si>
    <t>Unit 21 May (05-29-2025)</t>
  </si>
  <si>
    <t>Jun 24 - Aug 24</t>
  </si>
  <si>
    <t>Sep 24 - Nov 24</t>
  </si>
  <si>
    <t>Dec 24 - Feb 25</t>
  </si>
  <si>
    <t>Mar 25 - May 25</t>
  </si>
  <si>
    <t>Jun 24 - May 25</t>
  </si>
  <si>
    <t>June 24</t>
  </si>
  <si>
    <t>DATE FILED: April 30, 2024</t>
  </si>
  <si>
    <t>Case No. 2024-00121</t>
  </si>
  <si>
    <t>CASE NO. 2024-00121      Effective Unit 1 June 2024 Billing Cycle (May 30, 2024)</t>
  </si>
  <si>
    <t>Demand ACA (Schedule No. 2, Sheet 1, Case No. 2023-00250, Case No. 2023-00350, Case No. 2024-00011,  &amp; Case No. 2024-00121)</t>
  </si>
  <si>
    <t>Commodity ACA (Schedule No. 2, Sheet 1, Case No. 2023-00250, Case No. 2023-00350, Case No. 2024-00011,  &amp; Case No. 2024-00121)</t>
  </si>
  <si>
    <t>Refund Adjustment  (Schedule No. 4, Case No. 202X-XXXXX)</t>
  </si>
  <si>
    <t>Performance Based Rate Adjustment (Schedule No. 6, Case No. 2024-00121)</t>
  </si>
  <si>
    <t>Unit 21 May  (05-30-2025)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</si>
</sst>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00_);\(&quot;$&quot;#,##0.0000\)"/>
    <numFmt numFmtId="165" formatCode="0.0000_)"/>
    <numFmt numFmtId="166" formatCode="dd\-mmm\-yy_)"/>
    <numFmt numFmtId="167" formatCode="0_)"/>
    <numFmt numFmtId="168" formatCode="#,##0.0000_);\(#,##0.0000\)"/>
    <numFmt numFmtId="169" formatCode="_(* #,##0.0000_);_(* \(#,##0.0000\);_(* &quot;-&quot;??_);_(@_)"/>
    <numFmt numFmtId="170" formatCode="_(&quot;$&quot;* #,##0.0000_);_(&quot;$&quot;* \(#,##0.0000\);_(&quot;$&quot;* &quot;-&quot;??_);_(@_)"/>
    <numFmt numFmtId="171" formatCode="_(&quot;$&quot;* #,##0_);_(&quot;$&quot;* \(#,##0\);_(&quot;$&quot;* &quot;-&quot;??_);_(@_)"/>
    <numFmt numFmtId="172" formatCode="0.0%"/>
    <numFmt numFmtId="173" formatCode="#,##0.0_);\(#,##0.0\)"/>
    <numFmt numFmtId="174" formatCode="#,##0.000_);\(#,##0.000\)"/>
    <numFmt numFmtId="175" formatCode="_(* #,##0_);_(* \(#,##0\);_(* &quot;-&quot;??_);_(@_)"/>
    <numFmt numFmtId="176" formatCode="#,##0.0000"/>
    <numFmt numFmtId="177" formatCode="0.000%"/>
    <numFmt numFmtId="178" formatCode="&quot;$&quot;#,##0.0000"/>
    <numFmt numFmtId="179" formatCode="&quot;$&quot;#,##0"/>
    <numFmt numFmtId="180" formatCode="_(&quot;$&quot;* #,##0.0000_);_(&quot;$&quot;* \(#,##0.0000\);_(&quot;$&quot;* &quot;-&quot;????_);_(@_)"/>
    <numFmt numFmtId="181" formatCode="mmmm\-yy"/>
    <numFmt numFmtId="182" formatCode="0.0000"/>
    <numFmt numFmtId="183" formatCode="0.000"/>
    <numFmt numFmtId="184" formatCode="#,##0.00000000_);\(#,##0.00000000\)"/>
    <numFmt numFmtId="185" formatCode="&quot;$&quot;#,##0.0000_);[Red]\(&quot;$&quot;#,##0.0000\)"/>
    <numFmt numFmtId="186" formatCode="#,##0.00000_);\(#,##0.00000\)"/>
  </numFmts>
  <fonts count="57" x14ac:knownFonts="1">
    <font>
      <sz val="10"/>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sz val="14"/>
      <name val="Times New Roman"/>
      <family val="1"/>
    </font>
    <font>
      <b/>
      <sz val="10"/>
      <name val="Helv"/>
    </font>
    <font>
      <b/>
      <sz val="12"/>
      <name val="Calibri"/>
      <family val="2"/>
      <scheme val="minor"/>
    </font>
    <font>
      <sz val="12"/>
      <name val="Calibri"/>
      <family val="2"/>
      <scheme val="minor"/>
    </font>
    <font>
      <sz val="10"/>
      <name val="Calibri"/>
      <family val="2"/>
      <scheme val="minor"/>
    </font>
    <font>
      <b/>
      <u/>
      <sz val="14"/>
      <name val="Calibri"/>
      <family val="2"/>
      <scheme val="minor"/>
    </font>
    <font>
      <b/>
      <sz val="10"/>
      <name val="Calibri"/>
      <family val="2"/>
      <scheme val="minor"/>
    </font>
    <font>
      <b/>
      <u/>
      <sz val="12"/>
      <name val="Calibri"/>
      <family val="2"/>
      <scheme val="minor"/>
    </font>
    <font>
      <b/>
      <sz val="14"/>
      <name val="Calibri"/>
      <family val="2"/>
      <scheme val="minor"/>
    </font>
    <font>
      <u/>
      <sz val="12"/>
      <name val="Calibri"/>
      <family val="2"/>
      <scheme val="minor"/>
    </font>
    <font>
      <u/>
      <sz val="10"/>
      <name val="Calibri"/>
      <family val="2"/>
      <scheme val="minor"/>
    </font>
    <font>
      <sz val="8"/>
      <name val="Calibri"/>
      <family val="2"/>
      <scheme val="minor"/>
    </font>
    <font>
      <b/>
      <sz val="8"/>
      <name val="Calibri"/>
      <family val="2"/>
      <scheme val="minor"/>
    </font>
    <font>
      <b/>
      <u/>
      <sz val="10"/>
      <name val="Calibri"/>
      <family val="2"/>
      <scheme val="minor"/>
    </font>
    <font>
      <sz val="9"/>
      <name val="Calibri"/>
      <family val="2"/>
      <scheme val="minor"/>
    </font>
    <font>
      <u/>
      <sz val="9"/>
      <name val="Calibri"/>
      <family val="2"/>
      <scheme val="minor"/>
    </font>
    <font>
      <u val="double"/>
      <sz val="12"/>
      <name val="Calibri"/>
      <family val="2"/>
      <scheme val="minor"/>
    </font>
    <font>
      <sz val="7"/>
      <name val="Calibri"/>
      <family val="2"/>
      <scheme val="minor"/>
    </font>
    <font>
      <sz val="10"/>
      <color indexed="39"/>
      <name val="Calibri"/>
      <family val="2"/>
      <scheme val="minor"/>
    </font>
    <font>
      <sz val="10"/>
      <color indexed="10"/>
      <name val="Calibri"/>
      <family val="2"/>
      <scheme val="minor"/>
    </font>
    <font>
      <u/>
      <sz val="10"/>
      <color indexed="10"/>
      <name val="Calibri"/>
      <family val="2"/>
      <scheme val="minor"/>
    </font>
    <font>
      <i/>
      <sz val="10"/>
      <name val="Calibri"/>
      <family val="2"/>
      <scheme val="minor"/>
    </font>
    <font>
      <u val="singleAccounting"/>
      <sz val="10"/>
      <name val="Calibri"/>
      <family val="2"/>
      <scheme val="minor"/>
    </font>
    <font>
      <b/>
      <sz val="11"/>
      <name val="Calibri"/>
      <family val="2"/>
      <scheme val="minor"/>
    </font>
    <font>
      <vertAlign val="superscript"/>
      <sz val="10"/>
      <name val="Calibri"/>
      <family val="2"/>
      <scheme val="minor"/>
    </font>
    <font>
      <u val="double"/>
      <sz val="10"/>
      <name val="Calibri"/>
      <family val="2"/>
      <scheme val="minor"/>
    </font>
    <font>
      <b/>
      <u val="double"/>
      <sz val="10"/>
      <name val="Calibri"/>
      <family val="2"/>
      <scheme val="minor"/>
    </font>
    <font>
      <b/>
      <sz val="11"/>
      <color theme="1"/>
      <name val="Calibri"/>
      <family val="2"/>
      <scheme val="minor"/>
    </font>
    <font>
      <b/>
      <u/>
      <sz val="11"/>
      <color theme="1"/>
      <name val="Calibri"/>
      <family val="2"/>
      <scheme val="minor"/>
    </font>
    <font>
      <b/>
      <sz val="10"/>
      <color theme="1"/>
      <name val="Arial"/>
      <family val="2"/>
    </font>
    <font>
      <b/>
      <u/>
      <sz val="10"/>
      <color theme="1"/>
      <name val="Arial"/>
      <family val="2"/>
    </font>
    <font>
      <u/>
      <sz val="11"/>
      <color theme="1"/>
      <name val="Calibri"/>
      <family val="2"/>
      <scheme val="minor"/>
    </font>
    <font>
      <sz val="10"/>
      <color theme="1"/>
      <name val="Arial"/>
      <family val="2"/>
    </font>
    <font>
      <sz val="10"/>
      <color rgb="FF0000FF"/>
      <name val="Arial"/>
      <family val="2"/>
    </font>
    <font>
      <u/>
      <sz val="10"/>
      <color theme="1"/>
      <name val="Arial"/>
      <family val="2"/>
    </font>
    <font>
      <u/>
      <sz val="10"/>
      <color rgb="FFFF0000"/>
      <name val="Arial"/>
      <family val="2"/>
    </font>
    <font>
      <sz val="10"/>
      <color rgb="FF000000"/>
      <name val="Arial"/>
      <family val="2"/>
    </font>
    <font>
      <b/>
      <u/>
      <sz val="9"/>
      <color theme="1"/>
      <name val="Arial"/>
      <family val="2"/>
    </font>
    <font>
      <sz val="9"/>
      <color theme="1"/>
      <name val="Arial"/>
      <family val="2"/>
    </font>
    <font>
      <b/>
      <sz val="9"/>
      <color theme="1"/>
      <name val="Arial"/>
      <family val="2"/>
    </font>
    <font>
      <vertAlign val="superscript"/>
      <sz val="9"/>
      <color theme="1"/>
      <name val="Arial"/>
      <family val="2"/>
    </font>
    <font>
      <u/>
      <sz val="9"/>
      <color theme="1"/>
      <name val="Arial"/>
      <family val="2"/>
    </font>
    <font>
      <u/>
      <vertAlign val="superscript"/>
      <sz val="9"/>
      <color theme="1"/>
      <name val="Arial"/>
      <family val="2"/>
    </font>
    <font>
      <sz val="11"/>
      <color rgb="FF0000FF"/>
      <name val="Calibri"/>
      <family val="2"/>
      <scheme val="minor"/>
    </font>
    <font>
      <u/>
      <vertAlign val="superscript"/>
      <sz val="10"/>
      <color theme="1"/>
      <name val="Arial"/>
      <family val="2"/>
    </font>
    <font>
      <sz val="11"/>
      <name val="Calibri"/>
      <family val="2"/>
      <scheme val="minor"/>
    </font>
    <font>
      <b/>
      <sz val="11"/>
      <color rgb="FF0000FF"/>
      <name val="Calibri"/>
      <family val="2"/>
      <scheme val="minor"/>
    </font>
    <font>
      <u/>
      <sz val="11"/>
      <name val="Calibri"/>
      <family val="2"/>
      <scheme val="minor"/>
    </font>
    <font>
      <sz val="9"/>
      <color theme="1"/>
      <name val="Calibri"/>
      <family val="2"/>
      <scheme val="minor"/>
    </font>
    <font>
      <b/>
      <sz val="9"/>
      <color rgb="FF0000FF"/>
      <name val="Calibri"/>
      <family val="2"/>
      <scheme val="minor"/>
    </font>
    <font>
      <sz val="10"/>
      <name val="Arial"/>
      <family val="2"/>
    </font>
  </fonts>
  <fills count="3">
    <fill>
      <patternFill patternType="none"/>
    </fill>
    <fill>
      <patternFill patternType="gray125"/>
    </fill>
    <fill>
      <patternFill patternType="solid">
        <fgColor theme="8" tint="0.59999389629810485"/>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s>
  <cellStyleXfs count="17">
    <xf numFmtId="37" fontId="0"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5" fillId="0" borderId="0"/>
    <xf numFmtId="0" fontId="56" fillId="0" borderId="0"/>
    <xf numFmtId="0" fontId="5" fillId="0" borderId="0"/>
    <xf numFmtId="0" fontId="1" fillId="0" borderId="0"/>
    <xf numFmtId="43" fontId="1" fillId="0" borderId="0" applyFont="0" applyFill="0" applyBorder="0" applyAlignment="0" applyProtection="0"/>
  </cellStyleXfs>
  <cellXfs count="275">
    <xf numFmtId="37" fontId="0" fillId="0" borderId="0" xfId="0"/>
    <xf numFmtId="37" fontId="8" fillId="0" borderId="0" xfId="0" applyFont="1" applyAlignment="1">
      <alignment horizontal="left"/>
    </xf>
    <xf numFmtId="37" fontId="10" fillId="0" borderId="0" xfId="0" applyFont="1"/>
    <xf numFmtId="37" fontId="12" fillId="0" borderId="0" xfId="0" applyFont="1"/>
    <xf numFmtId="37" fontId="10" fillId="0" borderId="0" xfId="0" applyFont="1" applyAlignment="1">
      <alignment horizontal="center"/>
    </xf>
    <xf numFmtId="37" fontId="10" fillId="0" borderId="0" xfId="0" quotePrefix="1" applyFont="1" applyAlignment="1">
      <alignment horizontal="center"/>
    </xf>
    <xf numFmtId="37" fontId="16" fillId="0" borderId="0" xfId="0" applyFont="1" applyAlignment="1">
      <alignment horizontal="center"/>
    </xf>
    <xf numFmtId="37" fontId="16" fillId="0" borderId="0" xfId="0" applyFont="1"/>
    <xf numFmtId="37" fontId="10" fillId="0" borderId="0" xfId="0" applyFont="1" applyAlignment="1">
      <alignment horizontal="left"/>
    </xf>
    <xf numFmtId="37" fontId="19" fillId="0" borderId="0" xfId="0" applyFont="1" applyAlignment="1">
      <alignment horizontal="center"/>
    </xf>
    <xf numFmtId="37" fontId="12" fillId="0" borderId="0" xfId="0" applyFont="1" applyAlignment="1">
      <alignment horizontal="center"/>
    </xf>
    <xf numFmtId="168" fontId="10" fillId="0" borderId="0" xfId="0" applyNumberFormat="1" applyFont="1"/>
    <xf numFmtId="174" fontId="10" fillId="0" borderId="0" xfId="0" applyNumberFormat="1" applyFont="1"/>
    <xf numFmtId="37" fontId="12" fillId="0" borderId="0" xfId="0" applyFont="1" applyAlignment="1">
      <alignment horizontal="right"/>
    </xf>
    <xf numFmtId="179" fontId="10" fillId="0" borderId="0" xfId="2" applyNumberFormat="1" applyFont="1" applyFill="1" applyProtection="1"/>
    <xf numFmtId="37" fontId="27" fillId="0" borderId="0" xfId="0" applyFont="1" applyAlignment="1">
      <alignment horizontal="center"/>
    </xf>
    <xf numFmtId="164" fontId="10" fillId="0" borderId="0" xfId="2" applyNumberFormat="1" applyFont="1" applyBorder="1"/>
    <xf numFmtId="7" fontId="10" fillId="0" borderId="0" xfId="2" applyNumberFormat="1" applyFont="1"/>
    <xf numFmtId="37" fontId="16" fillId="0" borderId="0" xfId="0" applyFont="1" applyAlignment="1">
      <alignment horizontal="right"/>
    </xf>
    <xf numFmtId="171" fontId="10" fillId="0" borderId="0" xfId="2" applyNumberFormat="1" applyFont="1" applyBorder="1"/>
    <xf numFmtId="5" fontId="10" fillId="0" borderId="0" xfId="2" applyNumberFormat="1" applyFont="1" applyBorder="1"/>
    <xf numFmtId="5" fontId="12" fillId="0" borderId="0" xfId="2" applyNumberFormat="1" applyFont="1" applyBorder="1"/>
    <xf numFmtId="180" fontId="10" fillId="0" borderId="0" xfId="0" applyNumberFormat="1" applyFont="1"/>
    <xf numFmtId="170" fontId="10" fillId="0" borderId="0" xfId="0" applyNumberFormat="1" applyFont="1"/>
    <xf numFmtId="7" fontId="10" fillId="0" borderId="0" xfId="2" applyNumberFormat="1" applyFont="1" applyAlignment="1">
      <alignment horizontal="right"/>
    </xf>
    <xf numFmtId="7" fontId="12" fillId="0" borderId="0" xfId="2" applyNumberFormat="1" applyFont="1"/>
    <xf numFmtId="175" fontId="10" fillId="0" borderId="0" xfId="1" applyNumberFormat="1" applyFont="1" applyFill="1"/>
    <xf numFmtId="178" fontId="10" fillId="0" borderId="0" xfId="2" applyNumberFormat="1" applyFont="1" applyFill="1"/>
    <xf numFmtId="0" fontId="4" fillId="0" borderId="0" xfId="7"/>
    <xf numFmtId="0" fontId="35" fillId="0" borderId="0" xfId="7" applyFont="1" applyAlignment="1">
      <alignment vertical="center"/>
    </xf>
    <xf numFmtId="0" fontId="36" fillId="0" borderId="0" xfId="7" applyFont="1" applyAlignment="1">
      <alignment vertical="center"/>
    </xf>
    <xf numFmtId="0" fontId="37" fillId="0" borderId="0" xfId="7" applyFont="1"/>
    <xf numFmtId="0" fontId="38" fillId="0" borderId="0" xfId="7" applyFont="1" applyAlignment="1">
      <alignment horizontal="center" vertical="center"/>
    </xf>
    <xf numFmtId="0" fontId="4" fillId="0" borderId="0" xfId="7" applyAlignment="1">
      <alignment horizontal="center"/>
    </xf>
    <xf numFmtId="0" fontId="38" fillId="0" borderId="0" xfId="7" applyFont="1" applyAlignment="1">
      <alignment vertical="center"/>
    </xf>
    <xf numFmtId="0" fontId="38" fillId="0" borderId="0" xfId="7" applyFont="1" applyAlignment="1">
      <alignment horizontal="left" vertical="center"/>
    </xf>
    <xf numFmtId="2" fontId="39" fillId="0" borderId="0" xfId="7" applyNumberFormat="1" applyFont="1" applyAlignment="1">
      <alignment vertical="center"/>
    </xf>
    <xf numFmtId="2" fontId="4" fillId="0" borderId="0" xfId="7" applyNumberFormat="1"/>
    <xf numFmtId="0" fontId="39" fillId="0" borderId="0" xfId="7" applyFont="1" applyAlignment="1">
      <alignment vertical="center"/>
    </xf>
    <xf numFmtId="0" fontId="40" fillId="0" borderId="0" xfId="7" applyFont="1" applyAlignment="1">
      <alignment vertical="center"/>
    </xf>
    <xf numFmtId="0" fontId="41" fillId="0" borderId="0" xfId="7" applyFont="1" applyAlignment="1">
      <alignment vertical="center"/>
    </xf>
    <xf numFmtId="0" fontId="42" fillId="0" borderId="0" xfId="7" applyFont="1" applyAlignment="1">
      <alignment vertical="center"/>
    </xf>
    <xf numFmtId="0" fontId="38" fillId="0" borderId="0" xfId="7" applyFont="1" applyAlignment="1">
      <alignment horizontal="justify" vertical="center"/>
    </xf>
    <xf numFmtId="4" fontId="39" fillId="0" borderId="0" xfId="7" applyNumberFormat="1" applyFont="1" applyAlignment="1">
      <alignment vertical="center"/>
    </xf>
    <xf numFmtId="176" fontId="39" fillId="0" borderId="0" xfId="7" applyNumberFormat="1" applyFont="1" applyAlignment="1">
      <alignment vertical="center"/>
    </xf>
    <xf numFmtId="4" fontId="4" fillId="0" borderId="0" xfId="7" applyNumberFormat="1"/>
    <xf numFmtId="0" fontId="38" fillId="0" borderId="0" xfId="7" applyFont="1" applyAlignment="1">
      <alignment horizontal="left" vertical="center" indent="2"/>
    </xf>
    <xf numFmtId="178" fontId="39" fillId="0" borderId="0" xfId="7" applyNumberFormat="1" applyFont="1" applyAlignment="1">
      <alignment vertical="center"/>
    </xf>
    <xf numFmtId="0" fontId="36" fillId="0" borderId="0" xfId="7" applyFont="1" applyAlignment="1">
      <alignment horizontal="center" vertical="center"/>
    </xf>
    <xf numFmtId="0" fontId="38" fillId="0" borderId="0" xfId="7" applyFont="1"/>
    <xf numFmtId="0" fontId="33" fillId="0" borderId="0" xfId="7" applyFont="1"/>
    <xf numFmtId="2" fontId="2" fillId="0" borderId="0" xfId="7" applyNumberFormat="1" applyFont="1"/>
    <xf numFmtId="182" fontId="38" fillId="0" borderId="0" xfId="7" applyNumberFormat="1" applyFont="1" applyAlignment="1">
      <alignment vertical="center"/>
    </xf>
    <xf numFmtId="182" fontId="2" fillId="0" borderId="0" xfId="7" applyNumberFormat="1" applyFont="1" applyAlignment="1">
      <alignment vertical="center"/>
    </xf>
    <xf numFmtId="0" fontId="33" fillId="0" borderId="0" xfId="7" applyFont="1" applyAlignment="1">
      <alignment horizontal="center"/>
    </xf>
    <xf numFmtId="0" fontId="2" fillId="0" borderId="0" xfId="7" applyFont="1"/>
    <xf numFmtId="0" fontId="35" fillId="0" borderId="0" xfId="7" applyFont="1" applyAlignment="1">
      <alignment horizontal="center" vertical="center"/>
    </xf>
    <xf numFmtId="182" fontId="4" fillId="0" borderId="0" xfId="7" applyNumberFormat="1"/>
    <xf numFmtId="0" fontId="43" fillId="0" borderId="0" xfId="7" applyFont="1" applyAlignment="1">
      <alignment vertical="center"/>
    </xf>
    <xf numFmtId="0" fontId="44" fillId="0" borderId="0" xfId="7" applyFont="1" applyAlignment="1">
      <alignment vertical="center"/>
    </xf>
    <xf numFmtId="0" fontId="45" fillId="0" borderId="0" xfId="7" applyFont="1" applyAlignment="1">
      <alignment vertical="center"/>
    </xf>
    <xf numFmtId="0" fontId="49" fillId="0" borderId="0" xfId="7" applyFont="1"/>
    <xf numFmtId="0" fontId="44" fillId="0" borderId="0" xfId="7" applyFont="1" applyAlignment="1">
      <alignment horizontal="justify" vertical="center"/>
    </xf>
    <xf numFmtId="5" fontId="10" fillId="0" borderId="0" xfId="2" applyNumberFormat="1" applyFont="1" applyFill="1"/>
    <xf numFmtId="179" fontId="10" fillId="0" borderId="0" xfId="1" applyNumberFormat="1" applyFont="1" applyFill="1" applyAlignment="1">
      <alignment vertical="center"/>
    </xf>
    <xf numFmtId="5" fontId="10" fillId="0" borderId="3" xfId="2" applyNumberFormat="1" applyFont="1" applyFill="1" applyBorder="1"/>
    <xf numFmtId="178" fontId="4" fillId="0" borderId="0" xfId="7" applyNumberFormat="1" applyAlignment="1">
      <alignment horizontal="center"/>
    </xf>
    <xf numFmtId="8" fontId="38" fillId="0" borderId="0" xfId="7" applyNumberFormat="1" applyFont="1" applyAlignment="1">
      <alignment vertical="center"/>
    </xf>
    <xf numFmtId="0" fontId="52" fillId="2" borderId="12" xfId="7" applyFont="1" applyFill="1" applyBorder="1"/>
    <xf numFmtId="44" fontId="9" fillId="0" borderId="0" xfId="2" applyFont="1" applyFill="1" applyAlignment="1" applyProtection="1">
      <alignment horizontal="center"/>
    </xf>
    <xf numFmtId="164" fontId="10" fillId="0" borderId="0" xfId="2" applyNumberFormat="1" applyFont="1" applyFill="1" applyAlignment="1">
      <alignment vertical="center"/>
    </xf>
    <xf numFmtId="179" fontId="10" fillId="0" borderId="0" xfId="2" applyNumberFormat="1" applyFont="1" applyFill="1" applyBorder="1" applyProtection="1"/>
    <xf numFmtId="37" fontId="9" fillId="0" borderId="0" xfId="0" applyFont="1"/>
    <xf numFmtId="37" fontId="8" fillId="0" borderId="0" xfId="0" applyFont="1"/>
    <xf numFmtId="37" fontId="8" fillId="0" borderId="0" xfId="0" applyFont="1" applyAlignment="1">
      <alignment horizontal="right"/>
    </xf>
    <xf numFmtId="37" fontId="13" fillId="0" borderId="0" xfId="0" applyFont="1" applyAlignment="1">
      <alignment horizontal="left"/>
    </xf>
    <xf numFmtId="37" fontId="9" fillId="0" borderId="0" xfId="0" applyFont="1" applyAlignment="1">
      <alignment horizontal="right"/>
    </xf>
    <xf numFmtId="37" fontId="9" fillId="0" borderId="0" xfId="0" applyFont="1" applyAlignment="1">
      <alignment horizontal="center"/>
    </xf>
    <xf numFmtId="181" fontId="9" fillId="0" borderId="0" xfId="0" applyNumberFormat="1" applyFont="1" applyAlignment="1">
      <alignment horizontal="center"/>
    </xf>
    <xf numFmtId="37" fontId="15" fillId="0" borderId="0" xfId="0" applyFont="1" applyAlignment="1">
      <alignment horizontal="center"/>
    </xf>
    <xf numFmtId="37" fontId="15" fillId="0" borderId="0" xfId="0" applyFont="1"/>
    <xf numFmtId="37" fontId="9" fillId="0" borderId="0" xfId="0" applyFont="1" applyAlignment="1">
      <alignment horizontal="left"/>
    </xf>
    <xf numFmtId="164" fontId="9" fillId="0" borderId="0" xfId="0" applyNumberFormat="1" applyFont="1" applyAlignment="1">
      <alignment horizontal="center"/>
    </xf>
    <xf numFmtId="164" fontId="9" fillId="0" borderId="0" xfId="0" applyNumberFormat="1" applyFont="1"/>
    <xf numFmtId="164" fontId="10" fillId="0" borderId="0" xfId="0" applyNumberFormat="1" applyFont="1"/>
    <xf numFmtId="164" fontId="15" fillId="0" borderId="0" xfId="0" applyNumberFormat="1" applyFont="1" applyAlignment="1">
      <alignment horizontal="center"/>
    </xf>
    <xf numFmtId="164" fontId="15" fillId="0" borderId="0" xfId="0" applyNumberFormat="1" applyFont="1"/>
    <xf numFmtId="165" fontId="9" fillId="0" borderId="0" xfId="0" applyNumberFormat="1" applyFont="1"/>
    <xf numFmtId="165" fontId="10" fillId="0" borderId="0" xfId="0" applyNumberFormat="1" applyFont="1"/>
    <xf numFmtId="37" fontId="17" fillId="0" borderId="0" xfId="0" applyFont="1"/>
    <xf numFmtId="37" fontId="29" fillId="0" borderId="0" xfId="0" applyFont="1" applyAlignment="1">
      <alignment horizontal="left"/>
    </xf>
    <xf numFmtId="37" fontId="20" fillId="0" borderId="0" xfId="0" applyFont="1" applyAlignment="1">
      <alignment horizontal="center"/>
    </xf>
    <xf numFmtId="37" fontId="21" fillId="0" borderId="0" xfId="0" applyFont="1" applyAlignment="1">
      <alignment horizontal="center"/>
    </xf>
    <xf numFmtId="37" fontId="20" fillId="0" borderId="0" xfId="0" applyFont="1"/>
    <xf numFmtId="168" fontId="20" fillId="0" borderId="0" xfId="0" applyNumberFormat="1" applyFont="1"/>
    <xf numFmtId="37" fontId="9" fillId="0" borderId="0" xfId="0" quotePrefix="1" applyFont="1" applyAlignment="1">
      <alignment horizontal="center"/>
    </xf>
    <xf numFmtId="49" fontId="9" fillId="0" borderId="0" xfId="0" applyNumberFormat="1" applyFont="1" applyAlignment="1">
      <alignment horizontal="center"/>
    </xf>
    <xf numFmtId="164" fontId="22" fillId="0" borderId="0" xfId="0" applyNumberFormat="1" applyFont="1"/>
    <xf numFmtId="168" fontId="9" fillId="0" borderId="0" xfId="0" applyNumberFormat="1" applyFont="1"/>
    <xf numFmtId="186" fontId="9" fillId="0" borderId="0" xfId="0" applyNumberFormat="1" applyFont="1"/>
    <xf numFmtId="37" fontId="12" fillId="0" borderId="0" xfId="0" applyFont="1" applyAlignment="1">
      <alignment horizontal="left"/>
    </xf>
    <xf numFmtId="166" fontId="9" fillId="0" borderId="0" xfId="0" applyNumberFormat="1" applyFont="1"/>
    <xf numFmtId="167" fontId="10" fillId="0" borderId="0" xfId="0" applyNumberFormat="1" applyFont="1"/>
    <xf numFmtId="37" fontId="23" fillId="0" borderId="0" xfId="0" applyFont="1"/>
    <xf numFmtId="37" fontId="23" fillId="0" borderId="0" xfId="0" applyFont="1" applyAlignment="1">
      <alignment horizontal="center"/>
    </xf>
    <xf numFmtId="37" fontId="23" fillId="0" borderId="0" xfId="0" applyFont="1" applyAlignment="1">
      <alignment horizontal="left"/>
    </xf>
    <xf numFmtId="37" fontId="14" fillId="0" borderId="0" xfId="0" applyFont="1" applyAlignment="1">
      <alignment horizontal="left"/>
    </xf>
    <xf numFmtId="37" fontId="10" fillId="0" borderId="0" xfId="0" applyFont="1" applyAlignment="1">
      <alignment horizontal="right"/>
    </xf>
    <xf numFmtId="37" fontId="12" fillId="0" borderId="3" xfId="0" applyFont="1" applyBorder="1" applyAlignment="1">
      <alignment horizontal="center"/>
    </xf>
    <xf numFmtId="37" fontId="19" fillId="0" borderId="0" xfId="0" applyFont="1" applyAlignment="1">
      <alignment horizontal="right"/>
    </xf>
    <xf numFmtId="37" fontId="10" fillId="0" borderId="0" xfId="0" applyFont="1" applyAlignment="1">
      <alignment horizontal="left" indent="1"/>
    </xf>
    <xf numFmtId="37" fontId="10" fillId="0" borderId="0" xfId="0" applyFont="1" applyAlignment="1">
      <alignment horizontal="left" indent="2"/>
    </xf>
    <xf numFmtId="171" fontId="10" fillId="0" borderId="0" xfId="2" applyNumberFormat="1" applyFont="1" applyFill="1" applyProtection="1"/>
    <xf numFmtId="179" fontId="10" fillId="0" borderId="0" xfId="1" applyNumberFormat="1" applyFont="1" applyFill="1" applyProtection="1"/>
    <xf numFmtId="178" fontId="10" fillId="0" borderId="0" xfId="2" applyNumberFormat="1" applyFont="1" applyFill="1" applyProtection="1"/>
    <xf numFmtId="179" fontId="28" fillId="0" borderId="0" xfId="1" applyNumberFormat="1" applyFont="1" applyFill="1" applyProtection="1"/>
    <xf numFmtId="179" fontId="10" fillId="0" borderId="0" xfId="0" applyNumberFormat="1" applyFont="1"/>
    <xf numFmtId="179" fontId="10" fillId="0" borderId="0" xfId="2" applyNumberFormat="1" applyFont="1" applyFill="1"/>
    <xf numFmtId="37" fontId="27" fillId="0" borderId="0" xfId="0" applyFont="1"/>
    <xf numFmtId="170" fontId="10" fillId="0" borderId="0" xfId="2" applyNumberFormat="1" applyFont="1" applyFill="1" applyBorder="1"/>
    <xf numFmtId="171" fontId="10" fillId="0" borderId="0" xfId="2" applyNumberFormat="1" applyFont="1" applyFill="1"/>
    <xf numFmtId="172" fontId="10" fillId="0" borderId="0" xfId="0" applyNumberFormat="1" applyFont="1"/>
    <xf numFmtId="178" fontId="16" fillId="0" borderId="0" xfId="1" applyNumberFormat="1" applyFont="1" applyFill="1" applyBorder="1"/>
    <xf numFmtId="178" fontId="10" fillId="0" borderId="0" xfId="0" applyNumberFormat="1" applyFont="1"/>
    <xf numFmtId="178" fontId="10" fillId="0" borderId="3" xfId="0" applyNumberFormat="1" applyFont="1" applyBorder="1"/>
    <xf numFmtId="178" fontId="16" fillId="0" borderId="0" xfId="0" applyNumberFormat="1" applyFont="1"/>
    <xf numFmtId="184" fontId="16" fillId="0" borderId="0" xfId="0" applyNumberFormat="1" applyFont="1" applyAlignment="1">
      <alignment horizontal="right"/>
    </xf>
    <xf numFmtId="37" fontId="29" fillId="0" borderId="0" xfId="0" applyFont="1"/>
    <xf numFmtId="179" fontId="10" fillId="0" borderId="0" xfId="6" applyNumberFormat="1" applyFont="1" applyFill="1"/>
    <xf numFmtId="37" fontId="10" fillId="0" borderId="0" xfId="0" applyFont="1" applyAlignment="1">
      <alignment horizontal="center" vertical="center"/>
    </xf>
    <xf numFmtId="37" fontId="10" fillId="0" borderId="0" xfId="0" applyFont="1" applyAlignment="1">
      <alignment vertical="center" wrapText="1"/>
    </xf>
    <xf numFmtId="37" fontId="10" fillId="0" borderId="0" xfId="0" applyFont="1" applyAlignment="1">
      <alignment vertical="center"/>
    </xf>
    <xf numFmtId="37" fontId="10" fillId="0" borderId="0" xfId="0" applyFont="1" applyAlignment="1">
      <alignment horizontal="right" vertical="center"/>
    </xf>
    <xf numFmtId="49" fontId="10" fillId="0" borderId="0" xfId="0" applyNumberFormat="1" applyFont="1" applyAlignment="1">
      <alignment horizontal="left" indent="1"/>
    </xf>
    <xf numFmtId="182" fontId="10" fillId="0" borderId="0" xfId="2" applyNumberFormat="1" applyFont="1" applyFill="1"/>
    <xf numFmtId="37" fontId="16" fillId="0" borderId="3" xfId="0" applyFont="1" applyBorder="1"/>
    <xf numFmtId="37" fontId="11" fillId="0" borderId="0" xfId="0" applyFont="1" applyAlignment="1">
      <alignment horizontal="center"/>
    </xf>
    <xf numFmtId="37" fontId="12" fillId="0" borderId="3" xfId="0" applyFont="1" applyBorder="1" applyAlignment="1">
      <alignment horizontal="center" wrapText="1"/>
    </xf>
    <xf numFmtId="37" fontId="12" fillId="0" borderId="0" xfId="0" applyFont="1" applyAlignment="1">
      <alignment horizontal="center" wrapText="1"/>
    </xf>
    <xf numFmtId="37" fontId="10" fillId="0" borderId="0" xfId="0" applyFont="1" applyAlignment="1">
      <alignment horizontal="center" wrapText="1"/>
    </xf>
    <xf numFmtId="37" fontId="19" fillId="0" borderId="0" xfId="0" applyFont="1"/>
    <xf numFmtId="171" fontId="31" fillId="0" borderId="0" xfId="2" applyNumberFormat="1" applyFont="1" applyFill="1" applyBorder="1" applyProtection="1"/>
    <xf numFmtId="173" fontId="10" fillId="0" borderId="0" xfId="0" applyNumberFormat="1" applyFont="1" applyAlignment="1">
      <alignment horizontal="left" indent="3"/>
    </xf>
    <xf numFmtId="183" fontId="10" fillId="0" borderId="0" xfId="0" applyNumberFormat="1" applyFont="1"/>
    <xf numFmtId="37" fontId="10" fillId="0" borderId="0" xfId="0" applyFont="1" applyAlignment="1">
      <alignment horizontal="left" vertical="center" wrapText="1"/>
    </xf>
    <xf numFmtId="164" fontId="10" fillId="0" borderId="0" xfId="0" applyNumberFormat="1" applyFont="1" applyAlignment="1">
      <alignment vertical="center"/>
    </xf>
    <xf numFmtId="37" fontId="10" fillId="0" borderId="0" xfId="0" applyFont="1" applyAlignment="1">
      <alignment horizontal="left" vertical="center"/>
    </xf>
    <xf numFmtId="179" fontId="10" fillId="0" borderId="0" xfId="2" applyNumberFormat="1" applyFont="1" applyFill="1" applyBorder="1" applyAlignment="1" applyProtection="1">
      <alignment vertical="center"/>
    </xf>
    <xf numFmtId="178" fontId="12" fillId="0" borderId="0" xfId="0" applyNumberFormat="1" applyFont="1"/>
    <xf numFmtId="1" fontId="12" fillId="0" borderId="0" xfId="0" applyNumberFormat="1" applyFont="1"/>
    <xf numFmtId="179" fontId="12" fillId="0" borderId="0" xfId="0" applyNumberFormat="1" applyFont="1"/>
    <xf numFmtId="1" fontId="10" fillId="0" borderId="0" xfId="0" applyNumberFormat="1" applyFont="1"/>
    <xf numFmtId="37" fontId="30" fillId="0" borderId="0" xfId="0" applyFont="1"/>
    <xf numFmtId="37" fontId="19" fillId="0" borderId="0" xfId="0" applyFont="1" applyAlignment="1">
      <alignment horizontal="center" wrapText="1"/>
    </xf>
    <xf numFmtId="37" fontId="12" fillId="0" borderId="0" xfId="0" applyFont="1" applyAlignment="1">
      <alignment wrapText="1"/>
    </xf>
    <xf numFmtId="37" fontId="10" fillId="0" borderId="0" xfId="0" applyFont="1" applyAlignment="1">
      <alignment wrapText="1"/>
    </xf>
    <xf numFmtId="17" fontId="10" fillId="0" borderId="0" xfId="0" applyNumberFormat="1" applyFont="1" applyAlignment="1">
      <alignment horizontal="left"/>
    </xf>
    <xf numFmtId="7" fontId="10" fillId="0" borderId="0" xfId="2" applyNumberFormat="1" applyFont="1" applyFill="1" applyBorder="1"/>
    <xf numFmtId="164" fontId="10" fillId="0" borderId="0" xfId="2" applyNumberFormat="1" applyFont="1" applyFill="1" applyBorder="1"/>
    <xf numFmtId="49" fontId="25" fillId="0" borderId="0" xfId="2" quotePrefix="1" applyNumberFormat="1" applyFont="1" applyFill="1"/>
    <xf numFmtId="49" fontId="25" fillId="0" borderId="0" xfId="0" quotePrefix="1" applyNumberFormat="1" applyFont="1"/>
    <xf numFmtId="49" fontId="30" fillId="0" borderId="0" xfId="0" applyNumberFormat="1" applyFont="1"/>
    <xf numFmtId="49" fontId="26" fillId="0" borderId="0" xfId="0" quotePrefix="1" applyNumberFormat="1" applyFont="1"/>
    <xf numFmtId="164" fontId="10" fillId="0" borderId="0" xfId="2" applyNumberFormat="1" applyFont="1" applyFill="1"/>
    <xf numFmtId="170" fontId="10" fillId="0" borderId="0" xfId="2" applyNumberFormat="1" applyFont="1" applyFill="1"/>
    <xf numFmtId="37" fontId="10" fillId="0" borderId="0" xfId="0" applyFont="1" applyAlignment="1">
      <alignment horizontal="center" vertical="center" wrapText="1"/>
    </xf>
    <xf numFmtId="37" fontId="16" fillId="0" borderId="0" xfId="0" applyFont="1" applyAlignment="1">
      <alignment horizontal="center" vertical="center" wrapText="1"/>
    </xf>
    <xf numFmtId="49" fontId="10" fillId="0" borderId="0" xfId="0" applyNumberFormat="1" applyFont="1" applyAlignment="1">
      <alignment horizontal="left"/>
    </xf>
    <xf numFmtId="7" fontId="10" fillId="0" borderId="0" xfId="2" applyNumberFormat="1" applyFont="1" applyFill="1"/>
    <xf numFmtId="5" fontId="10" fillId="0" borderId="0" xfId="0" applyNumberFormat="1" applyFont="1"/>
    <xf numFmtId="179" fontId="10" fillId="0" borderId="0" xfId="2" applyNumberFormat="1" applyFont="1" applyFill="1" applyBorder="1"/>
    <xf numFmtId="0" fontId="10" fillId="0" borderId="0" xfId="5" applyFont="1"/>
    <xf numFmtId="0" fontId="8" fillId="0" borderId="0" xfId="5" applyFont="1"/>
    <xf numFmtId="37" fontId="12" fillId="0" borderId="0" xfId="5" applyNumberFormat="1" applyFont="1"/>
    <xf numFmtId="0" fontId="12" fillId="0" borderId="0" xfId="5" applyFont="1"/>
    <xf numFmtId="0" fontId="10" fillId="0" borderId="0" xfId="5" applyFont="1" applyAlignment="1">
      <alignment horizontal="center"/>
    </xf>
    <xf numFmtId="0" fontId="12" fillId="0" borderId="0" xfId="5" applyFont="1" applyAlignment="1">
      <alignment horizontal="center"/>
    </xf>
    <xf numFmtId="0" fontId="12" fillId="0" borderId="3" xfId="5" applyFont="1" applyBorder="1" applyAlignment="1">
      <alignment horizontal="center" wrapText="1"/>
    </xf>
    <xf numFmtId="0" fontId="12" fillId="0" borderId="0" xfId="5" applyFont="1" applyAlignment="1">
      <alignment horizontal="center" wrapText="1"/>
    </xf>
    <xf numFmtId="0" fontId="10" fillId="0" borderId="0" xfId="5" applyFont="1" applyAlignment="1">
      <alignment horizontal="center" wrapText="1"/>
    </xf>
    <xf numFmtId="0" fontId="10" fillId="0" borderId="0" xfId="5" applyFont="1" applyAlignment="1">
      <alignment horizontal="left" indent="1"/>
    </xf>
    <xf numFmtId="37" fontId="10" fillId="0" borderId="0" xfId="5" applyNumberFormat="1" applyFont="1"/>
    <xf numFmtId="3" fontId="24" fillId="0" borderId="0" xfId="5" applyNumberFormat="1" applyFont="1"/>
    <xf numFmtId="5" fontId="10" fillId="0" borderId="0" xfId="5" applyNumberFormat="1" applyFont="1"/>
    <xf numFmtId="178" fontId="10" fillId="0" borderId="0" xfId="5" applyNumberFormat="1" applyFont="1"/>
    <xf numFmtId="3" fontId="10" fillId="0" borderId="0" xfId="5" applyNumberFormat="1" applyFont="1"/>
    <xf numFmtId="10" fontId="10" fillId="0" borderId="0" xfId="5" applyNumberFormat="1" applyFont="1"/>
    <xf numFmtId="10" fontId="24" fillId="0" borderId="0" xfId="5" applyNumberFormat="1" applyFont="1"/>
    <xf numFmtId="0" fontId="10" fillId="0" borderId="0" xfId="5" applyFont="1" applyAlignment="1">
      <alignment horizontal="left" indent="2"/>
    </xf>
    <xf numFmtId="176" fontId="10" fillId="0" borderId="0" xfId="5" applyNumberFormat="1" applyFont="1"/>
    <xf numFmtId="172" fontId="10" fillId="0" borderId="0" xfId="5" applyNumberFormat="1" applyFont="1"/>
    <xf numFmtId="179" fontId="10" fillId="0" borderId="1" xfId="5" applyNumberFormat="1" applyFont="1" applyBorder="1" applyAlignment="1">
      <alignment horizontal="right"/>
    </xf>
    <xf numFmtId="179" fontId="10" fillId="0" borderId="2" xfId="5" applyNumberFormat="1" applyFont="1" applyBorder="1"/>
    <xf numFmtId="179" fontId="10" fillId="0" borderId="0" xfId="5" applyNumberFormat="1" applyFont="1"/>
    <xf numFmtId="178" fontId="10" fillId="0" borderId="2" xfId="5" applyNumberFormat="1" applyFont="1" applyBorder="1"/>
    <xf numFmtId="37" fontId="14" fillId="0" borderId="0" xfId="0" applyFont="1"/>
    <xf numFmtId="10" fontId="10" fillId="0" borderId="0" xfId="0" applyNumberFormat="1" applyFont="1"/>
    <xf numFmtId="5" fontId="16" fillId="0" borderId="0" xfId="0" applyNumberFormat="1" applyFont="1"/>
    <xf numFmtId="5" fontId="12" fillId="0" borderId="0" xfId="0" applyNumberFormat="1" applyFont="1"/>
    <xf numFmtId="168" fontId="12" fillId="0" borderId="0" xfId="0" applyNumberFormat="1" applyFont="1"/>
    <xf numFmtId="186" fontId="10" fillId="0" borderId="0" xfId="0" applyNumberFormat="1" applyFont="1"/>
    <xf numFmtId="0" fontId="10" fillId="0" borderId="0" xfId="3" applyFont="1"/>
    <xf numFmtId="175" fontId="10" fillId="0" borderId="0" xfId="0" applyNumberFormat="1" applyFont="1"/>
    <xf numFmtId="5" fontId="19" fillId="0" borderId="0" xfId="0" applyNumberFormat="1" applyFont="1"/>
    <xf numFmtId="5" fontId="32" fillId="0" borderId="0" xfId="0" applyNumberFormat="1" applyFont="1"/>
    <xf numFmtId="168" fontId="16" fillId="0" borderId="0" xfId="0" applyNumberFormat="1" applyFont="1"/>
    <xf numFmtId="173" fontId="10" fillId="0" borderId="0" xfId="0" applyNumberFormat="1" applyFont="1"/>
    <xf numFmtId="164" fontId="12" fillId="0" borderId="0" xfId="0" applyNumberFormat="1" applyFont="1"/>
    <xf numFmtId="164" fontId="32" fillId="0" borderId="0" xfId="0" applyNumberFormat="1" applyFont="1"/>
    <xf numFmtId="0" fontId="8" fillId="0" borderId="0" xfId="3" applyFont="1" applyAlignment="1">
      <alignment horizontal="left"/>
    </xf>
    <xf numFmtId="0" fontId="12" fillId="0" borderId="0" xfId="3" applyFont="1"/>
    <xf numFmtId="0" fontId="10" fillId="0" borderId="0" xfId="3" applyFont="1" applyAlignment="1">
      <alignment horizontal="right"/>
    </xf>
    <xf numFmtId="0" fontId="10" fillId="0" borderId="0" xfId="3" applyFont="1" applyAlignment="1">
      <alignment horizontal="left"/>
    </xf>
    <xf numFmtId="37" fontId="12" fillId="0" borderId="0" xfId="3" applyNumberFormat="1" applyFont="1" applyAlignment="1">
      <alignment horizontal="left"/>
    </xf>
    <xf numFmtId="0" fontId="12" fillId="0" borderId="3" xfId="3" applyFont="1" applyBorder="1" applyAlignment="1">
      <alignment horizontal="center" wrapText="1"/>
    </xf>
    <xf numFmtId="0" fontId="12" fillId="0" borderId="0" xfId="3" applyFont="1" applyAlignment="1">
      <alignment horizontal="center" wrapText="1"/>
    </xf>
    <xf numFmtId="0" fontId="10" fillId="0" borderId="0" xfId="3" applyFont="1" applyAlignment="1">
      <alignment wrapText="1"/>
    </xf>
    <xf numFmtId="0" fontId="10" fillId="0" borderId="0" xfId="3" applyFont="1" applyAlignment="1">
      <alignment horizontal="center" wrapText="1"/>
    </xf>
    <xf numFmtId="49" fontId="10" fillId="0" borderId="0" xfId="3" applyNumberFormat="1" applyFont="1" applyAlignment="1">
      <alignment horizontal="center" wrapText="1"/>
    </xf>
    <xf numFmtId="49" fontId="10" fillId="0" borderId="0" xfId="3" applyNumberFormat="1" applyFont="1" applyAlignment="1">
      <alignment wrapText="1"/>
    </xf>
    <xf numFmtId="0" fontId="12" fillId="0" borderId="0" xfId="3" applyFont="1" applyAlignment="1">
      <alignment horizontal="center"/>
    </xf>
    <xf numFmtId="0" fontId="12" fillId="0" borderId="0" xfId="3" applyFont="1" applyAlignment="1">
      <alignment horizontal="left"/>
    </xf>
    <xf numFmtId="0" fontId="10" fillId="0" borderId="0" xfId="3" applyFont="1" applyAlignment="1">
      <alignment horizontal="center"/>
    </xf>
    <xf numFmtId="0" fontId="10" fillId="0" borderId="0" xfId="3" applyFont="1" applyAlignment="1">
      <alignment horizontal="left" indent="1"/>
    </xf>
    <xf numFmtId="175" fontId="28" fillId="0" borderId="0" xfId="1" applyNumberFormat="1" applyFont="1" applyFill="1"/>
    <xf numFmtId="10" fontId="10" fillId="0" borderId="0" xfId="6" applyNumberFormat="1" applyFont="1" applyFill="1"/>
    <xf numFmtId="1" fontId="10" fillId="0" borderId="0" xfId="1" applyNumberFormat="1" applyFont="1" applyFill="1"/>
    <xf numFmtId="170" fontId="10" fillId="0" borderId="0" xfId="3" applyNumberFormat="1" applyFont="1"/>
    <xf numFmtId="164" fontId="10" fillId="0" borderId="0" xfId="3" applyNumberFormat="1" applyFont="1"/>
    <xf numFmtId="0" fontId="10" fillId="0" borderId="0" xfId="3" quotePrefix="1" applyFont="1" applyAlignment="1">
      <alignment horizontal="center"/>
    </xf>
    <xf numFmtId="0" fontId="10" fillId="0" borderId="0" xfId="3" applyFont="1" applyAlignment="1">
      <alignment horizontal="center" vertical="center"/>
    </xf>
    <xf numFmtId="0" fontId="10" fillId="0" borderId="0" xfId="3" applyFont="1" applyAlignment="1">
      <alignment vertical="center"/>
    </xf>
    <xf numFmtId="170" fontId="10" fillId="0" borderId="0" xfId="2" applyNumberFormat="1" applyFont="1" applyFill="1" applyAlignment="1">
      <alignment vertical="center"/>
    </xf>
    <xf numFmtId="164" fontId="16" fillId="0" borderId="0" xfId="2" applyNumberFormat="1" applyFont="1" applyFill="1"/>
    <xf numFmtId="0" fontId="20" fillId="0" borderId="0" xfId="3" applyFont="1"/>
    <xf numFmtId="177" fontId="10" fillId="0" borderId="0" xfId="6" applyNumberFormat="1" applyFont="1" applyFill="1"/>
    <xf numFmtId="0" fontId="14" fillId="0" borderId="0" xfId="3" applyFont="1" applyAlignment="1">
      <alignment horizontal="left"/>
    </xf>
    <xf numFmtId="0" fontId="10" fillId="0" borderId="3" xfId="3" applyFont="1" applyBorder="1" applyAlignment="1">
      <alignment wrapText="1"/>
    </xf>
    <xf numFmtId="0" fontId="12" fillId="0" borderId="0" xfId="3" applyFont="1" applyAlignment="1">
      <alignment horizontal="left" indent="2"/>
    </xf>
    <xf numFmtId="175" fontId="10" fillId="0" borderId="0" xfId="3" applyNumberFormat="1" applyFont="1"/>
    <xf numFmtId="183" fontId="10" fillId="0" borderId="0" xfId="2" applyNumberFormat="1" applyFont="1" applyFill="1"/>
    <xf numFmtId="44" fontId="10" fillId="0" borderId="0" xfId="2" applyFont="1" applyFill="1"/>
    <xf numFmtId="179" fontId="16" fillId="0" borderId="0" xfId="2" applyNumberFormat="1" applyFont="1" applyFill="1"/>
    <xf numFmtId="179" fontId="10" fillId="0" borderId="0" xfId="3" applyNumberFormat="1" applyFont="1"/>
    <xf numFmtId="171" fontId="10" fillId="0" borderId="0" xfId="3" applyNumberFormat="1" applyFont="1"/>
    <xf numFmtId="0" fontId="29" fillId="0" borderId="0" xfId="4" applyFont="1"/>
    <xf numFmtId="0" fontId="51" fillId="0" borderId="0" xfId="4" applyFont="1"/>
    <xf numFmtId="0" fontId="29" fillId="0" borderId="0" xfId="4" applyFont="1" applyAlignment="1">
      <alignment horizontal="right"/>
    </xf>
    <xf numFmtId="0" fontId="51" fillId="0" borderId="0" xfId="4" applyFont="1" applyAlignment="1">
      <alignment horizontal="right"/>
    </xf>
    <xf numFmtId="0" fontId="51" fillId="0" borderId="0" xfId="4" applyFont="1" applyAlignment="1">
      <alignment horizontal="center"/>
    </xf>
    <xf numFmtId="178" fontId="51" fillId="0" borderId="0" xfId="4" applyNumberFormat="1" applyFont="1"/>
    <xf numFmtId="185" fontId="53" fillId="0" borderId="0" xfId="4" applyNumberFormat="1" applyFont="1"/>
    <xf numFmtId="0" fontId="51" fillId="0" borderId="0" xfId="4" applyFont="1" applyAlignment="1">
      <alignment horizontal="centerContinuous"/>
    </xf>
    <xf numFmtId="169" fontId="51" fillId="0" borderId="0" xfId="1" applyNumberFormat="1" applyFont="1" applyFill="1"/>
    <xf numFmtId="179" fontId="51" fillId="0" borderId="0" xfId="4" applyNumberFormat="1" applyFont="1"/>
    <xf numFmtId="182" fontId="51" fillId="0" borderId="0" xfId="4" applyNumberFormat="1" applyFont="1"/>
    <xf numFmtId="185" fontId="51" fillId="0" borderId="0" xfId="4" applyNumberFormat="1" applyFont="1"/>
    <xf numFmtId="178" fontId="53" fillId="0" borderId="0" xfId="4" applyNumberFormat="1" applyFont="1"/>
    <xf numFmtId="185" fontId="29" fillId="0" borderId="11" xfId="4" applyNumberFormat="1" applyFont="1" applyBorder="1"/>
    <xf numFmtId="0" fontId="29" fillId="0" borderId="0" xfId="4" applyFont="1" applyAlignment="1">
      <alignment horizontal="centerContinuous"/>
    </xf>
    <xf numFmtId="164" fontId="51" fillId="0" borderId="0" xfId="4" applyNumberFormat="1" applyFont="1"/>
    <xf numFmtId="37" fontId="12" fillId="0" borderId="3" xfId="0" applyFont="1" applyBorder="1" applyAlignment="1">
      <alignment horizontal="center"/>
    </xf>
    <xf numFmtId="37" fontId="12" fillId="0" borderId="3" xfId="0" applyFont="1" applyBorder="1" applyAlignment="1">
      <alignment horizontal="center" wrapText="1"/>
    </xf>
    <xf numFmtId="0" fontId="12" fillId="0" borderId="3" xfId="3" applyFont="1" applyBorder="1" applyAlignment="1">
      <alignment horizontal="center" wrapText="1"/>
    </xf>
    <xf numFmtId="0" fontId="34" fillId="0" borderId="0" xfId="7" applyFont="1" applyAlignment="1">
      <alignment horizontal="center"/>
    </xf>
    <xf numFmtId="0" fontId="35" fillId="0" borderId="0" xfId="7" applyFont="1" applyAlignment="1">
      <alignment horizontal="center" vertical="center"/>
    </xf>
    <xf numFmtId="0" fontId="54" fillId="0" borderId="5" xfId="7" applyFont="1" applyBorder="1" applyAlignment="1">
      <alignment horizontal="left" wrapText="1"/>
    </xf>
    <xf numFmtId="0" fontId="54" fillId="0" borderId="4" xfId="7" applyFont="1" applyBorder="1" applyAlignment="1">
      <alignment horizontal="left" wrapText="1"/>
    </xf>
    <xf numFmtId="0" fontId="54" fillId="0" borderId="6" xfId="7" applyFont="1" applyBorder="1" applyAlignment="1">
      <alignment horizontal="left" wrapText="1"/>
    </xf>
    <xf numFmtId="0" fontId="54" fillId="0" borderId="7" xfId="7" applyFont="1" applyBorder="1" applyAlignment="1">
      <alignment horizontal="left" wrapText="1"/>
    </xf>
    <xf numFmtId="0" fontId="54" fillId="0" borderId="0" xfId="7" applyFont="1" applyAlignment="1">
      <alignment horizontal="left" wrapText="1"/>
    </xf>
    <xf numFmtId="0" fontId="54" fillId="0" borderId="8" xfId="7" applyFont="1" applyBorder="1" applyAlignment="1">
      <alignment horizontal="left" wrapText="1"/>
    </xf>
    <xf numFmtId="0" fontId="54" fillId="0" borderId="9" xfId="7" applyFont="1" applyBorder="1" applyAlignment="1">
      <alignment horizontal="left" wrapText="1"/>
    </xf>
    <xf numFmtId="0" fontId="54" fillId="0" borderId="3" xfId="7" applyFont="1" applyBorder="1" applyAlignment="1">
      <alignment horizontal="left" wrapText="1"/>
    </xf>
    <xf numFmtId="0" fontId="54" fillId="0" borderId="10" xfId="7" applyFont="1" applyBorder="1" applyAlignment="1">
      <alignment horizontal="left" wrapText="1"/>
    </xf>
  </cellXfs>
  <cellStyles count="17">
    <cellStyle name="Comma" xfId="1" builtinId="3"/>
    <cellStyle name="Comma 2" xfId="8" xr:uid="{00000000-0005-0000-0000-000001000000}"/>
    <cellStyle name="Comma 2 2" xfId="16" xr:uid="{00000000-0005-0000-0000-000002000000}"/>
    <cellStyle name="Comma 3" xfId="10" xr:uid="{00000000-0005-0000-0000-000003000000}"/>
    <cellStyle name="Currency" xfId="2" builtinId="4"/>
    <cellStyle name="Normal" xfId="0" builtinId="0"/>
    <cellStyle name="Normal 2" xfId="7" xr:uid="{00000000-0005-0000-0000-000006000000}"/>
    <cellStyle name="Normal 2 2" xfId="12" xr:uid="{00000000-0005-0000-0000-000007000000}"/>
    <cellStyle name="Normal 2 3" xfId="15" xr:uid="{00000000-0005-0000-0000-000008000000}"/>
    <cellStyle name="Normal 3" xfId="9" xr:uid="{00000000-0005-0000-0000-000009000000}"/>
    <cellStyle name="Normal 4" xfId="13" xr:uid="{00000000-0005-0000-0000-00000A000000}"/>
    <cellStyle name="Normal 6" xfId="14" xr:uid="{00000000-0005-0000-0000-00000B000000}"/>
    <cellStyle name="Normal_Bal charge Apr05" xfId="3" xr:uid="{00000000-0005-0000-0000-00000C000000}"/>
    <cellStyle name="Normal_Demand-Commodity Split for tariff" xfId="4" xr:uid="{00000000-0005-0000-0000-00000D000000}"/>
    <cellStyle name="Normal_GCR allocate retention cost" xfId="5" xr:uid="{00000000-0005-0000-0000-00000E000000}"/>
    <cellStyle name="Percent" xfId="6" builtinId="5"/>
    <cellStyle name="Percent 2" xfId="11" xr:uid="{00000000-0005-0000-0000-000010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CCFF"/>
      <color rgb="FFCCFFCC"/>
      <color rgb="FFFFFF66"/>
      <color rgb="FF0000FF"/>
      <color rgb="FFCCFF99"/>
      <color rgb="FFFF6699"/>
      <color rgb="FFFF0066"/>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CKY\EGC\03-2019\DRAFT%20March%202019%20GCA%20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
      <sheetName val="1 EGC"/>
      <sheetName val="2 UnitDemCost"/>
      <sheetName val="3 DemCost"/>
      <sheetName val="4 DemCr"/>
      <sheetName val="5 NonApp"/>
      <sheetName val="6 App"/>
      <sheetName val="7 AnnRet"/>
      <sheetName val="8 BankBal"/>
      <sheetName val="AttE ChoBalCharge"/>
      <sheetName val="StoCommCost"/>
      <sheetName val="detail TariffSplit"/>
      <sheetName val="Page 5 DO NOT FILE"/>
      <sheetName val="Page 6 DO NOT FILE"/>
      <sheetName val="Page 7 DO NOT FILE"/>
      <sheetName val="Appendix for SVGTS Correction"/>
      <sheetName val="Macros"/>
    </sheetNames>
    <sheetDataSet>
      <sheetData sheetId="0"/>
      <sheetData sheetId="1" refreshError="1"/>
      <sheetData sheetId="2" refreshError="1"/>
      <sheetData sheetId="3" refreshError="1"/>
      <sheetData sheetId="4">
        <row r="27">
          <cell r="E27">
            <v>6.6344000000000003</v>
          </cell>
        </row>
      </sheetData>
      <sheetData sheetId="5" refreshError="1"/>
      <sheetData sheetId="6" refreshError="1"/>
      <sheetData sheetId="7" refreshError="1"/>
      <sheetData sheetId="8">
        <row r="53">
          <cell r="G53">
            <v>2.1600000000000001E-2</v>
          </cell>
        </row>
      </sheetData>
      <sheetData sheetId="9">
        <row r="40">
          <cell r="L40">
            <v>1.2774000000000001</v>
          </cell>
        </row>
      </sheetData>
      <sheetData sheetId="10" refreshError="1"/>
      <sheetData sheetId="11">
        <row r="14">
          <cell r="C14">
            <v>1.3956</v>
          </cell>
        </row>
      </sheetData>
      <sheetData sheetId="12"/>
      <sheetData sheetId="13" refreshError="1"/>
      <sheetData sheetId="14" refreshError="1"/>
      <sheetData sheetId="15"/>
      <sheetData sheetId="1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syncVertical="1" syncRef="A38" transitionEvaluation="1" transitionEntry="1" codeName="Sheet2"/>
  <dimension ref="A1:AR269"/>
  <sheetViews>
    <sheetView showGridLines="0" tabSelected="1" topLeftCell="A38" zoomScaleNormal="100" zoomScaleSheetLayoutView="90" workbookViewId="0">
      <selection activeCell="G42" sqref="G42"/>
    </sheetView>
  </sheetViews>
  <sheetFormatPr defaultColWidth="9.81640625" defaultRowHeight="13" x14ac:dyDescent="0.3"/>
  <cols>
    <col min="1" max="1" width="5" style="2" customWidth="1"/>
    <col min="2" max="2" width="51.453125" style="2" bestFit="1" customWidth="1"/>
    <col min="3" max="3" width="17.1796875" style="2" customWidth="1"/>
    <col min="4" max="4" width="24" style="2" bestFit="1" customWidth="1"/>
    <col min="5" max="5" width="15.81640625" style="2" bestFit="1" customWidth="1"/>
    <col min="6" max="6" width="14.1796875" style="2" customWidth="1"/>
    <col min="7" max="7" width="25.7265625" style="2" customWidth="1"/>
    <col min="8" max="8" width="7.453125" style="2" customWidth="1"/>
    <col min="9" max="9" width="6.81640625" style="2" customWidth="1"/>
    <col min="10" max="10" width="12.81640625" style="2" customWidth="1"/>
    <col min="11" max="12" width="9.81640625" style="2"/>
    <col min="13" max="13" width="7.81640625" style="2" customWidth="1"/>
    <col min="14" max="14" width="5" style="2" customWidth="1"/>
    <col min="15" max="15" width="35.81640625" style="2" customWidth="1"/>
    <col min="16" max="16" width="12.81640625" style="2" customWidth="1"/>
    <col min="17" max="17" width="14" style="2" customWidth="1"/>
    <col min="18" max="18" width="14.1796875" style="2" customWidth="1"/>
    <col min="19" max="19" width="13.81640625" style="2" customWidth="1"/>
    <col min="20" max="20" width="10" style="2" customWidth="1"/>
    <col min="21" max="21" width="11.81640625" style="2" customWidth="1"/>
    <col min="22" max="25" width="9.81640625" style="2"/>
    <col min="26" max="27" width="12.81640625" style="2" customWidth="1"/>
    <col min="28" max="28" width="9.81640625" style="2"/>
    <col min="29" max="29" width="11.81640625" style="2" customWidth="1"/>
    <col min="30" max="30" width="9.81640625" style="2"/>
    <col min="31" max="32" width="11.81640625" style="2" customWidth="1"/>
    <col min="33" max="33" width="12.81640625" style="2" customWidth="1"/>
    <col min="34" max="34" width="1.81640625" style="2" customWidth="1"/>
    <col min="35" max="35" width="12.81640625" style="2" customWidth="1"/>
    <col min="36" max="38" width="11.81640625" style="2" customWidth="1"/>
    <col min="39" max="39" width="9.81640625" style="2" customWidth="1"/>
    <col min="40" max="40" width="11.81640625" style="2" customWidth="1"/>
    <col min="41" max="41" width="10.81640625" style="2" customWidth="1"/>
    <col min="42" max="42" width="30.81640625" style="2" customWidth="1"/>
    <col min="43" max="43" width="12.81640625" style="2" customWidth="1"/>
    <col min="44" max="44" width="13.81640625" style="2" customWidth="1"/>
    <col min="45" max="45" width="11.81640625" style="2" customWidth="1"/>
    <col min="46" max="16384" width="9.81640625" style="2"/>
  </cols>
  <sheetData>
    <row r="1" spans="1:9" ht="15.5" x14ac:dyDescent="0.35">
      <c r="A1" s="1" t="s">
        <v>98</v>
      </c>
      <c r="B1" s="72"/>
      <c r="D1" s="72"/>
      <c r="E1" s="72"/>
      <c r="F1" s="73"/>
      <c r="G1" s="74"/>
    </row>
    <row r="2" spans="1:9" ht="15.5" x14ac:dyDescent="0.35">
      <c r="A2" s="73" t="s">
        <v>253</v>
      </c>
      <c r="B2" s="72"/>
      <c r="D2" s="72"/>
      <c r="E2" s="75"/>
      <c r="F2" s="72"/>
      <c r="G2" s="72"/>
    </row>
    <row r="3" spans="1:9" ht="15.5" x14ac:dyDescent="0.35">
      <c r="A3" s="72"/>
      <c r="B3" s="72"/>
      <c r="C3" s="72"/>
      <c r="D3" s="76"/>
      <c r="E3" s="77"/>
      <c r="F3" s="72"/>
      <c r="G3" s="72"/>
    </row>
    <row r="4" spans="1:9" ht="15.5" x14ac:dyDescent="0.35">
      <c r="A4" s="77" t="s">
        <v>4</v>
      </c>
      <c r="B4" s="72"/>
      <c r="C4" s="72"/>
      <c r="D4" s="78" t="s">
        <v>392</v>
      </c>
      <c r="E4" s="78" t="s">
        <v>393</v>
      </c>
      <c r="F4" s="72"/>
      <c r="G4" s="72"/>
      <c r="I4" s="4"/>
    </row>
    <row r="5" spans="1:9" ht="15.5" x14ac:dyDescent="0.35">
      <c r="A5" s="79" t="s">
        <v>5</v>
      </c>
      <c r="B5" s="72"/>
      <c r="C5" s="72"/>
      <c r="D5" s="79" t="s">
        <v>6</v>
      </c>
      <c r="E5" s="79" t="s">
        <v>7</v>
      </c>
      <c r="F5" s="80"/>
      <c r="G5" s="79" t="s">
        <v>8</v>
      </c>
      <c r="I5" s="6"/>
    </row>
    <row r="6" spans="1:9" ht="15.5" x14ac:dyDescent="0.35">
      <c r="A6" s="72">
        <v>1</v>
      </c>
      <c r="B6" s="81" t="s">
        <v>150</v>
      </c>
      <c r="C6" s="72"/>
      <c r="D6" s="82">
        <v>2.4125999999999999</v>
      </c>
      <c r="E6" s="82">
        <f>'1 EGC'!G49</f>
        <v>1.9628999999999999</v>
      </c>
      <c r="F6" s="83"/>
      <c r="G6" s="82">
        <f>E6-D6</f>
        <v>-0.44969999999999999</v>
      </c>
    </row>
    <row r="7" spans="1:9" ht="15.5" x14ac:dyDescent="0.35">
      <c r="A7" s="72"/>
      <c r="B7" s="72"/>
      <c r="C7" s="72"/>
      <c r="D7" s="84"/>
      <c r="E7" s="82"/>
      <c r="F7" s="83"/>
      <c r="G7" s="82"/>
    </row>
    <row r="8" spans="1:9" ht="15.5" x14ac:dyDescent="0.35">
      <c r="A8" s="72">
        <v>2</v>
      </c>
      <c r="B8" s="81" t="s">
        <v>151</v>
      </c>
      <c r="C8" s="72"/>
      <c r="D8" s="85">
        <v>1.8320000000000001</v>
      </c>
      <c r="E8" s="85">
        <f>'1 EGC'!G51</f>
        <v>1.8908</v>
      </c>
      <c r="F8" s="86"/>
      <c r="G8" s="85">
        <f>E8-D8</f>
        <v>5.8799999999999963E-2</v>
      </c>
    </row>
    <row r="9" spans="1:9" ht="15.5" x14ac:dyDescent="0.35">
      <c r="A9" s="72"/>
      <c r="B9" s="72"/>
      <c r="C9" s="72"/>
      <c r="D9" s="82"/>
      <c r="E9" s="82"/>
      <c r="F9" s="83"/>
      <c r="G9" s="82"/>
    </row>
    <row r="10" spans="1:9" ht="15.5" x14ac:dyDescent="0.35">
      <c r="A10" s="72">
        <v>3</v>
      </c>
      <c r="B10" s="81" t="s">
        <v>152</v>
      </c>
      <c r="C10" s="72"/>
      <c r="D10" s="82">
        <f>D6+D8</f>
        <v>4.2446000000000002</v>
      </c>
      <c r="E10" s="82">
        <f>E6+E8</f>
        <v>3.8536999999999999</v>
      </c>
      <c r="F10" s="83"/>
      <c r="G10" s="82">
        <f>E10-D10</f>
        <v>-0.39090000000000025</v>
      </c>
    </row>
    <row r="11" spans="1:9" ht="15.5" x14ac:dyDescent="0.35">
      <c r="A11" s="72"/>
      <c r="B11" s="72"/>
      <c r="C11" s="72"/>
      <c r="D11" s="82"/>
      <c r="E11" s="82"/>
      <c r="F11" s="83"/>
      <c r="G11" s="82"/>
    </row>
    <row r="12" spans="1:9" ht="15.5" x14ac:dyDescent="0.35">
      <c r="A12" s="72">
        <v>4</v>
      </c>
      <c r="B12" s="81" t="s">
        <v>9</v>
      </c>
      <c r="C12" s="72"/>
      <c r="D12" s="82">
        <v>0</v>
      </c>
      <c r="E12" s="82">
        <f>F50</f>
        <v>0</v>
      </c>
      <c r="F12" s="83"/>
      <c r="G12" s="82">
        <f>E12-D12</f>
        <v>0</v>
      </c>
    </row>
    <row r="13" spans="1:9" ht="15.5" x14ac:dyDescent="0.35">
      <c r="A13" s="72"/>
      <c r="B13" s="72"/>
      <c r="C13" s="72"/>
      <c r="D13" s="82"/>
      <c r="E13" s="82"/>
      <c r="F13" s="83"/>
      <c r="G13" s="82"/>
    </row>
    <row r="14" spans="1:9" ht="15.5" x14ac:dyDescent="0.35">
      <c r="A14" s="72">
        <v>5</v>
      </c>
      <c r="B14" s="81" t="s">
        <v>10</v>
      </c>
      <c r="C14" s="72"/>
      <c r="D14" s="82">
        <v>-0.23208396423443275</v>
      </c>
      <c r="E14" s="82">
        <f>F54</f>
        <v>1.3882000000000001</v>
      </c>
      <c r="F14" s="83"/>
      <c r="G14" s="82">
        <f>E14-D14</f>
        <v>1.6202839642344329</v>
      </c>
    </row>
    <row r="15" spans="1:9" ht="15.5" x14ac:dyDescent="0.35">
      <c r="A15" s="72"/>
      <c r="B15" s="72"/>
      <c r="C15" s="72"/>
      <c r="D15" s="82"/>
      <c r="E15" s="82"/>
      <c r="F15" s="83"/>
      <c r="G15" s="82"/>
    </row>
    <row r="16" spans="1:9" ht="15.5" x14ac:dyDescent="0.35">
      <c r="A16" s="72">
        <v>6</v>
      </c>
      <c r="B16" s="81" t="s">
        <v>11</v>
      </c>
      <c r="C16" s="72"/>
      <c r="D16" s="82">
        <v>0</v>
      </c>
      <c r="E16" s="82">
        <f>F52</f>
        <v>0</v>
      </c>
      <c r="F16" s="83"/>
      <c r="G16" s="82">
        <f>E16-D16</f>
        <v>0</v>
      </c>
    </row>
    <row r="17" spans="1:9" ht="15.5" x14ac:dyDescent="0.35">
      <c r="A17" s="72"/>
      <c r="B17" s="72"/>
      <c r="C17" s="72"/>
      <c r="D17" s="82"/>
      <c r="E17" s="82"/>
      <c r="F17" s="83"/>
      <c r="G17" s="82"/>
    </row>
    <row r="18" spans="1:9" ht="15.5" x14ac:dyDescent="0.35">
      <c r="A18" s="72">
        <v>7</v>
      </c>
      <c r="B18" s="81" t="s">
        <v>12</v>
      </c>
      <c r="C18" s="72"/>
      <c r="D18" s="82">
        <v>-1.4779</v>
      </c>
      <c r="E18" s="82">
        <f>F43</f>
        <v>-1.5171000000000001</v>
      </c>
      <c r="F18" s="83"/>
      <c r="G18" s="82">
        <f>E18-D18</f>
        <v>-3.9200000000000124E-2</v>
      </c>
    </row>
    <row r="19" spans="1:9" ht="15.5" x14ac:dyDescent="0.35">
      <c r="A19" s="72"/>
      <c r="B19" s="72"/>
      <c r="C19" s="72"/>
      <c r="D19" s="82"/>
      <c r="E19" s="82"/>
      <c r="F19" s="83"/>
      <c r="G19" s="82"/>
    </row>
    <row r="20" spans="1:9" ht="15.5" x14ac:dyDescent="0.35">
      <c r="A20" s="72">
        <v>8</v>
      </c>
      <c r="B20" s="81" t="s">
        <v>251</v>
      </c>
      <c r="C20" s="72"/>
      <c r="D20" s="85">
        <v>0.41899999999999998</v>
      </c>
      <c r="E20" s="85">
        <f>F56</f>
        <v>0.40799999999999997</v>
      </c>
      <c r="F20" s="86"/>
      <c r="G20" s="85">
        <f>E20-D20</f>
        <v>-1.100000000000001E-2</v>
      </c>
    </row>
    <row r="21" spans="1:9" ht="15.5" x14ac:dyDescent="0.35">
      <c r="A21" s="72"/>
      <c r="B21" s="72"/>
      <c r="C21" s="72"/>
      <c r="D21" s="82"/>
      <c r="E21" s="82"/>
      <c r="F21" s="83"/>
      <c r="G21" s="82"/>
    </row>
    <row r="22" spans="1:9" ht="15.5" x14ac:dyDescent="0.35">
      <c r="A22" s="72">
        <v>9</v>
      </c>
      <c r="B22" s="81" t="s">
        <v>122</v>
      </c>
      <c r="C22" s="72"/>
      <c r="D22" s="82">
        <f>SUM(D10:D20)</f>
        <v>2.9536160357655672</v>
      </c>
      <c r="E22" s="82">
        <f>SUM(E10:E20)</f>
        <v>4.1328000000000005</v>
      </c>
      <c r="F22" s="83"/>
      <c r="G22" s="82">
        <f>E22-D22</f>
        <v>1.1791839642344333</v>
      </c>
    </row>
    <row r="23" spans="1:9" ht="15.5" x14ac:dyDescent="0.35">
      <c r="A23" s="72"/>
      <c r="B23" s="72"/>
      <c r="C23" s="72"/>
      <c r="D23" s="82"/>
      <c r="E23" s="82"/>
      <c r="F23" s="83"/>
      <c r="G23" s="82"/>
    </row>
    <row r="24" spans="1:9" ht="15.5" x14ac:dyDescent="0.35">
      <c r="A24" s="72"/>
      <c r="B24" s="72"/>
      <c r="C24" s="72"/>
      <c r="D24" s="82"/>
      <c r="E24" s="82"/>
      <c r="F24" s="83"/>
      <c r="G24" s="82"/>
    </row>
    <row r="25" spans="1:9" ht="15.5" x14ac:dyDescent="0.35">
      <c r="A25" s="72">
        <v>10</v>
      </c>
      <c r="B25" s="81" t="s">
        <v>123</v>
      </c>
      <c r="C25" s="72"/>
      <c r="D25" s="82">
        <v>3.6200000000000003E-2</v>
      </c>
      <c r="E25" s="82">
        <f>'8 BankBal'!G53</f>
        <v>3.6900000000000002E-2</v>
      </c>
      <c r="F25" s="83"/>
      <c r="G25" s="82">
        <f>E25-D25</f>
        <v>6.9999999999999923E-4</v>
      </c>
    </row>
    <row r="26" spans="1:9" ht="15.5" x14ac:dyDescent="0.35">
      <c r="A26" s="72"/>
      <c r="B26" s="72"/>
      <c r="C26" s="72"/>
      <c r="D26" s="69"/>
      <c r="E26" s="82"/>
      <c r="F26" s="83"/>
      <c r="G26" s="82"/>
    </row>
    <row r="27" spans="1:9" ht="15.5" x14ac:dyDescent="0.35">
      <c r="A27" s="72">
        <v>11</v>
      </c>
      <c r="B27" s="81" t="s">
        <v>13</v>
      </c>
      <c r="C27" s="73"/>
      <c r="D27" s="82"/>
      <c r="E27" s="82"/>
      <c r="F27" s="83"/>
      <c r="G27" s="82"/>
    </row>
    <row r="28" spans="1:9" ht="15.5" x14ac:dyDescent="0.35">
      <c r="A28" s="72">
        <v>12</v>
      </c>
      <c r="B28" s="81" t="s">
        <v>14</v>
      </c>
      <c r="C28" s="72"/>
      <c r="D28" s="82">
        <v>9.9771999999999998</v>
      </c>
      <c r="E28" s="82">
        <f>'4 DemCr'!E25</f>
        <v>10.1919</v>
      </c>
      <c r="F28" s="83"/>
      <c r="G28" s="82">
        <f>E28-D28</f>
        <v>0.21470000000000056</v>
      </c>
      <c r="I28" s="11"/>
    </row>
    <row r="29" spans="1:9" ht="15.5" x14ac:dyDescent="0.35">
      <c r="A29" s="72"/>
      <c r="B29" s="72"/>
      <c r="C29" s="72"/>
      <c r="D29" s="72"/>
      <c r="E29" s="72"/>
      <c r="F29" s="72"/>
      <c r="G29" s="72"/>
    </row>
    <row r="30" spans="1:9" ht="15.5" x14ac:dyDescent="0.35">
      <c r="A30" s="72"/>
      <c r="B30" s="72"/>
      <c r="C30" s="72"/>
      <c r="D30" s="87"/>
      <c r="E30" s="87"/>
      <c r="F30" s="87"/>
      <c r="G30" s="87"/>
      <c r="H30" s="88"/>
    </row>
    <row r="31" spans="1:9" ht="15.5" x14ac:dyDescent="0.35">
      <c r="A31" s="1" t="s">
        <v>98</v>
      </c>
      <c r="B31" s="72"/>
      <c r="D31" s="72"/>
      <c r="E31" s="72"/>
      <c r="F31" s="72"/>
      <c r="G31" s="74"/>
    </row>
    <row r="32" spans="1:9" ht="15.5" x14ac:dyDescent="0.35">
      <c r="A32" s="1" t="s">
        <v>184</v>
      </c>
      <c r="B32" s="72"/>
      <c r="D32" s="72"/>
      <c r="E32" s="72"/>
      <c r="F32" s="73"/>
      <c r="G32" s="72"/>
      <c r="I32" s="89"/>
    </row>
    <row r="33" spans="1:9" ht="15.5" x14ac:dyDescent="0.35">
      <c r="A33" s="1" t="s">
        <v>254</v>
      </c>
      <c r="B33" s="72"/>
      <c r="D33" s="72"/>
      <c r="E33" s="72"/>
      <c r="F33" s="72"/>
      <c r="G33" s="72"/>
      <c r="I33" s="89"/>
    </row>
    <row r="34" spans="1:9" ht="14.5" x14ac:dyDescent="0.35">
      <c r="A34" s="90" t="s">
        <v>401</v>
      </c>
    </row>
    <row r="35" spans="1:9" ht="15.5" x14ac:dyDescent="0.35">
      <c r="A35" s="72"/>
      <c r="B35" s="72"/>
      <c r="C35" s="72"/>
      <c r="D35" s="72"/>
      <c r="E35" s="72"/>
      <c r="F35" s="72"/>
      <c r="G35" s="72"/>
      <c r="I35" s="89"/>
    </row>
    <row r="36" spans="1:9" ht="15.5" x14ac:dyDescent="0.35">
      <c r="A36" s="72"/>
      <c r="B36" s="72"/>
      <c r="C36" s="72"/>
      <c r="D36" s="72"/>
      <c r="E36" s="72"/>
      <c r="F36" s="72"/>
      <c r="G36" s="72"/>
      <c r="I36" s="89"/>
    </row>
    <row r="37" spans="1:9" ht="15.5" x14ac:dyDescent="0.35">
      <c r="A37" s="77" t="s">
        <v>4</v>
      </c>
      <c r="B37" s="72"/>
      <c r="C37" s="72"/>
      <c r="D37" s="72"/>
      <c r="E37" s="72"/>
      <c r="F37" s="72"/>
      <c r="G37" s="72"/>
      <c r="I37" s="91"/>
    </row>
    <row r="38" spans="1:9" ht="15.5" x14ac:dyDescent="0.35">
      <c r="A38" s="79" t="s">
        <v>5</v>
      </c>
      <c r="B38" s="79" t="s">
        <v>15</v>
      </c>
      <c r="C38" s="80"/>
      <c r="D38" s="80"/>
      <c r="E38" s="80"/>
      <c r="F38" s="79" t="s">
        <v>16</v>
      </c>
      <c r="G38" s="79" t="s">
        <v>17</v>
      </c>
      <c r="H38" s="7"/>
      <c r="I38" s="92"/>
    </row>
    <row r="39" spans="1:9" ht="15.5" x14ac:dyDescent="0.35">
      <c r="A39" s="72"/>
      <c r="B39" s="72"/>
      <c r="C39" s="72"/>
      <c r="D39" s="72"/>
      <c r="E39" s="72"/>
      <c r="F39" s="72"/>
      <c r="G39" s="72"/>
      <c r="I39" s="93"/>
    </row>
    <row r="40" spans="1:9" ht="15.5" x14ac:dyDescent="0.35">
      <c r="A40" s="72"/>
      <c r="B40" s="72"/>
      <c r="C40" s="72"/>
      <c r="D40" s="72"/>
      <c r="E40" s="72"/>
      <c r="F40" s="72"/>
      <c r="G40" s="72"/>
      <c r="I40" s="93"/>
    </row>
    <row r="41" spans="1:9" ht="15.5" x14ac:dyDescent="0.35">
      <c r="A41" s="72">
        <v>1</v>
      </c>
      <c r="B41" s="81" t="s">
        <v>18</v>
      </c>
      <c r="C41" s="81" t="s">
        <v>19</v>
      </c>
      <c r="D41" s="72"/>
      <c r="E41" s="72"/>
      <c r="F41" s="83">
        <f>'1 EGC'!G53</f>
        <v>3.8536999999999999</v>
      </c>
      <c r="G41" s="3" t="s">
        <v>414</v>
      </c>
      <c r="I41" s="94"/>
    </row>
    <row r="42" spans="1:9" ht="15.5" x14ac:dyDescent="0.35">
      <c r="A42" s="72"/>
      <c r="B42" s="72"/>
      <c r="C42" s="72"/>
      <c r="D42" s="72"/>
      <c r="E42" s="72"/>
      <c r="F42" s="83"/>
      <c r="I42" s="93"/>
    </row>
    <row r="43" spans="1:9" ht="15.5" x14ac:dyDescent="0.35">
      <c r="A43" s="72">
        <v>2</v>
      </c>
      <c r="B43" s="81" t="s">
        <v>255</v>
      </c>
      <c r="C43" s="81" t="s">
        <v>21</v>
      </c>
      <c r="D43" s="72"/>
      <c r="E43" s="72"/>
      <c r="F43" s="83">
        <f>SUM(E44:E47)</f>
        <v>-1.5171000000000001</v>
      </c>
      <c r="I43" s="93"/>
    </row>
    <row r="44" spans="1:9" ht="15.5" x14ac:dyDescent="0.35">
      <c r="A44" s="72"/>
      <c r="B44" s="72"/>
      <c r="C44" s="72"/>
      <c r="D44" s="72" t="s">
        <v>394</v>
      </c>
      <c r="E44" s="83">
        <v>-0.61299999999999999</v>
      </c>
      <c r="G44" s="3" t="s">
        <v>395</v>
      </c>
      <c r="I44" s="93"/>
    </row>
    <row r="45" spans="1:9" ht="15.5" x14ac:dyDescent="0.35">
      <c r="A45" s="72"/>
      <c r="B45" s="72"/>
      <c r="C45" s="72"/>
      <c r="D45" s="72" t="s">
        <v>396</v>
      </c>
      <c r="E45" s="83">
        <v>0.1178</v>
      </c>
      <c r="G45" s="3" t="s">
        <v>397</v>
      </c>
      <c r="I45" s="93"/>
    </row>
    <row r="46" spans="1:9" ht="15.5" x14ac:dyDescent="0.35">
      <c r="A46" s="72"/>
      <c r="B46" s="72"/>
      <c r="C46" s="72"/>
      <c r="D46" s="72" t="s">
        <v>398</v>
      </c>
      <c r="E46" s="83">
        <v>0.19500000000000001</v>
      </c>
      <c r="G46" s="3" t="s">
        <v>399</v>
      </c>
      <c r="I46" s="93"/>
    </row>
    <row r="47" spans="1:9" ht="15.5" x14ac:dyDescent="0.35">
      <c r="A47" s="72"/>
      <c r="B47" s="72"/>
      <c r="C47" s="72"/>
      <c r="D47" s="72" t="s">
        <v>408</v>
      </c>
      <c r="E47" s="83">
        <v>-1.2169000000000001</v>
      </c>
      <c r="G47" s="3" t="s">
        <v>400</v>
      </c>
      <c r="I47" s="93"/>
    </row>
    <row r="48" spans="1:9" ht="15.5" x14ac:dyDescent="0.35">
      <c r="A48" s="72"/>
      <c r="B48" s="72"/>
      <c r="C48" s="72"/>
      <c r="D48" s="72"/>
      <c r="E48" s="72"/>
      <c r="F48" s="83"/>
      <c r="G48" s="3"/>
      <c r="I48" s="93"/>
    </row>
    <row r="49" spans="1:9" ht="15.5" hidden="1" x14ac:dyDescent="0.35">
      <c r="A49" s="72"/>
      <c r="B49" s="72"/>
      <c r="C49" s="72"/>
      <c r="D49" s="72"/>
      <c r="E49" s="72"/>
      <c r="F49" s="83"/>
      <c r="G49" s="72"/>
      <c r="I49" s="93"/>
    </row>
    <row r="50" spans="1:9" ht="15.5" hidden="1" x14ac:dyDescent="0.35">
      <c r="A50" s="72">
        <v>3</v>
      </c>
      <c r="B50" s="81" t="s">
        <v>20</v>
      </c>
      <c r="C50" s="81" t="s">
        <v>88</v>
      </c>
      <c r="D50" s="72"/>
      <c r="E50" s="72"/>
      <c r="F50" s="83">
        <v>0</v>
      </c>
      <c r="G50" s="95"/>
      <c r="I50" s="93"/>
    </row>
    <row r="51" spans="1:9" ht="15.5" hidden="1" x14ac:dyDescent="0.35">
      <c r="A51" s="72"/>
      <c r="B51" s="72"/>
      <c r="C51" s="72"/>
      <c r="D51" s="72"/>
      <c r="E51" s="72"/>
      <c r="F51" s="83"/>
      <c r="G51" s="72"/>
      <c r="I51" s="93"/>
    </row>
    <row r="52" spans="1:9" ht="15.5" x14ac:dyDescent="0.35">
      <c r="A52" s="72">
        <f>A43+1</f>
        <v>3</v>
      </c>
      <c r="B52" s="81" t="s">
        <v>256</v>
      </c>
      <c r="C52" s="72" t="s">
        <v>230</v>
      </c>
      <c r="D52" s="72"/>
      <c r="F52" s="83"/>
      <c r="G52" s="96"/>
      <c r="I52" s="93"/>
    </row>
    <row r="53" spans="1:9" ht="13.5" customHeight="1" x14ac:dyDescent="0.35">
      <c r="A53" s="72"/>
      <c r="B53" s="72"/>
      <c r="C53" s="72"/>
      <c r="D53" s="72"/>
      <c r="E53" s="72"/>
      <c r="F53" s="83"/>
      <c r="G53" s="72"/>
      <c r="I53" s="93"/>
    </row>
    <row r="54" spans="1:9" ht="15.5" x14ac:dyDescent="0.35">
      <c r="A54" s="72">
        <f>A52+1</f>
        <v>4</v>
      </c>
      <c r="B54" s="81" t="s">
        <v>22</v>
      </c>
      <c r="C54" s="81" t="s">
        <v>246</v>
      </c>
      <c r="D54" s="72" t="s">
        <v>408</v>
      </c>
      <c r="E54" s="72"/>
      <c r="F54" s="83">
        <v>1.3882000000000001</v>
      </c>
      <c r="G54" s="3" t="s">
        <v>395</v>
      </c>
      <c r="I54" s="93"/>
    </row>
    <row r="55" spans="1:9" ht="15.5" x14ac:dyDescent="0.35">
      <c r="A55" s="72"/>
      <c r="B55" s="72"/>
      <c r="D55" s="72"/>
      <c r="E55" s="72"/>
      <c r="I55" s="93"/>
    </row>
    <row r="56" spans="1:9" ht="15.5" x14ac:dyDescent="0.35">
      <c r="A56" s="72">
        <f>A54+1</f>
        <v>5</v>
      </c>
      <c r="B56" s="81" t="s">
        <v>252</v>
      </c>
      <c r="C56" s="81" t="s">
        <v>247</v>
      </c>
      <c r="D56" s="72" t="s">
        <v>408</v>
      </c>
      <c r="E56" s="72"/>
      <c r="F56" s="83">
        <v>0.40799999999999997</v>
      </c>
      <c r="G56" s="3" t="s">
        <v>400</v>
      </c>
      <c r="I56" s="93"/>
    </row>
    <row r="57" spans="1:9" ht="15.5" x14ac:dyDescent="0.35">
      <c r="A57" s="72"/>
      <c r="B57" s="72"/>
      <c r="C57" s="72"/>
      <c r="D57" s="72"/>
      <c r="E57" s="72"/>
      <c r="F57" s="83"/>
      <c r="G57" s="95"/>
      <c r="I57" s="93"/>
    </row>
    <row r="58" spans="1:9" ht="15.5" x14ac:dyDescent="0.35">
      <c r="A58" s="72">
        <f>A56+1</f>
        <v>6</v>
      </c>
      <c r="B58" s="81" t="s">
        <v>207</v>
      </c>
      <c r="C58" s="72"/>
      <c r="D58" s="72"/>
      <c r="E58" s="72"/>
      <c r="F58" s="83"/>
      <c r="G58" s="72"/>
      <c r="I58" s="93"/>
    </row>
    <row r="59" spans="1:9" ht="15.5" x14ac:dyDescent="0.35">
      <c r="A59" s="72">
        <f>A58+1</f>
        <v>7</v>
      </c>
      <c r="B59" s="81" t="s">
        <v>401</v>
      </c>
      <c r="C59" s="72"/>
      <c r="D59" s="72"/>
      <c r="E59" s="72"/>
      <c r="F59" s="97">
        <f>F41+F43+F50+F52 + F54+F56</f>
        <v>4.1328000000000005</v>
      </c>
      <c r="G59" s="72"/>
      <c r="I59" s="93"/>
    </row>
    <row r="60" spans="1:9" ht="15.5" x14ac:dyDescent="0.35">
      <c r="A60" s="72"/>
      <c r="B60" s="72"/>
      <c r="C60" s="72"/>
      <c r="D60" s="72"/>
      <c r="E60" s="72"/>
      <c r="F60" s="83"/>
      <c r="G60" s="72"/>
      <c r="I60" s="93"/>
    </row>
    <row r="61" spans="1:9" ht="15.5" x14ac:dyDescent="0.35">
      <c r="A61" s="72">
        <f>A59+1</f>
        <v>8</v>
      </c>
      <c r="B61" s="81" t="s">
        <v>23</v>
      </c>
      <c r="C61" s="72"/>
      <c r="D61" s="72"/>
      <c r="E61" s="72"/>
      <c r="F61" s="83"/>
      <c r="G61" s="72"/>
      <c r="I61" s="93"/>
    </row>
    <row r="62" spans="1:9" ht="15.5" x14ac:dyDescent="0.35">
      <c r="A62" s="72">
        <f>A61+1</f>
        <v>9</v>
      </c>
      <c r="B62" s="81" t="s">
        <v>24</v>
      </c>
      <c r="C62" s="81" t="s">
        <v>89</v>
      </c>
      <c r="D62" s="72"/>
      <c r="E62" s="72"/>
      <c r="F62" s="97">
        <f>E28</f>
        <v>10.1919</v>
      </c>
      <c r="G62" s="72"/>
      <c r="I62" s="93"/>
    </row>
    <row r="63" spans="1:9" ht="15.5" x14ac:dyDescent="0.35">
      <c r="A63" s="72"/>
      <c r="B63" s="72"/>
      <c r="C63" s="72"/>
      <c r="D63" s="72"/>
      <c r="E63" s="72"/>
      <c r="F63" s="98"/>
      <c r="G63" s="72"/>
      <c r="I63" s="93"/>
    </row>
    <row r="64" spans="1:9" ht="15.5" x14ac:dyDescent="0.35">
      <c r="A64" s="72"/>
      <c r="B64" s="72"/>
      <c r="C64" s="72"/>
      <c r="D64" s="72"/>
      <c r="E64" s="72"/>
      <c r="F64" s="99"/>
      <c r="G64" s="72"/>
      <c r="I64" s="93"/>
    </row>
    <row r="65" spans="1:9" ht="15.5" x14ac:dyDescent="0.35">
      <c r="A65" s="72"/>
      <c r="B65" s="72"/>
      <c r="C65" s="72"/>
      <c r="D65" s="72"/>
      <c r="E65" s="72"/>
      <c r="F65" s="72"/>
      <c r="G65" s="72"/>
      <c r="I65" s="93"/>
    </row>
    <row r="66" spans="1:9" ht="15.5" x14ac:dyDescent="0.35">
      <c r="A66" s="72"/>
      <c r="B66" s="72"/>
      <c r="C66" s="72"/>
      <c r="D66" s="72"/>
      <c r="E66" s="72"/>
      <c r="F66" s="72"/>
      <c r="G66" s="73"/>
      <c r="I66" s="93"/>
    </row>
    <row r="67" spans="1:9" ht="15.5" x14ac:dyDescent="0.35">
      <c r="A67" s="1" t="s">
        <v>407</v>
      </c>
      <c r="B67" s="73"/>
      <c r="C67" s="73"/>
      <c r="D67" s="1" t="s">
        <v>56</v>
      </c>
      <c r="E67" s="73"/>
      <c r="F67" s="73"/>
      <c r="G67" s="72"/>
      <c r="I67" s="100"/>
    </row>
    <row r="68" spans="1:9" ht="15.5" x14ac:dyDescent="0.35">
      <c r="A68" s="72"/>
      <c r="B68" s="72"/>
      <c r="C68" s="72"/>
      <c r="D68" s="101"/>
      <c r="E68" s="72"/>
      <c r="F68" s="72"/>
      <c r="G68" s="72"/>
    </row>
    <row r="92" spans="3:4" x14ac:dyDescent="0.3">
      <c r="C92" s="11"/>
      <c r="D92" s="11"/>
    </row>
    <row r="97" spans="25:35" x14ac:dyDescent="0.3">
      <c r="Z97" s="8"/>
      <c r="AB97" s="88"/>
    </row>
    <row r="98" spans="25:35" x14ac:dyDescent="0.3">
      <c r="AB98" s="88"/>
      <c r="AI98" s="8"/>
    </row>
    <row r="99" spans="25:35" x14ac:dyDescent="0.3">
      <c r="AB99" s="88"/>
    </row>
    <row r="100" spans="25:35" x14ac:dyDescent="0.3">
      <c r="Z100" s="4"/>
      <c r="AB100" s="88"/>
    </row>
    <row r="101" spans="25:35" x14ac:dyDescent="0.3">
      <c r="AB101" s="88"/>
      <c r="AG101" s="7"/>
      <c r="AI101" s="8"/>
    </row>
    <row r="102" spans="25:35" x14ac:dyDescent="0.3">
      <c r="AB102" s="88"/>
      <c r="AI102" s="8"/>
    </row>
    <row r="103" spans="25:35" x14ac:dyDescent="0.3">
      <c r="AB103" s="88"/>
    </row>
    <row r="104" spans="25:35" x14ac:dyDescent="0.3">
      <c r="AB104" s="88"/>
      <c r="AI104" s="8"/>
    </row>
    <row r="105" spans="25:35" x14ac:dyDescent="0.3">
      <c r="Y105" s="8"/>
      <c r="Z105" s="8"/>
      <c r="AB105" s="88"/>
      <c r="AI105" s="8"/>
    </row>
    <row r="106" spans="25:35" x14ac:dyDescent="0.3">
      <c r="Y106" s="8"/>
      <c r="Z106" s="8"/>
      <c r="AG106" s="7"/>
      <c r="AI106" s="8"/>
    </row>
    <row r="108" spans="25:35" x14ac:dyDescent="0.3">
      <c r="AF108" s="84"/>
    </row>
    <row r="109" spans="25:35" x14ac:dyDescent="0.3">
      <c r="AF109" s="84"/>
    </row>
    <row r="110" spans="25:35" x14ac:dyDescent="0.3">
      <c r="AF110" s="84"/>
    </row>
    <row r="111" spans="25:35" x14ac:dyDescent="0.3">
      <c r="AF111" s="84"/>
    </row>
    <row r="112" spans="25:35" x14ac:dyDescent="0.3">
      <c r="AF112" s="84"/>
    </row>
    <row r="113" spans="32:32" x14ac:dyDescent="0.3">
      <c r="AF113" s="84"/>
    </row>
    <row r="114" spans="32:32" x14ac:dyDescent="0.3">
      <c r="AF114" s="84"/>
    </row>
    <row r="115" spans="32:32" x14ac:dyDescent="0.3">
      <c r="AF115" s="84"/>
    </row>
    <row r="185" spans="16:43" x14ac:dyDescent="0.3">
      <c r="P185" s="102"/>
    </row>
    <row r="186" spans="16:43" x14ac:dyDescent="0.3">
      <c r="P186" s="102"/>
    </row>
    <row r="188" spans="16:43" x14ac:dyDescent="0.3">
      <c r="AF188" s="103"/>
      <c r="AG188" s="103"/>
      <c r="AH188" s="103"/>
      <c r="AI188" s="103"/>
      <c r="AJ188" s="103"/>
      <c r="AK188" s="103"/>
      <c r="AL188" s="103"/>
      <c r="AM188" s="103"/>
      <c r="AN188" s="103"/>
      <c r="AO188" s="103"/>
      <c r="AP188" s="103"/>
      <c r="AQ188" s="103"/>
    </row>
    <row r="189" spans="16:43" x14ac:dyDescent="0.3">
      <c r="AF189" s="103"/>
      <c r="AG189" s="103"/>
      <c r="AH189" s="103"/>
      <c r="AI189" s="103"/>
      <c r="AJ189" s="103"/>
      <c r="AK189" s="103"/>
      <c r="AL189" s="103"/>
      <c r="AM189" s="103"/>
      <c r="AN189" s="103"/>
      <c r="AO189" s="103"/>
      <c r="AP189" s="103"/>
      <c r="AQ189" s="103"/>
    </row>
    <row r="190" spans="16:43" x14ac:dyDescent="0.3">
      <c r="AF190" s="103"/>
      <c r="AG190" s="103"/>
      <c r="AH190" s="103"/>
      <c r="AI190" s="103"/>
      <c r="AJ190" s="103"/>
      <c r="AK190" s="104"/>
      <c r="AL190" s="103"/>
      <c r="AM190" s="103"/>
      <c r="AN190" s="103"/>
      <c r="AO190" s="103"/>
      <c r="AP190" s="103"/>
      <c r="AQ190" s="103"/>
    </row>
    <row r="191" spans="16:43" x14ac:dyDescent="0.3">
      <c r="AF191" s="105"/>
      <c r="AG191" s="103"/>
      <c r="AH191" s="103"/>
      <c r="AI191" s="103"/>
      <c r="AJ191" s="103"/>
      <c r="AK191" s="104"/>
      <c r="AL191" s="103"/>
      <c r="AM191" s="103"/>
      <c r="AN191" s="103"/>
      <c r="AO191" s="104"/>
      <c r="AP191" s="104"/>
      <c r="AQ191" s="104"/>
    </row>
    <row r="192" spans="16:43" x14ac:dyDescent="0.3">
      <c r="AF192" s="103"/>
      <c r="AG192" s="104"/>
      <c r="AH192" s="103"/>
      <c r="AI192" s="104"/>
      <c r="AJ192" s="103"/>
      <c r="AK192" s="104"/>
      <c r="AL192" s="104"/>
      <c r="AM192" s="104"/>
      <c r="AN192" s="105"/>
      <c r="AO192" s="104"/>
      <c r="AP192" s="104"/>
      <c r="AQ192" s="104"/>
    </row>
    <row r="193" spans="32:43" x14ac:dyDescent="0.3">
      <c r="AF193" s="103"/>
      <c r="AG193" s="104"/>
      <c r="AH193" s="103"/>
      <c r="AI193" s="104"/>
      <c r="AJ193" s="103"/>
      <c r="AK193" s="105"/>
      <c r="AL193" s="105"/>
      <c r="AM193" s="105"/>
      <c r="AN193" s="104"/>
      <c r="AO193" s="105"/>
      <c r="AP193" s="104"/>
      <c r="AQ193" s="104"/>
    </row>
    <row r="194" spans="32:43" x14ac:dyDescent="0.3">
      <c r="AF194" s="103"/>
      <c r="AG194" s="105"/>
      <c r="AH194" s="103"/>
      <c r="AI194" s="103"/>
      <c r="AJ194" s="103"/>
      <c r="AK194" s="105"/>
      <c r="AL194" s="105"/>
      <c r="AM194" s="105"/>
      <c r="AN194" s="103"/>
      <c r="AO194" s="105"/>
      <c r="AP194" s="103"/>
      <c r="AQ194" s="103"/>
    </row>
    <row r="195" spans="32:43" x14ac:dyDescent="0.3">
      <c r="AF195" s="105"/>
      <c r="AG195" s="105"/>
      <c r="AH195" s="103"/>
      <c r="AI195" s="103"/>
      <c r="AJ195" s="103"/>
      <c r="AK195" s="103"/>
      <c r="AL195" s="103"/>
      <c r="AM195" s="103"/>
      <c r="AN195" s="103"/>
      <c r="AO195" s="103"/>
      <c r="AP195" s="103"/>
      <c r="AQ195" s="103"/>
    </row>
    <row r="196" spans="32:43" x14ac:dyDescent="0.3">
      <c r="AF196" s="105"/>
      <c r="AG196" s="103"/>
      <c r="AH196" s="103"/>
      <c r="AI196" s="103"/>
      <c r="AJ196" s="103"/>
      <c r="AK196" s="103"/>
      <c r="AL196" s="103"/>
      <c r="AM196" s="103"/>
      <c r="AN196" s="103"/>
      <c r="AO196" s="103"/>
      <c r="AP196" s="103"/>
      <c r="AQ196" s="103"/>
    </row>
    <row r="197" spans="32:43" x14ac:dyDescent="0.3">
      <c r="AF197" s="105"/>
      <c r="AG197" s="103"/>
      <c r="AH197" s="103"/>
      <c r="AI197" s="103"/>
      <c r="AJ197" s="103"/>
      <c r="AK197" s="103"/>
      <c r="AL197" s="103"/>
      <c r="AM197" s="103"/>
      <c r="AN197" s="103"/>
      <c r="AO197" s="103"/>
      <c r="AP197" s="103"/>
      <c r="AQ197" s="103"/>
    </row>
    <row r="198" spans="32:43" x14ac:dyDescent="0.3">
      <c r="AF198" s="105"/>
      <c r="AG198" s="103"/>
      <c r="AH198" s="103"/>
      <c r="AI198" s="103"/>
      <c r="AJ198" s="103"/>
      <c r="AK198" s="103"/>
      <c r="AL198" s="103"/>
      <c r="AM198" s="103"/>
      <c r="AN198" s="103"/>
      <c r="AO198" s="103"/>
      <c r="AP198" s="103"/>
      <c r="AQ198" s="103"/>
    </row>
    <row r="199" spans="32:43" x14ac:dyDescent="0.3">
      <c r="AF199" s="105"/>
      <c r="AG199" s="103"/>
      <c r="AH199" s="103"/>
      <c r="AI199" s="103"/>
      <c r="AJ199" s="103"/>
      <c r="AK199" s="103"/>
      <c r="AL199" s="103"/>
      <c r="AM199" s="103"/>
      <c r="AN199" s="103"/>
      <c r="AO199" s="103"/>
      <c r="AP199" s="103"/>
      <c r="AQ199" s="103"/>
    </row>
    <row r="200" spans="32:43" x14ac:dyDescent="0.3">
      <c r="AF200" s="105"/>
      <c r="AG200" s="103"/>
      <c r="AH200" s="103"/>
      <c r="AI200" s="103"/>
      <c r="AJ200" s="103"/>
      <c r="AK200" s="103"/>
      <c r="AL200" s="103"/>
      <c r="AM200" s="103"/>
      <c r="AN200" s="103"/>
      <c r="AO200" s="103"/>
      <c r="AP200" s="103"/>
      <c r="AQ200" s="103"/>
    </row>
    <row r="201" spans="32:43" x14ac:dyDescent="0.3">
      <c r="AF201" s="105"/>
      <c r="AG201" s="103"/>
      <c r="AH201" s="103"/>
      <c r="AI201" s="103"/>
      <c r="AJ201" s="103"/>
      <c r="AK201" s="103"/>
      <c r="AL201" s="103"/>
      <c r="AM201" s="103"/>
      <c r="AN201" s="103"/>
      <c r="AO201" s="103"/>
      <c r="AP201" s="103"/>
      <c r="AQ201" s="103"/>
    </row>
    <row r="202" spans="32:43" x14ac:dyDescent="0.3">
      <c r="AF202" s="105"/>
      <c r="AG202" s="103"/>
      <c r="AH202" s="103"/>
      <c r="AI202" s="103"/>
      <c r="AJ202" s="103"/>
      <c r="AK202" s="103"/>
      <c r="AL202" s="103"/>
      <c r="AM202" s="103"/>
      <c r="AN202" s="103"/>
      <c r="AO202" s="103"/>
      <c r="AP202" s="103"/>
      <c r="AQ202" s="103"/>
    </row>
    <row r="203" spans="32:43" x14ac:dyDescent="0.3">
      <c r="AF203" s="105"/>
      <c r="AG203" s="103"/>
      <c r="AH203" s="103"/>
      <c r="AI203" s="103"/>
      <c r="AJ203" s="103"/>
      <c r="AK203" s="103"/>
      <c r="AL203" s="103"/>
      <c r="AM203" s="103"/>
      <c r="AN203" s="103"/>
      <c r="AO203" s="103"/>
      <c r="AP203" s="103"/>
      <c r="AQ203" s="103"/>
    </row>
    <row r="204" spans="32:43" x14ac:dyDescent="0.3">
      <c r="AF204" s="105"/>
      <c r="AG204" s="103"/>
      <c r="AH204" s="103"/>
      <c r="AI204" s="103"/>
      <c r="AJ204" s="103"/>
      <c r="AK204" s="103"/>
      <c r="AL204" s="103"/>
      <c r="AM204" s="103"/>
      <c r="AN204" s="103"/>
      <c r="AO204" s="103"/>
      <c r="AP204" s="103"/>
      <c r="AQ204" s="103"/>
    </row>
    <row r="205" spans="32:43" x14ac:dyDescent="0.3">
      <c r="AF205" s="105"/>
      <c r="AG205" s="103"/>
      <c r="AH205" s="103"/>
      <c r="AI205" s="103"/>
      <c r="AJ205" s="103"/>
      <c r="AK205" s="103"/>
      <c r="AL205" s="103"/>
      <c r="AM205" s="103"/>
      <c r="AN205" s="103"/>
      <c r="AO205" s="103"/>
      <c r="AP205" s="103"/>
      <c r="AQ205" s="103"/>
    </row>
    <row r="206" spans="32:43" x14ac:dyDescent="0.3">
      <c r="AF206" s="105"/>
      <c r="AG206" s="103"/>
      <c r="AH206" s="103"/>
      <c r="AI206" s="103"/>
      <c r="AJ206" s="103"/>
      <c r="AK206" s="103"/>
      <c r="AL206" s="103"/>
      <c r="AM206" s="103"/>
      <c r="AN206" s="103"/>
      <c r="AO206" s="103"/>
      <c r="AP206" s="103"/>
      <c r="AQ206" s="103"/>
    </row>
    <row r="207" spans="32:43" x14ac:dyDescent="0.3">
      <c r="AF207" s="105"/>
      <c r="AG207" s="103"/>
      <c r="AH207" s="103"/>
      <c r="AI207" s="103"/>
      <c r="AJ207" s="103"/>
      <c r="AK207" s="103"/>
      <c r="AL207" s="103"/>
      <c r="AM207" s="103"/>
      <c r="AN207" s="103"/>
      <c r="AO207" s="103"/>
      <c r="AP207" s="103"/>
      <c r="AQ207" s="103"/>
    </row>
    <row r="208" spans="32:43" x14ac:dyDescent="0.3">
      <c r="AF208" s="103"/>
      <c r="AG208" s="103"/>
      <c r="AH208" s="103"/>
      <c r="AI208" s="103"/>
      <c r="AJ208" s="103"/>
      <c r="AK208" s="103"/>
      <c r="AL208" s="103"/>
      <c r="AM208" s="103"/>
      <c r="AN208" s="103"/>
      <c r="AO208" s="103"/>
      <c r="AP208" s="103"/>
      <c r="AQ208" s="103"/>
    </row>
    <row r="209" spans="32:43" x14ac:dyDescent="0.3">
      <c r="AF209" s="105"/>
      <c r="AG209" s="103"/>
      <c r="AH209" s="103"/>
      <c r="AI209" s="103"/>
      <c r="AJ209" s="103"/>
      <c r="AK209" s="103"/>
      <c r="AL209" s="103"/>
      <c r="AM209" s="103"/>
      <c r="AN209" s="103"/>
      <c r="AO209" s="103"/>
      <c r="AP209" s="103"/>
      <c r="AQ209" s="103"/>
    </row>
    <row r="210" spans="32:43" x14ac:dyDescent="0.3">
      <c r="AF210" s="103"/>
      <c r="AG210" s="103"/>
      <c r="AH210" s="103"/>
      <c r="AI210" s="103"/>
      <c r="AJ210" s="103"/>
      <c r="AK210" s="103"/>
      <c r="AL210" s="103"/>
      <c r="AM210" s="103"/>
      <c r="AN210" s="103"/>
      <c r="AO210" s="103"/>
      <c r="AP210" s="103"/>
      <c r="AQ210" s="103"/>
    </row>
    <row r="211" spans="32:43" x14ac:dyDescent="0.3">
      <c r="AF211" s="105"/>
      <c r="AG211" s="103"/>
      <c r="AH211" s="103"/>
      <c r="AI211" s="103"/>
      <c r="AJ211" s="103"/>
      <c r="AK211" s="103"/>
      <c r="AL211" s="103"/>
      <c r="AM211" s="103"/>
      <c r="AN211" s="103"/>
      <c r="AO211" s="103"/>
      <c r="AP211" s="103"/>
      <c r="AQ211" s="103"/>
    </row>
    <row r="212" spans="32:43" x14ac:dyDescent="0.3">
      <c r="AF212" s="105"/>
      <c r="AG212" s="103"/>
      <c r="AH212" s="103"/>
      <c r="AI212" s="103"/>
      <c r="AJ212" s="103"/>
      <c r="AK212" s="103"/>
      <c r="AL212" s="103"/>
      <c r="AM212" s="103"/>
      <c r="AN212" s="103"/>
      <c r="AO212" s="103"/>
      <c r="AP212" s="103"/>
      <c r="AQ212" s="103"/>
    </row>
    <row r="213" spans="32:43" x14ac:dyDescent="0.3">
      <c r="AF213" s="103"/>
      <c r="AG213" s="103"/>
      <c r="AH213" s="103"/>
      <c r="AI213" s="103"/>
      <c r="AJ213" s="103"/>
      <c r="AK213" s="103"/>
      <c r="AL213" s="103"/>
      <c r="AM213" s="103"/>
      <c r="AN213" s="103"/>
      <c r="AO213" s="103"/>
      <c r="AP213" s="103"/>
      <c r="AQ213" s="103"/>
    </row>
    <row r="268" spans="44:44" x14ac:dyDescent="0.3">
      <c r="AR268" s="84"/>
    </row>
    <row r="269" spans="44:44" x14ac:dyDescent="0.3">
      <c r="AR269" s="88"/>
    </row>
  </sheetData>
  <phoneticPr fontId="6" type="noConversion"/>
  <pageMargins left="0.25" right="0.25" top="0.25" bottom="0.25" header="0.5" footer="0.5"/>
  <pageSetup scale="67" orientation="portrait" r:id="rId1"/>
  <headerFooter alignWithMargins="0"/>
  <rowBreaks count="1" manualBreakCount="1">
    <brk id="29" max="16383" man="1"/>
  </rowBreaks>
  <colBreaks count="1" manualBreakCount="1">
    <brk id="7" min="30" max="7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T40"/>
  <sheetViews>
    <sheetView zoomScaleNormal="100" workbookViewId="0"/>
  </sheetViews>
  <sheetFormatPr defaultColWidth="9.1796875" defaultRowHeight="13" x14ac:dyDescent="0.3"/>
  <cols>
    <col min="1" max="1" width="5.81640625" style="211" customWidth="1"/>
    <col min="2" max="2" width="28.81640625" style="201" customWidth="1"/>
    <col min="3" max="3" width="8.54296875" style="201" customWidth="1"/>
    <col min="4" max="4" width="9.81640625" style="201" customWidth="1"/>
    <col min="5" max="5" width="2.453125" style="201" customWidth="1"/>
    <col min="6" max="6" width="10.54296875" style="201" customWidth="1"/>
    <col min="7" max="7" width="10.453125" style="201" customWidth="1"/>
    <col min="8" max="8" width="14.81640625" style="201" customWidth="1"/>
    <col min="9" max="9" width="17.54296875" style="201" bestFit="1" customWidth="1"/>
    <col min="10" max="10" width="1.81640625" style="201" customWidth="1"/>
    <col min="11" max="11" width="16.81640625" style="201" bestFit="1" customWidth="1"/>
    <col min="12" max="12" width="10.1796875" style="201" customWidth="1"/>
    <col min="13" max="13" width="6.1796875" style="201" customWidth="1"/>
    <col min="14" max="14" width="4.453125" style="201" customWidth="1"/>
    <col min="15" max="16384" width="9.1796875" style="201"/>
  </cols>
  <sheetData>
    <row r="1" spans="1:12" ht="15.5" x14ac:dyDescent="0.35">
      <c r="A1" s="209" t="s">
        <v>98</v>
      </c>
      <c r="K1" s="210"/>
      <c r="L1" s="211"/>
    </row>
    <row r="2" spans="1:12" ht="15.5" x14ac:dyDescent="0.35">
      <c r="A2" s="209" t="s">
        <v>206</v>
      </c>
    </row>
    <row r="3" spans="1:12" ht="15.5" x14ac:dyDescent="0.35">
      <c r="A3" s="209" t="s">
        <v>205</v>
      </c>
      <c r="B3" s="212"/>
    </row>
    <row r="4" spans="1:12" ht="15.5" x14ac:dyDescent="0.35">
      <c r="A4" s="209" t="s">
        <v>204</v>
      </c>
      <c r="B4" s="212"/>
    </row>
    <row r="5" spans="1:12" x14ac:dyDescent="0.3">
      <c r="A5" s="213" t="str">
        <f>'1 EGC'!A3</f>
        <v>Jun 24 - Aug 24</v>
      </c>
    </row>
    <row r="7" spans="1:12" s="216" customFormat="1" ht="52" x14ac:dyDescent="0.3">
      <c r="A7" s="214" t="s">
        <v>162</v>
      </c>
      <c r="B7" s="214" t="s">
        <v>15</v>
      </c>
      <c r="C7" s="214" t="s">
        <v>389</v>
      </c>
      <c r="D7" s="214" t="s">
        <v>209</v>
      </c>
      <c r="E7" s="214"/>
      <c r="F7" s="214" t="s">
        <v>215</v>
      </c>
      <c r="G7" s="214" t="s">
        <v>370</v>
      </c>
      <c r="H7" s="214" t="s">
        <v>211</v>
      </c>
      <c r="I7" s="214" t="s">
        <v>214</v>
      </c>
      <c r="J7" s="215"/>
      <c r="K7" s="263" t="s">
        <v>222</v>
      </c>
      <c r="L7" s="263"/>
    </row>
    <row r="8" spans="1:12" s="216" customFormat="1" ht="14.25" customHeight="1" x14ac:dyDescent="0.3">
      <c r="A8" s="217"/>
      <c r="B8" s="217"/>
      <c r="C8" s="217" t="s">
        <v>33</v>
      </c>
      <c r="D8" s="217"/>
      <c r="E8" s="217"/>
      <c r="F8" s="217" t="s">
        <v>1</v>
      </c>
      <c r="G8" s="217"/>
      <c r="H8" s="217"/>
      <c r="I8" s="217"/>
      <c r="J8" s="217"/>
      <c r="K8" s="217" t="s">
        <v>1</v>
      </c>
      <c r="L8" s="217" t="s">
        <v>108</v>
      </c>
    </row>
    <row r="9" spans="1:12" s="216" customFormat="1" ht="14.25" customHeight="1" x14ac:dyDescent="0.3">
      <c r="A9" s="217"/>
      <c r="B9" s="217"/>
      <c r="C9" s="217" t="s">
        <v>208</v>
      </c>
      <c r="D9" s="217"/>
      <c r="E9" s="217"/>
      <c r="F9" s="217" t="s">
        <v>208</v>
      </c>
      <c r="G9" s="217"/>
      <c r="H9" s="217" t="s">
        <v>371</v>
      </c>
      <c r="I9" s="217"/>
      <c r="J9" s="217"/>
      <c r="K9" s="217"/>
    </row>
    <row r="10" spans="1:12" s="219" customFormat="1" ht="14.25" customHeight="1" x14ac:dyDescent="0.3">
      <c r="A10" s="218"/>
      <c r="B10" s="218"/>
      <c r="C10" s="218" t="s">
        <v>30</v>
      </c>
      <c r="D10" s="218" t="s">
        <v>31</v>
      </c>
      <c r="E10" s="218"/>
      <c r="F10" s="218" t="s">
        <v>32</v>
      </c>
      <c r="G10" s="218" t="s">
        <v>212</v>
      </c>
      <c r="H10" s="218" t="s">
        <v>213</v>
      </c>
      <c r="I10" s="218" t="s">
        <v>372</v>
      </c>
      <c r="J10" s="218"/>
      <c r="K10" s="218" t="s">
        <v>373</v>
      </c>
    </row>
    <row r="11" spans="1:12" s="216" customFormat="1" x14ac:dyDescent="0.3">
      <c r="A11" s="217"/>
      <c r="B11" s="217"/>
      <c r="C11" s="217"/>
      <c r="D11" s="217"/>
      <c r="E11" s="217"/>
      <c r="F11" s="217"/>
      <c r="G11" s="217"/>
      <c r="H11" s="217"/>
      <c r="I11" s="217"/>
      <c r="J11" s="217"/>
      <c r="K11" s="217"/>
    </row>
    <row r="12" spans="1:12" x14ac:dyDescent="0.3">
      <c r="A12" s="220"/>
      <c r="B12" s="220"/>
      <c r="C12" s="220"/>
      <c r="D12" s="220"/>
      <c r="E12" s="220"/>
      <c r="F12" s="220"/>
      <c r="G12" s="220"/>
      <c r="H12" s="220"/>
      <c r="I12" s="220"/>
      <c r="J12" s="220"/>
      <c r="K12" s="220"/>
    </row>
    <row r="13" spans="1:12" x14ac:dyDescent="0.3">
      <c r="A13" s="221" t="s">
        <v>218</v>
      </c>
    </row>
    <row r="14" spans="1:12" x14ac:dyDescent="0.3">
      <c r="A14" s="222">
        <v>1</v>
      </c>
      <c r="B14" s="201" t="s">
        <v>210</v>
      </c>
    </row>
    <row r="15" spans="1:12" ht="14.5" x14ac:dyDescent="0.45">
      <c r="A15" s="222">
        <f>A14+1</f>
        <v>2</v>
      </c>
      <c r="B15" s="223" t="s">
        <v>202</v>
      </c>
      <c r="C15" s="224">
        <f>+'3 DemCost'!C21+'3 DemCost'!C23</f>
        <v>25138</v>
      </c>
      <c r="D15" s="235">
        <v>2.128E-2</v>
      </c>
      <c r="E15" s="224"/>
      <c r="F15" s="224"/>
      <c r="G15" s="224"/>
      <c r="H15" s="224"/>
      <c r="I15" s="224"/>
      <c r="J15" s="224"/>
      <c r="K15" s="224"/>
    </row>
    <row r="16" spans="1:12" x14ac:dyDescent="0.3">
      <c r="A16" s="222">
        <f t="shared" ref="A16:A18" si="0">A15+1</f>
        <v>3</v>
      </c>
      <c r="B16" s="223" t="s">
        <v>57</v>
      </c>
      <c r="C16" s="26">
        <f>SUM(C15:C15)</f>
        <v>25138</v>
      </c>
      <c r="D16" s="26"/>
      <c r="E16" s="26"/>
      <c r="F16" s="26"/>
      <c r="G16" s="26"/>
      <c r="H16" s="26"/>
      <c r="I16" s="26"/>
      <c r="J16" s="26"/>
      <c r="K16" s="26"/>
    </row>
    <row r="17" spans="1:20" x14ac:dyDescent="0.3">
      <c r="A17" s="222">
        <f t="shared" si="0"/>
        <v>4</v>
      </c>
      <c r="C17" s="26"/>
      <c r="D17" s="26"/>
      <c r="E17" s="26"/>
      <c r="F17" s="26"/>
      <c r="G17" s="26"/>
      <c r="H17" s="26"/>
      <c r="I17" s="26"/>
      <c r="J17" s="26"/>
      <c r="K17" s="26"/>
    </row>
    <row r="18" spans="1:20" x14ac:dyDescent="0.3">
      <c r="A18" s="222">
        <f t="shared" si="0"/>
        <v>5</v>
      </c>
      <c r="B18" s="201" t="s">
        <v>211</v>
      </c>
      <c r="C18" s="26"/>
      <c r="D18" s="26"/>
      <c r="E18" s="26"/>
      <c r="F18" s="26"/>
      <c r="G18" s="26"/>
      <c r="H18" s="26"/>
      <c r="I18" s="26"/>
      <c r="J18" s="26"/>
      <c r="K18" s="26"/>
    </row>
    <row r="19" spans="1:20" ht="14.5" x14ac:dyDescent="0.45">
      <c r="A19" s="222">
        <f>A18+1</f>
        <v>6</v>
      </c>
      <c r="B19" s="223" t="s">
        <v>375</v>
      </c>
      <c r="C19" s="225">
        <f>ROUND(C15/C16,4)</f>
        <v>1</v>
      </c>
      <c r="D19" s="225"/>
      <c r="E19" s="225"/>
      <c r="F19" s="225"/>
      <c r="G19" s="225"/>
      <c r="H19" s="225"/>
      <c r="I19" s="225"/>
      <c r="J19" s="225"/>
      <c r="K19" s="225"/>
      <c r="L19" s="224"/>
    </row>
    <row r="22" spans="1:20" x14ac:dyDescent="0.3">
      <c r="A22" s="210" t="s">
        <v>217</v>
      </c>
    </row>
    <row r="23" spans="1:20" x14ac:dyDescent="0.3">
      <c r="A23" s="222">
        <f>A19+1</f>
        <v>7</v>
      </c>
      <c r="B23" s="201" t="s">
        <v>202</v>
      </c>
      <c r="E23" s="27"/>
      <c r="F23" s="27">
        <f>+'3 DemCost'!E21</f>
        <v>10.672999999999998</v>
      </c>
      <c r="G23" s="226">
        <f>+'3 DemCost'!G21</f>
        <v>12</v>
      </c>
      <c r="H23" s="134">
        <f>+C19</f>
        <v>1</v>
      </c>
      <c r="I23" s="134">
        <v>1</v>
      </c>
      <c r="J23" s="134"/>
      <c r="K23" s="27">
        <f>+ROUND(F23*G23*H23*I23,4)</f>
        <v>128.07599999999999</v>
      </c>
    </row>
    <row r="24" spans="1:20" x14ac:dyDescent="0.3">
      <c r="A24" s="222">
        <f>A23+1</f>
        <v>8</v>
      </c>
      <c r="B24" s="201" t="s">
        <v>216</v>
      </c>
      <c r="E24" s="27"/>
      <c r="F24" s="27">
        <f>'3 DemCost'!E29</f>
        <v>4.6086999999999998</v>
      </c>
      <c r="G24" s="226">
        <f>'3 DemCost'!G29</f>
        <v>12</v>
      </c>
      <c r="H24" s="134">
        <f>+C19</f>
        <v>1</v>
      </c>
      <c r="I24" s="134">
        <f>1/(1-D15)</f>
        <v>1.0217426843223802</v>
      </c>
      <c r="J24" s="134"/>
      <c r="K24" s="27">
        <f>+ROUND(F24*G24*H24*I24,4)</f>
        <v>56.506900000000002</v>
      </c>
    </row>
    <row r="25" spans="1:20" x14ac:dyDescent="0.3">
      <c r="A25" s="222"/>
    </row>
    <row r="26" spans="1:20" x14ac:dyDescent="0.3">
      <c r="A26" s="222">
        <f>A24+1</f>
        <v>9</v>
      </c>
      <c r="B26" s="201" t="s">
        <v>203</v>
      </c>
      <c r="G26" s="227"/>
      <c r="H26" s="227"/>
      <c r="I26" s="227"/>
      <c r="J26" s="227"/>
      <c r="K26" s="27">
        <f>+SUM(K23:K24)</f>
        <v>184.5829</v>
      </c>
      <c r="L26" s="228">
        <v>203.22579999999999</v>
      </c>
      <c r="M26" s="229"/>
    </row>
    <row r="27" spans="1:20" x14ac:dyDescent="0.3">
      <c r="A27" s="222"/>
      <c r="L27" s="228"/>
    </row>
    <row r="28" spans="1:20" x14ac:dyDescent="0.3">
      <c r="A28" s="222">
        <f>A26+1</f>
        <v>10</v>
      </c>
      <c r="B28" s="201" t="s">
        <v>248</v>
      </c>
      <c r="C28" s="164"/>
      <c r="D28" s="164"/>
      <c r="E28" s="164"/>
      <c r="F28" s="164"/>
      <c r="G28" s="164"/>
      <c r="H28" s="164"/>
      <c r="I28" s="164"/>
      <c r="J28" s="164"/>
      <c r="K28" s="164"/>
      <c r="L28" s="163">
        <f>ROUND(L26/365,4)</f>
        <v>0.55679999999999996</v>
      </c>
    </row>
    <row r="29" spans="1:20" x14ac:dyDescent="0.3">
      <c r="A29" s="222"/>
      <c r="L29" s="228"/>
    </row>
    <row r="30" spans="1:20" x14ac:dyDescent="0.3">
      <c r="A30" s="222"/>
      <c r="L30" s="228"/>
    </row>
    <row r="31" spans="1:20" x14ac:dyDescent="0.3">
      <c r="A31" s="210" t="s">
        <v>223</v>
      </c>
      <c r="K31" s="228"/>
      <c r="L31" s="228"/>
    </row>
    <row r="32" spans="1:20" s="231" customFormat="1" x14ac:dyDescent="0.3">
      <c r="A32" s="230">
        <f>A28+1</f>
        <v>11</v>
      </c>
      <c r="B32" s="231" t="s">
        <v>219</v>
      </c>
      <c r="C32" s="232"/>
      <c r="D32" s="232"/>
      <c r="E32" s="232"/>
      <c r="F32" s="232"/>
      <c r="G32" s="232"/>
      <c r="H32" s="232"/>
      <c r="I32" s="232"/>
      <c r="J32" s="232"/>
      <c r="K32" s="232"/>
      <c r="L32" s="70">
        <f>+'detail TariffSplit'!C14</f>
        <v>1.6488</v>
      </c>
      <c r="N32" s="201"/>
      <c r="O32" s="201"/>
      <c r="P32" s="201"/>
      <c r="Q32" s="201"/>
      <c r="R32" s="201"/>
      <c r="S32" s="201"/>
      <c r="T32" s="201"/>
    </row>
    <row r="33" spans="1:20" s="231" customFormat="1" x14ac:dyDescent="0.3">
      <c r="A33" s="230">
        <f>A32+1</f>
        <v>12</v>
      </c>
      <c r="B33" s="231" t="s">
        <v>220</v>
      </c>
      <c r="C33" s="232"/>
      <c r="D33" s="232"/>
      <c r="E33" s="232"/>
      <c r="F33" s="232"/>
      <c r="G33" s="232"/>
      <c r="H33" s="232"/>
      <c r="I33" s="232"/>
      <c r="J33" s="232"/>
      <c r="K33" s="232"/>
      <c r="L33" s="70">
        <f>-L28</f>
        <v>-0.55679999999999996</v>
      </c>
      <c r="N33" s="201"/>
      <c r="O33" s="201"/>
      <c r="P33" s="201"/>
      <c r="Q33" s="201"/>
      <c r="R33" s="201"/>
      <c r="S33" s="201"/>
      <c r="T33" s="201"/>
    </row>
    <row r="34" spans="1:20" x14ac:dyDescent="0.3">
      <c r="A34" s="230">
        <f>A33+1</f>
        <v>13</v>
      </c>
      <c r="B34" s="201" t="s">
        <v>221</v>
      </c>
      <c r="C34" s="164"/>
      <c r="D34" s="164"/>
      <c r="E34" s="164"/>
      <c r="F34" s="164"/>
      <c r="G34" s="164"/>
      <c r="H34" s="164"/>
      <c r="I34" s="164"/>
      <c r="J34" s="164"/>
      <c r="K34" s="164"/>
      <c r="L34" s="233">
        <f>+StoCommCost!D38</f>
        <v>7.1900000000000006E-2</v>
      </c>
    </row>
    <row r="35" spans="1:20" x14ac:dyDescent="0.3">
      <c r="A35" s="222"/>
      <c r="C35" s="227"/>
      <c r="D35" s="227"/>
      <c r="E35" s="227"/>
      <c r="F35" s="227"/>
      <c r="G35" s="227"/>
      <c r="H35" s="227"/>
      <c r="I35" s="227"/>
      <c r="J35" s="227"/>
      <c r="K35" s="227"/>
      <c r="L35" s="228"/>
    </row>
    <row r="36" spans="1:20" x14ac:dyDescent="0.3">
      <c r="A36" s="222">
        <f>A34+1</f>
        <v>14</v>
      </c>
      <c r="B36" s="201" t="s">
        <v>374</v>
      </c>
      <c r="C36" s="227"/>
      <c r="D36" s="227"/>
      <c r="E36" s="227"/>
      <c r="F36" s="227"/>
      <c r="G36" s="227"/>
      <c r="H36" s="227"/>
      <c r="I36" s="227"/>
      <c r="J36" s="227"/>
      <c r="K36" s="227"/>
      <c r="L36" s="228">
        <f>+SUM(L32:L34)</f>
        <v>1.1639000000000002</v>
      </c>
    </row>
    <row r="37" spans="1:20" x14ac:dyDescent="0.3">
      <c r="L37" s="228"/>
    </row>
    <row r="38" spans="1:20" x14ac:dyDescent="0.3">
      <c r="L38" s="228"/>
    </row>
    <row r="39" spans="1:20" x14ac:dyDescent="0.3">
      <c r="B39" s="234"/>
      <c r="L39" s="228"/>
    </row>
    <row r="40" spans="1:20" x14ac:dyDescent="0.3">
      <c r="L40" s="228"/>
    </row>
  </sheetData>
  <mergeCells count="1">
    <mergeCell ref="K7:L7"/>
  </mergeCells>
  <phoneticPr fontId="5" type="noConversion"/>
  <pageMargins left="0.75" right="0.75" top="1" bottom="1" header="0.5" footer="0.5"/>
  <pageSetup scale="65" orientation="portrait" r:id="rId1"/>
  <headerFooter alignWithMargins="0">
    <oddHeader xml:space="preserve">&amp;RAttachment E
</oddHeader>
  </headerFooter>
  <ignoredErrors>
    <ignoredError sqref="C10:H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G38"/>
  <sheetViews>
    <sheetView zoomScaleNormal="100" workbookViewId="0"/>
  </sheetViews>
  <sheetFormatPr defaultColWidth="9.1796875" defaultRowHeight="13" x14ac:dyDescent="0.3"/>
  <cols>
    <col min="1" max="1" width="4.81640625" style="201" customWidth="1"/>
    <col min="2" max="2" width="59.1796875" style="201" customWidth="1"/>
    <col min="3" max="3" width="3.54296875" style="201" customWidth="1"/>
    <col min="4" max="4" width="12.81640625" style="201" bestFit="1" customWidth="1"/>
    <col min="5" max="16384" width="9.1796875" style="201"/>
  </cols>
  <sheetData>
    <row r="1" spans="1:7" ht="18.5" x14ac:dyDescent="0.45">
      <c r="A1" s="236" t="s">
        <v>98</v>
      </c>
      <c r="G1" s="211"/>
    </row>
    <row r="2" spans="1:7" x14ac:dyDescent="0.3">
      <c r="A2" s="221" t="s">
        <v>186</v>
      </c>
    </row>
    <row r="5" spans="1:7" s="216" customFormat="1" ht="26" x14ac:dyDescent="0.3">
      <c r="A5" s="214" t="s">
        <v>162</v>
      </c>
      <c r="B5" s="214" t="s">
        <v>15</v>
      </c>
      <c r="C5" s="237"/>
      <c r="D5" s="214" t="s">
        <v>187</v>
      </c>
    </row>
    <row r="6" spans="1:7" s="216" customFormat="1" x14ac:dyDescent="0.3">
      <c r="A6" s="215"/>
      <c r="B6" s="215"/>
      <c r="D6" s="215"/>
    </row>
    <row r="7" spans="1:7" x14ac:dyDescent="0.3">
      <c r="A7" s="222">
        <v>1</v>
      </c>
      <c r="B7" s="238" t="s">
        <v>188</v>
      </c>
    </row>
    <row r="8" spans="1:7" x14ac:dyDescent="0.3">
      <c r="A8" s="222">
        <v>2</v>
      </c>
      <c r="B8" s="201" t="s">
        <v>189</v>
      </c>
      <c r="D8" s="26">
        <v>9635842.2928800005</v>
      </c>
      <c r="E8" s="239"/>
    </row>
    <row r="9" spans="1:7" x14ac:dyDescent="0.3">
      <c r="A9" s="222">
        <v>3</v>
      </c>
      <c r="B9" s="201" t="s">
        <v>190</v>
      </c>
      <c r="D9" s="235">
        <f>+'AttE ChoBalCharge'!D15</f>
        <v>2.128E-2</v>
      </c>
    </row>
    <row r="10" spans="1:7" x14ac:dyDescent="0.3">
      <c r="A10" s="222">
        <v>4</v>
      </c>
      <c r="B10" s="201" t="s">
        <v>376</v>
      </c>
      <c r="D10" s="26">
        <f>+ROUND(D8*(1-D9),0)</f>
        <v>9430792</v>
      </c>
    </row>
    <row r="11" spans="1:7" x14ac:dyDescent="0.3">
      <c r="A11" s="222"/>
      <c r="D11" s="26"/>
      <c r="E11" s="239"/>
    </row>
    <row r="12" spans="1:7" x14ac:dyDescent="0.3">
      <c r="A12" s="222">
        <v>5</v>
      </c>
      <c r="B12" s="238" t="s">
        <v>191</v>
      </c>
      <c r="D12" s="26"/>
    </row>
    <row r="13" spans="1:7" x14ac:dyDescent="0.3">
      <c r="A13" s="222">
        <v>6</v>
      </c>
      <c r="B13" s="201" t="s">
        <v>192</v>
      </c>
      <c r="D13" s="235">
        <v>5.4999999999999997E-3</v>
      </c>
    </row>
    <row r="14" spans="1:7" x14ac:dyDescent="0.3">
      <c r="A14" s="222">
        <v>7</v>
      </c>
      <c r="B14" s="201" t="s">
        <v>377</v>
      </c>
      <c r="D14" s="26">
        <f>+D8/(1-D13)</f>
        <v>9689132.5217496231</v>
      </c>
      <c r="F14" s="239"/>
    </row>
    <row r="15" spans="1:7" x14ac:dyDescent="0.3">
      <c r="A15" s="222">
        <v>8</v>
      </c>
      <c r="B15" s="201" t="s">
        <v>378</v>
      </c>
      <c r="D15" s="26">
        <f>+D14-D8</f>
        <v>53290.228869622573</v>
      </c>
    </row>
    <row r="16" spans="1:7" x14ac:dyDescent="0.3">
      <c r="A16" s="222"/>
      <c r="D16" s="26"/>
    </row>
    <row r="17" spans="1:4" x14ac:dyDescent="0.3">
      <c r="A17" s="222"/>
      <c r="B17" s="238" t="s">
        <v>145</v>
      </c>
      <c r="D17" s="235"/>
    </row>
    <row r="18" spans="1:4" x14ac:dyDescent="0.3">
      <c r="A18" s="222">
        <v>9</v>
      </c>
      <c r="B18" s="201" t="s">
        <v>193</v>
      </c>
      <c r="D18" s="27">
        <f>+'1 EGC'!H13</f>
        <v>1.5299999999999999E-2</v>
      </c>
    </row>
    <row r="19" spans="1:4" x14ac:dyDescent="0.3">
      <c r="A19" s="222">
        <v>10</v>
      </c>
      <c r="B19" s="201" t="s">
        <v>194</v>
      </c>
      <c r="D19" s="27">
        <f>'8 BankBal'!F39</f>
        <v>1.3900000000000001E-2</v>
      </c>
    </row>
    <row r="20" spans="1:4" x14ac:dyDescent="0.3">
      <c r="A20" s="222"/>
      <c r="D20" s="27"/>
    </row>
    <row r="21" spans="1:4" x14ac:dyDescent="0.3">
      <c r="A21" s="222"/>
      <c r="B21" s="201" t="s">
        <v>226</v>
      </c>
      <c r="D21" s="27"/>
    </row>
    <row r="22" spans="1:4" x14ac:dyDescent="0.3">
      <c r="A22" s="222"/>
      <c r="B22" s="223" t="s">
        <v>227</v>
      </c>
      <c r="D22" s="27"/>
    </row>
    <row r="23" spans="1:4" x14ac:dyDescent="0.3">
      <c r="A23" s="222" t="s">
        <v>224</v>
      </c>
      <c r="B23" s="223" t="s">
        <v>201</v>
      </c>
      <c r="D23" s="27">
        <v>2.3299999999999996</v>
      </c>
    </row>
    <row r="24" spans="1:4" x14ac:dyDescent="0.3">
      <c r="A24" s="222" t="s">
        <v>225</v>
      </c>
      <c r="B24" s="223" t="s">
        <v>200</v>
      </c>
      <c r="D24" s="240">
        <v>1.101</v>
      </c>
    </row>
    <row r="25" spans="1:4" x14ac:dyDescent="0.3">
      <c r="A25" s="222">
        <v>11</v>
      </c>
      <c r="B25" s="223" t="s">
        <v>379</v>
      </c>
      <c r="D25" s="163">
        <f>+ROUND(D23/D24,4)</f>
        <v>2.1162999999999998</v>
      </c>
    </row>
    <row r="26" spans="1:4" x14ac:dyDescent="0.3">
      <c r="A26" s="222"/>
      <c r="D26" s="241"/>
    </row>
    <row r="27" spans="1:4" x14ac:dyDescent="0.3">
      <c r="A27" s="222">
        <v>12</v>
      </c>
      <c r="B27" s="238" t="s">
        <v>195</v>
      </c>
    </row>
    <row r="28" spans="1:4" x14ac:dyDescent="0.3">
      <c r="A28" s="222">
        <v>13</v>
      </c>
      <c r="B28" s="201" t="s">
        <v>380</v>
      </c>
      <c r="D28" s="117">
        <f>ROUND(D14*D18,0)</f>
        <v>148244</v>
      </c>
    </row>
    <row r="29" spans="1:4" x14ac:dyDescent="0.3">
      <c r="A29" s="222">
        <v>14</v>
      </c>
      <c r="B29" s="201" t="s">
        <v>382</v>
      </c>
      <c r="D29" s="117">
        <f>ROUND(D8*D18,0)</f>
        <v>147428</v>
      </c>
    </row>
    <row r="30" spans="1:4" x14ac:dyDescent="0.3">
      <c r="A30" s="222">
        <v>15</v>
      </c>
      <c r="B30" s="201" t="s">
        <v>381</v>
      </c>
      <c r="D30" s="117">
        <f>ROUND(D19*D10,0)</f>
        <v>131088</v>
      </c>
    </row>
    <row r="31" spans="1:4" x14ac:dyDescent="0.3">
      <c r="A31" s="222">
        <v>16</v>
      </c>
      <c r="B31" s="201" t="s">
        <v>383</v>
      </c>
      <c r="D31" s="117">
        <f>ROUND((+D8-D10)*D25,0)</f>
        <v>433948</v>
      </c>
    </row>
    <row r="32" spans="1:4" x14ac:dyDescent="0.3">
      <c r="A32" s="222">
        <v>17</v>
      </c>
      <c r="B32" s="201" t="s">
        <v>384</v>
      </c>
      <c r="D32" s="242">
        <f>ROUND(D15*D25,0)</f>
        <v>112778</v>
      </c>
    </row>
    <row r="33" spans="1:5" x14ac:dyDescent="0.3">
      <c r="A33" s="222">
        <v>18</v>
      </c>
      <c r="B33" s="201" t="s">
        <v>385</v>
      </c>
      <c r="D33" s="243">
        <f>SUM(D28:D32)</f>
        <v>973486</v>
      </c>
    </row>
    <row r="34" spans="1:5" x14ac:dyDescent="0.3">
      <c r="A34" s="222"/>
      <c r="D34" s="244"/>
    </row>
    <row r="35" spans="1:5" x14ac:dyDescent="0.3">
      <c r="A35" s="222"/>
      <c r="B35" s="238" t="s">
        <v>179</v>
      </c>
    </row>
    <row r="36" spans="1:5" x14ac:dyDescent="0.3">
      <c r="A36" s="222">
        <v>19</v>
      </c>
      <c r="B36" s="212" t="s">
        <v>196</v>
      </c>
      <c r="D36" s="26">
        <f>+'2 UnitDemCost'!F30</f>
        <v>13535494.5</v>
      </c>
      <c r="E36" s="201" t="s">
        <v>199</v>
      </c>
    </row>
    <row r="37" spans="1:5" x14ac:dyDescent="0.3">
      <c r="A37" s="222"/>
      <c r="B37" s="201" t="s">
        <v>197</v>
      </c>
    </row>
    <row r="38" spans="1:5" x14ac:dyDescent="0.3">
      <c r="A38" s="222">
        <v>20</v>
      </c>
      <c r="B38" s="201" t="s">
        <v>386</v>
      </c>
      <c r="D38" s="27">
        <f>ROUND(D33/D36,4)</f>
        <v>7.1900000000000006E-2</v>
      </c>
      <c r="E38" s="222" t="s">
        <v>198</v>
      </c>
    </row>
  </sheetData>
  <phoneticPr fontId="5" type="noConversion"/>
  <pageMargins left="0.75" right="0.75" top="1" bottom="1" header="0.5" footer="0.5"/>
  <pageSetup scale="9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K43"/>
  <sheetViews>
    <sheetView zoomScale="80" zoomScaleNormal="80" workbookViewId="0"/>
  </sheetViews>
  <sheetFormatPr defaultColWidth="9.1796875" defaultRowHeight="14.5" x14ac:dyDescent="0.35"/>
  <cols>
    <col min="1" max="1" width="3.26953125" style="246" customWidth="1"/>
    <col min="2" max="2" width="112.90625" style="246" customWidth="1"/>
    <col min="3" max="3" width="11.36328125" style="246" customWidth="1"/>
    <col min="4" max="9" width="9.1796875" style="246"/>
    <col min="10" max="10" width="14.1796875" style="246" customWidth="1"/>
    <col min="11" max="11" width="13.1796875" style="246" bestFit="1" customWidth="1"/>
    <col min="12" max="16384" width="9.1796875" style="246"/>
  </cols>
  <sheetData>
    <row r="1" spans="1:11" x14ac:dyDescent="0.35">
      <c r="A1" s="245" t="s">
        <v>90</v>
      </c>
      <c r="C1" s="247"/>
      <c r="E1" s="248"/>
    </row>
    <row r="2" spans="1:11" x14ac:dyDescent="0.35">
      <c r="A2" s="245" t="s">
        <v>409</v>
      </c>
    </row>
    <row r="4" spans="1:11" x14ac:dyDescent="0.35">
      <c r="A4" s="246" t="s">
        <v>91</v>
      </c>
    </row>
    <row r="7" spans="1:11" x14ac:dyDescent="0.35">
      <c r="C7" s="249" t="s">
        <v>108</v>
      </c>
    </row>
    <row r="8" spans="1:11" x14ac:dyDescent="0.35">
      <c r="A8" s="246" t="s">
        <v>92</v>
      </c>
    </row>
    <row r="10" spans="1:11" x14ac:dyDescent="0.35">
      <c r="B10" s="246" t="s">
        <v>243</v>
      </c>
      <c r="C10" s="250">
        <f>'1 EGC'!G51</f>
        <v>1.8908</v>
      </c>
    </row>
    <row r="11" spans="1:11" x14ac:dyDescent="0.35">
      <c r="B11" s="246" t="s">
        <v>410</v>
      </c>
      <c r="C11" s="260">
        <f>-0.0628+0.2124+0.1562-0.5478</f>
        <v>-0.24199999999999994</v>
      </c>
    </row>
    <row r="12" spans="1:11" x14ac:dyDescent="0.35">
      <c r="B12" s="246" t="s">
        <v>412</v>
      </c>
      <c r="C12" s="251">
        <f>Summ!E16</f>
        <v>0</v>
      </c>
    </row>
    <row r="13" spans="1:11" hidden="1" x14ac:dyDescent="0.35">
      <c r="B13" s="246" t="s">
        <v>249</v>
      </c>
      <c r="C13" s="251">
        <f>Summ!E12</f>
        <v>0</v>
      </c>
    </row>
    <row r="14" spans="1:11" x14ac:dyDescent="0.35">
      <c r="B14" s="246" t="s">
        <v>93</v>
      </c>
      <c r="C14" s="250">
        <f>SUM(C10:C13)</f>
        <v>1.6488</v>
      </c>
      <c r="D14" s="252"/>
      <c r="E14" s="252"/>
    </row>
    <row r="15" spans="1:11" x14ac:dyDescent="0.35">
      <c r="H15" s="250"/>
      <c r="I15" s="250"/>
      <c r="J15" s="253"/>
      <c r="K15" s="254"/>
    </row>
    <row r="16" spans="1:11" x14ac:dyDescent="0.35">
      <c r="G16" s="255"/>
      <c r="H16" s="250"/>
      <c r="I16" s="250"/>
      <c r="J16" s="253"/>
    </row>
    <row r="17" spans="1:10" x14ac:dyDescent="0.35">
      <c r="A17" s="246" t="s">
        <v>94</v>
      </c>
      <c r="G17" s="255"/>
      <c r="H17" s="250"/>
      <c r="I17" s="250"/>
      <c r="J17" s="253"/>
    </row>
    <row r="18" spans="1:10" x14ac:dyDescent="0.35">
      <c r="H18" s="250"/>
      <c r="I18" s="250"/>
      <c r="J18" s="253"/>
    </row>
    <row r="19" spans="1:10" x14ac:dyDescent="0.35">
      <c r="B19" s="246" t="s">
        <v>242</v>
      </c>
      <c r="C19" s="250">
        <f>'1 EGC'!G49</f>
        <v>1.9628999999999999</v>
      </c>
    </row>
    <row r="20" spans="1:10" x14ac:dyDescent="0.35">
      <c r="B20" s="246" t="s">
        <v>411</v>
      </c>
      <c r="C20" s="260">
        <f>-0.5502-0.0946+0.0388-0.6691</f>
        <v>-1.2751000000000001</v>
      </c>
      <c r="D20" s="256"/>
    </row>
    <row r="21" spans="1:10" x14ac:dyDescent="0.35">
      <c r="A21" s="246" t="s">
        <v>0</v>
      </c>
      <c r="B21" s="246" t="s">
        <v>10</v>
      </c>
      <c r="C21" s="256">
        <f>Summ!E14</f>
        <v>1.3882000000000001</v>
      </c>
    </row>
    <row r="22" spans="1:10" x14ac:dyDescent="0.35">
      <c r="B22" s="246" t="s">
        <v>413</v>
      </c>
      <c r="C22" s="251">
        <f>Summ!F56</f>
        <v>0.40799999999999997</v>
      </c>
    </row>
    <row r="23" spans="1:10" x14ac:dyDescent="0.35">
      <c r="B23" s="246" t="s">
        <v>95</v>
      </c>
      <c r="C23" s="250">
        <f>SUM(C19:C22)</f>
        <v>2.4839999999999995</v>
      </c>
    </row>
    <row r="25" spans="1:10" x14ac:dyDescent="0.35">
      <c r="G25" s="250"/>
    </row>
    <row r="26" spans="1:10" x14ac:dyDescent="0.35">
      <c r="G26" s="250"/>
    </row>
    <row r="27" spans="1:10" x14ac:dyDescent="0.35">
      <c r="G27" s="250"/>
    </row>
    <row r="28" spans="1:10" x14ac:dyDescent="0.35">
      <c r="B28" s="246" t="s">
        <v>96</v>
      </c>
      <c r="C28" s="250">
        <f>C14</f>
        <v>1.6488</v>
      </c>
      <c r="G28" s="250"/>
    </row>
    <row r="29" spans="1:10" x14ac:dyDescent="0.35">
      <c r="C29" s="257">
        <f>C23</f>
        <v>2.4839999999999995</v>
      </c>
      <c r="G29" s="250"/>
    </row>
    <row r="30" spans="1:10" x14ac:dyDescent="0.35">
      <c r="B30" s="246" t="s">
        <v>97</v>
      </c>
      <c r="C30" s="250">
        <f>SUM(C28:C29)</f>
        <v>4.1327999999999996</v>
      </c>
      <c r="E30" s="250"/>
      <c r="G30" s="250"/>
    </row>
    <row r="31" spans="1:10" x14ac:dyDescent="0.35">
      <c r="C31" s="250"/>
      <c r="G31" s="250"/>
    </row>
    <row r="32" spans="1:10" x14ac:dyDescent="0.35">
      <c r="G32" s="250"/>
    </row>
    <row r="33" spans="1:7" x14ac:dyDescent="0.35">
      <c r="A33" s="245" t="s">
        <v>228</v>
      </c>
      <c r="B33" s="245"/>
      <c r="G33" s="250"/>
    </row>
    <row r="35" spans="1:7" x14ac:dyDescent="0.35">
      <c r="B35" s="246" t="str">
        <f t="shared" ref="B35:C36" si="0">B20</f>
        <v>Commodity ACA (Schedule No. 2, Sheet 1, Case No. 2023-00250, Case No. 2023-00350, Case No. 2024-00011,  &amp; Case No. 2024-00121)</v>
      </c>
      <c r="C35" s="260">
        <f t="shared" si="0"/>
        <v>-1.2751000000000001</v>
      </c>
      <c r="D35" s="256"/>
    </row>
    <row r="36" spans="1:7" x14ac:dyDescent="0.35">
      <c r="B36" s="246" t="str">
        <f t="shared" si="0"/>
        <v>Balancing Adjustment</v>
      </c>
      <c r="C36" s="256">
        <f t="shared" si="0"/>
        <v>1.3882000000000001</v>
      </c>
      <c r="D36" s="256"/>
    </row>
    <row r="37" spans="1:7" x14ac:dyDescent="0.35">
      <c r="B37" s="246" t="str">
        <f>B22</f>
        <v>Performance Based Rate Adjustment (Schedule No. 6, Case No. 2024-00121)</v>
      </c>
      <c r="C37" s="251">
        <f>C22</f>
        <v>0.40799999999999997</v>
      </c>
      <c r="D37" s="256"/>
    </row>
    <row r="38" spans="1:7" ht="15" thickBot="1" x14ac:dyDescent="0.4">
      <c r="B38" s="246" t="s">
        <v>95</v>
      </c>
      <c r="C38" s="258">
        <f>SUM(C35:C37)</f>
        <v>0.5210999999999999</v>
      </c>
      <c r="D38" s="259"/>
    </row>
    <row r="39" spans="1:7" ht="15" thickTop="1" x14ac:dyDescent="0.35"/>
    <row r="40" spans="1:7" x14ac:dyDescent="0.35">
      <c r="C40" s="256"/>
    </row>
    <row r="42" spans="1:7" x14ac:dyDescent="0.35">
      <c r="C42" s="256"/>
    </row>
    <row r="43" spans="1:7" x14ac:dyDescent="0.35">
      <c r="C43" s="256"/>
    </row>
  </sheetData>
  <phoneticPr fontId="6" type="noConversion"/>
  <pageMargins left="0.75" right="0.75" top="1" bottom="1" header="0.5" footer="0.5"/>
  <pageSetup scale="72" orientation="portrait" blackAndWhite="1" r:id="rId1"/>
  <headerFooter alignWithMargins="0">
    <oddHeader xml:space="preserve">&amp;R&amp;"Helv,Bold"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rgb="FFFF9999"/>
    <pageSetUpPr fitToPage="1"/>
  </sheetPr>
  <dimension ref="B1:L41"/>
  <sheetViews>
    <sheetView topLeftCell="A13" zoomScale="90" zoomScaleNormal="90" workbookViewId="0">
      <selection activeCell="C36" sqref="C36"/>
    </sheetView>
  </sheetViews>
  <sheetFormatPr defaultColWidth="9.1796875" defaultRowHeight="14.5" x14ac:dyDescent="0.35"/>
  <cols>
    <col min="1" max="1" width="6.81640625" style="28" customWidth="1"/>
    <col min="2" max="2" width="51.1796875" style="28" bestFit="1" customWidth="1"/>
    <col min="3" max="3" width="13.81640625" style="28" bestFit="1" customWidth="1"/>
    <col min="4" max="4" width="2.81640625" style="28" customWidth="1"/>
    <col min="5" max="5" width="19.54296875" style="28" customWidth="1"/>
    <col min="6" max="6" width="19.453125" style="28" customWidth="1"/>
    <col min="7" max="7" width="2.81640625" style="28" customWidth="1"/>
    <col min="8" max="8" width="21.54296875" style="28" bestFit="1" customWidth="1"/>
    <col min="9" max="9" width="8.1796875" style="28" bestFit="1" customWidth="1"/>
    <col min="10" max="11" width="7" style="28" bestFit="1" customWidth="1"/>
    <col min="12" max="12" width="17.54296875" style="28" bestFit="1" customWidth="1"/>
    <col min="13" max="13" width="9.1796875" style="28"/>
    <col min="14" max="14" width="5.453125" style="28" bestFit="1" customWidth="1"/>
    <col min="15" max="16384" width="9.1796875" style="28"/>
  </cols>
  <sheetData>
    <row r="1" spans="2:11" x14ac:dyDescent="0.35">
      <c r="B1" s="264" t="s">
        <v>257</v>
      </c>
      <c r="C1" s="264"/>
      <c r="D1" s="264"/>
      <c r="E1" s="264"/>
      <c r="F1" s="264"/>
      <c r="G1" s="264"/>
      <c r="H1" s="264"/>
    </row>
    <row r="2" spans="2:11" x14ac:dyDescent="0.35">
      <c r="B2" s="265" t="s">
        <v>258</v>
      </c>
      <c r="C2" s="265"/>
      <c r="D2" s="265"/>
      <c r="E2" s="265"/>
      <c r="F2" s="265"/>
      <c r="G2" s="265"/>
      <c r="H2" s="265"/>
    </row>
    <row r="3" spans="2:11" x14ac:dyDescent="0.35">
      <c r="E3" s="29"/>
    </row>
    <row r="4" spans="2:11" x14ac:dyDescent="0.35">
      <c r="B4" s="30" t="s">
        <v>259</v>
      </c>
      <c r="C4" s="29"/>
      <c r="D4" s="29"/>
      <c r="E4" s="265" t="s">
        <v>207</v>
      </c>
      <c r="F4" s="265"/>
      <c r="H4" s="30" t="s">
        <v>260</v>
      </c>
      <c r="I4" s="50"/>
    </row>
    <row r="5" spans="2:11" x14ac:dyDescent="0.35">
      <c r="C5" s="28" t="s">
        <v>261</v>
      </c>
      <c r="E5" s="31" t="s">
        <v>262</v>
      </c>
      <c r="F5" s="31" t="s">
        <v>263</v>
      </c>
      <c r="G5" s="30"/>
      <c r="H5" s="30"/>
      <c r="I5" s="50"/>
      <c r="J5" s="30"/>
    </row>
    <row r="6" spans="2:11" x14ac:dyDescent="0.35">
      <c r="C6" s="32" t="s">
        <v>264</v>
      </c>
      <c r="D6" s="32"/>
      <c r="E6" s="32" t="s">
        <v>264</v>
      </c>
      <c r="F6" s="32" t="s">
        <v>264</v>
      </c>
      <c r="G6" s="33"/>
      <c r="H6" s="32" t="s">
        <v>264</v>
      </c>
      <c r="I6" s="29"/>
    </row>
    <row r="7" spans="2:11" x14ac:dyDescent="0.35">
      <c r="B7" s="34"/>
      <c r="I7" s="50"/>
    </row>
    <row r="8" spans="2:11" x14ac:dyDescent="0.35">
      <c r="B8" s="30" t="s">
        <v>265</v>
      </c>
      <c r="I8" s="50"/>
    </row>
    <row r="9" spans="2:11" x14ac:dyDescent="0.35">
      <c r="B9" s="35" t="s">
        <v>266</v>
      </c>
      <c r="C9" s="36">
        <v>16</v>
      </c>
      <c r="D9" s="34"/>
      <c r="E9" s="34"/>
      <c r="H9" s="51">
        <f>+C9</f>
        <v>16</v>
      </c>
      <c r="I9" s="50"/>
    </row>
    <row r="10" spans="2:11" x14ac:dyDescent="0.35">
      <c r="B10" s="34" t="s">
        <v>267</v>
      </c>
      <c r="C10" s="38">
        <v>3.5665</v>
      </c>
      <c r="D10" s="34"/>
      <c r="E10" s="34">
        <f>'detail TariffSplit'!C14</f>
        <v>1.6488</v>
      </c>
      <c r="F10" s="52">
        <f>'detail TariffSplit'!C23</f>
        <v>2.4839999999999995</v>
      </c>
      <c r="G10" s="34"/>
      <c r="H10" s="53">
        <f>SUM(C10:G10)</f>
        <v>7.6992999999999991</v>
      </c>
      <c r="I10" s="54" t="s">
        <v>334</v>
      </c>
    </row>
    <row r="11" spans="2:11" x14ac:dyDescent="0.35">
      <c r="B11" s="29"/>
      <c r="H11" s="55"/>
      <c r="I11" s="54"/>
    </row>
    <row r="12" spans="2:11" x14ac:dyDescent="0.35">
      <c r="B12" s="30" t="s">
        <v>268</v>
      </c>
      <c r="H12" s="55"/>
      <c r="I12" s="54"/>
    </row>
    <row r="13" spans="2:11" x14ac:dyDescent="0.35">
      <c r="B13" s="39" t="s">
        <v>269</v>
      </c>
      <c r="H13" s="55"/>
      <c r="I13" s="54"/>
    </row>
    <row r="14" spans="2:11" x14ac:dyDescent="0.35">
      <c r="B14" s="40" t="s">
        <v>270</v>
      </c>
      <c r="C14" s="36">
        <v>44.69</v>
      </c>
      <c r="F14" s="34"/>
      <c r="H14" s="55">
        <f>+C14</f>
        <v>44.69</v>
      </c>
      <c r="I14" s="56"/>
    </row>
    <row r="15" spans="2:11" x14ac:dyDescent="0.35">
      <c r="B15" s="34" t="s">
        <v>271</v>
      </c>
      <c r="C15" s="37"/>
      <c r="H15" s="55"/>
      <c r="I15" s="54"/>
    </row>
    <row r="16" spans="2:11" x14ac:dyDescent="0.35">
      <c r="B16" s="34" t="s">
        <v>272</v>
      </c>
      <c r="C16" s="38">
        <v>3.0181</v>
      </c>
      <c r="E16" s="34">
        <f>+E10</f>
        <v>1.6488</v>
      </c>
      <c r="F16" s="57">
        <f>+F10</f>
        <v>2.4839999999999995</v>
      </c>
      <c r="H16" s="53">
        <f>SUM(C16:G16)</f>
        <v>7.1509</v>
      </c>
      <c r="I16" s="56" t="s">
        <v>334</v>
      </c>
      <c r="J16" s="34"/>
      <c r="K16" s="29"/>
    </row>
    <row r="17" spans="2:12" x14ac:dyDescent="0.35">
      <c r="B17" s="34" t="s">
        <v>273</v>
      </c>
      <c r="C17" s="38">
        <v>2.3294999999999999</v>
      </c>
      <c r="E17" s="34">
        <f t="shared" ref="E17:F19" si="0">+E16</f>
        <v>1.6488</v>
      </c>
      <c r="F17" s="57">
        <f t="shared" si="0"/>
        <v>2.4839999999999995</v>
      </c>
      <c r="H17" s="53">
        <f>SUM(C17:G17)</f>
        <v>6.462299999999999</v>
      </c>
      <c r="I17" s="56" t="s">
        <v>334</v>
      </c>
      <c r="J17" s="34"/>
      <c r="K17" s="34"/>
      <c r="L17" s="29"/>
    </row>
    <row r="18" spans="2:12" x14ac:dyDescent="0.35">
      <c r="B18" s="34" t="s">
        <v>274</v>
      </c>
      <c r="C18" s="38">
        <v>2.2143000000000002</v>
      </c>
      <c r="D18" s="41"/>
      <c r="E18" s="41">
        <f t="shared" si="0"/>
        <v>1.6488</v>
      </c>
      <c r="F18" s="57">
        <f t="shared" si="0"/>
        <v>2.4839999999999995</v>
      </c>
      <c r="G18" s="34"/>
      <c r="H18" s="53">
        <f>SUM(C18:G18)</f>
        <v>6.3470999999999993</v>
      </c>
      <c r="I18" s="56" t="s">
        <v>334</v>
      </c>
      <c r="J18" s="29"/>
    </row>
    <row r="19" spans="2:12" x14ac:dyDescent="0.35">
      <c r="B19" s="34" t="s">
        <v>275</v>
      </c>
      <c r="C19" s="38">
        <v>2.0143</v>
      </c>
      <c r="E19" s="34">
        <f t="shared" si="0"/>
        <v>1.6488</v>
      </c>
      <c r="F19" s="57">
        <f t="shared" si="0"/>
        <v>2.4839999999999995</v>
      </c>
      <c r="G19" s="34"/>
      <c r="H19" s="53">
        <f>SUM(C19:G19)</f>
        <v>6.1471</v>
      </c>
      <c r="I19" s="56" t="s">
        <v>334</v>
      </c>
      <c r="J19" s="34"/>
      <c r="K19" s="34"/>
    </row>
    <row r="20" spans="2:12" x14ac:dyDescent="0.35">
      <c r="B20" s="40" t="s">
        <v>0</v>
      </c>
      <c r="H20" s="55"/>
      <c r="I20" s="54"/>
    </row>
    <row r="21" spans="2:12" x14ac:dyDescent="0.35">
      <c r="B21" s="34" t="s">
        <v>276</v>
      </c>
      <c r="H21" s="55"/>
      <c r="I21" s="54"/>
    </row>
    <row r="22" spans="2:12" x14ac:dyDescent="0.35">
      <c r="B22" s="34" t="s">
        <v>277</v>
      </c>
      <c r="C22" s="36">
        <v>2007</v>
      </c>
      <c r="F22" s="34"/>
      <c r="H22" s="51">
        <f>+C22</f>
        <v>2007</v>
      </c>
      <c r="I22" s="56"/>
    </row>
    <row r="23" spans="2:12" x14ac:dyDescent="0.35">
      <c r="B23" s="34" t="s">
        <v>278</v>
      </c>
      <c r="H23" s="55"/>
      <c r="I23" s="54"/>
    </row>
    <row r="24" spans="2:12" x14ac:dyDescent="0.35">
      <c r="B24" s="34" t="s">
        <v>279</v>
      </c>
      <c r="C24" s="38">
        <v>0.62849999999999995</v>
      </c>
      <c r="F24" s="52">
        <f>+F10</f>
        <v>2.4839999999999995</v>
      </c>
      <c r="H24" s="53">
        <f>SUM(C24:G24)</f>
        <v>3.1124999999999994</v>
      </c>
      <c r="I24" s="56" t="s">
        <v>334</v>
      </c>
      <c r="J24" s="29"/>
    </row>
    <row r="25" spans="2:12" x14ac:dyDescent="0.35">
      <c r="B25" s="34" t="s">
        <v>280</v>
      </c>
      <c r="C25" s="38">
        <v>0.37369999999999998</v>
      </c>
      <c r="F25" s="52">
        <f>+F10</f>
        <v>2.4839999999999995</v>
      </c>
      <c r="H25" s="53">
        <f>SUM(C25:G25)</f>
        <v>2.8576999999999995</v>
      </c>
      <c r="I25" s="56" t="s">
        <v>334</v>
      </c>
      <c r="J25" s="29"/>
    </row>
    <row r="26" spans="2:12" x14ac:dyDescent="0.35">
      <c r="B26" s="34" t="s">
        <v>281</v>
      </c>
      <c r="C26" s="38">
        <v>0.32469999999999999</v>
      </c>
      <c r="E26" s="34"/>
      <c r="F26" s="52">
        <f>+F10</f>
        <v>2.4839999999999995</v>
      </c>
      <c r="H26" s="53">
        <f>SUM(C26:G26)</f>
        <v>2.8086999999999995</v>
      </c>
      <c r="I26" s="56" t="s">
        <v>334</v>
      </c>
      <c r="J26" s="34"/>
      <c r="K26" s="29"/>
    </row>
    <row r="27" spans="2:12" x14ac:dyDescent="0.35">
      <c r="B27" s="34" t="s">
        <v>282</v>
      </c>
      <c r="H27" s="55"/>
      <c r="I27" s="54"/>
    </row>
    <row r="28" spans="2:12" x14ac:dyDescent="0.35">
      <c r="B28" s="34" t="s">
        <v>283</v>
      </c>
      <c r="H28" s="55"/>
      <c r="I28" s="54"/>
    </row>
    <row r="29" spans="2:12" x14ac:dyDescent="0.35">
      <c r="B29" s="34" t="s">
        <v>284</v>
      </c>
      <c r="E29" s="34">
        <f>'4 DemCr'!E25</f>
        <v>10.1919</v>
      </c>
      <c r="G29" s="34"/>
      <c r="H29" s="53">
        <f>SUM(C29:G29)</f>
        <v>10.1919</v>
      </c>
      <c r="I29" s="56" t="s">
        <v>334</v>
      </c>
    </row>
    <row r="30" spans="2:12" x14ac:dyDescent="0.35">
      <c r="B30" s="34"/>
      <c r="H30" s="55"/>
      <c r="I30" s="54"/>
    </row>
    <row r="31" spans="2:12" x14ac:dyDescent="0.35">
      <c r="B31" s="30" t="s">
        <v>285</v>
      </c>
      <c r="H31" s="55"/>
      <c r="I31" s="54"/>
    </row>
    <row r="32" spans="2:12" x14ac:dyDescent="0.35">
      <c r="B32" s="34"/>
      <c r="H32" s="55"/>
      <c r="I32" s="54"/>
    </row>
    <row r="33" spans="2:9" x14ac:dyDescent="0.35">
      <c r="B33" s="34" t="s">
        <v>286</v>
      </c>
      <c r="C33" s="36">
        <v>567.4</v>
      </c>
      <c r="E33" s="34"/>
      <c r="H33" s="51">
        <f>+C33</f>
        <v>567.4</v>
      </c>
      <c r="I33" s="54"/>
    </row>
    <row r="34" spans="2:9" x14ac:dyDescent="0.35">
      <c r="B34" s="34" t="s">
        <v>287</v>
      </c>
      <c r="H34" s="55"/>
      <c r="I34" s="54"/>
    </row>
    <row r="35" spans="2:9" x14ac:dyDescent="0.35">
      <c r="B35" s="34" t="s">
        <v>288</v>
      </c>
      <c r="C35" s="38">
        <v>1.1544000000000001</v>
      </c>
      <c r="D35" s="34"/>
      <c r="E35" s="34">
        <f>E10</f>
        <v>1.6488</v>
      </c>
      <c r="F35" s="52">
        <f>F10</f>
        <v>2.4839999999999995</v>
      </c>
      <c r="G35" s="34"/>
      <c r="H35" s="53">
        <f>SUM(C35:G35)</f>
        <v>5.2872000000000003</v>
      </c>
      <c r="I35" s="56" t="s">
        <v>334</v>
      </c>
    </row>
    <row r="36" spans="2:9" x14ac:dyDescent="0.35">
      <c r="B36" s="42"/>
    </row>
    <row r="38" spans="2:9" ht="14.5" customHeight="1" x14ac:dyDescent="0.35">
      <c r="B38" s="266" t="s">
        <v>388</v>
      </c>
      <c r="C38" s="267"/>
      <c r="D38" s="267"/>
      <c r="E38" s="267"/>
      <c r="F38" s="267"/>
      <c r="G38" s="267"/>
      <c r="H38" s="267"/>
      <c r="I38" s="268"/>
    </row>
    <row r="39" spans="2:9" x14ac:dyDescent="0.35">
      <c r="B39" s="269"/>
      <c r="C39" s="270"/>
      <c r="D39" s="270"/>
      <c r="E39" s="270"/>
      <c r="F39" s="270"/>
      <c r="G39" s="270"/>
      <c r="H39" s="270"/>
      <c r="I39" s="271"/>
    </row>
    <row r="40" spans="2:9" x14ac:dyDescent="0.35">
      <c r="B40" s="272"/>
      <c r="C40" s="273"/>
      <c r="D40" s="273"/>
      <c r="E40" s="273"/>
      <c r="F40" s="273"/>
      <c r="G40" s="273"/>
      <c r="H40" s="273"/>
      <c r="I40" s="274"/>
    </row>
    <row r="41" spans="2:9" x14ac:dyDescent="0.35">
      <c r="F41" s="68">
        <f>'1 EGC'!G53</f>
        <v>3.8536999999999999</v>
      </c>
    </row>
  </sheetData>
  <mergeCells count="4">
    <mergeCell ref="B1:H1"/>
    <mergeCell ref="B2:H2"/>
    <mergeCell ref="E4:F4"/>
    <mergeCell ref="B38:I40"/>
  </mergeCells>
  <pageMargins left="0.7" right="0.7" top="0.75" bottom="0.75" header="0.3" footer="0.3"/>
  <pageSetup scale="63"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rgb="FFFF9999"/>
  </sheetPr>
  <dimension ref="B1:I40"/>
  <sheetViews>
    <sheetView topLeftCell="A22" zoomScale="90" zoomScaleNormal="90" workbookViewId="0">
      <selection activeCell="B42" sqref="B42"/>
    </sheetView>
  </sheetViews>
  <sheetFormatPr defaultColWidth="9.1796875" defaultRowHeight="14.5" x14ac:dyDescent="0.35"/>
  <cols>
    <col min="1" max="1" width="5.81640625" style="28" customWidth="1"/>
    <col min="2" max="2" width="51.81640625" style="28" customWidth="1"/>
    <col min="3" max="3" width="11.81640625" style="28" bestFit="1" customWidth="1"/>
    <col min="4" max="4" width="2.54296875" style="28" customWidth="1"/>
    <col min="5" max="5" width="9.81640625" style="28" bestFit="1" customWidth="1"/>
    <col min="6" max="6" width="13.81640625" style="28" customWidth="1"/>
    <col min="7" max="7" width="2.54296875" style="28" customWidth="1"/>
    <col min="8" max="8" width="21.81640625" style="28" bestFit="1" customWidth="1"/>
    <col min="9" max="16384" width="9.1796875" style="28"/>
  </cols>
  <sheetData>
    <row r="1" spans="2:9" x14ac:dyDescent="0.35">
      <c r="B1" s="264" t="s">
        <v>289</v>
      </c>
      <c r="C1" s="264"/>
      <c r="D1" s="264"/>
      <c r="E1" s="264"/>
      <c r="F1" s="264"/>
      <c r="G1" s="264"/>
      <c r="H1" s="264"/>
    </row>
    <row r="2" spans="2:9" x14ac:dyDescent="0.35">
      <c r="B2" s="265" t="s">
        <v>258</v>
      </c>
      <c r="C2" s="265"/>
      <c r="D2" s="265"/>
      <c r="E2" s="265"/>
      <c r="F2" s="265"/>
      <c r="G2" s="265"/>
      <c r="H2" s="265"/>
    </row>
    <row r="3" spans="2:9" x14ac:dyDescent="0.35">
      <c r="E3" s="29"/>
    </row>
    <row r="4" spans="2:9" x14ac:dyDescent="0.35">
      <c r="C4" s="29"/>
      <c r="D4" s="29"/>
      <c r="E4" s="265" t="s">
        <v>207</v>
      </c>
      <c r="F4" s="265"/>
      <c r="H4" s="30" t="s">
        <v>260</v>
      </c>
    </row>
    <row r="5" spans="2:9" x14ac:dyDescent="0.35">
      <c r="C5" s="28" t="s">
        <v>261</v>
      </c>
      <c r="E5" s="31" t="s">
        <v>262</v>
      </c>
      <c r="F5" s="31" t="s">
        <v>263</v>
      </c>
      <c r="G5" s="30"/>
      <c r="H5" s="30"/>
    </row>
    <row r="6" spans="2:9" x14ac:dyDescent="0.35">
      <c r="B6" s="30" t="s">
        <v>290</v>
      </c>
      <c r="C6" s="32" t="s">
        <v>264</v>
      </c>
      <c r="D6" s="32"/>
      <c r="E6" s="32" t="s">
        <v>264</v>
      </c>
      <c r="F6" s="32" t="s">
        <v>264</v>
      </c>
      <c r="G6" s="33"/>
      <c r="H6" s="32" t="s">
        <v>264</v>
      </c>
    </row>
    <row r="8" spans="2:9" x14ac:dyDescent="0.35">
      <c r="B8" s="58" t="s">
        <v>291</v>
      </c>
    </row>
    <row r="9" spans="2:9" x14ac:dyDescent="0.35">
      <c r="B9" s="59" t="s">
        <v>292</v>
      </c>
    </row>
    <row r="10" spans="2:9" x14ac:dyDescent="0.35">
      <c r="B10" s="59" t="s">
        <v>283</v>
      </c>
    </row>
    <row r="11" spans="2:9" x14ac:dyDescent="0.35">
      <c r="B11" s="59" t="s">
        <v>284</v>
      </c>
      <c r="E11" s="28">
        <f>'4 DemCr'!E25</f>
        <v>10.1919</v>
      </c>
      <c r="H11" s="52">
        <f>SUM(C11:G11)</f>
        <v>10.1919</v>
      </c>
      <c r="I11" s="54" t="s">
        <v>334</v>
      </c>
    </row>
    <row r="12" spans="2:9" x14ac:dyDescent="0.35">
      <c r="B12" s="59" t="s">
        <v>293</v>
      </c>
      <c r="F12" s="57">
        <f>'detail TariffSplit'!C23</f>
        <v>2.4839999999999995</v>
      </c>
      <c r="H12" s="52">
        <f>SUM(C12:G12)</f>
        <v>2.4839999999999995</v>
      </c>
      <c r="I12" s="54" t="s">
        <v>334</v>
      </c>
    </row>
    <row r="13" spans="2:9" x14ac:dyDescent="0.35">
      <c r="B13" s="59"/>
    </row>
    <row r="14" spans="2:9" x14ac:dyDescent="0.35">
      <c r="B14" s="58" t="s">
        <v>294</v>
      </c>
    </row>
    <row r="15" spans="2:9" x14ac:dyDescent="0.35">
      <c r="B15" s="60" t="s">
        <v>295</v>
      </c>
    </row>
    <row r="16" spans="2:9" x14ac:dyDescent="0.35">
      <c r="B16" s="59" t="s">
        <v>296</v>
      </c>
      <c r="H16" s="38">
        <v>2007</v>
      </c>
    </row>
    <row r="17" spans="2:8" x14ac:dyDescent="0.35">
      <c r="B17" s="59" t="s">
        <v>297</v>
      </c>
      <c r="H17" s="38">
        <v>44.69</v>
      </c>
    </row>
    <row r="18" spans="2:8" x14ac:dyDescent="0.35">
      <c r="B18" s="59" t="s">
        <v>298</v>
      </c>
      <c r="H18" s="38">
        <v>567.4</v>
      </c>
    </row>
    <row r="19" spans="2:8" x14ac:dyDescent="0.35">
      <c r="B19" s="59"/>
    </row>
    <row r="20" spans="2:8" x14ac:dyDescent="0.35">
      <c r="B20" s="59" t="s">
        <v>299</v>
      </c>
    </row>
    <row r="21" spans="2:8" x14ac:dyDescent="0.35">
      <c r="B21" s="59" t="s">
        <v>300</v>
      </c>
      <c r="C21" s="38">
        <v>0.62849999999999995</v>
      </c>
      <c r="H21" s="28">
        <f>SUM(C21:G21)</f>
        <v>0.62849999999999995</v>
      </c>
    </row>
    <row r="22" spans="2:8" x14ac:dyDescent="0.35">
      <c r="B22" s="59" t="s">
        <v>301</v>
      </c>
      <c r="C22" s="38">
        <v>0.37369999999999998</v>
      </c>
      <c r="H22" s="28">
        <f>SUM(C22:G22)</f>
        <v>0.37369999999999998</v>
      </c>
    </row>
    <row r="23" spans="2:8" x14ac:dyDescent="0.35">
      <c r="B23" s="59" t="s">
        <v>302</v>
      </c>
      <c r="C23" s="38">
        <v>0.32469999999999999</v>
      </c>
      <c r="H23" s="28">
        <f>SUM(C23:G23)</f>
        <v>0.32469999999999999</v>
      </c>
    </row>
    <row r="24" spans="2:8" x14ac:dyDescent="0.35">
      <c r="B24" s="59" t="s">
        <v>303</v>
      </c>
    </row>
    <row r="25" spans="2:8" x14ac:dyDescent="0.35">
      <c r="B25" s="59" t="s">
        <v>304</v>
      </c>
      <c r="H25" s="61">
        <v>3.0181</v>
      </c>
    </row>
    <row r="26" spans="2:8" x14ac:dyDescent="0.35">
      <c r="B26" s="59" t="s">
        <v>305</v>
      </c>
      <c r="H26" s="61">
        <v>2.3294999999999999</v>
      </c>
    </row>
    <row r="27" spans="2:8" x14ac:dyDescent="0.35">
      <c r="B27" s="59" t="s">
        <v>306</v>
      </c>
      <c r="H27" s="61">
        <v>2.2143000000000002</v>
      </c>
    </row>
    <row r="28" spans="2:8" x14ac:dyDescent="0.35">
      <c r="B28" s="59" t="s">
        <v>307</v>
      </c>
      <c r="H28" s="61">
        <v>2.0143</v>
      </c>
    </row>
    <row r="29" spans="2:8" x14ac:dyDescent="0.35">
      <c r="B29" s="59" t="s">
        <v>308</v>
      </c>
      <c r="H29" s="61"/>
    </row>
    <row r="30" spans="2:8" x14ac:dyDescent="0.35">
      <c r="B30" s="59" t="s">
        <v>309</v>
      </c>
      <c r="H30" s="61">
        <v>1.1544000000000001</v>
      </c>
    </row>
    <row r="31" spans="2:8" x14ac:dyDescent="0.35">
      <c r="B31" s="59" t="s">
        <v>0</v>
      </c>
    </row>
    <row r="32" spans="2:8" x14ac:dyDescent="0.35">
      <c r="B32" s="59" t="s">
        <v>123</v>
      </c>
    </row>
    <row r="33" spans="2:8" x14ac:dyDescent="0.35">
      <c r="B33" s="62" t="s">
        <v>310</v>
      </c>
      <c r="E33" s="28">
        <f>'8 BankBal'!G53</f>
        <v>3.6900000000000002E-2</v>
      </c>
      <c r="H33" s="28">
        <f>SUM(C33:G33)</f>
        <v>3.6900000000000002E-2</v>
      </c>
    </row>
    <row r="34" spans="2:8" x14ac:dyDescent="0.35">
      <c r="B34" s="58" t="s">
        <v>311</v>
      </c>
    </row>
    <row r="35" spans="2:8" x14ac:dyDescent="0.35">
      <c r="B35" s="60"/>
    </row>
    <row r="36" spans="2:8" x14ac:dyDescent="0.35">
      <c r="B36" s="59" t="s">
        <v>312</v>
      </c>
      <c r="H36" s="38">
        <v>255.9</v>
      </c>
    </row>
    <row r="37" spans="2:8" x14ac:dyDescent="0.35">
      <c r="B37" s="59" t="s">
        <v>313</v>
      </c>
      <c r="H37" s="61">
        <v>8.5800000000000001E-2</v>
      </c>
    </row>
    <row r="38" spans="2:8" x14ac:dyDescent="0.35">
      <c r="B38" s="59" t="s">
        <v>314</v>
      </c>
    </row>
    <row r="39" spans="2:8" x14ac:dyDescent="0.35">
      <c r="B39" s="59" t="s">
        <v>315</v>
      </c>
      <c r="E39" s="28">
        <f>E33</f>
        <v>3.6900000000000002E-2</v>
      </c>
      <c r="H39" s="28">
        <f>SUM(C39:G39)</f>
        <v>3.6900000000000002E-2</v>
      </c>
    </row>
    <row r="40" spans="2:8" x14ac:dyDescent="0.35">
      <c r="B40" s="59"/>
    </row>
  </sheetData>
  <mergeCells count="3">
    <mergeCell ref="B1:H1"/>
    <mergeCell ref="B2:H2"/>
    <mergeCell ref="E4:F4"/>
  </mergeCells>
  <pageMargins left="0.7" right="0.7" top="0.75" bottom="0.75" header="0.3" footer="0.3"/>
  <pageSetup scale="57"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rgb="FFFF9999"/>
    <pageSetUpPr fitToPage="1"/>
  </sheetPr>
  <dimension ref="B1:H36"/>
  <sheetViews>
    <sheetView topLeftCell="A18" zoomScale="90" zoomScaleNormal="90" workbookViewId="0">
      <selection activeCell="C36" sqref="C36"/>
    </sheetView>
  </sheetViews>
  <sheetFormatPr defaultColWidth="9.1796875" defaultRowHeight="14.5" x14ac:dyDescent="0.35"/>
  <cols>
    <col min="1" max="1" width="9.1796875" style="28"/>
    <col min="2" max="2" width="55.1796875" style="28" bestFit="1" customWidth="1"/>
    <col min="3" max="3" width="30.453125" style="28" bestFit="1" customWidth="1"/>
    <col min="4" max="4" width="17.54296875" style="28" bestFit="1" customWidth="1"/>
    <col min="5" max="5" width="2.81640625" style="28" bestFit="1" customWidth="1"/>
    <col min="6" max="6" width="9.1796875" style="28"/>
    <col min="7" max="7" width="5" style="28" bestFit="1" customWidth="1"/>
    <col min="8" max="16384" width="9.1796875" style="28"/>
  </cols>
  <sheetData>
    <row r="1" spans="2:8" x14ac:dyDescent="0.35">
      <c r="B1" s="264" t="s">
        <v>316</v>
      </c>
      <c r="C1" s="264"/>
      <c r="D1" s="264"/>
      <c r="E1" s="264"/>
      <c r="F1" s="264"/>
      <c r="G1" s="264"/>
      <c r="H1" s="264"/>
    </row>
    <row r="2" spans="2:8" x14ac:dyDescent="0.35">
      <c r="B2" s="265" t="s">
        <v>258</v>
      </c>
      <c r="C2" s="265"/>
      <c r="D2" s="265"/>
      <c r="E2" s="265"/>
      <c r="F2" s="265"/>
      <c r="G2" s="265"/>
      <c r="H2" s="265"/>
    </row>
    <row r="3" spans="2:8" x14ac:dyDescent="0.35">
      <c r="E3" s="29"/>
    </row>
    <row r="8" spans="2:8" x14ac:dyDescent="0.35">
      <c r="B8" s="30" t="s">
        <v>317</v>
      </c>
      <c r="D8" s="30" t="s">
        <v>318</v>
      </c>
    </row>
    <row r="10" spans="2:8" x14ac:dyDescent="0.35">
      <c r="B10" s="39" t="s">
        <v>319</v>
      </c>
    </row>
    <row r="11" spans="2:8" x14ac:dyDescent="0.35">
      <c r="B11" s="34"/>
    </row>
    <row r="12" spans="2:8" x14ac:dyDescent="0.35">
      <c r="B12" s="34" t="s">
        <v>320</v>
      </c>
      <c r="D12" s="43">
        <v>16</v>
      </c>
    </row>
    <row r="13" spans="2:8" x14ac:dyDescent="0.35">
      <c r="B13" s="34" t="s">
        <v>321</v>
      </c>
      <c r="D13" s="44">
        <v>3.5665</v>
      </c>
    </row>
    <row r="14" spans="2:8" x14ac:dyDescent="0.35">
      <c r="B14" s="34"/>
      <c r="D14" s="45"/>
    </row>
    <row r="15" spans="2:8" x14ac:dyDescent="0.35">
      <c r="B15" s="39" t="s">
        <v>322</v>
      </c>
      <c r="D15" s="45"/>
    </row>
    <row r="16" spans="2:8" x14ac:dyDescent="0.35">
      <c r="B16" s="34"/>
      <c r="D16" s="45"/>
    </row>
    <row r="17" spans="2:6" x14ac:dyDescent="0.35">
      <c r="B17" s="34" t="s">
        <v>277</v>
      </c>
      <c r="D17" s="43">
        <v>44.69</v>
      </c>
    </row>
    <row r="18" spans="2:6" x14ac:dyDescent="0.35">
      <c r="B18" s="34" t="s">
        <v>323</v>
      </c>
      <c r="D18" s="45"/>
    </row>
    <row r="19" spans="2:6" x14ac:dyDescent="0.35">
      <c r="B19" s="35" t="s">
        <v>304</v>
      </c>
      <c r="D19" s="44">
        <v>3.0181</v>
      </c>
    </row>
    <row r="20" spans="2:6" x14ac:dyDescent="0.35">
      <c r="B20" s="46" t="s">
        <v>324</v>
      </c>
      <c r="D20" s="44">
        <v>2.3294999999999999</v>
      </c>
    </row>
    <row r="21" spans="2:6" x14ac:dyDescent="0.35">
      <c r="B21" s="46" t="s">
        <v>325</v>
      </c>
      <c r="D21" s="44">
        <v>2.2143000000000002</v>
      </c>
    </row>
    <row r="22" spans="2:6" x14ac:dyDescent="0.35">
      <c r="B22" s="34" t="s">
        <v>326</v>
      </c>
      <c r="D22" s="44">
        <v>2.0143</v>
      </c>
    </row>
    <row r="23" spans="2:6" x14ac:dyDescent="0.35">
      <c r="B23" s="34"/>
      <c r="D23" s="45"/>
    </row>
    <row r="24" spans="2:6" x14ac:dyDescent="0.35">
      <c r="B24" s="39" t="s">
        <v>327</v>
      </c>
      <c r="D24" s="45"/>
    </row>
    <row r="25" spans="2:6" x14ac:dyDescent="0.35">
      <c r="B25" s="34"/>
      <c r="D25" s="45"/>
    </row>
    <row r="26" spans="2:6" x14ac:dyDescent="0.35">
      <c r="B26" s="34" t="s">
        <v>277</v>
      </c>
      <c r="D26" s="43">
        <v>567.4</v>
      </c>
    </row>
    <row r="27" spans="2:6" x14ac:dyDescent="0.35">
      <c r="B27" s="34" t="s">
        <v>328</v>
      </c>
      <c r="D27" s="47">
        <v>1.1544000000000001</v>
      </c>
    </row>
    <row r="28" spans="2:6" x14ac:dyDescent="0.35">
      <c r="B28" s="34"/>
    </row>
    <row r="29" spans="2:6" x14ac:dyDescent="0.35">
      <c r="C29" s="48" t="s">
        <v>329</v>
      </c>
    </row>
    <row r="30" spans="2:6" x14ac:dyDescent="0.35">
      <c r="B30" s="34"/>
    </row>
    <row r="31" spans="2:6" x14ac:dyDescent="0.35">
      <c r="B31" s="39" t="s">
        <v>330</v>
      </c>
      <c r="C31" s="66">
        <f>'detail TariffSplit'!C38</f>
        <v>0.5210999999999999</v>
      </c>
      <c r="F31" s="54" t="s">
        <v>334</v>
      </c>
    </row>
    <row r="32" spans="2:6" x14ac:dyDescent="0.35">
      <c r="B32" s="34"/>
      <c r="F32" s="54"/>
    </row>
    <row r="33" spans="2:6" x14ac:dyDescent="0.35">
      <c r="B33" s="34" t="s">
        <v>331</v>
      </c>
      <c r="C33" s="67"/>
      <c r="F33" s="54"/>
    </row>
    <row r="34" spans="2:6" x14ac:dyDescent="0.35">
      <c r="B34" s="30" t="s">
        <v>332</v>
      </c>
      <c r="F34" s="54"/>
    </row>
    <row r="35" spans="2:6" x14ac:dyDescent="0.35">
      <c r="B35" s="34"/>
      <c r="F35" s="54"/>
    </row>
    <row r="36" spans="2:6" x14ac:dyDescent="0.35">
      <c r="B36" s="49" t="s">
        <v>333</v>
      </c>
      <c r="C36" s="66">
        <f>'AttE ChoBalCharge'!L36</f>
        <v>1.1639000000000002</v>
      </c>
      <c r="E36" s="49"/>
      <c r="F36" s="54" t="s">
        <v>335</v>
      </c>
    </row>
  </sheetData>
  <mergeCells count="2">
    <mergeCell ref="B1:H1"/>
    <mergeCell ref="B2:H2"/>
  </mergeCells>
  <pageMargins left="0.7" right="0.7" top="0.75" bottom="0.75" header="0.3" footer="0.3"/>
  <pageSetup scale="66"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dimension ref="A1"/>
  <sheetViews>
    <sheetView workbookViewId="0"/>
  </sheetViews>
  <sheetFormatPr defaultRowHeight="13"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56"/>
  <sheetViews>
    <sheetView zoomScale="120" zoomScaleNormal="120" workbookViewId="0"/>
  </sheetViews>
  <sheetFormatPr defaultColWidth="9.1796875" defaultRowHeight="13" x14ac:dyDescent="0.3"/>
  <cols>
    <col min="1" max="1" width="4" style="2" customWidth="1"/>
    <col min="2" max="2" width="39.453125" style="2" customWidth="1"/>
    <col min="3" max="3" width="17.54296875" style="2" customWidth="1"/>
    <col min="4" max="4" width="11" style="2" customWidth="1"/>
    <col min="5" max="5" width="10.1796875" style="2" customWidth="1"/>
    <col min="6" max="6" width="2.81640625" style="2" customWidth="1"/>
    <col min="7" max="7" width="12" style="2" customWidth="1"/>
    <col min="8" max="8" width="9.81640625" style="2" customWidth="1"/>
    <col min="9" max="9" width="2.81640625" style="2" customWidth="1"/>
    <col min="10" max="10" width="11.81640625" style="2" customWidth="1"/>
    <col min="11" max="11" width="2.81640625" style="2" customWidth="1"/>
    <col min="12" max="16384" width="9.1796875" style="2"/>
  </cols>
  <sheetData>
    <row r="1" spans="1:11" ht="18.5" x14ac:dyDescent="0.45">
      <c r="A1" s="1" t="s">
        <v>98</v>
      </c>
      <c r="C1" s="106"/>
      <c r="D1" s="106"/>
      <c r="H1" s="13"/>
      <c r="I1" s="107"/>
      <c r="J1" s="13" t="s">
        <v>19</v>
      </c>
    </row>
    <row r="2" spans="1:11" ht="18.5" x14ac:dyDescent="0.45">
      <c r="A2" s="1" t="s">
        <v>139</v>
      </c>
      <c r="C2" s="106"/>
      <c r="D2" s="106"/>
      <c r="J2" s="13" t="s">
        <v>62</v>
      </c>
    </row>
    <row r="3" spans="1:11" x14ac:dyDescent="0.3">
      <c r="A3" s="3" t="s">
        <v>401</v>
      </c>
      <c r="J3" s="3"/>
    </row>
    <row r="4" spans="1:11" x14ac:dyDescent="0.3">
      <c r="B4" s="3"/>
    </row>
    <row r="5" spans="1:11" x14ac:dyDescent="0.3">
      <c r="B5" s="3"/>
    </row>
    <row r="6" spans="1:11" x14ac:dyDescent="0.3">
      <c r="A6" s="3"/>
      <c r="B6" s="3"/>
      <c r="C6" s="3"/>
      <c r="D6" s="3"/>
      <c r="E6" s="3"/>
      <c r="F6" s="3"/>
      <c r="G6" s="3"/>
      <c r="H6" s="3"/>
      <c r="I6" s="3"/>
      <c r="J6" s="3"/>
    </row>
    <row r="7" spans="1:11" x14ac:dyDescent="0.3">
      <c r="A7" s="10" t="s">
        <v>4</v>
      </c>
      <c r="B7" s="3"/>
      <c r="C7" s="3"/>
      <c r="D7" s="261" t="s">
        <v>156</v>
      </c>
      <c r="E7" s="261"/>
      <c r="F7" s="3"/>
      <c r="G7" s="261" t="s">
        <v>35</v>
      </c>
      <c r="H7" s="261"/>
      <c r="I7" s="3"/>
      <c r="J7" s="3"/>
    </row>
    <row r="8" spans="1:11" x14ac:dyDescent="0.3">
      <c r="A8" s="109" t="s">
        <v>5</v>
      </c>
      <c r="B8" s="9" t="s">
        <v>15</v>
      </c>
      <c r="C8" s="9" t="s">
        <v>64</v>
      </c>
      <c r="D8" s="9" t="s">
        <v>2</v>
      </c>
      <c r="E8" s="9" t="s">
        <v>59</v>
      </c>
      <c r="F8" s="3"/>
      <c r="G8" s="9" t="s">
        <v>63</v>
      </c>
      <c r="H8" s="9" t="s">
        <v>61</v>
      </c>
      <c r="I8" s="9"/>
      <c r="J8" s="9" t="s">
        <v>60</v>
      </c>
    </row>
    <row r="9" spans="1:11" x14ac:dyDescent="0.3">
      <c r="C9" s="6"/>
      <c r="D9" s="4">
        <v>-1</v>
      </c>
      <c r="E9" s="4">
        <v>-2</v>
      </c>
      <c r="G9" s="4">
        <v>-3</v>
      </c>
      <c r="H9" s="4">
        <v>-4</v>
      </c>
      <c r="I9" s="4"/>
      <c r="J9" s="4">
        <v>-5</v>
      </c>
    </row>
    <row r="10" spans="1:11" x14ac:dyDescent="0.3">
      <c r="B10" s="3" t="s">
        <v>74</v>
      </c>
    </row>
    <row r="11" spans="1:11" x14ac:dyDescent="0.3">
      <c r="B11" s="110" t="s">
        <v>154</v>
      </c>
    </row>
    <row r="12" spans="1:11" x14ac:dyDescent="0.3">
      <c r="B12" s="110" t="s">
        <v>141</v>
      </c>
    </row>
    <row r="13" spans="1:11" x14ac:dyDescent="0.3">
      <c r="A13" s="2">
        <v>1</v>
      </c>
      <c r="B13" s="111" t="s">
        <v>135</v>
      </c>
      <c r="E13" s="2">
        <v>0</v>
      </c>
      <c r="H13" s="114">
        <v>1.5299999999999999E-2</v>
      </c>
      <c r="J13" s="14">
        <f>ROUND(-E13*H13,0)</f>
        <v>0</v>
      </c>
      <c r="K13" s="112"/>
    </row>
    <row r="14" spans="1:11" x14ac:dyDescent="0.3">
      <c r="A14" s="2">
        <v>2</v>
      </c>
      <c r="B14" s="111" t="s">
        <v>136</v>
      </c>
      <c r="E14" s="2">
        <v>4064691.2188799973</v>
      </c>
      <c r="H14" s="114">
        <v>1.5299999999999999E-2</v>
      </c>
      <c r="J14" s="113">
        <f>+ROUND(E14*H14,0)</f>
        <v>62190</v>
      </c>
      <c r="K14" s="112"/>
    </row>
    <row r="15" spans="1:11" x14ac:dyDescent="0.3">
      <c r="B15" s="111"/>
      <c r="H15" s="114"/>
      <c r="J15" s="113"/>
      <c r="K15" s="112"/>
    </row>
    <row r="16" spans="1:11" x14ac:dyDescent="0.3">
      <c r="A16" s="2">
        <v>3</v>
      </c>
      <c r="B16" s="110" t="s">
        <v>229</v>
      </c>
      <c r="E16" s="2">
        <v>0</v>
      </c>
      <c r="H16" s="27">
        <f>StoCommCost!D25</f>
        <v>2.1162999999999998</v>
      </c>
      <c r="J16" s="113">
        <f>+IF(H16 = "NA", 0, ROUND(E16*H16,0))</f>
        <v>0</v>
      </c>
      <c r="K16" s="112"/>
    </row>
    <row r="17" spans="1:11" ht="14.5" x14ac:dyDescent="0.45">
      <c r="B17" s="110"/>
      <c r="H17" s="114"/>
      <c r="J17" s="115"/>
      <c r="K17" s="112"/>
    </row>
    <row r="18" spans="1:11" ht="14.5" x14ac:dyDescent="0.45">
      <c r="B18" s="110" t="s">
        <v>57</v>
      </c>
      <c r="H18" s="114"/>
      <c r="J18" s="115"/>
      <c r="K18" s="112"/>
    </row>
    <row r="19" spans="1:11" x14ac:dyDescent="0.3">
      <c r="A19" s="2">
        <v>4</v>
      </c>
      <c r="B19" s="111" t="s">
        <v>85</v>
      </c>
      <c r="C19" s="2" t="s">
        <v>336</v>
      </c>
      <c r="E19" s="2">
        <f>+E16</f>
        <v>0</v>
      </c>
      <c r="J19" s="116"/>
    </row>
    <row r="20" spans="1:11" x14ac:dyDescent="0.3">
      <c r="A20" s="2">
        <v>5</v>
      </c>
      <c r="B20" s="111" t="s">
        <v>60</v>
      </c>
      <c r="C20" s="2" t="s">
        <v>339</v>
      </c>
      <c r="J20" s="117">
        <f>SUM(J13:J16)</f>
        <v>62190</v>
      </c>
    </row>
    <row r="21" spans="1:11" x14ac:dyDescent="0.3">
      <c r="A21" s="2">
        <v>6</v>
      </c>
      <c r="B21" s="111" t="s">
        <v>337</v>
      </c>
      <c r="C21" s="2" t="s">
        <v>340</v>
      </c>
      <c r="E21" s="2">
        <f>+E19</f>
        <v>0</v>
      </c>
      <c r="J21" s="117">
        <f>+J20</f>
        <v>62190</v>
      </c>
    </row>
    <row r="22" spans="1:11" x14ac:dyDescent="0.3">
      <c r="J22" s="117"/>
    </row>
    <row r="23" spans="1:11" x14ac:dyDescent="0.3">
      <c r="B23" s="3" t="s">
        <v>138</v>
      </c>
      <c r="E23" s="118"/>
      <c r="J23" s="116"/>
    </row>
    <row r="24" spans="1:11" x14ac:dyDescent="0.3">
      <c r="B24" s="110" t="s">
        <v>137</v>
      </c>
      <c r="E24" s="118"/>
      <c r="J24" s="116"/>
    </row>
    <row r="25" spans="1:11" x14ac:dyDescent="0.3">
      <c r="B25" s="110" t="s">
        <v>245</v>
      </c>
      <c r="E25" s="118"/>
      <c r="J25" s="116"/>
    </row>
    <row r="26" spans="1:11" x14ac:dyDescent="0.3">
      <c r="B26" s="110"/>
      <c r="E26" s="118"/>
      <c r="J26" s="116"/>
    </row>
    <row r="27" spans="1:11" x14ac:dyDescent="0.3">
      <c r="A27" s="2">
        <v>7</v>
      </c>
      <c r="B27" s="110" t="s">
        <v>58</v>
      </c>
      <c r="C27" s="2" t="s">
        <v>70</v>
      </c>
      <c r="E27" s="2">
        <f>+'5 NonApp'!K21</f>
        <v>612516.86016000365</v>
      </c>
      <c r="H27" s="119"/>
      <c r="J27" s="117">
        <f>+'5 NonApp'!M21</f>
        <v>1035153</v>
      </c>
    </row>
    <row r="28" spans="1:11" x14ac:dyDescent="0.3">
      <c r="A28" s="2">
        <v>8</v>
      </c>
      <c r="B28" s="110" t="s">
        <v>87</v>
      </c>
      <c r="C28" s="2" t="s">
        <v>72</v>
      </c>
      <c r="E28" s="2">
        <f>+'6 App'!C17</f>
        <v>10611.177119999998</v>
      </c>
      <c r="H28" s="119"/>
      <c r="J28" s="116">
        <f>+'6 App'!D17</f>
        <v>23324.55544607999</v>
      </c>
    </row>
    <row r="29" spans="1:11" x14ac:dyDescent="0.3">
      <c r="A29" s="2">
        <v>9</v>
      </c>
      <c r="B29" s="110" t="s">
        <v>75</v>
      </c>
      <c r="C29" s="2" t="s">
        <v>160</v>
      </c>
      <c r="D29" s="7"/>
      <c r="E29" s="2">
        <f>-'7 AnnRet'!E27</f>
        <v>-119283</v>
      </c>
      <c r="H29" s="119"/>
      <c r="J29" s="63">
        <f>-'7 AnnRet'!E30</f>
        <v>-279544</v>
      </c>
      <c r="K29" s="120"/>
    </row>
    <row r="30" spans="1:11" x14ac:dyDescent="0.3">
      <c r="D30" s="7"/>
      <c r="H30" s="119"/>
      <c r="J30" s="117"/>
      <c r="K30" s="120"/>
    </row>
    <row r="31" spans="1:11" x14ac:dyDescent="0.3">
      <c r="A31" s="2">
        <v>10</v>
      </c>
      <c r="B31" s="110" t="s">
        <v>57</v>
      </c>
      <c r="C31" s="2" t="s">
        <v>341</v>
      </c>
      <c r="D31" s="7"/>
      <c r="E31" s="2">
        <f>+SUM(E27:E29)</f>
        <v>503845.03728000366</v>
      </c>
      <c r="H31" s="119"/>
      <c r="J31" s="116">
        <f>+SUM(J27:J29)</f>
        <v>778933.55544607993</v>
      </c>
      <c r="K31" s="120"/>
    </row>
    <row r="32" spans="1:11" x14ac:dyDescent="0.3">
      <c r="D32" s="7"/>
      <c r="E32" s="7"/>
      <c r="H32" s="119"/>
      <c r="J32" s="117"/>
      <c r="K32" s="120"/>
    </row>
    <row r="33" spans="1:10" x14ac:dyDescent="0.3">
      <c r="B33" s="100" t="s">
        <v>142</v>
      </c>
      <c r="J33" s="116"/>
    </row>
    <row r="34" spans="1:10" x14ac:dyDescent="0.3">
      <c r="A34" s="2">
        <v>11</v>
      </c>
      <c r="B34" s="110" t="s">
        <v>76</v>
      </c>
      <c r="C34" s="2" t="s">
        <v>342</v>
      </c>
      <c r="E34" s="2">
        <f>+E21+E31</f>
        <v>503845.03728000366</v>
      </c>
      <c r="J34" s="117">
        <f>+J21+J31</f>
        <v>841123.55544607993</v>
      </c>
    </row>
    <row r="35" spans="1:10" x14ac:dyDescent="0.3">
      <c r="B35" s="110" t="s">
        <v>143</v>
      </c>
      <c r="J35" s="117"/>
    </row>
    <row r="36" spans="1:10" x14ac:dyDescent="0.3">
      <c r="A36" s="2">
        <v>12</v>
      </c>
      <c r="B36" s="111" t="s">
        <v>118</v>
      </c>
      <c r="E36" s="121">
        <v>-5.0000000000000001E-3</v>
      </c>
      <c r="J36" s="117"/>
    </row>
    <row r="37" spans="1:10" x14ac:dyDescent="0.3">
      <c r="A37" s="2">
        <v>13</v>
      </c>
      <c r="B37" s="111" t="s">
        <v>85</v>
      </c>
      <c r="C37" s="2" t="s">
        <v>343</v>
      </c>
      <c r="D37" s="7"/>
      <c r="E37" s="7">
        <f>+ROUND(E34*E36,0)</f>
        <v>-2519</v>
      </c>
    </row>
    <row r="38" spans="1:10" x14ac:dyDescent="0.3">
      <c r="A38" s="2">
        <v>14</v>
      </c>
      <c r="B38" s="110" t="s">
        <v>77</v>
      </c>
      <c r="C38" s="2" t="s">
        <v>344</v>
      </c>
      <c r="D38" s="2">
        <v>455337</v>
      </c>
      <c r="E38" s="2">
        <f>+E34+E37</f>
        <v>501326.03728000366</v>
      </c>
    </row>
    <row r="39" spans="1:10" x14ac:dyDescent="0.3">
      <c r="A39" s="2">
        <v>15</v>
      </c>
      <c r="B39" s="2" t="s">
        <v>233</v>
      </c>
      <c r="D39" s="2">
        <v>91</v>
      </c>
    </row>
    <row r="40" spans="1:10" x14ac:dyDescent="0.3">
      <c r="A40" s="2">
        <v>16</v>
      </c>
      <c r="B40" s="3" t="s">
        <v>144</v>
      </c>
      <c r="C40" s="2" t="s">
        <v>345</v>
      </c>
      <c r="D40" s="2">
        <f>D38-D39</f>
        <v>455246</v>
      </c>
    </row>
    <row r="41" spans="1:10" x14ac:dyDescent="0.3">
      <c r="D41" s="26"/>
    </row>
    <row r="42" spans="1:10" x14ac:dyDescent="0.3">
      <c r="B42" s="3" t="s">
        <v>180</v>
      </c>
      <c r="D42" s="26"/>
    </row>
    <row r="43" spans="1:10" x14ac:dyDescent="0.3">
      <c r="B43" s="110" t="s">
        <v>140</v>
      </c>
      <c r="D43" s="26"/>
    </row>
    <row r="44" spans="1:10" x14ac:dyDescent="0.3">
      <c r="A44" s="2">
        <v>17</v>
      </c>
      <c r="B44" s="111" t="s">
        <v>146</v>
      </c>
      <c r="C44" s="2" t="s">
        <v>234</v>
      </c>
      <c r="G44" s="27">
        <f>+ROUND(J34/D40,4)</f>
        <v>1.8475999999999999</v>
      </c>
    </row>
    <row r="45" spans="1:10" x14ac:dyDescent="0.3">
      <c r="A45" s="2">
        <v>18</v>
      </c>
      <c r="B45" s="111" t="s">
        <v>147</v>
      </c>
      <c r="C45" s="2" t="s">
        <v>161</v>
      </c>
      <c r="G45" s="122">
        <f>+'7 AnnRet'!E34</f>
        <v>0.1069</v>
      </c>
    </row>
    <row r="46" spans="1:10" x14ac:dyDescent="0.3">
      <c r="A46" s="2">
        <v>19</v>
      </c>
      <c r="B46" s="111" t="s">
        <v>148</v>
      </c>
      <c r="C46" s="2" t="s">
        <v>346</v>
      </c>
      <c r="G46" s="123">
        <f>SUM(G44:G45)</f>
        <v>1.9544999999999999</v>
      </c>
    </row>
    <row r="47" spans="1:10" x14ac:dyDescent="0.3">
      <c r="A47" s="2">
        <v>20</v>
      </c>
      <c r="B47" s="111" t="s">
        <v>238</v>
      </c>
      <c r="C47" s="2" t="s">
        <v>390</v>
      </c>
      <c r="G47" s="126">
        <v>4.28E-3</v>
      </c>
    </row>
    <row r="48" spans="1:10" x14ac:dyDescent="0.3">
      <c r="A48" s="2">
        <v>21</v>
      </c>
      <c r="B48" s="111" t="s">
        <v>239</v>
      </c>
      <c r="C48" s="2" t="s">
        <v>241</v>
      </c>
      <c r="G48" s="124">
        <f>ROUND(G46*G47,4)</f>
        <v>8.3999999999999995E-3</v>
      </c>
    </row>
    <row r="49" spans="1:9" x14ac:dyDescent="0.3">
      <c r="A49" s="2">
        <v>22</v>
      </c>
      <c r="B49" s="111" t="s">
        <v>240</v>
      </c>
      <c r="C49" s="2" t="s">
        <v>347</v>
      </c>
      <c r="G49" s="123">
        <f>G46+G48</f>
        <v>1.9628999999999999</v>
      </c>
    </row>
    <row r="50" spans="1:9" x14ac:dyDescent="0.3">
      <c r="B50" s="111"/>
      <c r="G50" s="123"/>
    </row>
    <row r="51" spans="1:9" x14ac:dyDescent="0.3">
      <c r="A51" s="2">
        <v>23</v>
      </c>
      <c r="B51" s="110" t="s">
        <v>149</v>
      </c>
      <c r="C51" s="2" t="s">
        <v>236</v>
      </c>
      <c r="G51" s="125">
        <f>'2 UnitDemCost'!F32</f>
        <v>1.8908</v>
      </c>
    </row>
    <row r="52" spans="1:9" x14ac:dyDescent="0.3">
      <c r="G52" s="123"/>
      <c r="I52" s="4"/>
    </row>
    <row r="53" spans="1:9" x14ac:dyDescent="0.3">
      <c r="A53" s="2">
        <v>24</v>
      </c>
      <c r="B53" s="110" t="s">
        <v>153</v>
      </c>
      <c r="C53" s="2" t="s">
        <v>348</v>
      </c>
      <c r="G53" s="27">
        <f>(+G49+G51)</f>
        <v>3.8536999999999999</v>
      </c>
      <c r="I53" s="4"/>
    </row>
    <row r="54" spans="1:9" x14ac:dyDescent="0.3">
      <c r="I54" s="4"/>
    </row>
    <row r="56" spans="1:9" x14ac:dyDescent="0.3">
      <c r="D56" s="107" t="s">
        <v>155</v>
      </c>
      <c r="E56" s="11">
        <v>1.101</v>
      </c>
      <c r="F56" s="2" t="s">
        <v>105</v>
      </c>
    </row>
  </sheetData>
  <mergeCells count="2">
    <mergeCell ref="G7:H7"/>
    <mergeCell ref="D7:E7"/>
  </mergeCells>
  <phoneticPr fontId="6" type="noConversion"/>
  <pageMargins left="0.75" right="0.75" top="1" bottom="1" header="0.5" footer="0.5"/>
  <pageSetup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G34"/>
  <sheetViews>
    <sheetView zoomScale="120" zoomScaleNormal="120" workbookViewId="0"/>
  </sheetViews>
  <sheetFormatPr defaultColWidth="9.1796875" defaultRowHeight="13" x14ac:dyDescent="0.3"/>
  <cols>
    <col min="1" max="1" width="4.1796875" style="2" customWidth="1"/>
    <col min="2" max="2" width="45.81640625" style="2" customWidth="1"/>
    <col min="3" max="3" width="3.1796875" style="2" customWidth="1"/>
    <col min="4" max="4" width="22.81640625" style="2" customWidth="1"/>
    <col min="5" max="5" width="4" style="2" customWidth="1"/>
    <col min="6" max="6" width="12" style="2" customWidth="1"/>
    <col min="7" max="7" width="9.1796875" style="2"/>
    <col min="8" max="8" width="3.81640625" style="2" customWidth="1"/>
    <col min="9" max="9" width="9.453125" style="2" bestFit="1" customWidth="1"/>
    <col min="10" max="16384" width="9.1796875" style="2"/>
  </cols>
  <sheetData>
    <row r="1" spans="1:7" ht="18.5" x14ac:dyDescent="0.45">
      <c r="A1" s="1" t="s">
        <v>98</v>
      </c>
      <c r="B1" s="3"/>
      <c r="C1" s="106"/>
      <c r="D1" s="13"/>
      <c r="E1" s="106"/>
      <c r="F1" s="13" t="s">
        <v>19</v>
      </c>
    </row>
    <row r="2" spans="1:7" ht="18.5" x14ac:dyDescent="0.45">
      <c r="A2" s="1" t="s">
        <v>181</v>
      </c>
      <c r="B2" s="3"/>
      <c r="C2" s="106"/>
      <c r="D2" s="106"/>
      <c r="E2" s="106"/>
      <c r="F2" s="13" t="s">
        <v>28</v>
      </c>
    </row>
    <row r="3" spans="1:7" ht="14.5" x14ac:dyDescent="0.35">
      <c r="A3" s="127" t="str">
        <f>'1 EGC'!A3</f>
        <v>Jun 24 - Aug 24</v>
      </c>
      <c r="B3" s="3"/>
      <c r="C3" s="3"/>
      <c r="D3" s="3"/>
      <c r="E3" s="3"/>
      <c r="F3" s="3"/>
    </row>
    <row r="4" spans="1:7" x14ac:dyDescent="0.3">
      <c r="A4" s="3"/>
      <c r="B4" s="3"/>
      <c r="C4" s="3"/>
      <c r="D4" s="3"/>
      <c r="E4" s="3"/>
      <c r="F4" s="3"/>
    </row>
    <row r="5" spans="1:7" x14ac:dyDescent="0.3">
      <c r="A5" s="10" t="s">
        <v>4</v>
      </c>
      <c r="B5" s="3"/>
      <c r="C5" s="3"/>
      <c r="D5" s="3"/>
      <c r="E5" s="3"/>
      <c r="F5" s="3"/>
    </row>
    <row r="6" spans="1:7" x14ac:dyDescent="0.3">
      <c r="A6" s="9" t="s">
        <v>5</v>
      </c>
      <c r="B6" s="9" t="s">
        <v>15</v>
      </c>
      <c r="C6" s="3"/>
      <c r="D6" s="9" t="s">
        <v>64</v>
      </c>
      <c r="E6" s="9"/>
      <c r="F6" s="9" t="s">
        <v>60</v>
      </c>
    </row>
    <row r="7" spans="1:7" x14ac:dyDescent="0.3">
      <c r="D7" s="4"/>
      <c r="E7" s="4"/>
    </row>
    <row r="8" spans="1:7" x14ac:dyDescent="0.3">
      <c r="A8" s="4">
        <v>1</v>
      </c>
      <c r="B8" s="8" t="s">
        <v>128</v>
      </c>
      <c r="C8" s="8"/>
      <c r="D8" s="2" t="s">
        <v>250</v>
      </c>
      <c r="F8" s="14">
        <f>+'3 DemCost'!I31</f>
        <v>26106710</v>
      </c>
    </row>
    <row r="9" spans="1:7" x14ac:dyDescent="0.3">
      <c r="A9" s="4"/>
      <c r="B9" s="110" t="s">
        <v>401</v>
      </c>
      <c r="F9" s="128"/>
    </row>
    <row r="10" spans="1:7" x14ac:dyDescent="0.3">
      <c r="A10" s="4"/>
      <c r="F10" s="128"/>
    </row>
    <row r="11" spans="1:7" x14ac:dyDescent="0.3">
      <c r="A11" s="4"/>
      <c r="F11" s="117"/>
    </row>
    <row r="12" spans="1:7" s="131" customFormat="1" ht="26" x14ac:dyDescent="0.3">
      <c r="A12" s="129">
        <v>2</v>
      </c>
      <c r="B12" s="130" t="s">
        <v>68</v>
      </c>
      <c r="D12" s="131" t="s">
        <v>174</v>
      </c>
      <c r="F12" s="63">
        <f>-'4 DemCr'!H29</f>
        <v>-126706</v>
      </c>
    </row>
    <row r="13" spans="1:7" s="131" customFormat="1" x14ac:dyDescent="0.3">
      <c r="A13" s="129"/>
      <c r="B13" s="130"/>
      <c r="F13" s="64"/>
      <c r="G13" s="132"/>
    </row>
    <row r="14" spans="1:7" s="131" customFormat="1" ht="33" customHeight="1" x14ac:dyDescent="0.3">
      <c r="A14" s="129">
        <v>3</v>
      </c>
      <c r="B14" s="130" t="s">
        <v>69</v>
      </c>
      <c r="F14" s="65">
        <f>-'8 BankBal'!G45</f>
        <v>-387679</v>
      </c>
      <c r="G14" s="132"/>
    </row>
    <row r="15" spans="1:7" x14ac:dyDescent="0.3">
      <c r="A15" s="4"/>
      <c r="F15" s="26"/>
      <c r="G15" s="107"/>
    </row>
    <row r="16" spans="1:7" x14ac:dyDescent="0.3">
      <c r="A16" s="4">
        <v>4</v>
      </c>
      <c r="B16" s="2" t="s">
        <v>338</v>
      </c>
      <c r="D16" s="2" t="s">
        <v>339</v>
      </c>
      <c r="F16" s="14">
        <f>+F8+F12+F14</f>
        <v>25592325</v>
      </c>
    </row>
    <row r="17" spans="1:7" x14ac:dyDescent="0.3">
      <c r="A17" s="4"/>
      <c r="F17" s="120"/>
    </row>
    <row r="18" spans="1:7" x14ac:dyDescent="0.3">
      <c r="A18" s="4"/>
      <c r="B18" s="2" t="s">
        <v>129</v>
      </c>
      <c r="F18" s="120"/>
    </row>
    <row r="19" spans="1:7" x14ac:dyDescent="0.3">
      <c r="A19" s="4"/>
      <c r="B19" s="133"/>
      <c r="F19" s="120"/>
    </row>
    <row r="20" spans="1:7" x14ac:dyDescent="0.3">
      <c r="A20" s="4"/>
      <c r="F20" s="120"/>
    </row>
    <row r="21" spans="1:7" x14ac:dyDescent="0.3">
      <c r="A21" s="4"/>
      <c r="B21" s="110" t="s">
        <v>117</v>
      </c>
      <c r="F21" s="120"/>
    </row>
    <row r="22" spans="1:7" x14ac:dyDescent="0.3">
      <c r="A22" s="4"/>
      <c r="B22" s="111" t="s">
        <v>130</v>
      </c>
      <c r="F22" s="2">
        <v>14980428</v>
      </c>
      <c r="G22" s="2" t="s">
        <v>33</v>
      </c>
    </row>
    <row r="23" spans="1:7" x14ac:dyDescent="0.3">
      <c r="A23" s="4"/>
      <c r="B23" s="111" t="s">
        <v>104</v>
      </c>
      <c r="F23" s="134">
        <v>1.101</v>
      </c>
      <c r="G23" s="2" t="s">
        <v>105</v>
      </c>
    </row>
    <row r="24" spans="1:7" x14ac:dyDescent="0.3">
      <c r="A24" s="4">
        <v>5</v>
      </c>
      <c r="B24" s="111" t="s">
        <v>131</v>
      </c>
      <c r="F24" s="2">
        <f>+ROUND(F22/F23,0)</f>
        <v>13606202</v>
      </c>
      <c r="G24" s="2" t="s">
        <v>106</v>
      </c>
    </row>
    <row r="25" spans="1:7" x14ac:dyDescent="0.3">
      <c r="A25" s="4"/>
      <c r="B25" s="8"/>
    </row>
    <row r="26" spans="1:7" x14ac:dyDescent="0.3">
      <c r="A26" s="4"/>
      <c r="B26" s="110" t="s">
        <v>78</v>
      </c>
    </row>
    <row r="27" spans="1:7" x14ac:dyDescent="0.3">
      <c r="A27" s="4">
        <v>6</v>
      </c>
      <c r="B27" s="111" t="s">
        <v>118</v>
      </c>
      <c r="F27" s="121">
        <v>5.0000000000000001E-3</v>
      </c>
    </row>
    <row r="28" spans="1:7" x14ac:dyDescent="0.3">
      <c r="A28" s="4">
        <v>7</v>
      </c>
      <c r="B28" s="111" t="s">
        <v>85</v>
      </c>
      <c r="D28" s="2" t="s">
        <v>349</v>
      </c>
      <c r="F28" s="2">
        <f>+ROUND(F24*F27,0)</f>
        <v>68031</v>
      </c>
      <c r="G28" s="2" t="s">
        <v>106</v>
      </c>
    </row>
    <row r="29" spans="1:7" x14ac:dyDescent="0.3">
      <c r="A29" s="4">
        <v>8</v>
      </c>
      <c r="B29" s="111" t="s">
        <v>235</v>
      </c>
      <c r="F29" s="135">
        <v>2676.4999999999995</v>
      </c>
      <c r="G29" s="2" t="s">
        <v>106</v>
      </c>
    </row>
    <row r="30" spans="1:7" x14ac:dyDescent="0.3">
      <c r="A30" s="4">
        <v>9</v>
      </c>
      <c r="B30" s="110" t="s">
        <v>77</v>
      </c>
      <c r="D30" s="2" t="s">
        <v>350</v>
      </c>
      <c r="F30" s="2">
        <f>+F24-F28-F29</f>
        <v>13535494.5</v>
      </c>
      <c r="G30" s="2" t="s">
        <v>106</v>
      </c>
    </row>
    <row r="31" spans="1:7" x14ac:dyDescent="0.3">
      <c r="A31" s="4"/>
    </row>
    <row r="32" spans="1:7" x14ac:dyDescent="0.3">
      <c r="A32" s="4">
        <v>10</v>
      </c>
      <c r="B32" s="2" t="s">
        <v>353</v>
      </c>
      <c r="D32" s="2" t="s">
        <v>351</v>
      </c>
      <c r="F32" s="27">
        <f>+ROUND(F16/F30,4)</f>
        <v>1.8908</v>
      </c>
      <c r="G32" s="2" t="s">
        <v>116</v>
      </c>
    </row>
    <row r="33" spans="1:1" x14ac:dyDescent="0.3">
      <c r="A33" s="8"/>
    </row>
    <row r="34" spans="1:1" x14ac:dyDescent="0.3">
      <c r="A34" s="8"/>
    </row>
  </sheetData>
  <phoneticPr fontId="7" type="noConversion"/>
  <pageMargins left="0.75" right="0.75" top="1" bottom="1" header="0.5" footer="0.5"/>
  <pageSetup scale="89" orientation="portrait" r:id="rId1"/>
  <headerFooter alignWithMargins="0"/>
  <rowBreaks count="1" manualBreakCount="1">
    <brk id="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30"/>
  <sheetViews>
    <sheetView zoomScaleNormal="100" workbookViewId="0"/>
  </sheetViews>
  <sheetFormatPr defaultColWidth="9.1796875" defaultRowHeight="13" x14ac:dyDescent="0.3"/>
  <cols>
    <col min="1" max="1" width="5" style="2" customWidth="1"/>
    <col min="2" max="2" width="56.1796875" style="2" customWidth="1"/>
    <col min="3" max="4" width="8.1796875" style="2" bestFit="1" customWidth="1"/>
    <col min="5" max="5" width="12.1796875" style="2" bestFit="1" customWidth="1"/>
    <col min="6" max="6" width="8.81640625" style="2" customWidth="1"/>
    <col min="7" max="7" width="1.81640625" style="2" customWidth="1"/>
    <col min="8" max="8" width="11.1796875" style="2" customWidth="1"/>
    <col min="9" max="9" width="9.1796875" style="2"/>
    <col min="10" max="10" width="9.90625" style="2" bestFit="1" customWidth="1"/>
    <col min="11" max="16384" width="9.1796875" style="2"/>
  </cols>
  <sheetData>
    <row r="1" spans="1:8" ht="18.5" x14ac:dyDescent="0.45">
      <c r="A1" s="1" t="s">
        <v>98</v>
      </c>
      <c r="D1" s="136"/>
      <c r="E1" s="13"/>
      <c r="H1" s="13" t="s">
        <v>19</v>
      </c>
    </row>
    <row r="2" spans="1:8" ht="15.5" x14ac:dyDescent="0.35">
      <c r="A2" s="1" t="s">
        <v>184</v>
      </c>
      <c r="D2" s="10"/>
      <c r="H2" s="13" t="s">
        <v>25</v>
      </c>
    </row>
    <row r="3" spans="1:8" ht="15.5" x14ac:dyDescent="0.35">
      <c r="A3" s="1" t="s">
        <v>185</v>
      </c>
      <c r="D3" s="10"/>
      <c r="H3" s="3"/>
    </row>
    <row r="4" spans="1:8" x14ac:dyDescent="0.3">
      <c r="A4" s="3" t="str">
        <f>'3 DemCost'!A3</f>
        <v>Jun 24 - May 25</v>
      </c>
      <c r="C4" s="9"/>
      <c r="D4" s="9"/>
    </row>
    <row r="6" spans="1:8" x14ac:dyDescent="0.3">
      <c r="A6" s="10"/>
      <c r="B6" s="3"/>
      <c r="C6" s="261" t="s">
        <v>171</v>
      </c>
      <c r="D6" s="261"/>
      <c r="E6" s="261"/>
      <c r="F6" s="261"/>
      <c r="G6" s="10"/>
      <c r="H6" s="10"/>
    </row>
    <row r="7" spans="1:8" s="139" customFormat="1" ht="26.25" customHeight="1" x14ac:dyDescent="0.3">
      <c r="A7" s="137" t="s">
        <v>162</v>
      </c>
      <c r="B7" s="137" t="s">
        <v>15</v>
      </c>
      <c r="C7" s="137" t="s">
        <v>84</v>
      </c>
      <c r="D7" s="137" t="s">
        <v>114</v>
      </c>
      <c r="E7" s="137" t="s">
        <v>79</v>
      </c>
      <c r="F7" s="137" t="s">
        <v>67</v>
      </c>
      <c r="G7" s="138"/>
      <c r="H7" s="137" t="s">
        <v>172</v>
      </c>
    </row>
    <row r="8" spans="1:8" x14ac:dyDescent="0.3">
      <c r="B8" s="9"/>
      <c r="C8" s="4" t="s">
        <v>33</v>
      </c>
      <c r="D8" s="4"/>
      <c r="E8" s="4" t="s">
        <v>33</v>
      </c>
      <c r="F8" s="140"/>
      <c r="G8" s="140"/>
      <c r="H8" s="9"/>
    </row>
    <row r="9" spans="1:8" x14ac:dyDescent="0.3">
      <c r="C9" s="4" t="s">
        <v>30</v>
      </c>
      <c r="D9" s="4">
        <v>-2</v>
      </c>
      <c r="E9" s="4">
        <v>-3</v>
      </c>
      <c r="H9" s="4" t="s">
        <v>32</v>
      </c>
    </row>
    <row r="10" spans="1:8" x14ac:dyDescent="0.3">
      <c r="E10" s="5" t="s">
        <v>115</v>
      </c>
      <c r="H10" s="4"/>
    </row>
    <row r="12" spans="1:8" x14ac:dyDescent="0.3">
      <c r="A12" s="2">
        <v>1</v>
      </c>
      <c r="B12" s="8" t="s">
        <v>80</v>
      </c>
      <c r="E12" s="112"/>
      <c r="H12" s="71">
        <f>'3 DemCost'!I31</f>
        <v>26106710</v>
      </c>
    </row>
    <row r="13" spans="1:8" x14ac:dyDescent="0.3">
      <c r="B13" s="8"/>
      <c r="E13" s="112"/>
      <c r="H13" s="141"/>
    </row>
    <row r="14" spans="1:8" x14ac:dyDescent="0.3">
      <c r="B14" s="2" t="s">
        <v>82</v>
      </c>
    </row>
    <row r="15" spans="1:8" x14ac:dyDescent="0.3">
      <c r="B15" s="110" t="s">
        <v>83</v>
      </c>
    </row>
    <row r="16" spans="1:8" x14ac:dyDescent="0.3">
      <c r="A16" s="2">
        <f>A12+1</f>
        <v>2</v>
      </c>
      <c r="B16" s="142" t="s">
        <v>119</v>
      </c>
      <c r="C16" s="2">
        <f>'3 DemCost'!C11</f>
        <v>209880</v>
      </c>
      <c r="D16" s="2">
        <f>'3 DemCost'!G11</f>
        <v>12</v>
      </c>
      <c r="E16" s="2">
        <f>+ROUND(C16*D16,0)</f>
        <v>2518560</v>
      </c>
    </row>
    <row r="17" spans="1:8" x14ac:dyDescent="0.3">
      <c r="A17" s="2">
        <f>A16+1</f>
        <v>3</v>
      </c>
      <c r="B17" s="142" t="s">
        <v>120</v>
      </c>
      <c r="C17" s="2">
        <f>+'3 DemCost'!C21+'3 DemCost'!C23</f>
        <v>25138</v>
      </c>
      <c r="D17" s="2">
        <f>+'3 DemCost'!G21</f>
        <v>12</v>
      </c>
      <c r="E17" s="2">
        <f>+ROUND(C17*D17,0)</f>
        <v>301656</v>
      </c>
    </row>
    <row r="18" spans="1:8" x14ac:dyDescent="0.3">
      <c r="B18" s="110"/>
    </row>
    <row r="19" spans="1:8" x14ac:dyDescent="0.3">
      <c r="A19" s="2">
        <f>A17+1</f>
        <v>4</v>
      </c>
      <c r="B19" s="110" t="s">
        <v>355</v>
      </c>
      <c r="E19" s="2">
        <f>SUM(E16:E17)</f>
        <v>2820216</v>
      </c>
      <c r="F19" s="2" t="s">
        <v>33</v>
      </c>
    </row>
    <row r="20" spans="1:8" x14ac:dyDescent="0.3">
      <c r="B20" s="110"/>
    </row>
    <row r="21" spans="1:8" x14ac:dyDescent="0.3">
      <c r="A21" s="2">
        <f>A19+1</f>
        <v>5</v>
      </c>
      <c r="B21" s="110" t="s">
        <v>81</v>
      </c>
      <c r="E21" s="143">
        <v>1.101</v>
      </c>
      <c r="F21" s="2" t="s">
        <v>105</v>
      </c>
    </row>
    <row r="22" spans="1:8" x14ac:dyDescent="0.3">
      <c r="B22" s="110"/>
    </row>
    <row r="23" spans="1:8" x14ac:dyDescent="0.3">
      <c r="A23" s="2">
        <f>A21+1</f>
        <v>6</v>
      </c>
      <c r="B23" s="110" t="s">
        <v>356</v>
      </c>
      <c r="E23" s="2">
        <f>ROUND(E19/E21,0)</f>
        <v>2561504</v>
      </c>
      <c r="F23" s="8" t="s">
        <v>2</v>
      </c>
      <c r="G23" s="8"/>
    </row>
    <row r="25" spans="1:8" s="131" customFormat="1" ht="28.5" customHeight="1" x14ac:dyDescent="0.3">
      <c r="A25" s="131">
        <f>A23+1</f>
        <v>7</v>
      </c>
      <c r="B25" s="144" t="s">
        <v>357</v>
      </c>
      <c r="E25" s="145">
        <f>ROUND(H12/E23,4)</f>
        <v>10.1919</v>
      </c>
      <c r="F25" s="146" t="s">
        <v>34</v>
      </c>
      <c r="G25" s="146"/>
    </row>
    <row r="27" spans="1:8" x14ac:dyDescent="0.3">
      <c r="A27" s="2">
        <f>A25+1</f>
        <v>8</v>
      </c>
      <c r="B27" s="8" t="s">
        <v>173</v>
      </c>
      <c r="C27" s="2">
        <v>1036</v>
      </c>
      <c r="D27" s="2">
        <v>12</v>
      </c>
      <c r="E27" s="2">
        <f>+ROUND(C27*D27,0)</f>
        <v>12432</v>
      </c>
      <c r="F27" s="8" t="s">
        <v>2</v>
      </c>
      <c r="G27" s="8"/>
    </row>
    <row r="29" spans="1:8" s="131" customFormat="1" ht="26" x14ac:dyDescent="0.3">
      <c r="A29" s="131">
        <f>A27+1</f>
        <v>9</v>
      </c>
      <c r="B29" s="144" t="s">
        <v>358</v>
      </c>
      <c r="F29" s="132" t="s">
        <v>359</v>
      </c>
      <c r="G29" s="132"/>
      <c r="H29" s="147">
        <f>ROUND(E25*E27,0)</f>
        <v>126706</v>
      </c>
    </row>
    <row r="30" spans="1:8" x14ac:dyDescent="0.3">
      <c r="H30" s="84"/>
    </row>
  </sheetData>
  <mergeCells count="1">
    <mergeCell ref="C6:F6"/>
  </mergeCells>
  <phoneticPr fontId="6" type="noConversion"/>
  <pageMargins left="0.5" right="0.5" top="0.5" bottom="0.5" header="0.5" footer="0.5"/>
  <pageSetup scale="85" orientation="portrait" r:id="rId1"/>
  <headerFooter alignWithMargins="0"/>
  <ignoredErrors>
    <ignoredError sqref="C9:H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37"/>
  <sheetViews>
    <sheetView zoomScale="110" zoomScaleNormal="110" workbookViewId="0">
      <pane ySplit="6" topLeftCell="A7" activePane="bottomLeft" state="frozen"/>
      <selection pane="bottomLeft"/>
    </sheetView>
  </sheetViews>
  <sheetFormatPr defaultColWidth="9.1796875" defaultRowHeight="13" x14ac:dyDescent="0.3"/>
  <cols>
    <col min="1" max="1" width="5.1796875" style="2" customWidth="1"/>
    <col min="2" max="2" width="46.81640625" style="2" customWidth="1"/>
    <col min="3" max="3" width="10.81640625" style="2" bestFit="1" customWidth="1"/>
    <col min="4" max="4" width="1.54296875" style="2" customWidth="1"/>
    <col min="5" max="5" width="12.1796875" style="123" bestFit="1" customWidth="1"/>
    <col min="6" max="6" width="1.1796875" style="2" customWidth="1"/>
    <col min="7" max="7" width="8.453125" style="151" customWidth="1"/>
    <col min="8" max="8" width="3" style="2" customWidth="1"/>
    <col min="9" max="9" width="11.1796875" style="116" bestFit="1" customWidth="1"/>
    <col min="10" max="10" width="5.1796875" style="2" customWidth="1"/>
    <col min="11" max="16384" width="9.1796875" style="2"/>
  </cols>
  <sheetData>
    <row r="1" spans="1:9" ht="15.5" x14ac:dyDescent="0.35">
      <c r="A1" s="1" t="s">
        <v>98</v>
      </c>
      <c r="B1" s="3"/>
      <c r="C1" s="3"/>
      <c r="D1" s="3"/>
      <c r="E1" s="148"/>
      <c r="F1" s="3"/>
      <c r="G1" s="13"/>
      <c r="H1" s="3"/>
      <c r="I1" s="13" t="s">
        <v>19</v>
      </c>
    </row>
    <row r="2" spans="1:9" ht="15.5" x14ac:dyDescent="0.35">
      <c r="A2" s="1" t="s">
        <v>182</v>
      </c>
      <c r="B2" s="3"/>
      <c r="C2" s="3"/>
      <c r="D2" s="3"/>
      <c r="E2" s="148"/>
      <c r="F2" s="3"/>
      <c r="G2" s="149"/>
      <c r="H2" s="3"/>
      <c r="I2" s="13" t="s">
        <v>71</v>
      </c>
    </row>
    <row r="3" spans="1:9" x14ac:dyDescent="0.3">
      <c r="A3" s="3" t="s">
        <v>405</v>
      </c>
      <c r="B3" s="3"/>
      <c r="C3" s="3"/>
      <c r="D3" s="3"/>
      <c r="E3" s="148"/>
      <c r="F3" s="3"/>
      <c r="G3" s="149"/>
      <c r="H3" s="3"/>
      <c r="I3" s="150"/>
    </row>
    <row r="4" spans="1:9" x14ac:dyDescent="0.3">
      <c r="A4" s="100"/>
      <c r="B4" s="3"/>
      <c r="C4" s="3"/>
      <c r="D4" s="3"/>
      <c r="E4" s="148"/>
      <c r="F4" s="3"/>
      <c r="G4" s="149"/>
      <c r="H4" s="3"/>
      <c r="I4" s="150"/>
    </row>
    <row r="5" spans="1:9" x14ac:dyDescent="0.3">
      <c r="A5" s="3"/>
      <c r="B5" s="3"/>
      <c r="C5" s="3"/>
      <c r="D5" s="3"/>
      <c r="E5" s="148"/>
      <c r="F5" s="3"/>
      <c r="G5" s="149"/>
      <c r="H5" s="3"/>
      <c r="I5" s="150"/>
    </row>
    <row r="6" spans="1:9" ht="39" x14ac:dyDescent="0.3">
      <c r="A6" s="137" t="s">
        <v>162</v>
      </c>
      <c r="B6" s="108" t="s">
        <v>15</v>
      </c>
      <c r="C6" s="108" t="s">
        <v>33</v>
      </c>
      <c r="D6" s="3"/>
      <c r="E6" s="137" t="s">
        <v>164</v>
      </c>
      <c r="F6" s="10"/>
      <c r="G6" s="137" t="s">
        <v>114</v>
      </c>
      <c r="H6" s="138"/>
      <c r="I6" s="137" t="s">
        <v>163</v>
      </c>
    </row>
    <row r="7" spans="1:9" x14ac:dyDescent="0.3">
      <c r="B7" s="140"/>
    </row>
    <row r="8" spans="1:9" x14ac:dyDescent="0.3">
      <c r="B8" s="100" t="s">
        <v>36</v>
      </c>
      <c r="F8" s="88"/>
    </row>
    <row r="9" spans="1:9" x14ac:dyDescent="0.3">
      <c r="B9" s="110" t="s">
        <v>168</v>
      </c>
      <c r="F9" s="88"/>
    </row>
    <row r="10" spans="1:9" x14ac:dyDescent="0.3">
      <c r="A10" s="2">
        <v>1</v>
      </c>
      <c r="B10" s="111" t="s">
        <v>167</v>
      </c>
      <c r="C10" s="2">
        <v>10703880</v>
      </c>
      <c r="E10" s="123">
        <v>5.2299999999999999E-2</v>
      </c>
      <c r="F10" s="88"/>
      <c r="G10" s="151">
        <v>12</v>
      </c>
      <c r="I10" s="14">
        <f>+ROUND(C10*E10*G10,0)</f>
        <v>6717755</v>
      </c>
    </row>
    <row r="11" spans="1:9" x14ac:dyDescent="0.3">
      <c r="A11" s="2">
        <f>A10+1</f>
        <v>2</v>
      </c>
      <c r="B11" s="111" t="s">
        <v>166</v>
      </c>
      <c r="C11" s="2">
        <v>209880</v>
      </c>
      <c r="E11" s="114">
        <v>2.93</v>
      </c>
      <c r="F11" s="88"/>
      <c r="G11" s="151">
        <v>12</v>
      </c>
      <c r="I11" s="14">
        <f>+ROUND(C11*E11*G11,0)</f>
        <v>7379381</v>
      </c>
    </row>
    <row r="12" spans="1:9" x14ac:dyDescent="0.3">
      <c r="B12" s="111"/>
      <c r="F12" s="88"/>
      <c r="I12" s="14"/>
    </row>
    <row r="13" spans="1:9" x14ac:dyDescent="0.3">
      <c r="B13" s="111"/>
      <c r="F13" s="88"/>
      <c r="I13" s="14"/>
    </row>
    <row r="14" spans="1:9" x14ac:dyDescent="0.3">
      <c r="B14" s="8"/>
      <c r="F14" s="88"/>
      <c r="I14" s="14"/>
    </row>
    <row r="15" spans="1:9" x14ac:dyDescent="0.3">
      <c r="B15" s="110" t="s">
        <v>169</v>
      </c>
      <c r="F15" s="88"/>
      <c r="I15" s="14"/>
    </row>
    <row r="16" spans="1:9" x14ac:dyDescent="0.3">
      <c r="A16" s="2">
        <f>A11+1</f>
        <v>3</v>
      </c>
      <c r="B16" s="111" t="s">
        <v>231</v>
      </c>
      <c r="C16" s="2">
        <v>104940</v>
      </c>
      <c r="E16" s="123">
        <v>4.1849999999999996</v>
      </c>
      <c r="F16" s="88"/>
      <c r="G16" s="151">
        <v>6</v>
      </c>
      <c r="I16" s="14">
        <f>+ROUND(C16*E16*G16,0)</f>
        <v>2635043</v>
      </c>
    </row>
    <row r="17" spans="1:10" x14ac:dyDescent="0.3">
      <c r="A17" s="2">
        <f>A16+1</f>
        <v>4</v>
      </c>
      <c r="B17" s="111" t="s">
        <v>232</v>
      </c>
      <c r="C17" s="2">
        <v>209880</v>
      </c>
      <c r="E17" s="123">
        <v>4.1849999999999996</v>
      </c>
      <c r="F17" s="88"/>
      <c r="G17" s="151">
        <v>6</v>
      </c>
      <c r="I17" s="14">
        <f>+ROUND(C17*E17*G17,0)</f>
        <v>5270087</v>
      </c>
    </row>
    <row r="18" spans="1:10" x14ac:dyDescent="0.3">
      <c r="A18"/>
      <c r="B18"/>
      <c r="C18"/>
      <c r="E18"/>
      <c r="F18" s="88"/>
      <c r="G18"/>
      <c r="H18"/>
      <c r="I18"/>
      <c r="J18"/>
    </row>
    <row r="19" spans="1:10" x14ac:dyDescent="0.3">
      <c r="A19"/>
      <c r="B19"/>
      <c r="C19"/>
      <c r="E19"/>
      <c r="F19" s="88"/>
      <c r="G19"/>
      <c r="H19"/>
      <c r="I19"/>
      <c r="J19"/>
    </row>
    <row r="20" spans="1:10" x14ac:dyDescent="0.3">
      <c r="F20" s="88"/>
    </row>
    <row r="21" spans="1:10" x14ac:dyDescent="0.3">
      <c r="A21" s="2">
        <f>A17+1</f>
        <v>5</v>
      </c>
      <c r="B21" s="110" t="s">
        <v>165</v>
      </c>
      <c r="C21" s="2">
        <v>20014</v>
      </c>
      <c r="E21" s="123">
        <v>10.672999999999998</v>
      </c>
      <c r="F21" s="88"/>
      <c r="G21" s="151">
        <v>12</v>
      </c>
      <c r="I21" s="14">
        <f>+ROUND(C21*E21*G21,0)</f>
        <v>2563313</v>
      </c>
    </row>
    <row r="22" spans="1:10" x14ac:dyDescent="0.3">
      <c r="B22" s="110"/>
      <c r="F22" s="88"/>
      <c r="I22" s="14"/>
    </row>
    <row r="23" spans="1:10" x14ac:dyDescent="0.3">
      <c r="A23" s="2">
        <f>A21+1</f>
        <v>6</v>
      </c>
      <c r="B23" s="110" t="s">
        <v>165</v>
      </c>
      <c r="C23" s="2">
        <v>5124</v>
      </c>
      <c r="E23" s="123">
        <v>10.672999999999998</v>
      </c>
      <c r="F23" s="88"/>
      <c r="G23" s="151">
        <v>12</v>
      </c>
      <c r="I23" s="14">
        <f>+ROUND(C23*E23*G23,0)</f>
        <v>656261</v>
      </c>
    </row>
    <row r="24" spans="1:10" x14ac:dyDescent="0.3">
      <c r="A24" s="2" t="s">
        <v>0</v>
      </c>
      <c r="B24" s="8"/>
      <c r="F24" s="88"/>
    </row>
    <row r="25" spans="1:10" x14ac:dyDescent="0.3">
      <c r="A25" s="2">
        <f>A23+1</f>
        <v>7</v>
      </c>
      <c r="B25" s="110" t="s">
        <v>352</v>
      </c>
      <c r="F25" s="88"/>
      <c r="I25" s="117">
        <f>SUM(I10:I23)</f>
        <v>25221840</v>
      </c>
    </row>
    <row r="26" spans="1:10" x14ac:dyDescent="0.3">
      <c r="B26" s="110"/>
      <c r="F26" s="88"/>
      <c r="I26" s="117"/>
    </row>
    <row r="27" spans="1:10" x14ac:dyDescent="0.3">
      <c r="B27" s="8"/>
      <c r="F27" s="88"/>
      <c r="I27" s="14"/>
    </row>
    <row r="28" spans="1:10" x14ac:dyDescent="0.3">
      <c r="B28" s="100" t="s">
        <v>37</v>
      </c>
      <c r="F28" s="88"/>
    </row>
    <row r="29" spans="1:10" x14ac:dyDescent="0.3">
      <c r="A29" s="2">
        <f>A25+1</f>
        <v>8</v>
      </c>
      <c r="B29" s="110" t="s">
        <v>170</v>
      </c>
      <c r="C29" s="2">
        <v>16000</v>
      </c>
      <c r="E29" s="123">
        <v>4.6086999999999998</v>
      </c>
      <c r="F29" s="88"/>
      <c r="G29" s="151">
        <v>12</v>
      </c>
      <c r="I29" s="14">
        <f>+ROUND(C29*E29*G29,0)</f>
        <v>884870</v>
      </c>
    </row>
    <row r="30" spans="1:10" x14ac:dyDescent="0.3">
      <c r="B30" s="8"/>
      <c r="F30" s="88"/>
    </row>
    <row r="31" spans="1:10" x14ac:dyDescent="0.3">
      <c r="A31" s="2">
        <f>A29+1</f>
        <v>9</v>
      </c>
      <c r="B31" s="100" t="s">
        <v>354</v>
      </c>
      <c r="F31" s="88"/>
      <c r="I31" s="116">
        <f>I25+I29</f>
        <v>26106710</v>
      </c>
    </row>
    <row r="32" spans="1:10" x14ac:dyDescent="0.3">
      <c r="F32" s="88"/>
    </row>
    <row r="33" spans="1:6" ht="14.5" x14ac:dyDescent="0.3">
      <c r="A33" s="152"/>
      <c r="B33" s="8"/>
      <c r="F33" s="88"/>
    </row>
    <row r="34" spans="1:6" x14ac:dyDescent="0.3">
      <c r="F34" s="88"/>
    </row>
    <row r="35" spans="1:6" x14ac:dyDescent="0.3">
      <c r="F35" s="88"/>
    </row>
    <row r="36" spans="1:6" x14ac:dyDescent="0.3">
      <c r="F36" s="88"/>
    </row>
    <row r="37" spans="1:6" x14ac:dyDescent="0.3">
      <c r="F37" s="88"/>
    </row>
  </sheetData>
  <phoneticPr fontId="6" type="noConversion"/>
  <pageMargins left="0.75" right="0.75" top="1" bottom="1" header="0.5" footer="0.5"/>
  <pageSetup scale="8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U43"/>
  <sheetViews>
    <sheetView zoomScale="110" zoomScaleNormal="110" workbookViewId="0"/>
  </sheetViews>
  <sheetFormatPr defaultColWidth="9.1796875" defaultRowHeight="13" x14ac:dyDescent="0.3"/>
  <cols>
    <col min="1" max="1" width="4.81640625" style="2" customWidth="1"/>
    <col min="2" max="2" width="29.54296875" style="2" bestFit="1" customWidth="1"/>
    <col min="3" max="3" width="10.81640625" style="2" customWidth="1"/>
    <col min="4" max="4" width="2.81640625" style="2" customWidth="1"/>
    <col min="5" max="5" width="11.81640625" style="2" customWidth="1"/>
    <col min="6" max="6" width="1.453125" style="2" customWidth="1"/>
    <col min="7" max="7" width="8.1796875" style="2" bestFit="1" customWidth="1"/>
    <col min="8" max="8" width="1.54296875" style="2" customWidth="1"/>
    <col min="9" max="9" width="10.81640625" style="2" customWidth="1"/>
    <col min="10" max="10" width="2.1796875" style="2" customWidth="1"/>
    <col min="11" max="11" width="14.1796875" style="2" customWidth="1"/>
    <col min="12" max="12" width="0.81640625" style="2" customWidth="1"/>
    <col min="13" max="13" width="13" style="2" customWidth="1"/>
    <col min="14" max="14" width="3.453125" style="2" customWidth="1"/>
    <col min="15" max="15" width="12.1796875" style="2" customWidth="1"/>
    <col min="16" max="16" width="15.453125" style="2" customWidth="1"/>
    <col min="17" max="16384" width="9.1796875" style="2"/>
  </cols>
  <sheetData>
    <row r="1" spans="1:13" ht="18.5" x14ac:dyDescent="0.45">
      <c r="A1" s="1" t="s">
        <v>98</v>
      </c>
      <c r="D1" s="136"/>
      <c r="M1" s="13" t="s">
        <v>19</v>
      </c>
    </row>
    <row r="2" spans="1:13" ht="15.5" x14ac:dyDescent="0.35">
      <c r="A2" s="1" t="s">
        <v>175</v>
      </c>
      <c r="D2" s="10"/>
      <c r="I2" s="107"/>
      <c r="J2" s="107"/>
      <c r="M2" s="13" t="s">
        <v>26</v>
      </c>
    </row>
    <row r="3" spans="1:13" x14ac:dyDescent="0.3">
      <c r="A3" s="3" t="str">
        <f>'1 EGC'!A3</f>
        <v>Jun 24 - Aug 24</v>
      </c>
      <c r="B3" s="107"/>
      <c r="D3" s="10"/>
      <c r="I3" s="107"/>
      <c r="J3" s="107"/>
      <c r="M3" s="13"/>
    </row>
    <row r="4" spans="1:13" x14ac:dyDescent="0.3">
      <c r="B4" s="3"/>
      <c r="C4" s="9"/>
      <c r="D4" s="9"/>
      <c r="L4" s="3"/>
    </row>
    <row r="5" spans="1:13" x14ac:dyDescent="0.3">
      <c r="A5" s="2" t="s">
        <v>177</v>
      </c>
    </row>
    <row r="6" spans="1:13" x14ac:dyDescent="0.3">
      <c r="A6" s="2" t="s">
        <v>178</v>
      </c>
    </row>
    <row r="7" spans="1:13" x14ac:dyDescent="0.3">
      <c r="A7" s="2" t="s">
        <v>127</v>
      </c>
      <c r="B7" s="3"/>
    </row>
    <row r="10" spans="1:13" x14ac:dyDescent="0.3">
      <c r="I10" s="4"/>
      <c r="J10" s="4"/>
    </row>
    <row r="11" spans="1:13" s="139" customFormat="1" ht="38.25" customHeight="1" x14ac:dyDescent="0.3">
      <c r="A11" s="138"/>
      <c r="B11" s="138"/>
      <c r="C11" s="262" t="s">
        <v>124</v>
      </c>
      <c r="D11" s="262"/>
      <c r="E11" s="262"/>
      <c r="F11" s="262"/>
      <c r="G11" s="262"/>
      <c r="H11" s="138"/>
      <c r="I11" s="138"/>
      <c r="J11" s="138"/>
      <c r="K11" s="262" t="s">
        <v>125</v>
      </c>
      <c r="L11" s="262"/>
      <c r="M11" s="262"/>
    </row>
    <row r="12" spans="1:13" s="155" customFormat="1" ht="26" x14ac:dyDescent="0.3">
      <c r="A12" s="137" t="s">
        <v>162</v>
      </c>
      <c r="B12" s="108" t="s">
        <v>38</v>
      </c>
      <c r="C12" s="137" t="s">
        <v>369</v>
      </c>
      <c r="D12" s="138"/>
      <c r="E12" s="137" t="s">
        <v>60</v>
      </c>
      <c r="F12" s="153"/>
      <c r="G12" s="137" t="s">
        <v>179</v>
      </c>
      <c r="H12" s="138"/>
      <c r="I12" s="137" t="s">
        <v>126</v>
      </c>
      <c r="J12" s="138"/>
      <c r="K12" s="137" t="s">
        <v>85</v>
      </c>
      <c r="L12" s="154"/>
      <c r="M12" s="108" t="s">
        <v>60</v>
      </c>
    </row>
    <row r="13" spans="1:13" x14ac:dyDescent="0.3">
      <c r="A13" s="8"/>
      <c r="C13" s="4" t="s">
        <v>33</v>
      </c>
      <c r="D13" s="4"/>
      <c r="G13" s="4" t="s">
        <v>1</v>
      </c>
      <c r="H13" s="4"/>
      <c r="I13" s="4" t="s">
        <v>33</v>
      </c>
      <c r="J13" s="4"/>
      <c r="K13" s="4" t="s">
        <v>33</v>
      </c>
    </row>
    <row r="14" spans="1:13" x14ac:dyDescent="0.3">
      <c r="C14" s="4">
        <v>-1</v>
      </c>
      <c r="D14" s="4"/>
      <c r="E14" s="4">
        <v>-2</v>
      </c>
      <c r="F14" s="4"/>
      <c r="G14" s="4">
        <v>-3</v>
      </c>
      <c r="H14" s="4"/>
      <c r="I14" s="4">
        <v>-4</v>
      </c>
      <c r="J14" s="4"/>
      <c r="K14" s="4">
        <v>-5</v>
      </c>
      <c r="L14" s="4"/>
      <c r="M14" s="4">
        <v>-6</v>
      </c>
    </row>
    <row r="15" spans="1:13" x14ac:dyDescent="0.3">
      <c r="C15" s="4"/>
      <c r="D15" s="4"/>
      <c r="E15" s="4"/>
      <c r="F15" s="4"/>
      <c r="G15" s="5" t="s">
        <v>65</v>
      </c>
      <c r="H15" s="4"/>
      <c r="K15" s="5" t="s">
        <v>113</v>
      </c>
      <c r="M15" s="5" t="s">
        <v>66</v>
      </c>
    </row>
    <row r="16" spans="1:13" x14ac:dyDescent="0.3">
      <c r="C16" s="15"/>
      <c r="D16" s="15"/>
      <c r="E16" s="4"/>
      <c r="F16" s="4"/>
      <c r="G16" s="15"/>
      <c r="H16" s="15"/>
    </row>
    <row r="17" spans="1:21" x14ac:dyDescent="0.3">
      <c r="A17" s="4">
        <v>1</v>
      </c>
      <c r="B17" s="156" t="s">
        <v>406</v>
      </c>
      <c r="C17" s="2">
        <v>1613762.0025600009</v>
      </c>
      <c r="E17" s="117">
        <v>2491911.3443140793</v>
      </c>
      <c r="F17" s="120"/>
      <c r="G17" s="157"/>
      <c r="H17" s="158"/>
      <c r="I17" s="2">
        <v>-1409548.4831999992</v>
      </c>
      <c r="K17" s="2">
        <f>+C17+I17</f>
        <v>204213.51936000166</v>
      </c>
      <c r="M17" s="117"/>
      <c r="O17" s="159"/>
    </row>
    <row r="18" spans="1:21" x14ac:dyDescent="0.3">
      <c r="A18" s="4">
        <f>A17+1</f>
        <v>2</v>
      </c>
      <c r="B18" s="156">
        <v>45498</v>
      </c>
      <c r="C18" s="2">
        <v>1615735.3228800006</v>
      </c>
      <c r="E18" s="117">
        <v>2838226.7395907999</v>
      </c>
      <c r="G18" s="157"/>
      <c r="H18" s="158"/>
      <c r="I18" s="2">
        <v>-1407491.9404799989</v>
      </c>
      <c r="K18" s="2">
        <f>+C18+I18</f>
        <v>208243.38240000163</v>
      </c>
      <c r="M18" s="117"/>
      <c r="O18" s="160"/>
    </row>
    <row r="19" spans="1:21" ht="14.5" x14ac:dyDescent="0.3">
      <c r="A19" s="4">
        <f>A18+1</f>
        <v>3</v>
      </c>
      <c r="B19" s="156">
        <v>45529</v>
      </c>
      <c r="C19" s="2">
        <v>1447710.7535999995</v>
      </c>
      <c r="E19" s="117">
        <v>2556939.2593317614</v>
      </c>
      <c r="F19" s="161"/>
      <c r="G19" s="157"/>
      <c r="H19" s="158"/>
      <c r="I19" s="2">
        <v>-1247650.7951999991</v>
      </c>
      <c r="K19" s="2">
        <f>+C19+I19</f>
        <v>200059.95840000035</v>
      </c>
      <c r="M19" s="117"/>
      <c r="O19" s="162"/>
    </row>
    <row r="20" spans="1:21" x14ac:dyDescent="0.3">
      <c r="A20" s="4"/>
      <c r="G20" s="157"/>
      <c r="H20" s="158"/>
      <c r="M20" s="117"/>
    </row>
    <row r="21" spans="1:21" x14ac:dyDescent="0.3">
      <c r="A21" s="4">
        <v>4</v>
      </c>
      <c r="B21" s="8" t="s">
        <v>360</v>
      </c>
      <c r="C21" s="2">
        <f>SUM(C17:C19)</f>
        <v>4677208.0790400011</v>
      </c>
      <c r="E21" s="63">
        <f>SUM(E17:E19)</f>
        <v>7887077.3432366401</v>
      </c>
      <c r="F21" s="63"/>
      <c r="G21" s="157">
        <f>ROUND(E21/C21,2)</f>
        <v>1.69</v>
      </c>
      <c r="H21" s="158"/>
      <c r="I21" s="2">
        <f>SUM(I17:I20)</f>
        <v>-4064691.2188799973</v>
      </c>
      <c r="K21" s="2">
        <f>SUM(K17:K20)</f>
        <v>612516.86016000365</v>
      </c>
      <c r="M21" s="117">
        <f>+ROUND(G21*K21,0)</f>
        <v>1035153</v>
      </c>
      <c r="O21"/>
      <c r="P21"/>
      <c r="Q21"/>
      <c r="R21"/>
      <c r="S21"/>
      <c r="T21"/>
      <c r="U21"/>
    </row>
    <row r="22" spans="1:21" x14ac:dyDescent="0.3">
      <c r="A22" s="4"/>
      <c r="G22" s="163"/>
      <c r="H22" s="163"/>
      <c r="M22" s="164"/>
    </row>
    <row r="23" spans="1:21" s="165" customFormat="1" x14ac:dyDescent="0.3">
      <c r="B23" s="2" t="s">
        <v>73</v>
      </c>
      <c r="H23" s="166"/>
    </row>
    <row r="24" spans="1:21" x14ac:dyDescent="0.3">
      <c r="B24" s="167"/>
      <c r="H24" s="7"/>
    </row>
    <row r="25" spans="1:21" x14ac:dyDescent="0.3">
      <c r="B25" s="165" t="s">
        <v>111</v>
      </c>
      <c r="C25" s="165"/>
      <c r="D25" s="165"/>
      <c r="E25" s="165"/>
      <c r="F25" s="165"/>
      <c r="G25" s="165"/>
      <c r="H25" s="166"/>
      <c r="I25" s="165"/>
      <c r="J25" s="165"/>
      <c r="K25" s="165" t="s">
        <v>112</v>
      </c>
      <c r="L25" s="165"/>
      <c r="M25" s="165" t="s">
        <v>112</v>
      </c>
    </row>
    <row r="28" spans="1:21" x14ac:dyDescent="0.3">
      <c r="B28" s="8"/>
      <c r="K28" s="168"/>
    </row>
    <row r="29" spans="1:21" s="130" customFormat="1" x14ac:dyDescent="0.3">
      <c r="A29"/>
      <c r="B29"/>
      <c r="C29"/>
      <c r="D29"/>
      <c r="E29"/>
      <c r="F29"/>
      <c r="G29"/>
      <c r="H29"/>
      <c r="I29"/>
      <c r="J29"/>
    </row>
    <row r="30" spans="1:21" x14ac:dyDescent="0.3">
      <c r="B30" s="8"/>
      <c r="K30" s="168"/>
    </row>
    <row r="31" spans="1:21" x14ac:dyDescent="0.3">
      <c r="K31" s="168"/>
    </row>
    <row r="32" spans="1:21" x14ac:dyDescent="0.3">
      <c r="K32" s="168"/>
    </row>
    <row r="33" spans="1:11" x14ac:dyDescent="0.3">
      <c r="C33" s="8"/>
      <c r="D33" s="8"/>
      <c r="K33" s="168"/>
    </row>
    <row r="34" spans="1:11" x14ac:dyDescent="0.3">
      <c r="G34" s="107"/>
      <c r="H34" s="107"/>
    </row>
    <row r="35" spans="1:11" x14ac:dyDescent="0.3">
      <c r="C35" s="7"/>
      <c r="D35" s="7"/>
      <c r="E35" s="18"/>
      <c r="F35" s="18"/>
      <c r="G35" s="18"/>
      <c r="H35" s="18"/>
    </row>
    <row r="36" spans="1:11" x14ac:dyDescent="0.3">
      <c r="B36" s="8"/>
      <c r="G36" s="168"/>
      <c r="H36" s="168"/>
      <c r="I36" s="84"/>
      <c r="J36" s="84"/>
    </row>
    <row r="37" spans="1:11" x14ac:dyDescent="0.3">
      <c r="G37" s="168"/>
      <c r="H37" s="168"/>
    </row>
    <row r="38" spans="1:11" x14ac:dyDescent="0.3">
      <c r="B38" s="8"/>
      <c r="G38" s="168"/>
      <c r="H38" s="168"/>
    </row>
    <row r="39" spans="1:11" x14ac:dyDescent="0.3">
      <c r="B39" s="8"/>
      <c r="G39" s="163"/>
      <c r="H39" s="163"/>
      <c r="I39" s="169"/>
      <c r="J39" s="169"/>
    </row>
    <row r="42" spans="1:11" x14ac:dyDescent="0.3">
      <c r="A42" s="8" t="s">
        <v>0</v>
      </c>
    </row>
    <row r="43" spans="1:11" x14ac:dyDescent="0.3">
      <c r="A43" s="8" t="s">
        <v>0</v>
      </c>
    </row>
  </sheetData>
  <mergeCells count="2">
    <mergeCell ref="C11:G11"/>
    <mergeCell ref="K11:M11"/>
  </mergeCells>
  <phoneticPr fontId="6" type="noConversion"/>
  <pageMargins left="0.75" right="0.75" top="1" bottom="1" header="0.5" footer="0.5"/>
  <pageSetup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X36"/>
  <sheetViews>
    <sheetView zoomScaleNormal="100" workbookViewId="0"/>
  </sheetViews>
  <sheetFormatPr defaultColWidth="9.1796875" defaultRowHeight="13" x14ac:dyDescent="0.3"/>
  <cols>
    <col min="1" max="1" width="4.1796875" style="2" customWidth="1"/>
    <col min="2" max="2" width="29.54296875" style="2" bestFit="1" customWidth="1"/>
    <col min="3" max="3" width="14.1796875" style="2" customWidth="1"/>
    <col min="4" max="4" width="13.81640625" style="2" customWidth="1"/>
    <col min="5" max="5" width="4" style="2" customWidth="1"/>
    <col min="6" max="17" width="9.1796875" style="2"/>
    <col min="18" max="18" width="3.1796875" style="2" customWidth="1"/>
    <col min="19" max="20" width="1.81640625" style="2" customWidth="1"/>
    <col min="21" max="16384" width="9.1796875" style="2"/>
  </cols>
  <sheetData>
    <row r="1" spans="1:24" ht="15.5" x14ac:dyDescent="0.35">
      <c r="A1" s="1" t="s">
        <v>98</v>
      </c>
      <c r="G1" s="13" t="s">
        <v>19</v>
      </c>
    </row>
    <row r="2" spans="1:24" ht="15.5" x14ac:dyDescent="0.35">
      <c r="A2" s="1" t="s">
        <v>176</v>
      </c>
      <c r="F2" s="3"/>
      <c r="G2" s="13" t="s">
        <v>27</v>
      </c>
    </row>
    <row r="3" spans="1:24" x14ac:dyDescent="0.3">
      <c r="A3" s="3" t="str">
        <f>'1 EGC'!A3</f>
        <v>Jun 24 - Aug 24</v>
      </c>
      <c r="G3" s="3"/>
    </row>
    <row r="5" spans="1:24" x14ac:dyDescent="0.3">
      <c r="A5" s="10"/>
      <c r="B5" s="10"/>
      <c r="C5" s="10"/>
      <c r="D5" s="10"/>
    </row>
    <row r="6" spans="1:24" x14ac:dyDescent="0.3">
      <c r="A6" s="10"/>
      <c r="B6" s="10"/>
      <c r="C6" s="10"/>
      <c r="D6" s="10"/>
    </row>
    <row r="7" spans="1:24" x14ac:dyDescent="0.3">
      <c r="A7" s="10" t="s">
        <v>4</v>
      </c>
      <c r="B7" s="10"/>
      <c r="C7" s="10"/>
      <c r="D7" s="10"/>
      <c r="F7" s="4"/>
    </row>
    <row r="8" spans="1:24" x14ac:dyDescent="0.3">
      <c r="A8" s="9" t="s">
        <v>5</v>
      </c>
      <c r="B8" s="9" t="s">
        <v>38</v>
      </c>
      <c r="C8" s="9" t="s">
        <v>33</v>
      </c>
      <c r="D8" s="9" t="s">
        <v>86</v>
      </c>
      <c r="E8" s="6"/>
      <c r="F8" s="6"/>
    </row>
    <row r="9" spans="1:24" x14ac:dyDescent="0.3">
      <c r="C9" s="4" t="s">
        <v>31</v>
      </c>
      <c r="D9" s="4">
        <v>-3</v>
      </c>
      <c r="E9" s="4"/>
      <c r="F9" s="4"/>
      <c r="X9" s="12"/>
    </row>
    <row r="10" spans="1:24" x14ac:dyDescent="0.3">
      <c r="C10" s="4"/>
      <c r="D10" s="4"/>
      <c r="E10" s="4"/>
      <c r="F10" s="5"/>
    </row>
    <row r="11" spans="1:24" x14ac:dyDescent="0.3">
      <c r="C11" s="4"/>
      <c r="D11" s="4"/>
      <c r="E11" s="4"/>
      <c r="F11" s="5"/>
    </row>
    <row r="12" spans="1:24" x14ac:dyDescent="0.3">
      <c r="C12" s="15"/>
      <c r="D12" s="15"/>
      <c r="E12" s="15"/>
      <c r="F12" s="8"/>
    </row>
    <row r="13" spans="1:24" x14ac:dyDescent="0.3">
      <c r="A13" s="2">
        <v>1</v>
      </c>
      <c r="B13" s="156" t="s">
        <v>406</v>
      </c>
      <c r="C13" s="2">
        <v>3878.8847999999998</v>
      </c>
      <c r="D13" s="170">
        <v>7630.2713879999974</v>
      </c>
      <c r="E13" s="19"/>
      <c r="F13" s="16"/>
    </row>
    <row r="14" spans="1:24" x14ac:dyDescent="0.3">
      <c r="A14" s="2">
        <f>A13+1</f>
        <v>2</v>
      </c>
      <c r="B14" s="156">
        <v>45498</v>
      </c>
      <c r="C14" s="2">
        <v>3415.5179999999978</v>
      </c>
      <c r="D14" s="170">
        <v>7949.7385799999947</v>
      </c>
      <c r="F14" s="16"/>
    </row>
    <row r="15" spans="1:24" x14ac:dyDescent="0.3">
      <c r="A15" s="2">
        <f>A14+1</f>
        <v>3</v>
      </c>
      <c r="B15" s="156">
        <v>45529</v>
      </c>
      <c r="C15" s="2">
        <v>3316.7743200000009</v>
      </c>
      <c r="D15" s="170">
        <v>7744.5454780799982</v>
      </c>
      <c r="E15" s="7"/>
      <c r="F15" s="16"/>
    </row>
    <row r="16" spans="1:24" x14ac:dyDescent="0.3">
      <c r="F16" s="16"/>
    </row>
    <row r="17" spans="1:9" x14ac:dyDescent="0.3">
      <c r="A17" s="2">
        <v>4</v>
      </c>
      <c r="B17" s="8" t="s">
        <v>360</v>
      </c>
      <c r="C17" s="2">
        <f>SUM(C13:C15)</f>
        <v>10611.177119999998</v>
      </c>
      <c r="D17" s="20">
        <f>SUM(D13:D15)</f>
        <v>23324.55544607999</v>
      </c>
      <c r="E17" s="21"/>
      <c r="F17" s="16"/>
      <c r="G17" s="22"/>
      <c r="I17" s="12"/>
    </row>
    <row r="18" spans="1:9" x14ac:dyDescent="0.3">
      <c r="F18" s="23"/>
    </row>
    <row r="19" spans="1:9" x14ac:dyDescent="0.3">
      <c r="B19" s="8"/>
      <c r="F19" s="17"/>
    </row>
    <row r="20" spans="1:9" x14ac:dyDescent="0.3">
      <c r="B20" s="8"/>
      <c r="D20" s="11"/>
      <c r="E20" s="11"/>
      <c r="F20" s="24"/>
    </row>
    <row r="21" spans="1:9" x14ac:dyDescent="0.3">
      <c r="F21" s="17"/>
    </row>
    <row r="22" spans="1:9" x14ac:dyDescent="0.3">
      <c r="B22" s="8" t="s">
        <v>111</v>
      </c>
      <c r="C22" s="4" t="s">
        <v>361</v>
      </c>
      <c r="D22" s="4" t="s">
        <v>361</v>
      </c>
      <c r="F22" s="25"/>
    </row>
    <row r="31" spans="1:9" x14ac:dyDescent="0.3">
      <c r="C31" s="18"/>
      <c r="D31" s="18"/>
      <c r="E31" s="18"/>
    </row>
    <row r="36" spans="2:2" x14ac:dyDescent="0.3">
      <c r="B36" s="8"/>
    </row>
  </sheetData>
  <phoneticPr fontId="6" type="noConversion"/>
  <pageMargins left="0.75" right="0.75" top="1" bottom="1" header="0.5" footer="0.5"/>
  <pageSetup orientation="portrait" r:id="rId1"/>
  <headerFooter alignWithMargins="0"/>
  <ignoredErrors>
    <ignoredError sqref="C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K34"/>
  <sheetViews>
    <sheetView zoomScaleNormal="100" workbookViewId="0"/>
  </sheetViews>
  <sheetFormatPr defaultColWidth="9.1796875" defaultRowHeight="13" x14ac:dyDescent="0.3"/>
  <cols>
    <col min="1" max="1" width="5.1796875" style="175" customWidth="1"/>
    <col min="2" max="2" width="46.1796875" style="171" customWidth="1"/>
    <col min="3" max="3" width="8.453125" style="171" bestFit="1" customWidth="1"/>
    <col min="4" max="4" width="2" style="171" customWidth="1"/>
    <col min="5" max="5" width="17.1796875" style="171" bestFit="1" customWidth="1"/>
    <col min="6" max="6" width="14.1796875" style="171" customWidth="1"/>
    <col min="7" max="7" width="14" style="171" customWidth="1"/>
    <col min="8" max="8" width="14.453125" style="171" customWidth="1"/>
    <col min="9" max="9" width="2" style="171" customWidth="1"/>
    <col min="10" max="10" width="15.1796875" style="171" customWidth="1"/>
    <col min="11" max="16384" width="9.1796875" style="171"/>
  </cols>
  <sheetData>
    <row r="1" spans="1:11" ht="15.5" x14ac:dyDescent="0.35">
      <c r="A1" s="1" t="s">
        <v>98</v>
      </c>
      <c r="J1" s="13" t="s">
        <v>19</v>
      </c>
    </row>
    <row r="2" spans="1:11" ht="15.5" x14ac:dyDescent="0.35">
      <c r="A2" s="172" t="s">
        <v>183</v>
      </c>
      <c r="J2" s="13" t="s">
        <v>159</v>
      </c>
    </row>
    <row r="3" spans="1:11" x14ac:dyDescent="0.3">
      <c r="A3" s="173" t="str">
        <f>'1 EGC'!A3</f>
        <v>Jun 24 - Aug 24</v>
      </c>
      <c r="J3" s="13"/>
    </row>
    <row r="4" spans="1:11" ht="15.5" x14ac:dyDescent="0.35">
      <c r="A4" s="172"/>
      <c r="J4" s="13"/>
    </row>
    <row r="5" spans="1:11" x14ac:dyDescent="0.3">
      <c r="A5" s="174"/>
      <c r="J5" s="107"/>
    </row>
    <row r="6" spans="1:11" x14ac:dyDescent="0.3">
      <c r="A6" s="171" t="s">
        <v>134</v>
      </c>
      <c r="J6" s="107"/>
    </row>
    <row r="7" spans="1:11" x14ac:dyDescent="0.3">
      <c r="J7" s="107"/>
    </row>
    <row r="9" spans="1:11" x14ac:dyDescent="0.3">
      <c r="A9" s="176"/>
      <c r="B9" s="174"/>
      <c r="C9" s="174"/>
      <c r="D9" s="174"/>
      <c r="E9" s="174"/>
      <c r="F9" s="174"/>
      <c r="G9" s="174"/>
      <c r="H9" s="174"/>
      <c r="I9" s="174"/>
      <c r="J9" s="176" t="s">
        <v>132</v>
      </c>
    </row>
    <row r="10" spans="1:11" s="179" customFormat="1" ht="39.75" customHeight="1" x14ac:dyDescent="0.3">
      <c r="A10" s="177" t="s">
        <v>162</v>
      </c>
      <c r="B10" s="177" t="s">
        <v>15</v>
      </c>
      <c r="C10" s="177" t="s">
        <v>67</v>
      </c>
      <c r="D10" s="178"/>
      <c r="E10" s="177" t="s">
        <v>401</v>
      </c>
      <c r="F10" s="177" t="s">
        <v>402</v>
      </c>
      <c r="G10" s="177" t="s">
        <v>403</v>
      </c>
      <c r="H10" s="177" t="s">
        <v>404</v>
      </c>
      <c r="I10" s="178"/>
      <c r="J10" s="177" t="s">
        <v>405</v>
      </c>
    </row>
    <row r="12" spans="1:11" x14ac:dyDescent="0.3">
      <c r="B12" s="171" t="s">
        <v>99</v>
      </c>
    </row>
    <row r="13" spans="1:11" x14ac:dyDescent="0.3">
      <c r="A13" s="175">
        <v>1</v>
      </c>
      <c r="B13" s="180" t="s">
        <v>85</v>
      </c>
      <c r="C13" s="175" t="s">
        <v>33</v>
      </c>
      <c r="D13" s="180"/>
      <c r="E13" s="181">
        <v>4687819.2561600013</v>
      </c>
      <c r="F13" s="181">
        <v>3036007.068</v>
      </c>
      <c r="G13" s="181">
        <v>1958030.9184000003</v>
      </c>
      <c r="H13" s="181">
        <v>3784128.0501599992</v>
      </c>
      <c r="J13" s="181">
        <f>SUM(E13:H13)</f>
        <v>13465985.292720001</v>
      </c>
      <c r="K13" s="182"/>
    </row>
    <row r="14" spans="1:11" x14ac:dyDescent="0.3">
      <c r="A14" s="175">
        <v>2</v>
      </c>
      <c r="B14" s="180" t="s">
        <v>109</v>
      </c>
      <c r="C14" s="175"/>
      <c r="D14" s="180"/>
      <c r="E14" s="183">
        <v>7910401.89868272</v>
      </c>
      <c r="F14" s="183">
        <v>5553327.0781204794</v>
      </c>
      <c r="G14" s="183">
        <v>7092263.7215591986</v>
      </c>
      <c r="H14" s="183">
        <v>11002052.642885039</v>
      </c>
      <c r="I14" s="183"/>
      <c r="J14" s="183">
        <f>SUM(E14:H14)</f>
        <v>31558045.341247432</v>
      </c>
    </row>
    <row r="15" spans="1:11" x14ac:dyDescent="0.3">
      <c r="A15" s="175">
        <v>3</v>
      </c>
      <c r="B15" s="180" t="s">
        <v>133</v>
      </c>
      <c r="C15" s="175" t="s">
        <v>1</v>
      </c>
      <c r="D15" s="180"/>
      <c r="E15" s="164"/>
      <c r="J15" s="184">
        <f>+J14/J13</f>
        <v>2.3435377846661085</v>
      </c>
    </row>
    <row r="16" spans="1:11" x14ac:dyDescent="0.3">
      <c r="C16" s="175"/>
      <c r="J16" s="184"/>
    </row>
    <row r="17" spans="1:10" x14ac:dyDescent="0.3">
      <c r="B17" s="171" t="s">
        <v>100</v>
      </c>
      <c r="C17" s="175"/>
      <c r="J17" s="184"/>
    </row>
    <row r="18" spans="1:10" x14ac:dyDescent="0.3">
      <c r="A18" s="175">
        <f>A15+1</f>
        <v>4</v>
      </c>
      <c r="B18" s="180" t="s">
        <v>101</v>
      </c>
      <c r="C18" s="175" t="s">
        <v>33</v>
      </c>
      <c r="D18" s="180"/>
      <c r="E18" s="181">
        <v>746844</v>
      </c>
      <c r="F18" s="181">
        <v>2404147</v>
      </c>
      <c r="G18" s="181">
        <v>7570911</v>
      </c>
      <c r="H18" s="181">
        <v>2324518</v>
      </c>
      <c r="I18" s="185"/>
      <c r="J18" s="181">
        <f>SUM(E18:H18)</f>
        <v>13046420</v>
      </c>
    </row>
    <row r="19" spans="1:10" x14ac:dyDescent="0.3">
      <c r="A19" s="175">
        <f>A18+1</f>
        <v>5</v>
      </c>
      <c r="B19" s="180" t="s">
        <v>102</v>
      </c>
      <c r="C19" s="175"/>
      <c r="D19" s="180"/>
      <c r="E19" s="186">
        <v>5.0000000000000001E-3</v>
      </c>
      <c r="F19" s="186">
        <v>5.0000000000000001E-3</v>
      </c>
      <c r="G19" s="186">
        <v>5.0000000000000001E-3</v>
      </c>
      <c r="H19" s="186">
        <v>5.0000000000000001E-3</v>
      </c>
      <c r="J19" s="184"/>
    </row>
    <row r="20" spans="1:10" x14ac:dyDescent="0.3">
      <c r="B20" s="180" t="s">
        <v>103</v>
      </c>
      <c r="C20" s="175"/>
      <c r="D20" s="180"/>
      <c r="E20" s="187"/>
      <c r="F20" s="186"/>
      <c r="G20" s="186"/>
      <c r="H20" s="186"/>
      <c r="J20" s="184"/>
    </row>
    <row r="21" spans="1:10" x14ac:dyDescent="0.3">
      <c r="A21" s="175">
        <f>A19+1</f>
        <v>6</v>
      </c>
      <c r="B21" s="188" t="s">
        <v>362</v>
      </c>
      <c r="C21" s="175" t="s">
        <v>33</v>
      </c>
      <c r="D21" s="180"/>
      <c r="E21" s="185">
        <f>+ROUND((1-E19)*E18,0)</f>
        <v>743110</v>
      </c>
      <c r="F21" s="185">
        <f>+ROUND((1-F19)*F18,0)</f>
        <v>2392126</v>
      </c>
      <c r="G21" s="185">
        <f>+ROUND((1-G19)*G18,0)</f>
        <v>7533056</v>
      </c>
      <c r="H21" s="185">
        <f>+ROUND((1-H19)*H18,0)</f>
        <v>2312895</v>
      </c>
      <c r="J21" s="185">
        <f>+SUM(E21:H21)</f>
        <v>12981187</v>
      </c>
    </row>
    <row r="22" spans="1:10" x14ac:dyDescent="0.3">
      <c r="A22" s="175">
        <f>A21+1</f>
        <v>7</v>
      </c>
      <c r="B22" s="188" t="s">
        <v>104</v>
      </c>
      <c r="C22" s="175" t="s">
        <v>105</v>
      </c>
      <c r="D22" s="180"/>
      <c r="E22" s="189">
        <v>1.101</v>
      </c>
      <c r="F22" s="189">
        <v>1.101</v>
      </c>
      <c r="G22" s="189">
        <v>1.101</v>
      </c>
      <c r="H22" s="189">
        <v>1.101</v>
      </c>
      <c r="J22" s="185"/>
    </row>
    <row r="23" spans="1:10" x14ac:dyDescent="0.3">
      <c r="A23" s="175">
        <f>A22+1</f>
        <v>8</v>
      </c>
      <c r="B23" s="188" t="s">
        <v>363</v>
      </c>
      <c r="C23" s="175" t="s">
        <v>106</v>
      </c>
      <c r="D23" s="180"/>
      <c r="E23" s="185">
        <f>+ROUND(E21/E22,0)</f>
        <v>674941</v>
      </c>
      <c r="F23" s="185">
        <f>+ROUND(F21/F22,0)</f>
        <v>2172685</v>
      </c>
      <c r="G23" s="185">
        <f>+ROUND(G21/G22,0)</f>
        <v>6842013</v>
      </c>
      <c r="H23" s="185">
        <f>+ROUND(H21/H22,0)</f>
        <v>2100722</v>
      </c>
      <c r="J23" s="185">
        <f>+SUM(E23:H23)</f>
        <v>11790361</v>
      </c>
    </row>
    <row r="24" spans="1:10" x14ac:dyDescent="0.3">
      <c r="A24" s="175">
        <f>A23+1</f>
        <v>9</v>
      </c>
      <c r="B24" s="180" t="s">
        <v>364</v>
      </c>
      <c r="C24" s="175"/>
      <c r="D24" s="180"/>
      <c r="E24" s="190">
        <f>+ROUND(E23/$J23,3)</f>
        <v>5.7000000000000002E-2</v>
      </c>
      <c r="F24" s="190">
        <f>+ROUND(F23/$J23,3)</f>
        <v>0.184</v>
      </c>
      <c r="G24" s="190">
        <f>+ROUND(G23/$J23,3)</f>
        <v>0.57999999999999996</v>
      </c>
      <c r="H24" s="190">
        <f>+ROUND(H23/$J23,3)</f>
        <v>0.17799999999999999</v>
      </c>
      <c r="J24" s="190">
        <f>+J23/$J23</f>
        <v>1</v>
      </c>
    </row>
    <row r="25" spans="1:10" x14ac:dyDescent="0.3">
      <c r="C25" s="175"/>
    </row>
    <row r="26" spans="1:10" x14ac:dyDescent="0.3">
      <c r="B26" s="171" t="s">
        <v>107</v>
      </c>
      <c r="C26" s="175"/>
    </row>
    <row r="27" spans="1:10" x14ac:dyDescent="0.3">
      <c r="A27" s="175">
        <f>A24+1</f>
        <v>10</v>
      </c>
      <c r="B27" s="180" t="s">
        <v>85</v>
      </c>
      <c r="C27" s="175" t="s">
        <v>33</v>
      </c>
      <c r="D27" s="180"/>
      <c r="E27" s="185">
        <v>119283</v>
      </c>
      <c r="F27" s="185">
        <v>93421</v>
      </c>
      <c r="G27" s="185">
        <v>195578</v>
      </c>
      <c r="H27" s="185">
        <v>132081</v>
      </c>
      <c r="J27" s="185">
        <f>SUM(E27:H27)</f>
        <v>540363</v>
      </c>
    </row>
    <row r="28" spans="1:10" x14ac:dyDescent="0.3">
      <c r="B28" s="180"/>
      <c r="C28" s="175"/>
      <c r="D28" s="180"/>
      <c r="E28" s="185"/>
      <c r="F28" s="185"/>
      <c r="G28" s="185"/>
      <c r="H28" s="185"/>
      <c r="J28" s="185"/>
    </row>
    <row r="29" spans="1:10" x14ac:dyDescent="0.3">
      <c r="B29" s="180" t="s">
        <v>60</v>
      </c>
      <c r="C29" s="175"/>
      <c r="D29" s="180"/>
      <c r="E29" s="191" t="s">
        <v>157</v>
      </c>
      <c r="J29" s="185"/>
    </row>
    <row r="30" spans="1:10" x14ac:dyDescent="0.3">
      <c r="A30" s="175">
        <f>A27+1</f>
        <v>11</v>
      </c>
      <c r="B30" s="188" t="s">
        <v>387</v>
      </c>
      <c r="C30" s="175"/>
      <c r="D30" s="188"/>
      <c r="E30" s="192">
        <f>+ROUND(E27*$J15,0)</f>
        <v>279544</v>
      </c>
      <c r="F30" s="193">
        <f>+ROUND(F27*$J15,0)</f>
        <v>218936</v>
      </c>
      <c r="G30" s="193">
        <f>+ROUND(G27*$J15,0)</f>
        <v>458344</v>
      </c>
      <c r="H30" s="193">
        <f>+ROUND(H27*$J15,0)</f>
        <v>309537</v>
      </c>
      <c r="J30" s="193">
        <f>+SUM(E30:H30)</f>
        <v>1266361</v>
      </c>
    </row>
    <row r="31" spans="1:10" x14ac:dyDescent="0.3">
      <c r="A31" s="175">
        <f>A30+1</f>
        <v>12</v>
      </c>
      <c r="B31" s="188" t="s">
        <v>110</v>
      </c>
      <c r="C31" s="175"/>
      <c r="D31" s="188"/>
      <c r="E31" s="193">
        <f>+ROUND(E24*$J30,0)</f>
        <v>72183</v>
      </c>
      <c r="F31" s="193">
        <f>+ROUND(F24*$J30,0)</f>
        <v>233010</v>
      </c>
      <c r="G31" s="193">
        <f>+ROUND(G24*$J30,0)</f>
        <v>734489</v>
      </c>
      <c r="H31" s="193">
        <f>+ROUND(H24*$J30,0)</f>
        <v>225412</v>
      </c>
      <c r="J31" s="193">
        <f>+SUM(E31:H31)</f>
        <v>1265094</v>
      </c>
    </row>
    <row r="32" spans="1:10" x14ac:dyDescent="0.3">
      <c r="B32" s="188"/>
      <c r="C32" s="175"/>
      <c r="D32" s="188"/>
      <c r="F32" s="193"/>
      <c r="G32" s="193"/>
      <c r="H32" s="193"/>
      <c r="J32" s="193"/>
    </row>
    <row r="33" spans="1:10" x14ac:dyDescent="0.3">
      <c r="B33" s="188"/>
      <c r="C33" s="175"/>
      <c r="D33" s="188"/>
      <c r="E33" s="191" t="s">
        <v>244</v>
      </c>
      <c r="F33" s="193"/>
      <c r="G33" s="193"/>
      <c r="H33" s="193"/>
      <c r="J33" s="193"/>
    </row>
    <row r="34" spans="1:10" x14ac:dyDescent="0.3">
      <c r="A34" s="175">
        <f>A31+1</f>
        <v>13</v>
      </c>
      <c r="B34" s="180" t="s">
        <v>365</v>
      </c>
      <c r="C34" s="175" t="s">
        <v>108</v>
      </c>
      <c r="D34" s="180"/>
      <c r="E34" s="194">
        <f>+ROUND(E31/E23,4)</f>
        <v>0.1069</v>
      </c>
      <c r="F34" s="184">
        <f>+ROUND(F31/F23,4)</f>
        <v>0.1072</v>
      </c>
      <c r="G34" s="184">
        <f>+ROUND(G31/G23,4)</f>
        <v>0.10730000000000001</v>
      </c>
      <c r="H34" s="184">
        <f>+ROUND(H31/H23,4)</f>
        <v>0.10730000000000001</v>
      </c>
      <c r="J34" s="184">
        <f>+ROUND(J31/J23,4)</f>
        <v>0.10730000000000001</v>
      </c>
    </row>
  </sheetData>
  <phoneticPr fontId="6" type="noConversion"/>
  <pageMargins left="0.75" right="0.75" top="1" bottom="1" header="0.5" footer="0.5"/>
  <pageSetup scale="6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I53"/>
  <sheetViews>
    <sheetView zoomScaleNormal="100" workbookViewId="0"/>
  </sheetViews>
  <sheetFormatPr defaultColWidth="9.1796875" defaultRowHeight="13" x14ac:dyDescent="0.3"/>
  <cols>
    <col min="1" max="1" width="5.453125" style="2" bestFit="1" customWidth="1"/>
    <col min="2" max="2" width="1.54296875" style="2" customWidth="1"/>
    <col min="3" max="3" width="67.1796875" style="2" customWidth="1"/>
    <col min="4" max="4" width="16.81640625" style="2" customWidth="1"/>
    <col min="5" max="5" width="9.1796875" style="2"/>
    <col min="6" max="6" width="24.54296875" style="2" customWidth="1"/>
    <col min="7" max="7" width="16.1796875" style="2" bestFit="1" customWidth="1"/>
    <col min="8" max="8" width="9.1796875" style="2"/>
    <col min="9" max="9" width="10" style="2" bestFit="1" customWidth="1"/>
    <col min="10" max="16384" width="9.1796875" style="2"/>
  </cols>
  <sheetData>
    <row r="1" spans="1:7" ht="18.5" x14ac:dyDescent="0.45">
      <c r="D1" s="136" t="s">
        <v>3</v>
      </c>
      <c r="G1" s="13" t="s">
        <v>19</v>
      </c>
    </row>
    <row r="2" spans="1:7" ht="18.5" x14ac:dyDescent="0.45">
      <c r="D2" s="195"/>
      <c r="G2" s="13" t="s">
        <v>158</v>
      </c>
    </row>
    <row r="3" spans="1:7" x14ac:dyDescent="0.3">
      <c r="D3" s="10" t="s">
        <v>39</v>
      </c>
      <c r="G3" s="13"/>
    </row>
    <row r="4" spans="1:7" x14ac:dyDescent="0.3">
      <c r="D4" s="10" t="s">
        <v>40</v>
      </c>
    </row>
    <row r="5" spans="1:7" x14ac:dyDescent="0.3">
      <c r="D5" s="9" t="s">
        <v>391</v>
      </c>
    </row>
    <row r="12" spans="1:7" x14ac:dyDescent="0.3">
      <c r="G12" s="10" t="s">
        <v>16</v>
      </c>
    </row>
    <row r="13" spans="1:7" x14ac:dyDescent="0.3">
      <c r="A13" s="10" t="s">
        <v>4</v>
      </c>
      <c r="B13" s="3"/>
      <c r="C13" s="3"/>
      <c r="D13" s="3"/>
      <c r="E13" s="3"/>
      <c r="G13" s="10" t="s">
        <v>41</v>
      </c>
    </row>
    <row r="14" spans="1:7" x14ac:dyDescent="0.3">
      <c r="A14" s="9" t="s">
        <v>5</v>
      </c>
      <c r="B14" s="140"/>
      <c r="C14" s="9" t="s">
        <v>15</v>
      </c>
      <c r="D14" s="9" t="s">
        <v>33</v>
      </c>
      <c r="E14" s="140"/>
      <c r="F14" s="9" t="s">
        <v>29</v>
      </c>
      <c r="G14" s="9" t="s">
        <v>42</v>
      </c>
    </row>
    <row r="16" spans="1:7" x14ac:dyDescent="0.3">
      <c r="A16" s="2">
        <v>1</v>
      </c>
      <c r="C16" s="8" t="s">
        <v>368</v>
      </c>
      <c r="D16" s="2">
        <f>'3 DemCost'!C10</f>
        <v>10703880</v>
      </c>
    </row>
    <row r="18" spans="1:8" x14ac:dyDescent="0.3">
      <c r="A18" s="2">
        <v>2</v>
      </c>
      <c r="C18" s="8" t="s">
        <v>43</v>
      </c>
      <c r="D18" s="2">
        <f>ROUND(+G51*'4 DemCr'!E21,0)</f>
        <v>11563641</v>
      </c>
    </row>
    <row r="20" spans="1:8" x14ac:dyDescent="0.3">
      <c r="A20" s="2">
        <v>3</v>
      </c>
      <c r="C20" s="8" t="s">
        <v>44</v>
      </c>
      <c r="D20" s="2">
        <f>ROUND(D18*0.05,0)</f>
        <v>578182</v>
      </c>
    </row>
    <row r="22" spans="1:8" x14ac:dyDescent="0.3">
      <c r="A22" s="2">
        <v>4</v>
      </c>
      <c r="C22" s="8" t="s">
        <v>45</v>
      </c>
      <c r="E22" s="196"/>
    </row>
    <row r="23" spans="1:8" x14ac:dyDescent="0.3">
      <c r="A23" s="2">
        <v>5</v>
      </c>
      <c r="C23" s="8" t="s">
        <v>46</v>
      </c>
      <c r="F23" s="196">
        <f>ROUND(+D20/D16,4)</f>
        <v>5.3999999999999999E-2</v>
      </c>
    </row>
    <row r="24" spans="1:8" x14ac:dyDescent="0.3">
      <c r="E24" s="196"/>
    </row>
    <row r="25" spans="1:8" x14ac:dyDescent="0.3">
      <c r="H25" s="123"/>
    </row>
    <row r="26" spans="1:8" x14ac:dyDescent="0.3">
      <c r="A26" s="2">
        <v>6</v>
      </c>
      <c r="C26" s="8" t="s">
        <v>121</v>
      </c>
    </row>
    <row r="27" spans="1:8" x14ac:dyDescent="0.3">
      <c r="A27" s="2">
        <v>7</v>
      </c>
      <c r="C27" s="8" t="s">
        <v>47</v>
      </c>
      <c r="E27" s="84"/>
      <c r="F27" s="123">
        <f>'3 DemCost'!E10</f>
        <v>5.2299999999999999E-2</v>
      </c>
      <c r="G27" s="11"/>
    </row>
    <row r="28" spans="1:8" x14ac:dyDescent="0.3">
      <c r="A28" s="2">
        <v>8</v>
      </c>
      <c r="C28" s="8" t="s">
        <v>48</v>
      </c>
      <c r="E28" s="11"/>
      <c r="F28" s="197">
        <f>'3 DemCost'!I10</f>
        <v>6717755</v>
      </c>
      <c r="G28" s="11"/>
    </row>
    <row r="29" spans="1:8" x14ac:dyDescent="0.3">
      <c r="A29" s="2">
        <v>9</v>
      </c>
      <c r="C29" s="8" t="s">
        <v>49</v>
      </c>
      <c r="E29" s="11"/>
      <c r="F29" s="11"/>
      <c r="G29" s="198">
        <f>ROUND(F28*$F$23,0)</f>
        <v>362759</v>
      </c>
    </row>
    <row r="30" spans="1:8" x14ac:dyDescent="0.3">
      <c r="E30" s="11"/>
      <c r="F30" s="84"/>
      <c r="G30" s="199"/>
    </row>
    <row r="31" spans="1:8" x14ac:dyDescent="0.3">
      <c r="E31" s="11"/>
      <c r="F31" s="11"/>
      <c r="G31" s="199"/>
    </row>
    <row r="32" spans="1:8" x14ac:dyDescent="0.3">
      <c r="A32" s="2">
        <v>10</v>
      </c>
      <c r="C32" s="8" t="s">
        <v>50</v>
      </c>
      <c r="E32" s="84"/>
      <c r="F32" s="11"/>
      <c r="G32" s="199"/>
    </row>
    <row r="33" spans="1:9" x14ac:dyDescent="0.3">
      <c r="A33" s="2">
        <v>11</v>
      </c>
      <c r="C33" s="8" t="s">
        <v>47</v>
      </c>
      <c r="E33" s="84"/>
      <c r="F33" s="11">
        <f>0.0153+0.0153</f>
        <v>3.0599999999999999E-2</v>
      </c>
      <c r="G33" s="199"/>
    </row>
    <row r="34" spans="1:9" x14ac:dyDescent="0.3">
      <c r="A34" s="2">
        <v>12</v>
      </c>
      <c r="C34" s="8" t="s">
        <v>51</v>
      </c>
      <c r="E34" s="84"/>
      <c r="F34" s="197">
        <f>ROUND(D16*F33,4)</f>
        <v>327538.728</v>
      </c>
      <c r="G34" s="199"/>
    </row>
    <row r="35" spans="1:9" x14ac:dyDescent="0.3">
      <c r="A35" s="2">
        <v>13</v>
      </c>
      <c r="C35" s="8" t="s">
        <v>49</v>
      </c>
      <c r="E35" s="196"/>
      <c r="F35" s="169"/>
      <c r="G35" s="198">
        <f>ROUND(F34*$F$23,0)</f>
        <v>17687</v>
      </c>
    </row>
    <row r="36" spans="1:9" x14ac:dyDescent="0.3">
      <c r="E36" s="11"/>
      <c r="F36" s="169"/>
      <c r="G36" s="199"/>
    </row>
    <row r="37" spans="1:9" x14ac:dyDescent="0.3">
      <c r="E37" s="11"/>
      <c r="F37" s="11"/>
      <c r="G37" s="199"/>
    </row>
    <row r="38" spans="1:9" x14ac:dyDescent="0.3">
      <c r="A38" s="2">
        <v>14</v>
      </c>
      <c r="C38" s="8" t="s">
        <v>52</v>
      </c>
      <c r="E38" s="84"/>
      <c r="F38" s="11"/>
      <c r="G38" s="199"/>
    </row>
    <row r="39" spans="1:9" x14ac:dyDescent="0.3">
      <c r="A39" s="2">
        <v>15</v>
      </c>
      <c r="C39" s="8" t="s">
        <v>47</v>
      </c>
      <c r="E39" s="196"/>
      <c r="F39" s="11">
        <f>0.0063+0.0008+0.0054+0.0014</f>
        <v>1.3900000000000001E-2</v>
      </c>
      <c r="G39" s="199"/>
      <c r="H39" s="11"/>
      <c r="I39" s="200"/>
    </row>
    <row r="40" spans="1:9" x14ac:dyDescent="0.3">
      <c r="A40" s="2">
        <v>16</v>
      </c>
      <c r="C40" s="201" t="s">
        <v>237</v>
      </c>
      <c r="E40" s="196"/>
      <c r="F40" s="202">
        <v>9635842.2928800005</v>
      </c>
      <c r="G40" s="199"/>
    </row>
    <row r="41" spans="1:9" x14ac:dyDescent="0.3">
      <c r="A41" s="2">
        <v>17</v>
      </c>
      <c r="C41" s="8" t="s">
        <v>51</v>
      </c>
      <c r="E41" s="11"/>
      <c r="F41" s="197">
        <f>ROUND(F40*F39,4)</f>
        <v>133938.20790000001</v>
      </c>
      <c r="G41" s="199"/>
    </row>
    <row r="42" spans="1:9" x14ac:dyDescent="0.3">
      <c r="A42" s="2">
        <v>18</v>
      </c>
      <c r="C42" s="8" t="s">
        <v>49</v>
      </c>
      <c r="E42" s="11"/>
      <c r="F42" s="11"/>
      <c r="G42" s="203">
        <f>ROUND(F41*$F$23,0)</f>
        <v>7233</v>
      </c>
    </row>
    <row r="43" spans="1:9" x14ac:dyDescent="0.3">
      <c r="G43" s="199"/>
    </row>
    <row r="44" spans="1:9" x14ac:dyDescent="0.3">
      <c r="E44" s="11"/>
      <c r="F44" s="84"/>
      <c r="G44" s="199"/>
    </row>
    <row r="45" spans="1:9" x14ac:dyDescent="0.3">
      <c r="A45" s="2">
        <v>19</v>
      </c>
      <c r="C45" s="8" t="s">
        <v>53</v>
      </c>
      <c r="G45" s="204">
        <f>SUM(G23:G44)</f>
        <v>387679</v>
      </c>
    </row>
    <row r="46" spans="1:9" x14ac:dyDescent="0.3">
      <c r="E46" s="11"/>
      <c r="F46" s="84"/>
      <c r="G46" s="11"/>
    </row>
    <row r="47" spans="1:9" x14ac:dyDescent="0.3">
      <c r="A47" s="2">
        <v>20</v>
      </c>
      <c r="C47" s="2" t="s">
        <v>54</v>
      </c>
      <c r="E47" s="11"/>
      <c r="F47" s="205"/>
      <c r="G47" s="2">
        <v>17473546.699999999</v>
      </c>
      <c r="I47" s="206"/>
    </row>
    <row r="48" spans="1:9" x14ac:dyDescent="0.3">
      <c r="E48" s="11"/>
      <c r="F48" s="11"/>
      <c r="G48" s="11"/>
    </row>
    <row r="49" spans="1:7" x14ac:dyDescent="0.3">
      <c r="A49" s="2">
        <v>21</v>
      </c>
      <c r="C49" s="8" t="s">
        <v>55</v>
      </c>
      <c r="G49" s="2">
        <v>-6970693.5999999996</v>
      </c>
    </row>
    <row r="51" spans="1:7" x14ac:dyDescent="0.3">
      <c r="A51" s="2">
        <v>22</v>
      </c>
      <c r="C51" s="8" t="s">
        <v>366</v>
      </c>
      <c r="G51" s="2">
        <f>G47+G49</f>
        <v>10502853.1</v>
      </c>
    </row>
    <row r="53" spans="1:7" x14ac:dyDescent="0.3">
      <c r="A53" s="2">
        <v>23</v>
      </c>
      <c r="C53" s="8" t="s">
        <v>367</v>
      </c>
      <c r="F53" s="207"/>
      <c r="G53" s="208">
        <f>ROUND(G45/G51,4)</f>
        <v>3.6900000000000002E-2</v>
      </c>
    </row>
  </sheetData>
  <phoneticPr fontId="6" type="noConversion"/>
  <pageMargins left="0.75" right="0.75" top="1" bottom="1" header="0.5" footer="0.5"/>
  <pageSetup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Summ</vt:lpstr>
      <vt:lpstr>1 EGC</vt:lpstr>
      <vt:lpstr>2 UnitDemCost</vt:lpstr>
      <vt:lpstr>4 DemCr</vt:lpstr>
      <vt:lpstr>3 DemCost</vt:lpstr>
      <vt:lpstr>5 NonApp</vt:lpstr>
      <vt:lpstr>6 App</vt:lpstr>
      <vt:lpstr>7 AnnRet</vt:lpstr>
      <vt:lpstr>8 BankBal</vt:lpstr>
      <vt:lpstr>AttE ChoBalCharge</vt:lpstr>
      <vt:lpstr>StoCommCost</vt:lpstr>
      <vt:lpstr>detail TariffSplit</vt:lpstr>
      <vt:lpstr>COST</vt:lpstr>
      <vt:lpstr>'Page 5 DO NOT FILE'!OLE_LINK1</vt:lpstr>
      <vt:lpstr>PGACOMP</vt:lpstr>
      <vt:lpstr>'1 EGC'!Print_Area</vt:lpstr>
      <vt:lpstr>'2 UnitDemCost'!Print_Area</vt:lpstr>
      <vt:lpstr>'5 NonApp'!Print_Area</vt:lpstr>
      <vt:lpstr>'6 App'!Print_Area</vt:lpstr>
      <vt:lpstr>'7 AnnRet'!Print_Area</vt:lpstr>
      <vt:lpstr>'8 BankBal'!Print_Area</vt:lpstr>
      <vt:lpstr>'AttE ChoBalCharge'!Print_Area</vt:lpstr>
      <vt:lpstr>Summ!Print_Area</vt:lpstr>
      <vt:lpstr>PRINT_AREA_MI</vt:lpstr>
    </vt:vector>
  </TitlesOfParts>
  <Company>Columbia Gas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Columbia Gas</dc:creator>
  <cp:lastModifiedBy>Black \ Linda \ E</cp:lastModifiedBy>
  <cp:lastPrinted>2024-04-30T15:39:30Z</cp:lastPrinted>
  <dcterms:created xsi:type="dcterms:W3CDTF">1997-11-13T14:41:32Z</dcterms:created>
  <dcterms:modified xsi:type="dcterms:W3CDTF">2024-04-30T16:16:21Z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4XLRetrievePerWS">
    <vt:lpwstr>Y</vt:lpwstr>
  </property>
  <property fmtid="{D5CDD505-2E9C-101B-9397-08002B2CF9AE}" pid="3" name="K4XLScatterRefresh">
    <vt:lpwstr>N</vt:lpwstr>
  </property>
  <property fmtid="{D5CDD505-2E9C-101B-9397-08002B2CF9AE}" pid="4" name="K4XLVersion">
    <vt:lpwstr>7.1.4.2171.24</vt:lpwstr>
  </property>
  <property fmtid="{D5CDD505-2E9C-101B-9397-08002B2CF9AE}" pid="5" name="K4XL KID">
    <vt:lpwstr/>
  </property>
  <property fmtid="{D5CDD505-2E9C-101B-9397-08002B2CF9AE}" pid="6" name="K4XL DBKID">
    <vt:lpwstr/>
  </property>
  <property fmtid="{D5CDD505-2E9C-101B-9397-08002B2CF9AE}" pid="7" name="SV_QUERY_LIST_4F35BF76-6C0D-4D9B-82B2-816C12CF3733">
    <vt:lpwstr>empty_477D106A-C0D6-4607-AEBD-E2C9D60EA279</vt:lpwstr>
  </property>
  <property fmtid="{D5CDD505-2E9C-101B-9397-08002B2CF9AE}" pid="8" name="SV_HIDDEN_GRID_QUERY_LIST_4F35BF76-6C0D-4D9B-82B2-816C12CF3733">
    <vt:lpwstr>empty_477D106A-C0D6-4607-AEBD-E2C9D60EA279</vt:lpwstr>
  </property>
</Properties>
</file>