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Natural Gas Cases\Rate Cases\Columbia Gas\Case No. 2024-00092 Columbia Gas\John Defever Testimony Filing\"/>
    </mc:Choice>
  </mc:AlternateContent>
  <xr:revisionPtr revIDLastSave="0" documentId="8_{5545893F-3554-40A2-A725-BC3558610C55}" xr6:coauthVersionLast="47" xr6:coauthVersionMax="47" xr10:uidLastSave="{00000000-0000-0000-0000-000000000000}"/>
  <bookViews>
    <workbookView xWindow="-23745" yWindow="2340" windowWidth="21600" windowHeight="11265" activeTab="9" xr2:uid="{52816F19-6833-4828-98AA-37046E1313F0}"/>
  </bookViews>
  <sheets>
    <sheet name="TOC" sheetId="1" r:id="rId1"/>
    <sheet name="A" sheetId="2" r:id="rId2"/>
    <sheet name="A-1" sheetId="3" r:id="rId3"/>
    <sheet name="B" sheetId="4" r:id="rId4"/>
    <sheet name="B-1" sheetId="5" r:id="rId5"/>
    <sheet name="B-2" sheetId="6" r:id="rId6"/>
    <sheet name="C" sheetId="8" r:id="rId7"/>
    <sheet name="Cp2" sheetId="12" r:id="rId8"/>
    <sheet name="Rate Case Exp" sheetId="13" r:id="rId9"/>
    <sheet name="Aircraft" sheetId="14" r:id="rId10"/>
    <sheet name="D&amp;O" sheetId="17" r:id="rId11"/>
    <sheet name="Investor Rel" sheetId="15" r:id="rId12"/>
    <sheet name="401(k)" sheetId="16" r:id="rId13"/>
    <sheet name="Payroll" sheetId="19" r:id="rId14"/>
    <sheet name="Incentive Comp" sheetId="18" r:id="rId15"/>
    <sheet name="Profit Sharing" sheetId="26" r:id="rId16"/>
    <sheet name="Payroll Tax" sheetId="21" r:id="rId17"/>
    <sheet name="Benefits" sheetId="20" r:id="rId18"/>
    <sheet name="SERP" sheetId="25" r:id="rId19"/>
    <sheet name="Dues" sheetId="29" r:id="rId20"/>
    <sheet name="Inc Tax" sheetId="22" r:id="rId21"/>
    <sheet name="D" sheetId="24" r:id="rId22"/>
    <sheet name="SummaryWP" sheetId="28" r:id="rId23"/>
  </sheets>
  <definedNames>
    <definedName name="_xlnm.Print_Area" localSheetId="4">'B-1'!$A$1:$M$57</definedName>
    <definedName name="_xlnm.Print_Area" localSheetId="7">'Cp2'!$A$1:$E$29</definedName>
    <definedName name="_xlnm.Print_Area" localSheetId="22">SummaryWP!$A$1:$F$33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A31" i="1"/>
  <c r="F27" i="28"/>
  <c r="E7" i="28"/>
  <c r="E21" i="5"/>
  <c r="D15" i="8"/>
  <c r="E10" i="22"/>
  <c r="E24" i="12"/>
  <c r="D24" i="12"/>
  <c r="B24" i="12"/>
  <c r="E23" i="28" l="1"/>
  <c r="D11" i="29"/>
  <c r="D15" i="29" s="1"/>
  <c r="E4" i="29"/>
  <c r="E2" i="29"/>
  <c r="A2" i="29"/>
  <c r="E1" i="29"/>
  <c r="A1" i="29"/>
  <c r="E22" i="28"/>
  <c r="E21" i="28"/>
  <c r="E20" i="28"/>
  <c r="E19" i="28"/>
  <c r="E18" i="28"/>
  <c r="E17" i="28"/>
  <c r="E16" i="28"/>
  <c r="E15" i="28"/>
  <c r="E14" i="28"/>
  <c r="E13" i="28"/>
  <c r="E12" i="28"/>
  <c r="F24" i="28" l="1"/>
  <c r="E8" i="28" l="1"/>
  <c r="F4" i="28"/>
  <c r="F9" i="28" l="1"/>
  <c r="C36" i="4"/>
  <c r="E34" i="4"/>
  <c r="C34" i="4"/>
  <c r="D23" i="20"/>
  <c r="D15" i="18"/>
  <c r="E14" i="5" l="1"/>
  <c r="E16" i="5"/>
  <c r="F66" i="5"/>
  <c r="F64" i="5"/>
  <c r="F63" i="5"/>
  <c r="F61" i="5"/>
  <c r="F60" i="5"/>
  <c r="D11" i="19"/>
  <c r="D26" i="19"/>
  <c r="D22" i="19"/>
  <c r="E15" i="5" s="1"/>
  <c r="D28" i="19" l="1"/>
  <c r="D15" i="19" s="1"/>
  <c r="D13" i="19" s="1"/>
  <c r="C34" i="1"/>
  <c r="A34" i="1"/>
  <c r="D20" i="12" l="1"/>
  <c r="E28" i="18"/>
  <c r="E21" i="18"/>
  <c r="D13" i="26"/>
  <c r="D15" i="26"/>
  <c r="E24" i="26"/>
  <c r="D25" i="26"/>
  <c r="D27" i="26" s="1"/>
  <c r="E20" i="12" l="1"/>
  <c r="B20" i="12"/>
  <c r="C27" i="1"/>
  <c r="A27" i="1"/>
  <c r="D11" i="26"/>
  <c r="E4" i="26"/>
  <c r="E2" i="26"/>
  <c r="A2" i="26"/>
  <c r="E1" i="26"/>
  <c r="A1" i="26"/>
  <c r="D15" i="25"/>
  <c r="E23" i="5" s="1"/>
  <c r="D29" i="18"/>
  <c r="D31" i="18" s="1"/>
  <c r="D22" i="18"/>
  <c r="D24" i="18" s="1"/>
  <c r="E25" i="12"/>
  <c r="E23" i="12"/>
  <c r="E22" i="12"/>
  <c r="E21" i="12"/>
  <c r="E19" i="12"/>
  <c r="E18" i="12"/>
  <c r="E17" i="12"/>
  <c r="E16" i="12"/>
  <c r="E15" i="12"/>
  <c r="E14" i="12"/>
  <c r="E13" i="12"/>
  <c r="D20" i="21"/>
  <c r="D13" i="18" l="1"/>
  <c r="C20" i="4"/>
  <c r="D11" i="2"/>
  <c r="D17" i="12"/>
  <c r="D16" i="12"/>
  <c r="D15" i="12"/>
  <c r="D14" i="12"/>
  <c r="D23" i="12"/>
  <c r="D10" i="12" l="1"/>
  <c r="B25" i="12" l="1"/>
  <c r="B23" i="12"/>
  <c r="B22" i="12"/>
  <c r="B21" i="12"/>
  <c r="B19" i="12"/>
  <c r="B18" i="12"/>
  <c r="B17" i="12"/>
  <c r="B16" i="12"/>
  <c r="B15" i="12"/>
  <c r="B14" i="12"/>
  <c r="B13" i="12"/>
  <c r="C30" i="1" l="1"/>
  <c r="A30" i="1"/>
  <c r="E4" i="25"/>
  <c r="E2" i="25"/>
  <c r="A2" i="25"/>
  <c r="E1" i="25"/>
  <c r="A1" i="25"/>
  <c r="E36" i="24"/>
  <c r="I34" i="24"/>
  <c r="I32" i="24"/>
  <c r="I30" i="24"/>
  <c r="I28" i="24"/>
  <c r="I36" i="24" s="1"/>
  <c r="F11" i="2" s="1"/>
  <c r="I2" i="24"/>
  <c r="A2" i="24"/>
  <c r="I1" i="24"/>
  <c r="A1" i="24"/>
  <c r="D24" i="20"/>
  <c r="D11" i="20" s="1"/>
  <c r="D11" i="21"/>
  <c r="D9" i="21" l="1"/>
  <c r="D19" i="12"/>
  <c r="D18" i="12"/>
  <c r="D9" i="20"/>
  <c r="D15" i="15" l="1"/>
  <c r="D15" i="17"/>
  <c r="C32" i="1" l="1"/>
  <c r="C29" i="1"/>
  <c r="C28" i="1"/>
  <c r="C26" i="1"/>
  <c r="C25" i="1"/>
  <c r="C24" i="1"/>
  <c r="C23" i="1"/>
  <c r="C22" i="1"/>
  <c r="C21" i="1"/>
  <c r="C20" i="1"/>
  <c r="A32" i="1"/>
  <c r="A29" i="1"/>
  <c r="A28" i="1"/>
  <c r="A26" i="1"/>
  <c r="A25" i="1"/>
  <c r="A24" i="1"/>
  <c r="A23" i="1"/>
  <c r="A22" i="1"/>
  <c r="A21" i="1"/>
  <c r="A20" i="1"/>
  <c r="E4" i="22"/>
  <c r="E2" i="22"/>
  <c r="A2" i="22"/>
  <c r="E1" i="22"/>
  <c r="A1" i="22"/>
  <c r="D13" i="20"/>
  <c r="E17" i="5" s="1"/>
  <c r="E4" i="20"/>
  <c r="E2" i="20"/>
  <c r="A2" i="20"/>
  <c r="E1" i="20"/>
  <c r="A1" i="20"/>
  <c r="D13" i="21"/>
  <c r="E28" i="5" s="1"/>
  <c r="E4" i="21"/>
  <c r="E2" i="21"/>
  <c r="A2" i="21"/>
  <c r="E1" i="21"/>
  <c r="A1" i="21"/>
  <c r="E4" i="18"/>
  <c r="E2" i="18"/>
  <c r="A2" i="18"/>
  <c r="E1" i="18"/>
  <c r="A1" i="18"/>
  <c r="E4" i="19"/>
  <c r="E2" i="19"/>
  <c r="A2" i="19"/>
  <c r="E1" i="19"/>
  <c r="A1" i="19"/>
  <c r="E4" i="16"/>
  <c r="E2" i="16"/>
  <c r="A2" i="16"/>
  <c r="E1" i="16"/>
  <c r="A1" i="16"/>
  <c r="E4" i="15"/>
  <c r="E2" i="15"/>
  <c r="A2" i="15"/>
  <c r="E1" i="15"/>
  <c r="A1" i="15"/>
  <c r="E4" i="17"/>
  <c r="E2" i="17"/>
  <c r="A2" i="17"/>
  <c r="E1" i="17"/>
  <c r="A1" i="17"/>
  <c r="E4" i="14"/>
  <c r="E2" i="14"/>
  <c r="E1" i="14"/>
  <c r="A2" i="14"/>
  <c r="A1" i="14"/>
  <c r="E2" i="13"/>
  <c r="E1" i="13"/>
  <c r="A2" i="13"/>
  <c r="A1" i="13"/>
  <c r="D13" i="14"/>
  <c r="D15" i="14" s="1"/>
  <c r="E35" i="13"/>
  <c r="D22" i="13"/>
  <c r="D13" i="13" s="1"/>
  <c r="D15" i="13" s="1"/>
  <c r="E42" i="5" l="1"/>
  <c r="D13" i="12"/>
  <c r="D22" i="12"/>
  <c r="D17" i="8"/>
  <c r="D21" i="12"/>
  <c r="E14" i="6"/>
  <c r="D32" i="4" s="1"/>
  <c r="E32" i="4" s="1"/>
  <c r="E3" i="12"/>
  <c r="E2" i="12"/>
  <c r="E1" i="12"/>
  <c r="A4" i="12"/>
  <c r="A2" i="12"/>
  <c r="A1" i="12"/>
  <c r="A11" i="12"/>
  <c r="A12" i="12" s="1"/>
  <c r="A13" i="12" s="1"/>
  <c r="A14" i="12" s="1"/>
  <c r="A15" i="12" s="1"/>
  <c r="A16" i="12" s="1"/>
  <c r="A17" i="12" s="1"/>
  <c r="E20" i="22" l="1"/>
  <c r="E24" i="22" s="1"/>
  <c r="C19" i="1"/>
  <c r="A19" i="1"/>
  <c r="A16" i="1"/>
  <c r="A17" i="1"/>
  <c r="C17" i="1"/>
  <c r="C16" i="1"/>
  <c r="E4" i="6"/>
  <c r="E2" i="6"/>
  <c r="E1" i="6"/>
  <c r="A2" i="6"/>
  <c r="A1" i="6"/>
  <c r="D24" i="8" l="1"/>
  <c r="E12" i="22"/>
  <c r="E13" i="22" s="1"/>
  <c r="C22" i="4"/>
  <c r="F46" i="5"/>
  <c r="H46" i="5" s="1"/>
  <c r="F45" i="5"/>
  <c r="F44" i="5"/>
  <c r="H45" i="5"/>
  <c r="H44" i="5"/>
  <c r="H38" i="5"/>
  <c r="H35" i="5"/>
  <c r="F40" i="5"/>
  <c r="H40" i="5" s="1"/>
  <c r="F39" i="5"/>
  <c r="H39" i="5" s="1"/>
  <c r="F38" i="5"/>
  <c r="F35" i="5"/>
  <c r="F34" i="5"/>
  <c r="H34" i="5" s="1"/>
  <c r="F33" i="5"/>
  <c r="H33" i="5" s="1"/>
  <c r="F30" i="5"/>
  <c r="H30" i="5" s="1"/>
  <c r="F29" i="5"/>
  <c r="H29" i="5" s="1"/>
  <c r="F28" i="5"/>
  <c r="H28" i="5" s="1"/>
  <c r="H20" i="5"/>
  <c r="H19" i="5"/>
  <c r="H18" i="5"/>
  <c r="F25" i="5"/>
  <c r="H25" i="5" s="1"/>
  <c r="F23" i="5"/>
  <c r="H23" i="5" s="1"/>
  <c r="F22" i="5"/>
  <c r="H22" i="5" s="1"/>
  <c r="F21" i="5"/>
  <c r="H21" i="5" s="1"/>
  <c r="F20" i="5"/>
  <c r="F19" i="5"/>
  <c r="F18" i="5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E17" i="22" l="1"/>
  <c r="E26" i="22" s="1"/>
  <c r="D23" i="8"/>
  <c r="F42" i="5"/>
  <c r="M2" i="5"/>
  <c r="M1" i="5"/>
  <c r="A2" i="5"/>
  <c r="A1" i="5"/>
  <c r="C15" i="1"/>
  <c r="C13" i="1"/>
  <c r="A13" i="1"/>
  <c r="A15" i="1"/>
  <c r="A12" i="1"/>
  <c r="C12" i="1"/>
  <c r="I46" i="5"/>
  <c r="I45" i="5"/>
  <c r="I44" i="5"/>
  <c r="I40" i="5"/>
  <c r="I39" i="5"/>
  <c r="D42" i="5"/>
  <c r="H42" i="5" s="1"/>
  <c r="I42" i="5" s="1"/>
  <c r="K34" i="5"/>
  <c r="I34" i="5"/>
  <c r="I35" i="5"/>
  <c r="I29" i="5"/>
  <c r="I28" i="5"/>
  <c r="I25" i="5"/>
  <c r="I22" i="5"/>
  <c r="I21" i="5"/>
  <c r="I20" i="5"/>
  <c r="I19" i="5"/>
  <c r="I18" i="5"/>
  <c r="I17" i="5"/>
  <c r="I16" i="5"/>
  <c r="I15" i="5"/>
  <c r="I14" i="5"/>
  <c r="J13" i="5"/>
  <c r="L13" i="5" s="1"/>
  <c r="I13" i="5"/>
  <c r="L12" i="5"/>
  <c r="I23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5" i="5" s="1"/>
  <c r="A27" i="5" s="1"/>
  <c r="A28" i="5" s="1"/>
  <c r="A29" i="5" s="1"/>
  <c r="A30" i="5" s="1"/>
  <c r="A32" i="5" s="1"/>
  <c r="A33" i="5" s="1"/>
  <c r="A34" i="5" s="1"/>
  <c r="A35" i="5" s="1"/>
  <c r="A37" i="5" s="1"/>
  <c r="A38" i="5" s="1"/>
  <c r="A39" i="5" s="1"/>
  <c r="A40" i="5" s="1"/>
  <c r="A42" i="5" s="1"/>
  <c r="A44" i="5" s="1"/>
  <c r="A45" i="5" s="1"/>
  <c r="A46" i="5" s="1"/>
  <c r="A48" i="5" s="1"/>
  <c r="A50" i="5" s="1"/>
  <c r="C29" i="4"/>
  <c r="D25" i="12" l="1"/>
  <c r="D28" i="12"/>
  <c r="M13" i="5"/>
  <c r="I33" i="5"/>
  <c r="I30" i="5"/>
  <c r="I12" i="5"/>
  <c r="M12" i="5" s="1"/>
  <c r="J14" i="5"/>
  <c r="I38" i="5"/>
  <c r="L14" i="5" l="1"/>
  <c r="M14" i="5" s="1"/>
  <c r="J15" i="5"/>
  <c r="J16" i="5" l="1"/>
  <c r="L15" i="5"/>
  <c r="M15" i="5" s="1"/>
  <c r="L16" i="5" l="1"/>
  <c r="M16" i="5" s="1"/>
  <c r="J17" i="5"/>
  <c r="J18" i="5" l="1"/>
  <c r="L17" i="5"/>
  <c r="M17" i="5" s="1"/>
  <c r="J19" i="5" l="1"/>
  <c r="K18" i="5"/>
  <c r="L18" i="5" s="1"/>
  <c r="M18" i="5" s="1"/>
  <c r="L19" i="5" l="1"/>
  <c r="M19" i="5" s="1"/>
  <c r="J20" i="5"/>
  <c r="J21" i="5" l="1"/>
  <c r="K20" i="5"/>
  <c r="L20" i="5" s="1"/>
  <c r="M20" i="5" s="1"/>
  <c r="L21" i="5" l="1"/>
  <c r="M21" i="5" s="1"/>
  <c r="J22" i="5"/>
  <c r="J23" i="5" l="1"/>
  <c r="K22" i="5"/>
  <c r="L22" i="5" s="1"/>
  <c r="M22" i="5" s="1"/>
  <c r="J25" i="5" l="1"/>
  <c r="L23" i="5"/>
  <c r="M23" i="5" s="1"/>
  <c r="K25" i="5" l="1"/>
  <c r="L25" i="5" s="1"/>
  <c r="M25" i="5" s="1"/>
  <c r="J28" i="5"/>
  <c r="L28" i="5" l="1"/>
  <c r="M28" i="5" s="1"/>
  <c r="J29" i="5"/>
  <c r="L29" i="5" l="1"/>
  <c r="M29" i="5" s="1"/>
  <c r="J30" i="5"/>
  <c r="L30" i="5" l="1"/>
  <c r="M30" i="5" s="1"/>
  <c r="J33" i="5"/>
  <c r="J34" i="5" l="1"/>
  <c r="L33" i="5"/>
  <c r="M33" i="5" s="1"/>
  <c r="J35" i="5" l="1"/>
  <c r="L34" i="5"/>
  <c r="M34" i="5" s="1"/>
  <c r="K35" i="5" l="1"/>
  <c r="L35" i="5" s="1"/>
  <c r="M35" i="5" s="1"/>
  <c r="J38" i="5"/>
  <c r="J39" i="5" l="1"/>
  <c r="K38" i="5"/>
  <c r="L38" i="5" s="1"/>
  <c r="M38" i="5" s="1"/>
  <c r="L39" i="5" l="1"/>
  <c r="M39" i="5" s="1"/>
  <c r="J40" i="5"/>
  <c r="K40" i="5" l="1"/>
  <c r="L40" i="5" s="1"/>
  <c r="M40" i="5" s="1"/>
  <c r="M42" i="5" s="1"/>
  <c r="J44" i="5"/>
  <c r="J45" i="5" l="1"/>
  <c r="L44" i="5"/>
  <c r="M44" i="5" s="1"/>
  <c r="L45" i="5" l="1"/>
  <c r="M45" i="5" s="1"/>
  <c r="J46" i="5"/>
  <c r="L46" i="5" s="1"/>
  <c r="M46" i="5" s="1"/>
  <c r="M48" i="5" l="1"/>
  <c r="D22" i="4" s="1"/>
  <c r="E22" i="4" s="1"/>
  <c r="E36" i="4" s="1"/>
  <c r="F9" i="2" s="1"/>
  <c r="E9" i="2" s="1"/>
  <c r="D25" i="8" l="1"/>
  <c r="E24" i="8"/>
  <c r="E23" i="8"/>
  <c r="D18" i="8"/>
  <c r="E17" i="8"/>
  <c r="E16" i="8"/>
  <c r="E15" i="8"/>
  <c r="E14" i="8"/>
  <c r="E11" i="8"/>
  <c r="C25" i="8"/>
  <c r="C18" i="8"/>
  <c r="C20" i="8" s="1"/>
  <c r="A2" i="8"/>
  <c r="A1" i="8"/>
  <c r="E2" i="8"/>
  <c r="E1" i="8"/>
  <c r="E18" i="8" l="1"/>
  <c r="E20" i="8" s="1"/>
  <c r="D20" i="8" s="1"/>
  <c r="D27" i="8" s="1"/>
  <c r="C27" i="8"/>
  <c r="D15" i="2" s="1"/>
  <c r="E25" i="8"/>
  <c r="E27" i="8" l="1"/>
  <c r="F15" i="2" s="1"/>
  <c r="E15" i="2" s="1"/>
  <c r="E30" i="4"/>
  <c r="E29" i="4"/>
  <c r="E28" i="4"/>
  <c r="E27" i="4"/>
  <c r="E24" i="4"/>
  <c r="D20" i="4"/>
  <c r="E20" i="4" s="1"/>
  <c r="E18" i="4"/>
  <c r="E12" i="4"/>
  <c r="E4" i="4"/>
  <c r="E2" i="4"/>
  <c r="E1" i="4"/>
  <c r="A2" i="4"/>
  <c r="A1" i="4"/>
  <c r="A2" i="3"/>
  <c r="A1" i="3"/>
  <c r="D4" i="3"/>
  <c r="D2" i="3"/>
  <c r="D1" i="3"/>
  <c r="E11" i="2" l="1"/>
  <c r="D9" i="2"/>
  <c r="D13" i="2" s="1"/>
  <c r="D17" i="2" s="1"/>
  <c r="D21" i="2" s="1"/>
  <c r="F1" i="28" s="1"/>
  <c r="D14" i="3" l="1"/>
  <c r="D18" i="3" s="1"/>
  <c r="D22" i="3" s="1"/>
  <c r="D24" i="3" s="1"/>
  <c r="F19" i="2" l="1"/>
  <c r="E19" i="2" l="1"/>
  <c r="D34" i="4"/>
  <c r="D36" i="4" l="1"/>
  <c r="F13" i="2"/>
  <c r="E13" i="2" l="1"/>
  <c r="F17" i="2"/>
  <c r="F21" i="2" l="1"/>
  <c r="E17" i="2"/>
  <c r="E21" i="2" l="1"/>
</calcChain>
</file>

<file path=xl/sharedStrings.xml><?xml version="1.0" encoding="utf-8"?>
<sst xmlns="http://schemas.openxmlformats.org/spreadsheetml/2006/main" count="541" uniqueCount="296">
  <si>
    <t>Schedule</t>
  </si>
  <si>
    <t>Title</t>
  </si>
  <si>
    <t>Columbia Gas of Kentucky, Inc.</t>
  </si>
  <si>
    <t>Case No. 2024-00092</t>
  </si>
  <si>
    <t>Forecasted Test Period Twelve Months Ended December 31, 2025</t>
  </si>
  <si>
    <t>Table of Contents</t>
  </si>
  <si>
    <t>Exhibit JD-1</t>
  </si>
  <si>
    <t>Accompanying the Direct Testimony of John Defever, CPA</t>
  </si>
  <si>
    <t>Schedule D</t>
  </si>
  <si>
    <t xml:space="preserve">Rate of Return </t>
  </si>
  <si>
    <t>Page 1 of 1</t>
  </si>
  <si>
    <t>Line</t>
  </si>
  <si>
    <t>Capital</t>
  </si>
  <si>
    <t>Cost</t>
  </si>
  <si>
    <t>Weighted</t>
  </si>
  <si>
    <t>No.</t>
  </si>
  <si>
    <t>Description</t>
  </si>
  <si>
    <t>Structure</t>
  </si>
  <si>
    <t>Rate</t>
  </si>
  <si>
    <t>Long Term Debt</t>
  </si>
  <si>
    <t>Short Term Debt</t>
  </si>
  <si>
    <t>Preferred Stock</t>
  </si>
  <si>
    <t>Source:</t>
  </si>
  <si>
    <t>Total</t>
  </si>
  <si>
    <t>Operating Revenue</t>
  </si>
  <si>
    <t>Less: Uncollectible Accounts Expense</t>
  </si>
  <si>
    <t>Less PSC Fees</t>
  </si>
  <si>
    <t>Net Revenues</t>
  </si>
  <si>
    <t>Income Before Federal Income Tax</t>
  </si>
  <si>
    <t>Federal Income Tax</t>
  </si>
  <si>
    <t>Operating Income Percentage</t>
  </si>
  <si>
    <t>Gross Revenue Conversion Factor</t>
  </si>
  <si>
    <t>Line No.</t>
  </si>
  <si>
    <t>Amount</t>
  </si>
  <si>
    <t>Reference</t>
  </si>
  <si>
    <t>(A)</t>
  </si>
  <si>
    <t>(B)</t>
  </si>
  <si>
    <t>(C)</t>
  </si>
  <si>
    <t>Schedule C</t>
  </si>
  <si>
    <t>Required Operating Income</t>
  </si>
  <si>
    <t xml:space="preserve">Source: </t>
  </si>
  <si>
    <t>Per Company</t>
  </si>
  <si>
    <t>Difference</t>
  </si>
  <si>
    <t>Rate Base</t>
  </si>
  <si>
    <t>Income Deficiency / (Sufficiency)</t>
  </si>
  <si>
    <t>Revenue Increase Requested</t>
  </si>
  <si>
    <t>Property Held For Future Use</t>
  </si>
  <si>
    <t>Plant in Service</t>
  </si>
  <si>
    <t>Plant Acquisition Adjustments</t>
  </si>
  <si>
    <t>Accumulated Depreciation &amp; Amortization</t>
  </si>
  <si>
    <t>Forecasted Test Period: Twelve Months Ended December 31, 2025</t>
  </si>
  <si>
    <t xml:space="preserve">Overall Financial Summary </t>
  </si>
  <si>
    <t>Schedule A-1</t>
  </si>
  <si>
    <t>Test Period</t>
  </si>
  <si>
    <t>13 Month Average</t>
  </si>
  <si>
    <t xml:space="preserve"> Forecasted</t>
  </si>
  <si>
    <t>Forecasted Test Period</t>
  </si>
  <si>
    <t>(D)</t>
  </si>
  <si>
    <t>Schedule A</t>
  </si>
  <si>
    <t>Schedule B</t>
  </si>
  <si>
    <t>Net Plant in Service</t>
  </si>
  <si>
    <t>Other Working Capital Allowances</t>
  </si>
  <si>
    <t xml:space="preserve">  Rate Base</t>
  </si>
  <si>
    <t xml:space="preserve">  Lead Lag</t>
  </si>
  <si>
    <t xml:space="preserve">  Normalization  </t>
  </si>
  <si>
    <t xml:space="preserve">  Requested Lead Lag Adjustment</t>
  </si>
  <si>
    <t>Adjustments</t>
  </si>
  <si>
    <t>Cash Working Capital Allowance</t>
  </si>
  <si>
    <t>Total Rate Base</t>
  </si>
  <si>
    <t>Subtotal</t>
  </si>
  <si>
    <t>Percent</t>
  </si>
  <si>
    <t xml:space="preserve">Common Equity </t>
  </si>
  <si>
    <t>Requested Rate of Return</t>
  </si>
  <si>
    <t xml:space="preserve">  Gas Supply Expenses</t>
  </si>
  <si>
    <t xml:space="preserve">  Operating &amp; Maintenance Expenses</t>
  </si>
  <si>
    <t xml:space="preserve">  Taxes Other Than Income</t>
  </si>
  <si>
    <t xml:space="preserve">  Federal Income Taxes</t>
  </si>
  <si>
    <t xml:space="preserve">  State Income Taxes</t>
  </si>
  <si>
    <t>Total Income Taxes</t>
  </si>
  <si>
    <t>Operating Income Before Income Taxes</t>
  </si>
  <si>
    <t>Operating Income</t>
  </si>
  <si>
    <t>Operating Expenses</t>
  </si>
  <si>
    <t xml:space="preserve">  Depreciation &amp; Amortization Expense</t>
  </si>
  <si>
    <t>Operating Revenues</t>
  </si>
  <si>
    <t>Line 1 x Line 2</t>
  </si>
  <si>
    <t>Line 3 - Line 4</t>
  </si>
  <si>
    <t>Line 5 x Line 6</t>
  </si>
  <si>
    <t>13 MONTH AVERAGE FOR PERIOD</t>
  </si>
  <si>
    <t>(1)</t>
  </si>
  <si>
    <t>(2)</t>
  </si>
  <si>
    <t>(3 = 1 x 2)</t>
  </si>
  <si>
    <t>(4 = 3 / 365 Days)</t>
  </si>
  <si>
    <t>(5)</t>
  </si>
  <si>
    <t>(6)</t>
  </si>
  <si>
    <t>(7 = 5 - 6)</t>
  </si>
  <si>
    <t>(8)</t>
  </si>
  <si>
    <t>$</t>
  </si>
  <si>
    <t>OPERATING EXPENSES</t>
  </si>
  <si>
    <t>100.00%</t>
  </si>
  <si>
    <t>TAXES OTHER THAN INCOME</t>
  </si>
  <si>
    <t>INCOME TAXES</t>
  </si>
  <si>
    <t>OTHER EXPENSES</t>
  </si>
  <si>
    <t>SUBTOTAL</t>
  </si>
  <si>
    <t>Cost Category</t>
  </si>
  <si>
    <t>Company</t>
  </si>
  <si>
    <t>Jurisdictional</t>
  </si>
  <si>
    <t>Daily</t>
  </si>
  <si>
    <t>Revenue</t>
  </si>
  <si>
    <t>Lag Days</t>
  </si>
  <si>
    <t>Expense</t>
  </si>
  <si>
    <t>Lead Days</t>
  </si>
  <si>
    <t>Net Lag</t>
  </si>
  <si>
    <t>Days</t>
  </si>
  <si>
    <t>Working Capital</t>
  </si>
  <si>
    <t>Requirement</t>
  </si>
  <si>
    <t>Payroll Tax Expense</t>
  </si>
  <si>
    <t>Property Tax Expense</t>
  </si>
  <si>
    <t>Other Taxes</t>
  </si>
  <si>
    <t>Current:Federal</t>
  </si>
  <si>
    <t>Current:State</t>
  </si>
  <si>
    <t>Deferred Federal &amp; State Including ITC</t>
  </si>
  <si>
    <t>Other Expense/(Income)</t>
  </si>
  <si>
    <t>Interest on Debt</t>
  </si>
  <si>
    <t>Gross Receipts Tax</t>
  </si>
  <si>
    <t>Franchise Tax</t>
  </si>
  <si>
    <t>Sales and Use Tax</t>
  </si>
  <si>
    <t>Income Available for Common Equity</t>
  </si>
  <si>
    <t>Depreciation and Amortization</t>
  </si>
  <si>
    <t>Purchased Gas Expense</t>
  </si>
  <si>
    <t>Gas Withdrawn From Storage</t>
  </si>
  <si>
    <t>Prepaid Insurance Expense</t>
  </si>
  <si>
    <t>Employee Payroll</t>
  </si>
  <si>
    <t>Incentive Compensation</t>
  </si>
  <si>
    <t>Employee Benefits Expense</t>
  </si>
  <si>
    <t>Pension Expense</t>
  </si>
  <si>
    <t>OPEB Expense</t>
  </si>
  <si>
    <t>Corporate Services</t>
  </si>
  <si>
    <t>Expense Trackers Adjustment</t>
  </si>
  <si>
    <t>Other O&amp;M Expense</t>
  </si>
  <si>
    <t xml:space="preserve"> </t>
  </si>
  <si>
    <t>Page 1 of 2</t>
  </si>
  <si>
    <t>Page 2 of 2</t>
  </si>
  <si>
    <t>Cash Working Capital</t>
  </si>
  <si>
    <t>Schedule B-1</t>
  </si>
  <si>
    <t>Income Taxes</t>
  </si>
  <si>
    <t>Adjustment</t>
  </si>
  <si>
    <t>Company Amount</t>
  </si>
  <si>
    <t>Customer Deposits</t>
  </si>
  <si>
    <t>Schedule B-2</t>
  </si>
  <si>
    <t xml:space="preserve">Line </t>
  </si>
  <si>
    <t>FTP</t>
  </si>
  <si>
    <t>Rate Case Expense</t>
  </si>
  <si>
    <t>Line 4</t>
  </si>
  <si>
    <t>Line 6</t>
  </si>
  <si>
    <t>Line 2 - Line 1</t>
  </si>
  <si>
    <t>Company projected rate case expense</t>
  </si>
  <si>
    <t>Case No.</t>
  </si>
  <si>
    <t>Filing date</t>
  </si>
  <si>
    <t>Years between filings</t>
  </si>
  <si>
    <t>2009-00141</t>
  </si>
  <si>
    <t>2013-00167</t>
  </si>
  <si>
    <t>2016-00162</t>
  </si>
  <si>
    <t>2021-00183</t>
  </si>
  <si>
    <t>2024-00092</t>
  </si>
  <si>
    <t>Average</t>
  </si>
  <si>
    <t>Schedule C-1</t>
  </si>
  <si>
    <t>Schedule C-2</t>
  </si>
  <si>
    <t>D&amp;O</t>
  </si>
  <si>
    <t>Schedule C-3</t>
  </si>
  <si>
    <t>Investor Relations Expense</t>
  </si>
  <si>
    <t>401(k) Expense</t>
  </si>
  <si>
    <t>Schedule C-4</t>
  </si>
  <si>
    <t>Schedule C-5</t>
  </si>
  <si>
    <t>Payroll Expense</t>
  </si>
  <si>
    <t>Schedule C-6</t>
  </si>
  <si>
    <t xml:space="preserve">Incentive Compensation </t>
  </si>
  <si>
    <t>Payroll Tax</t>
  </si>
  <si>
    <t>Schedule C-7</t>
  </si>
  <si>
    <t>Schedule C-8</t>
  </si>
  <si>
    <t>Line 1 X Line 2</t>
  </si>
  <si>
    <t>Schedule C-6 &amp; C-7</t>
  </si>
  <si>
    <t>Benefits</t>
  </si>
  <si>
    <t>Schedule C-9</t>
  </si>
  <si>
    <t>Schedule C-10</t>
  </si>
  <si>
    <t>Benefits Expense</t>
  </si>
  <si>
    <t>Benefit Expense Ratio</t>
  </si>
  <si>
    <t>Less State Income Tax</t>
  </si>
  <si>
    <t xml:space="preserve">Total </t>
  </si>
  <si>
    <t xml:space="preserve">Federal Income Tax Rate </t>
  </si>
  <si>
    <t>State Income Tax Rate</t>
  </si>
  <si>
    <t>Source</t>
  </si>
  <si>
    <t>Income Tax Expense</t>
  </si>
  <si>
    <t>Schedule C-11</t>
  </si>
  <si>
    <t>Corporate Aircraft Expense</t>
  </si>
  <si>
    <t>Attorney General’s First Request, Item 64</t>
  </si>
  <si>
    <t>Percent Allocated to Shareholders</t>
  </si>
  <si>
    <t>Attorney General’s First Request, Item 72.</t>
  </si>
  <si>
    <t>Testimony</t>
  </si>
  <si>
    <t>Payroll Tax Ratio</t>
  </si>
  <si>
    <t xml:space="preserve">Columbia Kentucky </t>
  </si>
  <si>
    <t>Schedule C-12</t>
  </si>
  <si>
    <t>Operating Income Per Columbia Kentucky</t>
  </si>
  <si>
    <t xml:space="preserve">Schedule C-6 </t>
  </si>
  <si>
    <t xml:space="preserve"> Operating Income Adjustments</t>
  </si>
  <si>
    <t>Unollectible Expense</t>
  </si>
  <si>
    <t xml:space="preserve">Adjusted </t>
  </si>
  <si>
    <t>Company Requested  Cash Working Capital (Lead Lag)</t>
  </si>
  <si>
    <t>Direct</t>
  </si>
  <si>
    <t>Allocated</t>
  </si>
  <si>
    <t>Payroll Taxes</t>
  </si>
  <si>
    <t>Line 4/Line 5</t>
  </si>
  <si>
    <t>Less: Adjusted Operating Income</t>
  </si>
  <si>
    <t>State Income Tax (5%)</t>
  </si>
  <si>
    <t>Federal Income Tax (21%)</t>
  </si>
  <si>
    <t>FR 807 KAR 5:001 Section 16-(8)(h) page 2 of 2 Schedule H-1</t>
  </si>
  <si>
    <t>Total Operating Expenses</t>
  </si>
  <si>
    <t>Schedule C page 1 line 13</t>
  </si>
  <si>
    <t>Deferred Income Taxes and Investment Tax Credits</t>
  </si>
  <si>
    <t>FR 807 KAR 5:001 Section 16-(8)(f) page 24 of 24 Schedule F-9</t>
  </si>
  <si>
    <t>2007-00008</t>
  </si>
  <si>
    <t>Short Term</t>
  </si>
  <si>
    <t>Long Term</t>
  </si>
  <si>
    <t>Total LT</t>
  </si>
  <si>
    <t>Total ST</t>
  </si>
  <si>
    <t>Financial Goals %</t>
  </si>
  <si>
    <t>Financial Goals $</t>
  </si>
  <si>
    <t>Company FTP Amount</t>
  </si>
  <si>
    <t>FR 807 kar 5:001 Section 16(8)(g) Page 2 of 5 Schedule G-1</t>
  </si>
  <si>
    <t>FR 807 KAR 5:001 Section 16(8)(d) Page 17 of 32 WPD-2.4B</t>
  </si>
  <si>
    <t>FR 807 KAR 5:001 Section 16(8)(e) Page 1 of 6 Schedule E-1.1</t>
  </si>
  <si>
    <t>Profit Sharing</t>
  </si>
  <si>
    <t>FR 807 KAR 5:001 Section 16-(8)(c) page 2 of 11 Schedule C-1</t>
  </si>
  <si>
    <t>Attorney General’s First Request, Item 104</t>
  </si>
  <si>
    <t>Attorney General’s First Request, Item 99</t>
  </si>
  <si>
    <t>Attorney General’s Second Request, Item 32</t>
  </si>
  <si>
    <t>Attorney General’s Second Request, Item 26</t>
  </si>
  <si>
    <t>Attorney General’s Second Request, Item 40</t>
  </si>
  <si>
    <t>Line 6 + Line 11</t>
  </si>
  <si>
    <t>Line 8 + Line 13</t>
  </si>
  <si>
    <t>SERP</t>
  </si>
  <si>
    <t>Attorney General’s Second Request, Item 51</t>
  </si>
  <si>
    <t>Line 10</t>
  </si>
  <si>
    <t>Direct STI</t>
  </si>
  <si>
    <t>Direct LTI</t>
  </si>
  <si>
    <t>Allocated STI</t>
  </si>
  <si>
    <t>Allocated LTI</t>
  </si>
  <si>
    <t>FR 807 KAR 5:001 Section 16-(8)(b) page 3 of 172, Schedule B-1, Page 2 of 2</t>
  </si>
  <si>
    <t>Column A : FR 807 KAR 5:001 Section 16-(8)(a) page 2 of 2 Schedule A</t>
  </si>
  <si>
    <t>(100% Divided By Income After Income  Tax)</t>
  </si>
  <si>
    <t>FR 807 KAR 5:001 Section 16-(8)(b) SCHEDULE B-5.2.A Sheet 2 of 2</t>
  </si>
  <si>
    <t>Line 13 (rounded)</t>
  </si>
  <si>
    <t>Line 1 + Line 3</t>
  </si>
  <si>
    <t>Line 4 + Line 7</t>
  </si>
  <si>
    <t>Line 4 X Line 5</t>
  </si>
  <si>
    <t>Line 7 X Line 8</t>
  </si>
  <si>
    <t>Exhibit BO-5</t>
  </si>
  <si>
    <t>Lines 1-5: FR 807 KAR 5:001 Section 16(8)(j) Page 4 of 7  Schedule  J-1.1 / J-1.2</t>
  </si>
  <si>
    <t>5/28/2021 *</t>
  </si>
  <si>
    <t>* The listed filing date reflects the date that Columbia Kentucky filed the application for a rate increase,</t>
  </si>
  <si>
    <t>not the date that the Commission accepted the application as filed.</t>
  </si>
  <si>
    <t>Columbia Kentucky Requested Rate Increase</t>
  </si>
  <si>
    <t>Rate of Return Impact</t>
  </si>
  <si>
    <t>Rate Base Adjustments</t>
  </si>
  <si>
    <t>O&amp;M Adjustments</t>
  </si>
  <si>
    <t>Rev Req Impact</t>
  </si>
  <si>
    <t>Pre Tax Adj</t>
  </si>
  <si>
    <t>NOI After Tax</t>
  </si>
  <si>
    <t>GRCF</t>
  </si>
  <si>
    <t>Per OAG</t>
  </si>
  <si>
    <t>OAG</t>
  </si>
  <si>
    <t xml:space="preserve">OAG Cash Working Capital (Lead Lag) </t>
  </si>
  <si>
    <t>OAG Recommended Amount</t>
  </si>
  <si>
    <t>OAG Adjustment</t>
  </si>
  <si>
    <t>OAG Adjustments:</t>
  </si>
  <si>
    <t>OAG Net Operating Income</t>
  </si>
  <si>
    <t>OAG recommended annual expense</t>
  </si>
  <si>
    <t>OAG recommended amortization period</t>
  </si>
  <si>
    <t>OAG FTP Amount</t>
  </si>
  <si>
    <t>OAG Recommended Reduction $</t>
  </si>
  <si>
    <t>OAG Recommended Reduction %</t>
  </si>
  <si>
    <t>OAG Total Recommended Reduction</t>
  </si>
  <si>
    <t xml:space="preserve">OAG FTP  Amount </t>
  </si>
  <si>
    <t>OAG Adjustments to Payroll, Incentive Compensation</t>
  </si>
  <si>
    <t xml:space="preserve">OAG Adjustment to Payroll </t>
  </si>
  <si>
    <t xml:space="preserve">OAG FTP Amount </t>
  </si>
  <si>
    <t>OAG Adjustment to Federal Income Expense</t>
  </si>
  <si>
    <t>OAG Adjustment to State Income Tax</t>
  </si>
  <si>
    <t>OAG Total Adjustments to Income Tax</t>
  </si>
  <si>
    <t>OAG Proposed Rate Increase</t>
  </si>
  <si>
    <t>AGA Dues</t>
  </si>
  <si>
    <t>Schedule C-13</t>
  </si>
  <si>
    <t>Attorney General’s First Request, Item 25</t>
  </si>
  <si>
    <t>Line 1 X (Line 2)</t>
  </si>
  <si>
    <t>Line 8</t>
  </si>
  <si>
    <t>OAG Operating Income Adjustments (Schedule C)</t>
  </si>
  <si>
    <t>Line 6-10: OAG Witness Richard Baudino 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</si>
</sst>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%"/>
    <numFmt numFmtId="165" formatCode="0.000000"/>
    <numFmt numFmtId="166" formatCode="_(* #,##0_);_(* \(#,##0\);_(* &quot;-&quot;??_);_(@_)"/>
    <numFmt numFmtId="167" formatCode="_(\$* #,##0_);_(\$* \(#,##0\);_(\$* \-_);_(@_)"/>
    <numFmt numFmtId="168" formatCode="_-&quot;$&quot;* #,##0_-;\-&quot;$&quot;* #,##0_-;_-&quot;$&quot;* &quot;-&quot;_-;_-@_-"/>
    <numFmt numFmtId="169" formatCode="0.000%"/>
    <numFmt numFmtId="170" formatCode="_(&quot;$&quot;* #,##0_);_(&quot;$&quot;* \(#,##0\);_(&quot;$&quot;* &quot;-&quot;??_);_(@_)"/>
    <numFmt numFmtId="171" formatCode="#,##0.0_);\(#,##0.0\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8"/>
      <name val="Tms Rmn"/>
    </font>
    <font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1" fontId="2" fillId="0" borderId="0"/>
    <xf numFmtId="0" fontId="5" fillId="0" borderId="0"/>
    <xf numFmtId="43" fontId="6" fillId="0" borderId="0" applyFont="0" applyFill="0" applyBorder="0" applyAlignment="0" applyProtection="0"/>
    <xf numFmtId="0" fontId="5" fillId="0" borderId="0" applyFill="0" applyBorder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4" fillId="0" borderId="0"/>
    <xf numFmtId="37" fontId="5" fillId="0" borderId="0" applyFill="0" applyBorder="0"/>
  </cellStyleXfs>
  <cellXfs count="145">
    <xf numFmtId="0" fontId="0" fillId="0" borderId="0" xfId="0"/>
    <xf numFmtId="0" fontId="1" fillId="0" borderId="0" xfId="0" applyFont="1"/>
    <xf numFmtId="41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>
      <alignment horizontal="center"/>
    </xf>
    <xf numFmtId="41" fontId="3" fillId="0" borderId="0" xfId="1" applyFont="1" applyAlignment="1">
      <alignment horizontal="center"/>
    </xf>
    <xf numFmtId="0" fontId="3" fillId="0" borderId="4" xfId="1" applyNumberFormat="1" applyFont="1" applyBorder="1"/>
    <xf numFmtId="0" fontId="3" fillId="0" borderId="4" xfId="1" applyNumberFormat="1" applyFont="1" applyBorder="1" applyAlignment="1">
      <alignment horizontal="center"/>
    </xf>
    <xf numFmtId="41" fontId="3" fillId="0" borderId="4" xfId="1" applyFont="1" applyBorder="1" applyAlignment="1">
      <alignment horizontal="center"/>
    </xf>
    <xf numFmtId="10" fontId="3" fillId="0" borderId="0" xfId="1" applyNumberFormat="1" applyFont="1"/>
    <xf numFmtId="10" fontId="3" fillId="0" borderId="4" xfId="1" applyNumberFormat="1" applyFont="1" applyBorder="1"/>
    <xf numFmtId="41" fontId="3" fillId="0" borderId="4" xfId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1" fillId="0" borderId="4" xfId="1" applyNumberFormat="1" applyFont="1" applyBorder="1"/>
    <xf numFmtId="41" fontId="1" fillId="0" borderId="0" xfId="1" applyFont="1"/>
    <xf numFmtId="0" fontId="4" fillId="0" borderId="0" xfId="0" applyFont="1"/>
    <xf numFmtId="0" fontId="1" fillId="0" borderId="4" xfId="0" applyFont="1" applyBorder="1"/>
    <xf numFmtId="164" fontId="1" fillId="0" borderId="0" xfId="0" applyNumberFormat="1" applyFont="1"/>
    <xf numFmtId="164" fontId="1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0" xfId="0" quotePrefix="1" applyFont="1" applyAlignment="1">
      <alignment horizontal="left"/>
    </xf>
    <xf numFmtId="0" fontId="1" fillId="0" borderId="4" xfId="0" applyFont="1" applyBorder="1" applyAlignment="1">
      <alignment horizontal="center"/>
    </xf>
    <xf numFmtId="42" fontId="1" fillId="0" borderId="0" xfId="0" applyNumberFormat="1" applyFont="1"/>
    <xf numFmtId="42" fontId="1" fillId="0" borderId="4" xfId="0" applyNumberFormat="1" applyFont="1" applyBorder="1"/>
    <xf numFmtId="42" fontId="1" fillId="0" borderId="7" xfId="0" applyNumberFormat="1" applyFont="1" applyBorder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42" fontId="1" fillId="0" borderId="5" xfId="0" applyNumberFormat="1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5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5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5" applyAlignment="1">
      <alignment vertical="center"/>
    </xf>
    <xf numFmtId="0" fontId="8" fillId="0" borderId="0" xfId="0" applyFont="1" applyAlignment="1">
      <alignment vertical="center"/>
    </xf>
    <xf numFmtId="37" fontId="7" fillId="0" borderId="0" xfId="0" applyNumberFormat="1" applyFont="1" applyAlignment="1" applyProtection="1">
      <alignment vertical="center"/>
      <protection locked="0"/>
    </xf>
    <xf numFmtId="166" fontId="7" fillId="0" borderId="0" xfId="6" applyNumberFormat="1" applyFont="1" applyFill="1" applyAlignment="1" applyProtection="1">
      <alignment vertical="center"/>
    </xf>
    <xf numFmtId="2" fontId="7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vertical="center"/>
    </xf>
    <xf numFmtId="43" fontId="7" fillId="0" borderId="0" xfId="3" applyFont="1" applyAlignment="1">
      <alignment vertical="center"/>
    </xf>
    <xf numFmtId="7" fontId="7" fillId="0" borderId="0" xfId="0" applyNumberFormat="1" applyFont="1" applyAlignment="1">
      <alignment vertical="center"/>
    </xf>
    <xf numFmtId="166" fontId="7" fillId="0" borderId="0" xfId="7" applyNumberFormat="1" applyFont="1" applyFill="1" applyAlignment="1" applyProtection="1">
      <alignment vertical="center"/>
      <protection locked="0"/>
    </xf>
    <xf numFmtId="43" fontId="7" fillId="0" borderId="0" xfId="6" applyFont="1" applyFill="1" applyAlignment="1" applyProtection="1">
      <alignment vertical="center"/>
    </xf>
    <xf numFmtId="37" fontId="7" fillId="0" borderId="0" xfId="7" applyNumberFormat="1" applyFont="1" applyFill="1" applyAlignment="1" applyProtection="1">
      <alignment vertical="center"/>
    </xf>
    <xf numFmtId="37" fontId="7" fillId="0" borderId="4" xfId="0" applyNumberFormat="1" applyFont="1" applyBorder="1" applyAlignment="1">
      <alignment vertical="center"/>
    </xf>
    <xf numFmtId="166" fontId="7" fillId="0" borderId="4" xfId="6" applyNumberFormat="1" applyFont="1" applyFill="1" applyBorder="1" applyAlignment="1" applyProtection="1">
      <alignment vertical="center"/>
    </xf>
    <xf numFmtId="166" fontId="7" fillId="0" borderId="0" xfId="0" applyNumberFormat="1" applyFont="1" applyAlignment="1">
      <alignment vertical="center"/>
    </xf>
    <xf numFmtId="166" fontId="7" fillId="0" borderId="7" xfId="6" applyNumberFormat="1" applyFont="1" applyFill="1" applyBorder="1" applyAlignment="1" applyProtection="1">
      <alignment vertical="center"/>
    </xf>
    <xf numFmtId="1" fontId="7" fillId="0" borderId="7" xfId="0" applyNumberFormat="1" applyFont="1" applyBorder="1" applyAlignment="1">
      <alignment vertical="center"/>
    </xf>
    <xf numFmtId="0" fontId="9" fillId="0" borderId="0" xfId="0" applyFont="1"/>
    <xf numFmtId="10" fontId="3" fillId="0" borderId="5" xfId="1" applyNumberFormat="1" applyFont="1" applyBorder="1"/>
    <xf numFmtId="10" fontId="1" fillId="0" borderId="4" xfId="0" applyNumberFormat="1" applyFont="1" applyBorder="1"/>
    <xf numFmtId="0" fontId="3" fillId="0" borderId="0" xfId="4" applyFont="1" applyFill="1" applyAlignment="1">
      <alignment horizontal="left" vertical="center"/>
    </xf>
    <xf numFmtId="41" fontId="3" fillId="0" borderId="0" xfId="1" applyFont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right"/>
    </xf>
    <xf numFmtId="0" fontId="0" fillId="0" borderId="4" xfId="0" applyBorder="1"/>
    <xf numFmtId="0" fontId="3" fillId="0" borderId="0" xfId="0" applyFont="1"/>
    <xf numFmtId="0" fontId="9" fillId="0" borderId="4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1" fillId="0" borderId="4" xfId="0" applyNumberFormat="1" applyFont="1" applyBorder="1"/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0" xfId="8" applyAlignment="1">
      <alignment horizontal="center"/>
    </xf>
    <xf numFmtId="167" fontId="12" fillId="0" borderId="0" xfId="0" applyNumberFormat="1" applyFont="1"/>
    <xf numFmtId="42" fontId="12" fillId="0" borderId="0" xfId="0" applyNumberFormat="1" applyFont="1"/>
    <xf numFmtId="0" fontId="12" fillId="0" borderId="0" xfId="0" applyFont="1"/>
    <xf numFmtId="0" fontId="3" fillId="0" borderId="0" xfId="1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11" applyFont="1" applyAlignment="1">
      <alignment horizontal="center"/>
    </xf>
    <xf numFmtId="168" fontId="3" fillId="0" borderId="0" xfId="11" applyNumberFormat="1" applyFont="1"/>
    <xf numFmtId="10" fontId="3" fillId="0" borderId="0" xfId="11" applyNumberFormat="1" applyFont="1"/>
    <xf numFmtId="0" fontId="12" fillId="0" borderId="6" xfId="0" applyFont="1" applyBorder="1"/>
    <xf numFmtId="0" fontId="13" fillId="0" borderId="0" xfId="0" applyFont="1"/>
    <xf numFmtId="167" fontId="12" fillId="0" borderId="0" xfId="0" applyNumberFormat="1" applyFont="1" applyAlignment="1">
      <alignment horizontal="right" vertical="top"/>
    </xf>
    <xf numFmtId="169" fontId="12" fillId="0" borderId="6" xfId="0" applyNumberFormat="1" applyFont="1" applyBorder="1" applyAlignment="1">
      <alignment horizontal="right"/>
    </xf>
    <xf numFmtId="167" fontId="12" fillId="0" borderId="6" xfId="0" applyNumberFormat="1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0" xfId="0" applyFont="1"/>
    <xf numFmtId="37" fontId="3" fillId="0" borderId="0" xfId="13" applyFont="1" applyFill="1" applyAlignment="1">
      <alignment horizontal="left" vertical="center"/>
    </xf>
    <xf numFmtId="169" fontId="12" fillId="0" borderId="0" xfId="0" applyNumberFormat="1" applyFont="1"/>
    <xf numFmtId="170" fontId="3" fillId="0" borderId="0" xfId="9" applyNumberFormat="1" applyFont="1" applyFill="1" applyAlignment="1">
      <alignment vertical="center"/>
    </xf>
    <xf numFmtId="10" fontId="1" fillId="0" borderId="0" xfId="0" applyNumberFormat="1" applyFont="1"/>
    <xf numFmtId="167" fontId="12" fillId="0" borderId="4" xfId="0" applyNumberFormat="1" applyFont="1" applyBorder="1" applyAlignment="1">
      <alignment horizontal="right" vertical="top"/>
    </xf>
    <xf numFmtId="0" fontId="15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42" fontId="12" fillId="0" borderId="0" xfId="9" applyNumberFormat="1" applyFont="1" applyFill="1" applyBorder="1" applyAlignment="1" applyProtection="1"/>
    <xf numFmtId="42" fontId="3" fillId="0" borderId="0" xfId="8" applyNumberFormat="1"/>
    <xf numFmtId="42" fontId="12" fillId="0" borderId="0" xfId="10" applyNumberFormat="1" applyFont="1" applyFill="1" applyBorder="1" applyAlignment="1" applyProtection="1"/>
    <xf numFmtId="0" fontId="3" fillId="0" borderId="0" xfId="8"/>
    <xf numFmtId="37" fontId="7" fillId="0" borderId="4" xfId="0" applyNumberFormat="1" applyFont="1" applyBorder="1" applyAlignment="1" applyProtection="1">
      <alignment vertical="center"/>
      <protection locked="0"/>
    </xf>
    <xf numFmtId="0" fontId="3" fillId="0" borderId="0" xfId="5" applyFont="1" applyAlignment="1">
      <alignment horizontal="left" vertical="center"/>
    </xf>
    <xf numFmtId="170" fontId="3" fillId="0" borderId="4" xfId="9" applyNumberFormat="1" applyFont="1" applyFill="1" applyBorder="1" applyAlignment="1">
      <alignment vertical="center"/>
    </xf>
    <xf numFmtId="42" fontId="1" fillId="0" borderId="0" xfId="0" applyNumberFormat="1" applyFont="1" applyAlignment="1">
      <alignment wrapText="1"/>
    </xf>
    <xf numFmtId="167" fontId="12" fillId="0" borderId="5" xfId="0" applyNumberFormat="1" applyFont="1" applyBorder="1"/>
    <xf numFmtId="42" fontId="12" fillId="0" borderId="0" xfId="9" applyNumberFormat="1" applyFont="1" applyFill="1" applyBorder="1" applyAlignment="1" applyProtection="1">
      <alignment wrapText="1"/>
    </xf>
    <xf numFmtId="42" fontId="3" fillId="0" borderId="0" xfId="8" applyNumberFormat="1" applyAlignment="1">
      <alignment wrapText="1"/>
    </xf>
    <xf numFmtId="42" fontId="12" fillId="0" borderId="0" xfId="10" applyNumberFormat="1" applyFont="1" applyFill="1" applyBorder="1" applyAlignment="1" applyProtection="1">
      <alignment wrapText="1"/>
    </xf>
    <xf numFmtId="0" fontId="3" fillId="0" borderId="0" xfId="2" applyFont="1" applyAlignment="1">
      <alignment horizontal="left" vertical="center" wrapText="1"/>
    </xf>
    <xf numFmtId="42" fontId="1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1" fontId="3" fillId="0" borderId="4" xfId="1" applyFont="1" applyBorder="1" applyAlignment="1">
      <alignment horizontal="left"/>
    </xf>
    <xf numFmtId="41" fontId="1" fillId="0" borderId="4" xfId="1" applyFont="1" applyBorder="1"/>
    <xf numFmtId="165" fontId="1" fillId="0" borderId="5" xfId="0" applyNumberFormat="1" applyFont="1" applyBorder="1"/>
    <xf numFmtId="0" fontId="12" fillId="0" borderId="4" xfId="0" applyFont="1" applyBorder="1" applyAlignment="1">
      <alignment horizontal="center"/>
    </xf>
    <xf numFmtId="171" fontId="9" fillId="0" borderId="7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42" fontId="1" fillId="0" borderId="0" xfId="0" applyNumberFormat="1" applyFont="1" applyAlignment="1">
      <alignment horizontal="center"/>
    </xf>
    <xf numFmtId="42" fontId="0" fillId="0" borderId="0" xfId="0" applyNumberFormat="1"/>
    <xf numFmtId="16" fontId="1" fillId="0" borderId="0" xfId="0" applyNumberFormat="1" applyFont="1"/>
    <xf numFmtId="42" fontId="4" fillId="0" borderId="0" xfId="0" applyNumberFormat="1" applyFont="1"/>
    <xf numFmtId="9" fontId="4" fillId="0" borderId="0" xfId="0" applyNumberFormat="1" applyFont="1"/>
    <xf numFmtId="42" fontId="4" fillId="0" borderId="4" xfId="0" applyNumberFormat="1" applyFont="1" applyBorder="1"/>
    <xf numFmtId="0" fontId="0" fillId="0" borderId="0" xfId="0" applyAlignment="1">
      <alignment horizontal="right"/>
    </xf>
    <xf numFmtId="42" fontId="1" fillId="0" borderId="0" xfId="0" applyNumberFormat="1" applyFont="1" applyAlignment="1">
      <alignment horizontal="right" wrapText="1"/>
    </xf>
    <xf numFmtId="41" fontId="0" fillId="0" borderId="0" xfId="0" applyNumberFormat="1"/>
    <xf numFmtId="41" fontId="1" fillId="0" borderId="0" xfId="0" applyNumberFormat="1" applyFont="1"/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42" fontId="3" fillId="0" borderId="4" xfId="8" applyNumberFormat="1" applyBorder="1"/>
    <xf numFmtId="165" fontId="1" fillId="0" borderId="0" xfId="0" applyNumberFormat="1" applyFont="1"/>
    <xf numFmtId="42" fontId="3" fillId="0" borderId="0" xfId="2" applyNumberFormat="1" applyFont="1" applyAlignment="1">
      <alignment horizontal="left" vertical="center"/>
    </xf>
    <xf numFmtId="42" fontId="3" fillId="0" borderId="0" xfId="2" applyNumberFormat="1" applyFont="1" applyAlignment="1" applyProtection="1">
      <alignment horizontal="left" vertical="center"/>
      <protection locked="0"/>
    </xf>
    <xf numFmtId="0" fontId="3" fillId="0" borderId="4" xfId="2" applyFont="1" applyBorder="1" applyAlignment="1">
      <alignment horizontal="center" vertical="center"/>
    </xf>
    <xf numFmtId="42" fontId="3" fillId="0" borderId="4" xfId="8" applyNumberFormat="1" applyBorder="1" applyAlignment="1">
      <alignment horizontal="center"/>
    </xf>
    <xf numFmtId="0" fontId="16" fillId="0" borderId="0" xfId="2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1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4">
    <cellStyle name="Comma" xfId="3" builtinId="3"/>
    <cellStyle name="Comma 2 4" xfId="7" xr:uid="{8A40FDA6-25BE-4A64-8359-520382CBA00E}"/>
    <cellStyle name="Comma 3" xfId="10" xr:uid="{238571D7-F97C-4A23-9790-40F98AB64B97}"/>
    <cellStyle name="Comma 6" xfId="6" xr:uid="{16FE863B-199E-4707-BB49-E0CB128D6E4E}"/>
    <cellStyle name="Currency 2" xfId="9" xr:uid="{8DD08C81-4554-4930-8212-E133F6A96E83}"/>
    <cellStyle name="Normal" xfId="0" builtinId="0"/>
    <cellStyle name="Normal 2 3" xfId="5" xr:uid="{847A02A2-5431-402F-B16F-94825693DA62}"/>
    <cellStyle name="Normal 3" xfId="8" xr:uid="{A534426A-9C7B-4790-A910-14303DD2735F}"/>
    <cellStyle name="Normal 4" xfId="11" xr:uid="{9EDE1F7B-8874-4019-BFC0-C7768DA4402F}"/>
    <cellStyle name="Normal 8" xfId="12" xr:uid="{011A3FEA-9D05-40B3-967E-B8D773C51325}"/>
    <cellStyle name="Normal_E-1 Income Taxes" xfId="13" xr:uid="{01DB7123-15E5-432A-ADD5-54737820F6A5}"/>
    <cellStyle name="Normal_Schedule J" xfId="4" xr:uid="{8FC02B4E-0804-4A5A-AEFA-21D38DCACAA4}"/>
    <cellStyle name="Normal_Schedules A thru L Cost of Servive June 30, 2009" xfId="2" xr:uid="{4AC0BB92-C8F9-44A9-8A65-339FE35452CE}"/>
    <cellStyle name="Normal_SHEET" xfId="1" xr:uid="{EE3F81D6-2D24-4729-96AE-6C76C8BB5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5C47-90B7-4A95-8D4B-AFEB85D08560}">
  <dimension ref="A1:C34"/>
  <sheetViews>
    <sheetView workbookViewId="0">
      <selection activeCell="C32" sqref="C32"/>
    </sheetView>
  </sheetViews>
  <sheetFormatPr defaultRowHeight="14.5" x14ac:dyDescent="0.35"/>
  <cols>
    <col min="1" max="1" width="20" customWidth="1"/>
    <col min="2" max="2" width="5.453125" customWidth="1"/>
    <col min="3" max="3" width="56.453125" customWidth="1"/>
  </cols>
  <sheetData>
    <row r="1" spans="1:3" ht="15.5" x14ac:dyDescent="0.35">
      <c r="A1" s="140" t="s">
        <v>2</v>
      </c>
      <c r="B1" s="140"/>
      <c r="C1" s="140"/>
    </row>
    <row r="2" spans="1:3" ht="15.5" x14ac:dyDescent="0.35">
      <c r="A2" s="140" t="s">
        <v>3</v>
      </c>
      <c r="B2" s="140"/>
      <c r="C2" s="140"/>
    </row>
    <row r="3" spans="1:3" ht="15.5" x14ac:dyDescent="0.35">
      <c r="A3" s="140" t="s">
        <v>4</v>
      </c>
      <c r="B3" s="140"/>
      <c r="C3" s="140"/>
    </row>
    <row r="4" spans="1:3" ht="15.5" x14ac:dyDescent="0.35">
      <c r="A4" s="21"/>
      <c r="B4" s="21"/>
      <c r="C4" s="21"/>
    </row>
    <row r="5" spans="1:3" ht="15.5" x14ac:dyDescent="0.35">
      <c r="A5" s="140" t="s">
        <v>6</v>
      </c>
      <c r="B5" s="140"/>
      <c r="C5" s="140"/>
    </row>
    <row r="6" spans="1:3" ht="15.5" x14ac:dyDescent="0.35">
      <c r="A6" s="140" t="s">
        <v>7</v>
      </c>
      <c r="B6" s="140"/>
      <c r="C6" s="140"/>
    </row>
    <row r="7" spans="1:3" ht="15.5" x14ac:dyDescent="0.35">
      <c r="A7" s="140"/>
      <c r="B7" s="140"/>
      <c r="C7" s="140"/>
    </row>
    <row r="8" spans="1:3" ht="15.5" x14ac:dyDescent="0.35">
      <c r="A8" s="140" t="s">
        <v>5</v>
      </c>
      <c r="B8" s="140"/>
      <c r="C8" s="140"/>
    </row>
    <row r="9" spans="1:3" ht="15.5" x14ac:dyDescent="0.35">
      <c r="A9" s="1"/>
      <c r="B9" s="1"/>
      <c r="C9" s="1"/>
    </row>
    <row r="10" spans="1:3" ht="15.5" x14ac:dyDescent="0.35">
      <c r="A10" s="18" t="s">
        <v>0</v>
      </c>
      <c r="B10" s="18"/>
      <c r="C10" s="18" t="s">
        <v>1</v>
      </c>
    </row>
    <row r="11" spans="1:3" ht="15.5" x14ac:dyDescent="0.35">
      <c r="A11" s="1"/>
      <c r="B11" s="1"/>
      <c r="C11" s="1"/>
    </row>
    <row r="12" spans="1:3" ht="15.5" x14ac:dyDescent="0.35">
      <c r="A12" s="1" t="str">
        <f>A!H3</f>
        <v>Schedule A</v>
      </c>
      <c r="B12" s="1"/>
      <c r="C12" s="1" t="str">
        <f>A!A4</f>
        <v xml:space="preserve">Overall Financial Summary </v>
      </c>
    </row>
    <row r="13" spans="1:3" ht="15.5" x14ac:dyDescent="0.35">
      <c r="A13" s="1" t="str">
        <f>'A-1'!D3</f>
        <v>Schedule A-1</v>
      </c>
      <c r="B13" s="1"/>
      <c r="C13" s="1" t="str">
        <f>'A-1'!A4</f>
        <v>Gross Revenue Conversion Factor</v>
      </c>
    </row>
    <row r="14" spans="1:3" ht="15.5" x14ac:dyDescent="0.35">
      <c r="A14" s="1"/>
      <c r="B14" s="1"/>
      <c r="C14" s="1"/>
    </row>
    <row r="15" spans="1:3" ht="15.5" x14ac:dyDescent="0.35">
      <c r="A15" s="1" t="str">
        <f>B!E3</f>
        <v>Schedule B</v>
      </c>
      <c r="B15" s="1"/>
      <c r="C15" s="1" t="str">
        <f>B!A4</f>
        <v>Rate Base</v>
      </c>
    </row>
    <row r="16" spans="1:3" ht="15.5" x14ac:dyDescent="0.35">
      <c r="A16" s="1" t="str">
        <f>'B-1'!M3</f>
        <v>Schedule B-1</v>
      </c>
      <c r="B16" s="1"/>
      <c r="C16" s="1" t="str">
        <f>'B-1'!A4</f>
        <v>Cash Working Capital</v>
      </c>
    </row>
    <row r="17" spans="1:3" ht="15.5" x14ac:dyDescent="0.35">
      <c r="A17" s="1" t="str">
        <f>'B-2'!E3</f>
        <v>Schedule B-2</v>
      </c>
      <c r="B17" s="1"/>
      <c r="C17" s="1" t="str">
        <f>'B-2'!A4</f>
        <v>Customer Deposits</v>
      </c>
    </row>
    <row r="18" spans="1:3" ht="15.5" x14ac:dyDescent="0.35">
      <c r="A18" s="1"/>
      <c r="B18" s="1"/>
      <c r="C18" s="1"/>
    </row>
    <row r="19" spans="1:3" ht="15.5" x14ac:dyDescent="0.35">
      <c r="A19" s="1" t="str">
        <f>'C'!E3</f>
        <v>Schedule C</v>
      </c>
      <c r="B19" s="1"/>
      <c r="C19" s="1" t="str">
        <f>'C'!A4</f>
        <v>Operating Income</v>
      </c>
    </row>
    <row r="20" spans="1:3" ht="15.5" x14ac:dyDescent="0.35">
      <c r="A20" s="1" t="str">
        <f>'Rate Case Exp'!E3</f>
        <v>Schedule C-1</v>
      </c>
      <c r="B20" s="1"/>
      <c r="C20" s="1" t="str">
        <f>'Rate Case Exp'!A4</f>
        <v>Rate Case Expense</v>
      </c>
    </row>
    <row r="21" spans="1:3" ht="15.5" x14ac:dyDescent="0.35">
      <c r="A21" s="1" t="str">
        <f>Aircraft!E3</f>
        <v>Schedule C-2</v>
      </c>
      <c r="B21" s="1"/>
      <c r="C21" s="1" t="str">
        <f>Aircraft!A4</f>
        <v>Corporate Aircraft Expense</v>
      </c>
    </row>
    <row r="22" spans="1:3" ht="15.5" x14ac:dyDescent="0.35">
      <c r="A22" s="1" t="str">
        <f>'D&amp;O'!E3</f>
        <v>Schedule C-3</v>
      </c>
      <c r="B22" s="1"/>
      <c r="C22" s="1" t="str">
        <f>'D&amp;O'!A4</f>
        <v>D&amp;O</v>
      </c>
    </row>
    <row r="23" spans="1:3" ht="15.5" x14ac:dyDescent="0.35">
      <c r="A23" s="1" t="str">
        <f>'Investor Rel'!E3</f>
        <v>Schedule C-4</v>
      </c>
      <c r="B23" s="1"/>
      <c r="C23" s="1" t="str">
        <f>'Investor Rel'!A4</f>
        <v>Investor Relations Expense</v>
      </c>
    </row>
    <row r="24" spans="1:3" ht="15.5" x14ac:dyDescent="0.35">
      <c r="A24" s="1" t="str">
        <f>'401(k)'!E3</f>
        <v>Schedule C-5</v>
      </c>
      <c r="B24" s="1"/>
      <c r="C24" s="1" t="str">
        <f>'401(k)'!A4</f>
        <v>401(k) Expense</v>
      </c>
    </row>
    <row r="25" spans="1:3" ht="15.5" x14ac:dyDescent="0.35">
      <c r="A25" s="1" t="str">
        <f>Payroll!E3</f>
        <v>Schedule C-6</v>
      </c>
      <c r="B25" s="1"/>
      <c r="C25" s="1" t="str">
        <f>Payroll!A4</f>
        <v>Payroll Expense</v>
      </c>
    </row>
    <row r="26" spans="1:3" ht="15.5" x14ac:dyDescent="0.35">
      <c r="A26" s="1" t="str">
        <f>'Incentive Comp'!E3</f>
        <v>Schedule C-7</v>
      </c>
      <c r="B26" s="1"/>
      <c r="C26" s="1" t="str">
        <f>'Incentive Comp'!A4</f>
        <v xml:space="preserve">Incentive Compensation </v>
      </c>
    </row>
    <row r="27" spans="1:3" ht="15.5" x14ac:dyDescent="0.35">
      <c r="A27" s="1" t="str">
        <f>'Profit Sharing'!E3</f>
        <v>Schedule C-8</v>
      </c>
      <c r="B27" s="1"/>
      <c r="C27" s="1" t="str">
        <f>'Profit Sharing'!A4</f>
        <v>Profit Sharing</v>
      </c>
    </row>
    <row r="28" spans="1:3" ht="15.5" x14ac:dyDescent="0.35">
      <c r="A28" s="1" t="str">
        <f>'Payroll Tax'!E3</f>
        <v>Schedule C-9</v>
      </c>
      <c r="B28" s="1"/>
      <c r="C28" s="1" t="str">
        <f>'Payroll Tax'!A4</f>
        <v>Payroll Tax</v>
      </c>
    </row>
    <row r="29" spans="1:3" ht="15.5" x14ac:dyDescent="0.35">
      <c r="A29" s="1" t="str">
        <f>Benefits!E3</f>
        <v>Schedule C-10</v>
      </c>
      <c r="B29" s="1"/>
      <c r="C29" s="1" t="str">
        <f>Benefits!A4</f>
        <v>Benefits</v>
      </c>
    </row>
    <row r="30" spans="1:3" ht="15.5" x14ac:dyDescent="0.35">
      <c r="A30" s="1" t="str">
        <f>SERP!E3</f>
        <v>Schedule C-11</v>
      </c>
      <c r="B30" s="1"/>
      <c r="C30" s="1" t="str">
        <f>SERP!A4</f>
        <v>SERP</v>
      </c>
    </row>
    <row r="31" spans="1:3" ht="15.5" x14ac:dyDescent="0.35">
      <c r="A31" s="1" t="str">
        <f>Dues!E3</f>
        <v>Schedule C-12</v>
      </c>
      <c r="B31" s="1"/>
      <c r="C31" s="1" t="str">
        <f>Dues!A4</f>
        <v>AGA Dues</v>
      </c>
    </row>
    <row r="32" spans="1:3" ht="15.5" x14ac:dyDescent="0.35">
      <c r="A32" s="1" t="str">
        <f>'Inc Tax'!E3</f>
        <v>Schedule C-13</v>
      </c>
      <c r="B32" s="1"/>
      <c r="C32" s="1" t="str">
        <f>'Inc Tax'!A4</f>
        <v>Income Tax Expense</v>
      </c>
    </row>
    <row r="33" spans="1:3" ht="15.5" x14ac:dyDescent="0.35">
      <c r="A33" s="1"/>
      <c r="B33" s="1"/>
      <c r="C33" s="1"/>
    </row>
    <row r="34" spans="1:3" ht="15.5" x14ac:dyDescent="0.35">
      <c r="A34" s="1" t="str">
        <f>D!I3</f>
        <v>Schedule D</v>
      </c>
      <c r="B34" s="1"/>
      <c r="C34" s="1" t="str">
        <f>D!A4</f>
        <v xml:space="preserve">Rate of Return </v>
      </c>
    </row>
  </sheetData>
  <mergeCells count="7">
    <mergeCell ref="A8:C8"/>
    <mergeCell ref="A1:C1"/>
    <mergeCell ref="A2:C2"/>
    <mergeCell ref="A3:C3"/>
    <mergeCell ref="A7:C7"/>
    <mergeCell ref="A6:C6"/>
    <mergeCell ref="A5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8042-7C59-4373-9FB0-A7A366C67F51}">
  <sheetPr>
    <pageSetUpPr fitToPage="1"/>
  </sheetPr>
  <dimension ref="A1:E33"/>
  <sheetViews>
    <sheetView tabSelected="1" workbookViewId="0">
      <selection activeCell="F28" sqref="F28"/>
    </sheetView>
  </sheetViews>
  <sheetFormatPr defaultRowHeight="14.5" x14ac:dyDescent="0.35"/>
  <cols>
    <col min="2" max="2" width="3.26953125" customWidth="1"/>
    <col min="3" max="3" width="41.1796875" customWidth="1"/>
    <col min="4" max="4" width="19.7265625" customWidth="1"/>
    <col min="5" max="5" width="23.816406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166</v>
      </c>
    </row>
    <row r="4" spans="1:5" ht="15.5" x14ac:dyDescent="0.35">
      <c r="A4" s="75" t="s">
        <v>193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31" x14ac:dyDescent="0.35">
      <c r="A11" s="21">
        <v>1</v>
      </c>
      <c r="B11" s="1"/>
      <c r="C11" s="1" t="s">
        <v>146</v>
      </c>
      <c r="D11" s="25">
        <v>250837</v>
      </c>
      <c r="E11" s="79" t="s">
        <v>194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271</v>
      </c>
      <c r="D13" s="26">
        <f>-D28/1000</f>
        <v>0</v>
      </c>
      <c r="E13" s="25"/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D13-D11</f>
        <v>-250837</v>
      </c>
      <c r="E15" s="25" t="s">
        <v>154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  <row r="19" spans="1:5" ht="15.5" x14ac:dyDescent="0.35">
      <c r="A19" s="70"/>
      <c r="B19" s="75"/>
      <c r="C19" s="75"/>
      <c r="D19" s="75"/>
      <c r="E19" s="73"/>
    </row>
    <row r="27" spans="1:5" ht="15.5" x14ac:dyDescent="0.35">
      <c r="A27" s="1"/>
      <c r="B27" s="1"/>
      <c r="C27" s="1"/>
      <c r="D27" s="1"/>
      <c r="E27" s="1"/>
    </row>
    <row r="28" spans="1:5" ht="15.5" x14ac:dyDescent="0.35">
      <c r="A28" s="1"/>
      <c r="B28" s="1"/>
      <c r="C28" s="1"/>
      <c r="D28" s="1"/>
      <c r="E28" s="1"/>
    </row>
    <row r="29" spans="1:5" ht="15.5" x14ac:dyDescent="0.35">
      <c r="A29" s="1"/>
      <c r="B29" s="1"/>
      <c r="C29" s="25"/>
      <c r="D29" s="1"/>
      <c r="E29" s="1"/>
    </row>
    <row r="30" spans="1:5" ht="15.5" x14ac:dyDescent="0.35">
      <c r="A30" s="1"/>
      <c r="B30" s="1"/>
      <c r="C30" s="25"/>
      <c r="D30" s="1"/>
      <c r="E30" s="1"/>
    </row>
    <row r="31" spans="1:5" ht="15.5" x14ac:dyDescent="0.35">
      <c r="A31" s="1"/>
      <c r="B31" s="1"/>
      <c r="C31" s="1"/>
      <c r="D31" s="1"/>
      <c r="E31" s="1"/>
    </row>
    <row r="32" spans="1:5" ht="15.5" x14ac:dyDescent="0.35">
      <c r="A32" s="1"/>
      <c r="B32" s="1"/>
      <c r="C32" s="1"/>
      <c r="D32" s="1"/>
      <c r="E32" s="1"/>
    </row>
    <row r="33" spans="1:5" ht="15.5" x14ac:dyDescent="0.35">
      <c r="A33" s="1"/>
      <c r="B33" s="1"/>
      <c r="C33" s="1"/>
      <c r="D33" s="1"/>
      <c r="E33" s="1"/>
    </row>
  </sheetData>
  <pageMargins left="0.7" right="0.7" top="0.75" bottom="0.75" header="0.3" footer="0.3"/>
  <pageSetup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C98B-EC85-4CD1-AE41-34BAACF35906}">
  <sheetPr>
    <pageSetUpPr fitToPage="1"/>
  </sheetPr>
  <dimension ref="A1:E30"/>
  <sheetViews>
    <sheetView workbookViewId="0">
      <selection activeCell="F34" sqref="F34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2.4531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168</v>
      </c>
    </row>
    <row r="4" spans="1:5" ht="15.5" x14ac:dyDescent="0.35">
      <c r="A4" s="75" t="s">
        <v>167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46.5" x14ac:dyDescent="0.35">
      <c r="A11" s="21">
        <v>1</v>
      </c>
      <c r="B11" s="1"/>
      <c r="C11" s="1" t="s">
        <v>146</v>
      </c>
      <c r="D11" s="25">
        <v>141379</v>
      </c>
      <c r="E11" s="88" t="s">
        <v>196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195</v>
      </c>
      <c r="D13" s="69">
        <v>0.75</v>
      </c>
      <c r="E13" s="25" t="s">
        <v>197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+D11*-D13</f>
        <v>-106034.25</v>
      </c>
      <c r="E15" s="25" t="s">
        <v>292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  <row r="19" spans="1:5" ht="15.5" x14ac:dyDescent="0.35">
      <c r="A19" s="70"/>
      <c r="B19" s="75"/>
      <c r="C19" s="75"/>
      <c r="D19" s="75"/>
      <c r="E19" s="73"/>
    </row>
    <row r="29" spans="1:5" ht="15.5" x14ac:dyDescent="0.35">
      <c r="A29" s="1"/>
      <c r="B29" s="1"/>
      <c r="C29" s="25"/>
      <c r="D29" s="1"/>
      <c r="E29" s="1"/>
    </row>
    <row r="30" spans="1:5" ht="15.5" x14ac:dyDescent="0.35">
      <c r="A30" s="89"/>
      <c r="B30" s="1"/>
      <c r="C30" s="25"/>
      <c r="D30" s="1"/>
      <c r="E30" s="1"/>
    </row>
  </sheetData>
  <pageMargins left="0.7" right="0.7" top="0.75" bottom="0.75" header="0.3" footer="0.3"/>
  <pageSetup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1FAC-3486-408A-9EFE-DE79CBBBB6FC}">
  <sheetPr>
    <pageSetUpPr fitToPage="1"/>
  </sheetPr>
  <dimension ref="A1:E18"/>
  <sheetViews>
    <sheetView workbookViewId="0">
      <selection activeCell="C23" sqref="C23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0.72656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171</v>
      </c>
    </row>
    <row r="4" spans="1:5" ht="15.5" x14ac:dyDescent="0.35">
      <c r="A4" s="75" t="s">
        <v>169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46.5" x14ac:dyDescent="0.35">
      <c r="A11" s="21">
        <v>1</v>
      </c>
      <c r="B11" s="1"/>
      <c r="C11" s="1" t="s">
        <v>146</v>
      </c>
      <c r="D11" s="25">
        <v>60188</v>
      </c>
      <c r="E11" s="88" t="s">
        <v>232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195</v>
      </c>
      <c r="D13" s="69">
        <v>0.75</v>
      </c>
      <c r="E13" s="25" t="s">
        <v>197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+D11*-D13</f>
        <v>-45141</v>
      </c>
      <c r="E15" s="25" t="s">
        <v>292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</sheetData>
  <pageMargins left="0.7" right="0.7" top="0.75" bottom="0.7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54BB-4375-440B-ABEC-6B1DB9781528}">
  <sheetPr>
    <pageSetUpPr fitToPage="1"/>
  </sheetPr>
  <dimension ref="A1:E14"/>
  <sheetViews>
    <sheetView workbookViewId="0">
      <selection activeCell="C29" sqref="C29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0.72656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172</v>
      </c>
    </row>
    <row r="4" spans="1:5" ht="15.5" x14ac:dyDescent="0.35">
      <c r="A4" s="75" t="s">
        <v>170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47" thickBot="1" x14ac:dyDescent="0.4">
      <c r="A11" s="21">
        <v>1</v>
      </c>
      <c r="B11" s="1"/>
      <c r="C11" s="1" t="s">
        <v>272</v>
      </c>
      <c r="D11" s="30">
        <v>-294544</v>
      </c>
      <c r="E11" s="88" t="s">
        <v>235</v>
      </c>
    </row>
    <row r="12" spans="1:5" ht="16" thickTop="1" x14ac:dyDescent="0.35">
      <c r="A12" s="21"/>
      <c r="B12" s="1"/>
      <c r="C12" s="1"/>
      <c r="D12" s="1"/>
      <c r="E12" s="1"/>
    </row>
    <row r="13" spans="1:5" ht="15.5" x14ac:dyDescent="0.35">
      <c r="A13" s="70"/>
      <c r="B13" s="75"/>
      <c r="C13" s="75"/>
      <c r="D13" s="75"/>
      <c r="E13" s="73"/>
    </row>
    <row r="14" spans="1:5" ht="15.5" x14ac:dyDescent="0.35">
      <c r="A14" s="70"/>
      <c r="B14" s="75"/>
      <c r="C14" s="75"/>
      <c r="D14" s="75"/>
      <c r="E14" s="73"/>
    </row>
  </sheetData>
  <pageMargins left="0.7" right="0.7" top="0.75" bottom="0.75" header="0.3" footer="0.3"/>
  <pageSetup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59D3-375C-40ED-8B9D-807B153B1150}">
  <sheetPr>
    <pageSetUpPr fitToPage="1"/>
  </sheetPr>
  <dimension ref="A1:E31"/>
  <sheetViews>
    <sheetView topLeftCell="A7" workbookViewId="0">
      <selection activeCell="M22" sqref="M22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3.453125" bestFit="1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174</v>
      </c>
    </row>
    <row r="4" spans="1:5" ht="15.5" x14ac:dyDescent="0.35">
      <c r="A4" s="75" t="s">
        <v>173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15.5" x14ac:dyDescent="0.35">
      <c r="A11" s="21">
        <v>1</v>
      </c>
      <c r="B11" s="1"/>
      <c r="C11" s="1" t="s">
        <v>146</v>
      </c>
      <c r="D11" s="25">
        <f>11529946+7828724</f>
        <v>19358670</v>
      </c>
      <c r="E11" s="105" t="s">
        <v>252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277</v>
      </c>
      <c r="D13" s="26">
        <f>+D11+D15</f>
        <v>17729828.355999999</v>
      </c>
      <c r="E13" s="25" t="s">
        <v>251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+D28</f>
        <v>-1628841.6440000001</v>
      </c>
      <c r="E15" s="25" t="s">
        <v>241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  <row r="19" spans="1:5" ht="15.5" x14ac:dyDescent="0.35">
      <c r="A19" s="21"/>
    </row>
    <row r="20" spans="1:5" ht="31" x14ac:dyDescent="0.35">
      <c r="A20" s="21">
        <v>4</v>
      </c>
      <c r="C20" s="12" t="s">
        <v>207</v>
      </c>
      <c r="D20" s="25">
        <v>11529946</v>
      </c>
      <c r="E20" s="105" t="s">
        <v>233</v>
      </c>
    </row>
    <row r="21" spans="1:5" ht="15.5" x14ac:dyDescent="0.35">
      <c r="A21" s="21">
        <v>5</v>
      </c>
      <c r="C21" s="12" t="s">
        <v>279</v>
      </c>
      <c r="D21" s="59">
        <v>-0.108</v>
      </c>
      <c r="E21" s="1" t="s">
        <v>197</v>
      </c>
    </row>
    <row r="22" spans="1:5" ht="15.5" x14ac:dyDescent="0.35">
      <c r="A22" s="21">
        <v>6</v>
      </c>
      <c r="C22" s="12" t="s">
        <v>278</v>
      </c>
      <c r="D22" s="25">
        <f>+D20*D21</f>
        <v>-1245234.1680000001</v>
      </c>
      <c r="E22" s="1" t="s">
        <v>253</v>
      </c>
    </row>
    <row r="23" spans="1:5" ht="15.5" x14ac:dyDescent="0.35">
      <c r="A23" s="21"/>
      <c r="C23" s="12"/>
      <c r="D23" s="25"/>
      <c r="E23" s="1"/>
    </row>
    <row r="24" spans="1:5" ht="31" x14ac:dyDescent="0.35">
      <c r="A24" s="21">
        <v>7</v>
      </c>
      <c r="C24" s="12" t="s">
        <v>208</v>
      </c>
      <c r="D24" s="25">
        <v>7828724</v>
      </c>
      <c r="E24" s="105" t="s">
        <v>233</v>
      </c>
    </row>
    <row r="25" spans="1:5" ht="15.5" x14ac:dyDescent="0.35">
      <c r="A25" s="21">
        <v>8</v>
      </c>
      <c r="C25" s="12" t="s">
        <v>279</v>
      </c>
      <c r="D25" s="59">
        <v>-4.9000000000000002E-2</v>
      </c>
      <c r="E25" s="1" t="s">
        <v>197</v>
      </c>
    </row>
    <row r="26" spans="1:5" ht="15.5" x14ac:dyDescent="0.35">
      <c r="A26" s="21">
        <v>9</v>
      </c>
      <c r="C26" s="12" t="s">
        <v>278</v>
      </c>
      <c r="D26" s="25">
        <f>+D25*D24</f>
        <v>-383607.47600000002</v>
      </c>
      <c r="E26" s="1" t="s">
        <v>254</v>
      </c>
    </row>
    <row r="27" spans="1:5" ht="15.5" x14ac:dyDescent="0.35">
      <c r="A27" s="21"/>
      <c r="C27" s="12"/>
      <c r="D27" s="1"/>
    </row>
    <row r="28" spans="1:5" ht="16" thickBot="1" x14ac:dyDescent="0.4">
      <c r="A28" s="21">
        <v>10</v>
      </c>
      <c r="C28" s="12" t="s">
        <v>280</v>
      </c>
      <c r="D28" s="27">
        <f>+D26+D22</f>
        <v>-1628841.6440000001</v>
      </c>
    </row>
    <row r="29" spans="1:5" ht="16" thickTop="1" x14ac:dyDescent="0.35">
      <c r="A29" s="21"/>
      <c r="C29" s="12"/>
      <c r="D29" s="1"/>
    </row>
    <row r="30" spans="1:5" ht="15.5" x14ac:dyDescent="0.35">
      <c r="A30" s="21"/>
      <c r="D30" s="1"/>
    </row>
    <row r="31" spans="1:5" ht="15.5" x14ac:dyDescent="0.35">
      <c r="D31" s="1"/>
    </row>
  </sheetData>
  <pageMargins left="0.7" right="0.7" top="0.75" bottom="0.75" header="0.3" footer="0.3"/>
  <pageSetup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FA60-8241-4441-80E0-29365B6A1097}">
  <sheetPr>
    <pageSetUpPr fitToPage="1"/>
  </sheetPr>
  <dimension ref="A1:F41"/>
  <sheetViews>
    <sheetView topLeftCell="A4" workbookViewId="0">
      <selection activeCell="E14" sqref="E14"/>
    </sheetView>
  </sheetViews>
  <sheetFormatPr defaultRowHeight="14.5" x14ac:dyDescent="0.35"/>
  <cols>
    <col min="2" max="2" width="3" customWidth="1"/>
    <col min="3" max="3" width="33.1796875" customWidth="1"/>
    <col min="4" max="4" width="19.7265625" customWidth="1"/>
    <col min="5" max="5" width="28" customWidth="1"/>
    <col min="6" max="6" width="16.453125" customWidth="1"/>
  </cols>
  <sheetData>
    <row r="1" spans="1:6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6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6" ht="15.5" x14ac:dyDescent="0.35">
      <c r="A3" s="1"/>
      <c r="B3" s="1"/>
      <c r="C3" s="1"/>
      <c r="D3" s="1"/>
      <c r="E3" s="12" t="s">
        <v>177</v>
      </c>
    </row>
    <row r="4" spans="1:6" ht="15.5" x14ac:dyDescent="0.35">
      <c r="A4" s="75" t="s">
        <v>175</v>
      </c>
      <c r="B4" s="1"/>
      <c r="C4" s="1"/>
      <c r="D4" s="1"/>
      <c r="E4" s="12" t="str">
        <f>A!H4</f>
        <v>Page 1 of 1</v>
      </c>
    </row>
    <row r="5" spans="1:6" ht="15.5" x14ac:dyDescent="0.35">
      <c r="A5" s="1"/>
      <c r="B5" s="1"/>
      <c r="C5" s="1"/>
      <c r="D5" s="1"/>
      <c r="E5" s="1"/>
    </row>
    <row r="6" spans="1:6" ht="15.5" x14ac:dyDescent="0.35">
      <c r="B6" s="75"/>
      <c r="C6" s="75"/>
      <c r="D6" s="75"/>
      <c r="E6" s="57"/>
    </row>
    <row r="7" spans="1:6" ht="15.5" x14ac:dyDescent="0.35">
      <c r="A7" s="76"/>
      <c r="B7" s="75"/>
      <c r="C7" s="75"/>
      <c r="D7" s="75"/>
      <c r="E7" s="75"/>
    </row>
    <row r="8" spans="1:6" ht="15.5" x14ac:dyDescent="0.35">
      <c r="A8" s="75"/>
      <c r="B8" s="75"/>
      <c r="C8" s="75"/>
      <c r="D8" s="75"/>
      <c r="E8" s="75"/>
    </row>
    <row r="9" spans="1:6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6" ht="15.5" x14ac:dyDescent="0.35">
      <c r="A10" s="1"/>
      <c r="B10" s="1"/>
      <c r="C10" s="1"/>
      <c r="D10" s="21"/>
      <c r="E10" s="21"/>
    </row>
    <row r="11" spans="1:6" ht="15.5" x14ac:dyDescent="0.35">
      <c r="A11" s="21">
        <v>1</v>
      </c>
      <c r="B11" s="1"/>
      <c r="C11" s="1" t="s">
        <v>226</v>
      </c>
      <c r="D11" s="25">
        <v>3822543.52</v>
      </c>
      <c r="E11" s="105" t="s">
        <v>237</v>
      </c>
      <c r="F11" s="121"/>
    </row>
    <row r="12" spans="1:6" ht="15.5" x14ac:dyDescent="0.35">
      <c r="A12" s="21"/>
      <c r="B12" s="1"/>
      <c r="C12" s="1"/>
      <c r="D12" s="25"/>
      <c r="E12" s="25"/>
    </row>
    <row r="13" spans="1:6" ht="15.5" x14ac:dyDescent="0.35">
      <c r="A13" s="21">
        <v>2</v>
      </c>
      <c r="B13" s="1"/>
      <c r="C13" s="1" t="s">
        <v>281</v>
      </c>
      <c r="D13" s="26">
        <f>+D11+D15</f>
        <v>961688.91999999993</v>
      </c>
      <c r="E13" s="25" t="s">
        <v>251</v>
      </c>
    </row>
    <row r="14" spans="1:6" ht="15.5" x14ac:dyDescent="0.35">
      <c r="A14" s="21"/>
      <c r="B14" s="1"/>
      <c r="C14" s="1"/>
      <c r="D14" s="25"/>
      <c r="E14" s="25"/>
    </row>
    <row r="15" spans="1:6" ht="16" thickBot="1" x14ac:dyDescent="0.4">
      <c r="A15" s="21">
        <v>3</v>
      </c>
      <c r="B15" s="1"/>
      <c r="C15" s="1" t="s">
        <v>272</v>
      </c>
      <c r="D15" s="30">
        <f>+D24+D31+1</f>
        <v>-2860854.6</v>
      </c>
      <c r="E15" s="25" t="s">
        <v>238</v>
      </c>
    </row>
    <row r="16" spans="1:6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  <row r="19" spans="1:5" ht="15.5" x14ac:dyDescent="0.35">
      <c r="A19" s="21"/>
      <c r="B19" s="1"/>
      <c r="C19" s="1"/>
      <c r="D19" s="24" t="s">
        <v>220</v>
      </c>
    </row>
    <row r="20" spans="1:5" ht="31" x14ac:dyDescent="0.35">
      <c r="A20" s="21">
        <v>4</v>
      </c>
      <c r="B20" s="1"/>
      <c r="C20" s="12" t="s">
        <v>207</v>
      </c>
      <c r="D20" s="25">
        <v>829180</v>
      </c>
      <c r="E20" s="105" t="s">
        <v>233</v>
      </c>
    </row>
    <row r="21" spans="1:5" ht="31" x14ac:dyDescent="0.35">
      <c r="A21" s="21">
        <v>5</v>
      </c>
      <c r="B21" s="1"/>
      <c r="C21" s="12" t="s">
        <v>208</v>
      </c>
      <c r="D21" s="26">
        <v>1142616</v>
      </c>
      <c r="E21" s="105" t="str">
        <f>+E20</f>
        <v>Attorney General’s First Request, Item 99</v>
      </c>
    </row>
    <row r="22" spans="1:5" ht="15.5" x14ac:dyDescent="0.35">
      <c r="A22" s="21">
        <v>6</v>
      </c>
      <c r="B22" s="1"/>
      <c r="C22" s="12" t="s">
        <v>223</v>
      </c>
      <c r="D22" s="25">
        <f>SUM(D20:D21)</f>
        <v>1971796</v>
      </c>
    </row>
    <row r="23" spans="1:5" ht="31" x14ac:dyDescent="0.35">
      <c r="A23" s="21">
        <v>7</v>
      </c>
      <c r="B23" s="1"/>
      <c r="C23" s="12" t="s">
        <v>224</v>
      </c>
      <c r="D23" s="69">
        <v>-0.7</v>
      </c>
      <c r="E23" s="105" t="s">
        <v>236</v>
      </c>
    </row>
    <row r="24" spans="1:5" ht="15.5" x14ac:dyDescent="0.35">
      <c r="A24" s="21">
        <v>8</v>
      </c>
      <c r="B24" s="1"/>
      <c r="C24" s="12" t="s">
        <v>225</v>
      </c>
      <c r="D24" s="25">
        <f>+D23*D22</f>
        <v>-1380257.2</v>
      </c>
    </row>
    <row r="25" spans="1:5" ht="15.5" x14ac:dyDescent="0.35">
      <c r="A25" s="21"/>
      <c r="B25" s="1"/>
      <c r="C25" s="12"/>
      <c r="D25" s="25"/>
    </row>
    <row r="26" spans="1:5" ht="15.5" x14ac:dyDescent="0.35">
      <c r="A26" s="21"/>
      <c r="B26" s="1"/>
      <c r="C26" s="12"/>
      <c r="D26" s="111" t="s">
        <v>221</v>
      </c>
    </row>
    <row r="27" spans="1:5" ht="31" x14ac:dyDescent="0.35">
      <c r="A27" s="21">
        <v>9</v>
      </c>
      <c r="B27" s="1"/>
      <c r="C27" s="12" t="s">
        <v>207</v>
      </c>
      <c r="D27" s="25">
        <v>846211</v>
      </c>
      <c r="E27" s="105" t="s">
        <v>233</v>
      </c>
    </row>
    <row r="28" spans="1:5" ht="31" x14ac:dyDescent="0.35">
      <c r="A28" s="21">
        <v>10</v>
      </c>
      <c r="B28" s="1"/>
      <c r="C28" s="12" t="s">
        <v>208</v>
      </c>
      <c r="D28" s="26">
        <v>1004537</v>
      </c>
      <c r="E28" s="105" t="str">
        <f>+E27</f>
        <v>Attorney General’s First Request, Item 99</v>
      </c>
    </row>
    <row r="29" spans="1:5" ht="15.5" x14ac:dyDescent="0.35">
      <c r="A29" s="21">
        <v>11</v>
      </c>
      <c r="B29" s="1"/>
      <c r="C29" s="12" t="s">
        <v>222</v>
      </c>
      <c r="D29" s="25">
        <f>SUM(D27:D28)</f>
        <v>1850748</v>
      </c>
    </row>
    <row r="30" spans="1:5" ht="31" x14ac:dyDescent="0.35">
      <c r="A30" s="21">
        <v>12</v>
      </c>
      <c r="B30" s="1"/>
      <c r="C30" s="12" t="s">
        <v>224</v>
      </c>
      <c r="D30" s="69">
        <v>-0.8</v>
      </c>
      <c r="E30" s="105" t="s">
        <v>236</v>
      </c>
    </row>
    <row r="31" spans="1:5" ht="15.5" x14ac:dyDescent="0.35">
      <c r="A31" s="21">
        <v>13</v>
      </c>
      <c r="B31" s="1"/>
      <c r="C31" s="12" t="s">
        <v>225</v>
      </c>
      <c r="D31" s="25">
        <f>+D30*D29</f>
        <v>-1480598.4000000001</v>
      </c>
    </row>
    <row r="32" spans="1:5" ht="15.5" x14ac:dyDescent="0.35">
      <c r="A32" s="21"/>
      <c r="B32" s="1"/>
      <c r="C32" s="1"/>
      <c r="D32" s="25"/>
    </row>
    <row r="33" spans="1:4" ht="15.5" x14ac:dyDescent="0.35">
      <c r="A33" s="21"/>
      <c r="B33" s="1"/>
      <c r="C33" s="1"/>
      <c r="D33" s="120"/>
    </row>
    <row r="34" spans="1:4" ht="15.5" x14ac:dyDescent="0.35">
      <c r="A34" s="21"/>
      <c r="B34" s="1"/>
      <c r="C34" s="1"/>
      <c r="D34" s="25"/>
    </row>
    <row r="35" spans="1:4" ht="15.5" x14ac:dyDescent="0.35">
      <c r="A35" s="112"/>
      <c r="C35" s="1"/>
      <c r="D35" s="25"/>
    </row>
    <row r="36" spans="1:4" ht="15.5" x14ac:dyDescent="0.35">
      <c r="A36" s="112"/>
      <c r="C36" s="1"/>
      <c r="D36" s="25"/>
    </row>
    <row r="37" spans="1:4" ht="15.5" x14ac:dyDescent="0.35">
      <c r="A37" s="112"/>
      <c r="D37" s="121"/>
    </row>
    <row r="38" spans="1:4" ht="15.5" x14ac:dyDescent="0.35">
      <c r="A38" s="112"/>
    </row>
    <row r="39" spans="1:4" ht="15.5" x14ac:dyDescent="0.35">
      <c r="A39" s="112"/>
    </row>
    <row r="40" spans="1:4" ht="15.5" x14ac:dyDescent="0.35">
      <c r="A40" s="112"/>
    </row>
    <row r="41" spans="1:4" ht="15.5" x14ac:dyDescent="0.35">
      <c r="A41" s="112"/>
    </row>
  </sheetData>
  <pageMargins left="0.7" right="0.7" top="0.75" bottom="0.75" header="0.3" footer="0.3"/>
  <pageSetup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6F7E-F2F7-4BD1-B07A-4E8642170A4E}">
  <sheetPr>
    <pageSetUpPr fitToPage="1"/>
  </sheetPr>
  <dimension ref="A1:E29"/>
  <sheetViews>
    <sheetView workbookViewId="0">
      <selection activeCell="E14" sqref="E14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5.269531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178</v>
      </c>
    </row>
    <row r="4" spans="1:5" ht="15.5" x14ac:dyDescent="0.35">
      <c r="A4" s="75" t="s">
        <v>230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15.5" x14ac:dyDescent="0.35">
      <c r="A11" s="21">
        <v>1</v>
      </c>
      <c r="B11" s="1"/>
      <c r="C11" s="1" t="s">
        <v>226</v>
      </c>
      <c r="D11" s="25">
        <f>114707+66170</f>
        <v>180877</v>
      </c>
      <c r="E11" s="105" t="s">
        <v>153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281</v>
      </c>
      <c r="D13" s="26">
        <f>+D11+D15</f>
        <v>54263.100000000006</v>
      </c>
      <c r="E13" s="25" t="s">
        <v>251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+D27</f>
        <v>-126613.9</v>
      </c>
      <c r="E15" s="25" t="s">
        <v>293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21" spans="1:5" ht="15.5" x14ac:dyDescent="0.35">
      <c r="A21" s="21"/>
    </row>
    <row r="22" spans="1:5" ht="15.5" x14ac:dyDescent="0.35">
      <c r="A22" s="21"/>
      <c r="C22" s="1"/>
      <c r="D22" s="24" t="s">
        <v>230</v>
      </c>
    </row>
    <row r="23" spans="1:5" ht="31" x14ac:dyDescent="0.35">
      <c r="A23" s="21">
        <v>4</v>
      </c>
      <c r="C23" s="12" t="s">
        <v>207</v>
      </c>
      <c r="D23" s="25">
        <v>114707</v>
      </c>
      <c r="E23" s="105" t="s">
        <v>233</v>
      </c>
    </row>
    <row r="24" spans="1:5" ht="31" x14ac:dyDescent="0.35">
      <c r="A24" s="21">
        <v>5</v>
      </c>
      <c r="C24" s="12" t="s">
        <v>208</v>
      </c>
      <c r="D24" s="26">
        <v>66170</v>
      </c>
      <c r="E24" s="105" t="str">
        <f>+E23</f>
        <v>Attorney General’s First Request, Item 99</v>
      </c>
    </row>
    <row r="25" spans="1:5" ht="15.5" x14ac:dyDescent="0.35">
      <c r="A25" s="21">
        <v>6</v>
      </c>
      <c r="C25" s="12" t="s">
        <v>223</v>
      </c>
      <c r="D25" s="25">
        <f>SUM(D23:D24)</f>
        <v>180877</v>
      </c>
    </row>
    <row r="26" spans="1:5" ht="15.5" x14ac:dyDescent="0.35">
      <c r="A26" s="21">
        <v>7</v>
      </c>
      <c r="C26" s="12" t="s">
        <v>224</v>
      </c>
      <c r="D26" s="69">
        <v>-0.7</v>
      </c>
      <c r="E26" s="105" t="s">
        <v>255</v>
      </c>
    </row>
    <row r="27" spans="1:5" ht="15.5" x14ac:dyDescent="0.35">
      <c r="A27" s="21">
        <v>8</v>
      </c>
      <c r="C27" s="12" t="s">
        <v>225</v>
      </c>
      <c r="D27" s="25">
        <f>+D26*D25</f>
        <v>-126613.9</v>
      </c>
    </row>
    <row r="28" spans="1:5" ht="15.5" x14ac:dyDescent="0.35">
      <c r="A28" s="21"/>
      <c r="C28" s="126"/>
    </row>
    <row r="29" spans="1:5" ht="15.5" x14ac:dyDescent="0.35">
      <c r="A29" s="21"/>
      <c r="C29" s="127"/>
    </row>
  </sheetData>
  <pageMargins left="0.7" right="0.7" top="0.75" bottom="0.75" header="0.3" footer="0.3"/>
  <pageSetup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1CDB-EF39-476B-BDCD-9EDE575DA76F}">
  <sheetPr>
    <pageSetUpPr fitToPage="1"/>
  </sheetPr>
  <dimension ref="A1:E29"/>
  <sheetViews>
    <sheetView workbookViewId="0">
      <selection activeCell="C13" sqref="C13"/>
    </sheetView>
  </sheetViews>
  <sheetFormatPr defaultRowHeight="14.5" x14ac:dyDescent="0.35"/>
  <cols>
    <col min="1" max="1" width="9" customWidth="1"/>
    <col min="2" max="2" width="2.26953125" customWidth="1"/>
    <col min="3" max="3" width="61.453125" customWidth="1"/>
    <col min="4" max="4" width="20.7265625" customWidth="1"/>
    <col min="5" max="5" width="31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182</v>
      </c>
    </row>
    <row r="4" spans="1:5" ht="15.5" x14ac:dyDescent="0.35">
      <c r="A4" s="75" t="s">
        <v>176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7" spans="1:5" ht="15.5" x14ac:dyDescent="0.35">
      <c r="A7" s="18" t="s">
        <v>32</v>
      </c>
      <c r="B7" s="65"/>
      <c r="C7" s="18" t="s">
        <v>16</v>
      </c>
      <c r="D7" s="24" t="s">
        <v>150</v>
      </c>
      <c r="E7" s="24" t="s">
        <v>34</v>
      </c>
    </row>
    <row r="8" spans="1:5" ht="15.5" x14ac:dyDescent="0.35">
      <c r="A8" s="1"/>
      <c r="B8" s="65"/>
      <c r="C8" s="1"/>
      <c r="D8" s="21"/>
      <c r="E8" s="21"/>
    </row>
    <row r="9" spans="1:5" ht="15.5" x14ac:dyDescent="0.35">
      <c r="A9" s="67">
        <v>1</v>
      </c>
      <c r="B9" s="65"/>
      <c r="C9" s="79" t="s">
        <v>282</v>
      </c>
      <c r="D9" s="25">
        <f>+Payroll!D15+'Incentive Comp'!D15</f>
        <v>-4489696.2439999999</v>
      </c>
      <c r="E9" s="25" t="s">
        <v>180</v>
      </c>
    </row>
    <row r="10" spans="1:5" ht="15.5" x14ac:dyDescent="0.35">
      <c r="A10" s="67"/>
      <c r="B10" s="65"/>
      <c r="C10" s="1"/>
      <c r="D10" s="25"/>
      <c r="E10" s="25"/>
    </row>
    <row r="11" spans="1:5" ht="15.5" x14ac:dyDescent="0.35">
      <c r="A11" s="67">
        <v>2</v>
      </c>
      <c r="B11" s="65"/>
      <c r="C11" s="1" t="s">
        <v>198</v>
      </c>
      <c r="D11" s="59">
        <f>D20</f>
        <v>6.8101669532339384E-2</v>
      </c>
      <c r="E11" s="1" t="s">
        <v>153</v>
      </c>
    </row>
    <row r="12" spans="1:5" ht="15.5" x14ac:dyDescent="0.35">
      <c r="A12" s="67"/>
      <c r="B12" s="65"/>
      <c r="C12" s="1"/>
      <c r="D12" s="25"/>
      <c r="E12" s="25"/>
    </row>
    <row r="13" spans="1:5" ht="16" thickBot="1" x14ac:dyDescent="0.4">
      <c r="A13" s="67">
        <v>3</v>
      </c>
      <c r="B13" s="65"/>
      <c r="C13" s="1" t="s">
        <v>272</v>
      </c>
      <c r="D13" s="30">
        <f>D9*D11</f>
        <v>-305755.80990947335</v>
      </c>
      <c r="E13" s="25" t="s">
        <v>179</v>
      </c>
    </row>
    <row r="14" spans="1:5" ht="16" thickTop="1" x14ac:dyDescent="0.35">
      <c r="A14" s="67"/>
      <c r="B14" s="65"/>
      <c r="C14" s="1"/>
      <c r="D14" s="25"/>
      <c r="E14" s="25"/>
    </row>
    <row r="15" spans="1:5" ht="15.5" x14ac:dyDescent="0.35">
      <c r="A15" s="21"/>
      <c r="B15" s="1"/>
      <c r="C15" s="1"/>
      <c r="D15" s="25"/>
      <c r="E15" s="25"/>
    </row>
    <row r="16" spans="1:5" ht="15.5" x14ac:dyDescent="0.35">
      <c r="A16" s="21"/>
      <c r="B16" s="25"/>
      <c r="C16" s="1"/>
      <c r="D16" s="25"/>
      <c r="E16" s="25"/>
    </row>
    <row r="17" spans="1:5" ht="15.5" x14ac:dyDescent="0.35">
      <c r="A17" s="21"/>
      <c r="B17" s="1"/>
      <c r="C17" s="1"/>
      <c r="D17" s="93"/>
      <c r="E17" s="1"/>
    </row>
    <row r="18" spans="1:5" ht="46.5" x14ac:dyDescent="0.35">
      <c r="A18" s="21">
        <v>4</v>
      </c>
      <c r="B18" s="1"/>
      <c r="C18" s="1" t="s">
        <v>209</v>
      </c>
      <c r="D18" s="25">
        <v>900432.44286459521</v>
      </c>
      <c r="E18" s="79" t="s">
        <v>227</v>
      </c>
    </row>
    <row r="19" spans="1:5" ht="46.5" x14ac:dyDescent="0.35">
      <c r="A19" s="21">
        <v>5</v>
      </c>
      <c r="B19" s="1"/>
      <c r="C19" s="1" t="s">
        <v>173</v>
      </c>
      <c r="D19" s="26">
        <v>13221885</v>
      </c>
      <c r="E19" s="79" t="s">
        <v>228</v>
      </c>
    </row>
    <row r="20" spans="1:5" ht="15.5" x14ac:dyDescent="0.35">
      <c r="A20" s="21">
        <v>6</v>
      </c>
      <c r="B20" s="1"/>
      <c r="C20" s="1" t="s">
        <v>198</v>
      </c>
      <c r="D20" s="94">
        <f>+D18/D19</f>
        <v>6.8101669532339384E-2</v>
      </c>
      <c r="E20" s="1" t="s">
        <v>210</v>
      </c>
    </row>
    <row r="21" spans="1:5" ht="15.5" x14ac:dyDescent="0.35">
      <c r="A21" s="21"/>
      <c r="B21" s="1"/>
      <c r="C21" s="1"/>
      <c r="D21" s="1"/>
      <c r="E21" s="1"/>
    </row>
    <row r="22" spans="1:5" ht="15.5" x14ac:dyDescent="0.35">
      <c r="A22" s="21"/>
      <c r="B22" s="1"/>
      <c r="C22" s="1"/>
      <c r="D22" s="1"/>
      <c r="E22" s="1"/>
    </row>
    <row r="23" spans="1:5" ht="15.5" x14ac:dyDescent="0.35">
      <c r="A23" s="1"/>
      <c r="B23" s="1"/>
      <c r="C23" s="1"/>
      <c r="D23" s="1"/>
      <c r="E23" s="1"/>
    </row>
    <row r="24" spans="1:5" ht="15.5" x14ac:dyDescent="0.35">
      <c r="A24" s="1"/>
      <c r="B24" s="1"/>
      <c r="C24" s="1"/>
      <c r="D24" s="1"/>
      <c r="E24" s="1"/>
    </row>
    <row r="25" spans="1:5" ht="15.5" x14ac:dyDescent="0.35">
      <c r="A25" s="1"/>
      <c r="B25" s="1"/>
      <c r="C25" s="1"/>
      <c r="D25" s="1"/>
      <c r="E25" s="1"/>
    </row>
    <row r="26" spans="1:5" ht="15.5" x14ac:dyDescent="0.35">
      <c r="A26" s="1"/>
      <c r="B26" s="1"/>
      <c r="C26" s="1"/>
      <c r="D26" s="1"/>
      <c r="E26" s="1"/>
    </row>
    <row r="27" spans="1:5" ht="15.5" x14ac:dyDescent="0.35">
      <c r="A27" s="1"/>
      <c r="B27" s="1"/>
      <c r="C27" s="25"/>
      <c r="D27" s="1"/>
    </row>
    <row r="28" spans="1:5" ht="15.5" x14ac:dyDescent="0.35">
      <c r="A28" s="103"/>
    </row>
    <row r="29" spans="1:5" ht="15.5" x14ac:dyDescent="0.35">
      <c r="C29" s="1"/>
    </row>
  </sheetData>
  <pageMargins left="0.7" right="0.7" top="0.75" bottom="0.75" header="0.3" footer="0.3"/>
  <pageSetup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B8F4-BB78-4858-9150-09ED26A29801}">
  <sheetPr>
    <pageSetUpPr fitToPage="1"/>
  </sheetPr>
  <dimension ref="A1:G31"/>
  <sheetViews>
    <sheetView workbookViewId="0">
      <selection activeCell="C25" sqref="C25"/>
    </sheetView>
  </sheetViews>
  <sheetFormatPr defaultRowHeight="14.5" x14ac:dyDescent="0.35"/>
  <cols>
    <col min="1" max="1" width="9" customWidth="1"/>
    <col min="2" max="2" width="2.26953125" customWidth="1"/>
    <col min="3" max="3" width="61.453125" customWidth="1"/>
    <col min="4" max="4" width="20.7265625" customWidth="1"/>
    <col min="5" max="5" width="31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183</v>
      </c>
    </row>
    <row r="4" spans="1:5" ht="15.5" x14ac:dyDescent="0.35">
      <c r="A4" s="75" t="s">
        <v>181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7" spans="1:5" ht="15.5" x14ac:dyDescent="0.35">
      <c r="A7" s="18" t="s">
        <v>32</v>
      </c>
      <c r="B7" s="65"/>
      <c r="C7" s="18" t="s">
        <v>16</v>
      </c>
      <c r="D7" s="24" t="s">
        <v>150</v>
      </c>
      <c r="E7" s="24" t="s">
        <v>34</v>
      </c>
    </row>
    <row r="8" spans="1:5" ht="15.5" x14ac:dyDescent="0.35">
      <c r="A8" s="1"/>
      <c r="B8" s="65"/>
      <c r="C8" s="1"/>
      <c r="D8" s="21"/>
      <c r="E8" s="21"/>
    </row>
    <row r="9" spans="1:5" ht="15.5" x14ac:dyDescent="0.35">
      <c r="A9" s="67">
        <v>1</v>
      </c>
      <c r="B9" s="65"/>
      <c r="C9" s="79" t="s">
        <v>283</v>
      </c>
      <c r="D9" s="25">
        <f>Payroll!D15</f>
        <v>-1628841.6440000001</v>
      </c>
      <c r="E9" s="25" t="s">
        <v>202</v>
      </c>
    </row>
    <row r="10" spans="1:5" ht="15.5" x14ac:dyDescent="0.35">
      <c r="A10" s="67"/>
      <c r="B10" s="65"/>
      <c r="C10" s="1"/>
      <c r="D10" s="25"/>
      <c r="E10" s="25"/>
    </row>
    <row r="11" spans="1:5" ht="15.5" x14ac:dyDescent="0.35">
      <c r="A11" s="67">
        <v>2</v>
      </c>
      <c r="B11" s="65"/>
      <c r="C11" s="76" t="s">
        <v>185</v>
      </c>
      <c r="D11" s="59">
        <f>D24</f>
        <v>0.23162504544134727</v>
      </c>
      <c r="E11" s="1" t="s">
        <v>153</v>
      </c>
    </row>
    <row r="12" spans="1:5" ht="15.5" x14ac:dyDescent="0.35">
      <c r="A12" s="67"/>
      <c r="B12" s="65"/>
      <c r="C12" s="1"/>
      <c r="D12" s="25"/>
      <c r="E12" s="25"/>
    </row>
    <row r="13" spans="1:5" ht="16" thickBot="1" x14ac:dyDescent="0.4">
      <c r="A13" s="67">
        <v>3</v>
      </c>
      <c r="B13" s="65"/>
      <c r="C13" s="1" t="s">
        <v>272</v>
      </c>
      <c r="D13" s="30">
        <f>D9*D11</f>
        <v>-377280.5198082588</v>
      </c>
      <c r="E13" s="25" t="s">
        <v>179</v>
      </c>
    </row>
    <row r="14" spans="1:5" ht="16" thickTop="1" x14ac:dyDescent="0.35">
      <c r="A14" s="67"/>
      <c r="B14" s="65"/>
      <c r="C14" s="1"/>
      <c r="D14" s="25"/>
      <c r="E14" s="25"/>
    </row>
    <row r="15" spans="1:5" ht="15.5" x14ac:dyDescent="0.35">
      <c r="A15" s="21"/>
      <c r="B15" s="1"/>
      <c r="C15" s="1"/>
      <c r="D15" s="25"/>
      <c r="E15" s="25"/>
    </row>
    <row r="16" spans="1:5" ht="15.5" x14ac:dyDescent="0.35">
      <c r="A16" s="21"/>
      <c r="B16" s="25"/>
      <c r="C16" s="1"/>
      <c r="D16" s="25"/>
      <c r="E16" s="25"/>
    </row>
    <row r="22" spans="1:7" ht="46.5" x14ac:dyDescent="0.35">
      <c r="A22" s="80">
        <v>4</v>
      </c>
      <c r="B22" s="76"/>
      <c r="C22" s="76" t="s">
        <v>184</v>
      </c>
      <c r="D22" s="81">
        <v>3062519.7139452677</v>
      </c>
      <c r="E22" s="79" t="s">
        <v>227</v>
      </c>
      <c r="F22" s="81"/>
      <c r="G22" s="76"/>
    </row>
    <row r="23" spans="1:7" ht="46.5" x14ac:dyDescent="0.35">
      <c r="A23" s="80">
        <v>5</v>
      </c>
      <c r="B23" s="76"/>
      <c r="C23" s="76" t="s">
        <v>173</v>
      </c>
      <c r="D23" s="104">
        <f>+'Payroll Tax'!D19</f>
        <v>13221885</v>
      </c>
      <c r="E23" s="79" t="s">
        <v>228</v>
      </c>
      <c r="F23" s="81"/>
      <c r="G23" s="25"/>
    </row>
    <row r="24" spans="1:7" ht="15.5" x14ac:dyDescent="0.35">
      <c r="A24" s="80">
        <v>6</v>
      </c>
      <c r="B24" s="76"/>
      <c r="C24" s="76" t="s">
        <v>185</v>
      </c>
      <c r="D24" s="82">
        <f>+D22/D23</f>
        <v>0.23162504544134727</v>
      </c>
      <c r="E24" s="1" t="s">
        <v>210</v>
      </c>
      <c r="F24" s="82"/>
      <c r="G24" s="76"/>
    </row>
    <row r="25" spans="1:7" ht="15.5" x14ac:dyDescent="0.35">
      <c r="A25" s="80"/>
      <c r="B25" s="76"/>
      <c r="C25" s="76"/>
      <c r="D25" s="76"/>
      <c r="E25" s="76"/>
      <c r="F25" s="76"/>
      <c r="G25" s="76"/>
    </row>
    <row r="26" spans="1:7" ht="15.5" x14ac:dyDescent="0.35">
      <c r="A26" s="62"/>
      <c r="B26" s="62"/>
      <c r="C26" s="62"/>
      <c r="D26" s="62"/>
    </row>
    <row r="27" spans="1:7" ht="15.5" x14ac:dyDescent="0.35">
      <c r="A27" s="62"/>
      <c r="B27" s="62"/>
      <c r="C27" s="1" t="s">
        <v>139</v>
      </c>
      <c r="D27" s="62"/>
    </row>
    <row r="28" spans="1:7" ht="15.5" x14ac:dyDescent="0.35">
      <c r="C28" s="1"/>
    </row>
    <row r="30" spans="1:7" ht="15.5" x14ac:dyDescent="0.35">
      <c r="A30" s="1"/>
      <c r="B30" s="1"/>
      <c r="C30" s="25"/>
      <c r="D30" s="1"/>
    </row>
    <row r="31" spans="1:7" ht="15.5" x14ac:dyDescent="0.35">
      <c r="A31" s="103"/>
    </row>
  </sheetData>
  <pageMargins left="0.7" right="0.7" top="0.75" bottom="0.75" header="0.3" footer="0.3"/>
  <pageSetup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A2A5-26B5-472B-9753-B2C88126F9C0}">
  <sheetPr>
    <pageSetUpPr fitToPage="1"/>
  </sheetPr>
  <dimension ref="A1:E17"/>
  <sheetViews>
    <sheetView workbookViewId="0">
      <selection activeCell="E27" sqref="E27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0.72656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192</v>
      </c>
    </row>
    <row r="4" spans="1:5" ht="15.5" x14ac:dyDescent="0.35">
      <c r="A4" s="75" t="s">
        <v>239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46.5" x14ac:dyDescent="0.35">
      <c r="A11" s="21">
        <v>1</v>
      </c>
      <c r="B11" s="1"/>
      <c r="C11" s="1" t="s">
        <v>146</v>
      </c>
      <c r="D11" s="25">
        <v>60552</v>
      </c>
      <c r="E11" s="88" t="s">
        <v>240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284</v>
      </c>
      <c r="D13" s="26">
        <v>0</v>
      </c>
      <c r="E13" s="88" t="s">
        <v>197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+D13-D11</f>
        <v>-60552</v>
      </c>
      <c r="E15" s="25" t="s">
        <v>154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</sheetData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C4A3-6635-4AD3-B8F4-4C87E3EE349C}">
  <sheetPr>
    <pageSetUpPr fitToPage="1"/>
  </sheetPr>
  <dimension ref="A1:K28"/>
  <sheetViews>
    <sheetView workbookViewId="0">
      <selection activeCell="F6" sqref="F6"/>
    </sheetView>
  </sheetViews>
  <sheetFormatPr defaultRowHeight="14.5" x14ac:dyDescent="0.35"/>
  <cols>
    <col min="1" max="1" width="9.81640625" customWidth="1"/>
    <col min="2" max="2" width="2" customWidth="1"/>
    <col min="3" max="3" width="51.81640625" customWidth="1"/>
    <col min="4" max="6" width="18.7265625" customWidth="1"/>
    <col min="7" max="7" width="1.7265625" customWidth="1"/>
    <col min="8" max="8" width="16.453125" customWidth="1"/>
    <col min="10" max="10" width="15" customWidth="1"/>
  </cols>
  <sheetData>
    <row r="1" spans="1:11" ht="15.5" x14ac:dyDescent="0.35">
      <c r="A1" s="1" t="s">
        <v>2</v>
      </c>
      <c r="B1" s="1"/>
      <c r="C1" s="1"/>
      <c r="H1" s="12" t="s">
        <v>3</v>
      </c>
    </row>
    <row r="2" spans="1:11" ht="15.5" x14ac:dyDescent="0.35">
      <c r="A2" s="1" t="s">
        <v>50</v>
      </c>
      <c r="H2" s="12" t="s">
        <v>6</v>
      </c>
    </row>
    <row r="3" spans="1:11" ht="15.5" x14ac:dyDescent="0.35">
      <c r="A3" s="1"/>
      <c r="D3" s="1"/>
      <c r="E3" s="1"/>
      <c r="F3" s="1"/>
      <c r="G3" s="1"/>
      <c r="H3" s="12" t="s">
        <v>58</v>
      </c>
      <c r="I3" s="1"/>
      <c r="J3" s="1"/>
      <c r="K3" s="1"/>
    </row>
    <row r="4" spans="1:11" ht="15.5" x14ac:dyDescent="0.35">
      <c r="A4" s="1" t="s">
        <v>51</v>
      </c>
      <c r="D4" s="1"/>
      <c r="E4" s="1"/>
      <c r="F4" s="1"/>
      <c r="G4" s="1"/>
      <c r="H4" s="12" t="s">
        <v>10</v>
      </c>
      <c r="I4" s="1"/>
      <c r="J4" s="1"/>
      <c r="K4" s="1"/>
    </row>
    <row r="5" spans="1:11" ht="15.5" x14ac:dyDescent="0.35">
      <c r="C5" s="1"/>
      <c r="D5" s="1"/>
      <c r="E5" s="1"/>
      <c r="F5" s="1"/>
      <c r="G5" s="1"/>
      <c r="H5" s="1"/>
      <c r="I5" s="1"/>
      <c r="J5" s="1"/>
      <c r="K5" s="1"/>
    </row>
    <row r="6" spans="1:11" ht="15.5" x14ac:dyDescent="0.35">
      <c r="A6" s="18" t="s">
        <v>32</v>
      </c>
      <c r="C6" s="22" t="s">
        <v>16</v>
      </c>
      <c r="D6" s="24" t="s">
        <v>41</v>
      </c>
      <c r="E6" s="24" t="s">
        <v>42</v>
      </c>
      <c r="F6" s="24" t="s">
        <v>268</v>
      </c>
      <c r="G6" s="21"/>
      <c r="H6" s="24" t="s">
        <v>34</v>
      </c>
      <c r="I6" s="1"/>
      <c r="J6" s="1"/>
      <c r="K6" s="1"/>
    </row>
    <row r="7" spans="1:11" ht="15.5" x14ac:dyDescent="0.35">
      <c r="C7" s="1"/>
      <c r="D7" s="21" t="s">
        <v>35</v>
      </c>
      <c r="E7" s="21" t="s">
        <v>36</v>
      </c>
      <c r="F7" s="21" t="s">
        <v>37</v>
      </c>
      <c r="G7" s="21"/>
      <c r="H7" s="21" t="s">
        <v>57</v>
      </c>
      <c r="I7" s="1"/>
      <c r="J7" s="1"/>
      <c r="K7" s="1"/>
    </row>
    <row r="8" spans="1:11" ht="15.5" x14ac:dyDescent="0.35">
      <c r="C8" s="1"/>
      <c r="D8" s="21"/>
      <c r="E8" s="21"/>
      <c r="F8" s="21"/>
      <c r="G8" s="21"/>
      <c r="H8" s="21"/>
      <c r="I8" s="1"/>
      <c r="J8" s="1"/>
      <c r="K8" s="1"/>
    </row>
    <row r="9" spans="1:11" ht="15.5" x14ac:dyDescent="0.35">
      <c r="A9" s="21">
        <v>1</v>
      </c>
      <c r="C9" s="23" t="s">
        <v>43</v>
      </c>
      <c r="D9" s="25">
        <f>B!C36</f>
        <v>518827312.13539064</v>
      </c>
      <c r="E9" s="25">
        <f>+F9-D9+1</f>
        <v>-11371524</v>
      </c>
      <c r="F9" s="25">
        <f>B!E36</f>
        <v>507455787.13539064</v>
      </c>
      <c r="G9" s="1"/>
      <c r="H9" s="1" t="s">
        <v>59</v>
      </c>
      <c r="I9" s="1"/>
      <c r="J9" s="1"/>
      <c r="K9" s="1"/>
    </row>
    <row r="10" spans="1:11" ht="15.5" x14ac:dyDescent="0.35">
      <c r="A10" s="21"/>
      <c r="C10" s="1"/>
      <c r="D10" s="1"/>
      <c r="E10" s="1"/>
      <c r="F10" s="1"/>
      <c r="G10" s="1"/>
      <c r="H10" s="1"/>
      <c r="I10" s="1"/>
      <c r="J10" s="1"/>
      <c r="K10" s="1"/>
    </row>
    <row r="11" spans="1:11" ht="15.5" x14ac:dyDescent="0.35">
      <c r="A11" s="21">
        <v>2</v>
      </c>
      <c r="C11" s="23" t="s">
        <v>72</v>
      </c>
      <c r="D11" s="59">
        <f>D!I20</f>
        <v>8.0100000000000005E-2</v>
      </c>
      <c r="E11" s="59">
        <f>+F11-D11</f>
        <v>-6.5999999999999948E-3</v>
      </c>
      <c r="F11" s="59">
        <f>D!I36</f>
        <v>7.350000000000001E-2</v>
      </c>
      <c r="G11" s="1"/>
      <c r="H11" s="1" t="s">
        <v>8</v>
      </c>
      <c r="I11" s="1"/>
      <c r="J11" s="1"/>
      <c r="K11" s="1"/>
    </row>
    <row r="12" spans="1:11" ht="15.5" x14ac:dyDescent="0.35">
      <c r="A12" s="21"/>
      <c r="C12" s="1"/>
      <c r="D12" s="1"/>
      <c r="E12" s="1"/>
      <c r="F12" s="1"/>
      <c r="G12" s="1"/>
      <c r="H12" s="1"/>
      <c r="I12" s="1"/>
      <c r="J12" s="1"/>
      <c r="K12" s="1"/>
    </row>
    <row r="13" spans="1:11" ht="15.5" x14ac:dyDescent="0.35">
      <c r="A13" s="21">
        <v>3</v>
      </c>
      <c r="C13" s="23" t="s">
        <v>39</v>
      </c>
      <c r="D13" s="25">
        <f>+D9*D11</f>
        <v>41558067.702044792</v>
      </c>
      <c r="E13" s="25">
        <f>+F13-D13</f>
        <v>-4260067.3475935757</v>
      </c>
      <c r="F13" s="25">
        <f>+F9*F11</f>
        <v>37298000.354451217</v>
      </c>
      <c r="G13" s="1"/>
      <c r="H13" s="1" t="s">
        <v>84</v>
      </c>
      <c r="I13" s="1"/>
      <c r="J13" s="1"/>
      <c r="K13" s="1"/>
    </row>
    <row r="14" spans="1:11" ht="15.5" x14ac:dyDescent="0.35">
      <c r="A14" s="21"/>
      <c r="C14" s="1"/>
      <c r="D14" s="25"/>
      <c r="E14" s="25"/>
      <c r="F14" s="25"/>
      <c r="G14" s="1"/>
      <c r="H14" s="1"/>
      <c r="I14" s="1"/>
      <c r="J14" s="1"/>
      <c r="K14" s="1"/>
    </row>
    <row r="15" spans="1:11" ht="15.5" x14ac:dyDescent="0.35">
      <c r="A15" s="21">
        <v>4</v>
      </c>
      <c r="C15" s="23" t="s">
        <v>211</v>
      </c>
      <c r="D15" s="26">
        <f>'C'!C27</f>
        <v>23814043</v>
      </c>
      <c r="E15" s="26">
        <f>+F15-D15</f>
        <v>5132306.0506501608</v>
      </c>
      <c r="F15" s="26">
        <f>'C'!E27</f>
        <v>28946349.050650161</v>
      </c>
      <c r="G15" s="1"/>
      <c r="H15" s="1" t="s">
        <v>38</v>
      </c>
      <c r="I15" s="1"/>
      <c r="J15" s="1"/>
      <c r="K15" s="1"/>
    </row>
    <row r="16" spans="1:11" ht="15.5" x14ac:dyDescent="0.35">
      <c r="A16" s="21"/>
      <c r="C16" s="1"/>
      <c r="D16" s="25"/>
      <c r="E16" s="25"/>
      <c r="F16" s="25"/>
      <c r="G16" s="1"/>
      <c r="H16" s="1"/>
      <c r="I16" s="1"/>
      <c r="J16" s="1"/>
      <c r="K16" s="1"/>
    </row>
    <row r="17" spans="1:11" ht="15.5" x14ac:dyDescent="0.35">
      <c r="A17" s="21">
        <v>5</v>
      </c>
      <c r="C17" s="23" t="s">
        <v>44</v>
      </c>
      <c r="D17" s="25">
        <f>+D13-D15</f>
        <v>17744024.702044792</v>
      </c>
      <c r="E17" s="25">
        <f>+F17-D17</f>
        <v>-9392373.3982437365</v>
      </c>
      <c r="F17" s="25">
        <f>+F13-F15</f>
        <v>8351651.303801056</v>
      </c>
      <c r="G17" s="1"/>
      <c r="H17" s="1" t="s">
        <v>85</v>
      </c>
      <c r="I17" s="1"/>
      <c r="J17" s="25"/>
      <c r="K17" s="1"/>
    </row>
    <row r="18" spans="1:11" ht="15.5" x14ac:dyDescent="0.35">
      <c r="A18" s="21"/>
      <c r="C18" s="1"/>
      <c r="D18" s="1"/>
      <c r="E18" s="1"/>
      <c r="F18" s="1"/>
      <c r="G18" s="1"/>
      <c r="H18" s="1"/>
      <c r="I18" s="1"/>
      <c r="J18" s="1"/>
      <c r="K18" s="1"/>
    </row>
    <row r="19" spans="1:11" ht="15.5" x14ac:dyDescent="0.35">
      <c r="A19" s="21">
        <v>6</v>
      </c>
      <c r="C19" s="23" t="s">
        <v>31</v>
      </c>
      <c r="D19" s="18">
        <v>1.3397760000000001</v>
      </c>
      <c r="E19" s="26">
        <f t="shared" ref="E19:E21" si="0">+F19-D19</f>
        <v>0</v>
      </c>
      <c r="F19" s="18">
        <f>+D19</f>
        <v>1.3397760000000001</v>
      </c>
      <c r="G19" s="1"/>
      <c r="H19" s="1" t="s">
        <v>52</v>
      </c>
      <c r="I19" s="1"/>
      <c r="J19" s="1"/>
      <c r="K19" s="1"/>
    </row>
    <row r="20" spans="1:11" ht="15.5" x14ac:dyDescent="0.35">
      <c r="A20" s="21"/>
      <c r="C20" s="1"/>
      <c r="D20" s="1"/>
      <c r="E20" s="25"/>
      <c r="F20" s="1"/>
      <c r="G20" s="1"/>
      <c r="H20" s="1"/>
      <c r="I20" s="1"/>
      <c r="J20" s="1"/>
      <c r="K20" s="1"/>
    </row>
    <row r="21" spans="1:11" ht="16" thickBot="1" x14ac:dyDescent="0.4">
      <c r="A21" s="21">
        <v>7</v>
      </c>
      <c r="C21" s="13" t="s">
        <v>45</v>
      </c>
      <c r="D21" s="30">
        <f>+D17*D19+1</f>
        <v>23773019.439206764</v>
      </c>
      <c r="E21" s="30">
        <f t="shared" si="0"/>
        <v>-12583677.462005399</v>
      </c>
      <c r="F21" s="30">
        <f>+F17*F19</f>
        <v>11189341.977201365</v>
      </c>
      <c r="G21" s="1"/>
      <c r="H21" s="1" t="s">
        <v>86</v>
      </c>
      <c r="I21" s="1"/>
      <c r="J21" s="1"/>
      <c r="K21" s="1"/>
    </row>
    <row r="22" spans="1:11" ht="16" thickTop="1" x14ac:dyDescent="0.35">
      <c r="A22" s="21"/>
      <c r="C22" s="1"/>
      <c r="D22" s="1"/>
      <c r="E22" s="1"/>
      <c r="F22" s="1"/>
      <c r="G22" s="1"/>
      <c r="H22" s="1"/>
      <c r="I22" s="1"/>
      <c r="J22" s="1"/>
      <c r="K22" s="1"/>
    </row>
    <row r="23" spans="1:11" ht="15.5" x14ac:dyDescent="0.35">
      <c r="A23" s="21"/>
      <c r="C23" s="13"/>
      <c r="D23" s="1"/>
      <c r="E23" s="1"/>
      <c r="F23" s="1"/>
      <c r="G23" s="1"/>
      <c r="H23" s="1"/>
      <c r="I23" s="1"/>
      <c r="J23" s="1"/>
      <c r="K23" s="1"/>
    </row>
    <row r="24" spans="1:11" ht="15.5" x14ac:dyDescent="0.35">
      <c r="A24" s="21"/>
      <c r="D24" s="1"/>
      <c r="E24" s="1"/>
      <c r="F24" s="1"/>
      <c r="G24" s="1"/>
      <c r="H24" s="1"/>
      <c r="I24" s="1"/>
      <c r="J24" s="1"/>
      <c r="K24" s="1"/>
    </row>
    <row r="25" spans="1:11" ht="15.5" x14ac:dyDescent="0.35">
      <c r="A25" s="21"/>
      <c r="D25" s="1"/>
      <c r="E25" s="1"/>
      <c r="F25" s="1"/>
      <c r="G25" s="1"/>
      <c r="H25" s="1"/>
      <c r="I25" s="1"/>
      <c r="J25" s="1"/>
      <c r="K25" s="1"/>
    </row>
    <row r="26" spans="1:11" ht="15.5" x14ac:dyDescent="0.35">
      <c r="D26" s="1"/>
      <c r="E26" s="1"/>
      <c r="F26" s="1"/>
      <c r="G26" s="1"/>
      <c r="H26" s="1"/>
      <c r="I26" s="1"/>
      <c r="J26" s="1"/>
      <c r="K26" s="1"/>
    </row>
    <row r="27" spans="1:11" ht="15.5" x14ac:dyDescent="0.35">
      <c r="A27" s="18" t="s">
        <v>22</v>
      </c>
      <c r="B27" s="18"/>
      <c r="C27" s="18"/>
      <c r="D27" s="18"/>
      <c r="E27" s="18"/>
      <c r="F27" s="18"/>
      <c r="G27" s="18"/>
      <c r="H27" s="18"/>
    </row>
    <row r="28" spans="1:11" ht="15.5" x14ac:dyDescent="0.35">
      <c r="A28" s="1" t="s">
        <v>247</v>
      </c>
      <c r="B28" s="1"/>
      <c r="C28" s="1"/>
      <c r="D28" s="1"/>
      <c r="E28" s="1"/>
      <c r="F28" s="1"/>
      <c r="G28" s="1"/>
      <c r="H28" s="1"/>
    </row>
  </sheetData>
  <pageMargins left="0.7" right="0.7" top="0.75" bottom="0.75" header="0.3" footer="0.3"/>
  <pageSetup scale="65" orientation="portrait" r:id="rId1"/>
  <ignoredErrors>
    <ignoredError sqref="E13 E17 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4C16-69C9-4833-AC92-EC6A41D53E8D}">
  <sheetPr>
    <pageSetUpPr fitToPage="1"/>
  </sheetPr>
  <dimension ref="A1:E17"/>
  <sheetViews>
    <sheetView workbookViewId="0">
      <selection activeCell="D21" sqref="D21"/>
    </sheetView>
  </sheetViews>
  <sheetFormatPr defaultRowHeight="14.5" x14ac:dyDescent="0.35"/>
  <cols>
    <col min="2" max="2" width="3" customWidth="1"/>
    <col min="3" max="3" width="41.1796875" customWidth="1"/>
    <col min="4" max="4" width="19.7265625" customWidth="1"/>
    <col min="5" max="5" width="20.72656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200</v>
      </c>
    </row>
    <row r="4" spans="1:5" ht="15.5" x14ac:dyDescent="0.35">
      <c r="A4" s="75" t="s">
        <v>289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46.5" x14ac:dyDescent="0.35">
      <c r="A11" s="21">
        <v>1</v>
      </c>
      <c r="B11" s="1"/>
      <c r="C11" s="1" t="s">
        <v>146</v>
      </c>
      <c r="D11" s="25">
        <f>22138-1577</f>
        <v>20561</v>
      </c>
      <c r="E11" s="88" t="s">
        <v>291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284</v>
      </c>
      <c r="D13" s="26">
        <v>0</v>
      </c>
      <c r="E13" s="88" t="s">
        <v>197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+D13-D11</f>
        <v>-20561</v>
      </c>
      <c r="E15" s="25" t="s">
        <v>154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</sheetData>
  <pageMargins left="0.7" right="0.7" top="0.75" bottom="0.75" header="0.3" footer="0.3"/>
  <pageSetup scale="9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00C5-F407-4C94-8264-24D9533639BC}">
  <sheetPr>
    <pageSetUpPr fitToPage="1"/>
  </sheetPr>
  <dimension ref="A1:G32"/>
  <sheetViews>
    <sheetView workbookViewId="0">
      <selection activeCell="C19" sqref="C19"/>
    </sheetView>
  </sheetViews>
  <sheetFormatPr defaultRowHeight="14.5" x14ac:dyDescent="0.35"/>
  <cols>
    <col min="1" max="1" width="7.81640625"/>
    <col min="2" max="2" width="3" customWidth="1"/>
    <col min="3" max="3" width="62.26953125" customWidth="1"/>
    <col min="4" max="4" width="10.26953125" customWidth="1"/>
    <col min="5" max="5" width="17.7265625" customWidth="1"/>
    <col min="6" max="6" width="2.453125" customWidth="1"/>
    <col min="7" max="7" width="14.54296875" customWidth="1"/>
  </cols>
  <sheetData>
    <row r="1" spans="1:7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7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7" ht="15.5" x14ac:dyDescent="0.35">
      <c r="A3" s="1"/>
      <c r="B3" s="1"/>
      <c r="C3" s="1"/>
      <c r="D3" s="1"/>
      <c r="E3" s="12" t="s">
        <v>290</v>
      </c>
    </row>
    <row r="4" spans="1:7" ht="15.5" x14ac:dyDescent="0.35">
      <c r="A4" s="75" t="s">
        <v>191</v>
      </c>
      <c r="B4" s="1"/>
      <c r="C4" s="1"/>
      <c r="D4" s="1"/>
      <c r="E4" s="12" t="str">
        <f>A!H4</f>
        <v>Page 1 of 1</v>
      </c>
    </row>
    <row r="6" spans="1:7" ht="15.5" x14ac:dyDescent="0.35">
      <c r="A6" s="70" t="s">
        <v>11</v>
      </c>
      <c r="B6" s="75"/>
      <c r="C6" s="75"/>
      <c r="D6" s="75"/>
      <c r="E6" s="75"/>
      <c r="F6" s="75"/>
      <c r="G6" s="90"/>
    </row>
    <row r="7" spans="1:7" ht="15.5" x14ac:dyDescent="0.35">
      <c r="A7" s="71" t="s">
        <v>15</v>
      </c>
      <c r="B7" s="75"/>
      <c r="C7" s="83" t="s">
        <v>16</v>
      </c>
      <c r="D7" s="75"/>
      <c r="E7" s="71" t="s">
        <v>150</v>
      </c>
      <c r="F7" s="75"/>
      <c r="G7" s="70"/>
    </row>
    <row r="8" spans="1:7" ht="15.5" x14ac:dyDescent="0.35">
      <c r="A8" s="70"/>
      <c r="B8" s="75"/>
      <c r="C8" s="75"/>
      <c r="D8" s="75"/>
      <c r="E8" s="75"/>
      <c r="F8" s="75"/>
      <c r="G8" s="90"/>
    </row>
    <row r="9" spans="1:7" ht="15.5" x14ac:dyDescent="0.35">
      <c r="A9" s="70"/>
      <c r="B9" s="75"/>
      <c r="C9" s="84" t="s">
        <v>29</v>
      </c>
      <c r="D9" s="75"/>
      <c r="E9" s="75"/>
      <c r="F9" s="75"/>
      <c r="G9" s="90"/>
    </row>
    <row r="10" spans="1:7" ht="15.5" x14ac:dyDescent="0.35">
      <c r="A10" s="70">
        <v>1</v>
      </c>
      <c r="B10" s="75"/>
      <c r="C10" s="75" t="s">
        <v>294</v>
      </c>
      <c r="D10" s="75"/>
      <c r="E10" s="85">
        <f>-SUM('Cp2'!D13:D24)</f>
        <v>-6838515.7237177333</v>
      </c>
      <c r="F10" s="75"/>
      <c r="G10" s="90"/>
    </row>
    <row r="11" spans="1:7" ht="15.5" x14ac:dyDescent="0.35">
      <c r="A11" s="70"/>
      <c r="B11" s="75"/>
      <c r="C11" s="75"/>
      <c r="D11" s="75"/>
      <c r="E11" s="85"/>
      <c r="F11" s="75"/>
      <c r="G11" s="90"/>
    </row>
    <row r="12" spans="1:7" ht="15.5" x14ac:dyDescent="0.35">
      <c r="A12" s="70">
        <v>2</v>
      </c>
      <c r="B12" s="75"/>
      <c r="C12" s="75" t="s">
        <v>186</v>
      </c>
      <c r="D12" s="75"/>
      <c r="E12" s="95">
        <f>+E24</f>
        <v>341925.78618588671</v>
      </c>
      <c r="F12" s="75"/>
      <c r="G12" s="90"/>
    </row>
    <row r="13" spans="1:7" ht="15.5" x14ac:dyDescent="0.35">
      <c r="A13" s="70">
        <v>3</v>
      </c>
      <c r="B13" s="75"/>
      <c r="C13" s="75" t="s">
        <v>187</v>
      </c>
      <c r="D13" s="75"/>
      <c r="E13" s="85">
        <f>SUM(E10:E12)</f>
        <v>-6496589.9375318466</v>
      </c>
      <c r="F13" s="75"/>
      <c r="G13" s="90"/>
    </row>
    <row r="14" spans="1:7" ht="15.5" x14ac:dyDescent="0.35">
      <c r="A14" s="70"/>
      <c r="B14" s="75"/>
      <c r="C14" s="75"/>
      <c r="D14" s="75"/>
      <c r="E14" s="75"/>
      <c r="F14" s="75"/>
      <c r="G14" s="90"/>
    </row>
    <row r="15" spans="1:7" ht="15.5" x14ac:dyDescent="0.35">
      <c r="A15" s="70">
        <v>4</v>
      </c>
      <c r="B15" s="75"/>
      <c r="C15" s="75" t="s">
        <v>188</v>
      </c>
      <c r="D15" s="75"/>
      <c r="E15" s="86">
        <v>0.21</v>
      </c>
      <c r="F15" s="75"/>
      <c r="G15" s="90"/>
    </row>
    <row r="16" spans="1:7" ht="15.5" x14ac:dyDescent="0.35">
      <c r="A16" s="70"/>
      <c r="B16" s="75"/>
      <c r="C16" s="75"/>
      <c r="D16" s="75"/>
      <c r="E16" s="75"/>
      <c r="F16" s="75"/>
      <c r="G16" s="90"/>
    </row>
    <row r="17" spans="1:7" ht="15.5" x14ac:dyDescent="0.35">
      <c r="A17" s="70">
        <v>5</v>
      </c>
      <c r="B17" s="75"/>
      <c r="C17" s="75" t="s">
        <v>285</v>
      </c>
      <c r="D17" s="75"/>
      <c r="E17" s="87">
        <f>-E13*E15</f>
        <v>1364283.8868816877</v>
      </c>
      <c r="F17" s="75"/>
      <c r="G17" s="90"/>
    </row>
    <row r="18" spans="1:7" ht="15.5" x14ac:dyDescent="0.35">
      <c r="A18" s="70"/>
      <c r="B18" s="75"/>
      <c r="C18" s="75"/>
      <c r="D18" s="75"/>
      <c r="E18" s="75"/>
      <c r="F18" s="75"/>
      <c r="G18" s="57"/>
    </row>
    <row r="19" spans="1:7" ht="15.5" x14ac:dyDescent="0.35">
      <c r="A19" s="70"/>
      <c r="B19" s="75"/>
      <c r="C19" s="84" t="s">
        <v>189</v>
      </c>
      <c r="D19" s="75"/>
      <c r="E19" s="75"/>
      <c r="F19" s="75"/>
      <c r="G19" s="57"/>
    </row>
    <row r="20" spans="1:7" ht="15.5" x14ac:dyDescent="0.35">
      <c r="A20" s="70">
        <v>6</v>
      </c>
      <c r="B20" s="75"/>
      <c r="C20" s="75" t="s">
        <v>203</v>
      </c>
      <c r="D20" s="75"/>
      <c r="E20" s="73">
        <f>E10</f>
        <v>-6838515.7237177333</v>
      </c>
      <c r="F20" s="75"/>
      <c r="G20" s="57"/>
    </row>
    <row r="21" spans="1:7" ht="15.5" x14ac:dyDescent="0.35">
      <c r="A21" s="70"/>
      <c r="B21" s="75"/>
      <c r="C21" s="75"/>
      <c r="D21" s="75"/>
      <c r="E21" s="75"/>
      <c r="F21" s="75"/>
      <c r="G21" s="57"/>
    </row>
    <row r="22" spans="1:7" ht="15.5" x14ac:dyDescent="0.35">
      <c r="A22" s="70">
        <v>7</v>
      </c>
      <c r="B22" s="75"/>
      <c r="C22" s="75" t="s">
        <v>189</v>
      </c>
      <c r="D22" s="75"/>
      <c r="E22" s="92">
        <v>0.05</v>
      </c>
      <c r="F22" s="75"/>
      <c r="G22" s="57"/>
    </row>
    <row r="23" spans="1:7" ht="15.5" x14ac:dyDescent="0.35">
      <c r="A23" s="75"/>
      <c r="B23" s="75"/>
      <c r="C23" s="75"/>
      <c r="D23" s="75"/>
      <c r="E23" s="75"/>
      <c r="F23" s="75"/>
      <c r="G23" s="57"/>
    </row>
    <row r="24" spans="1:7" ht="15.5" x14ac:dyDescent="0.35">
      <c r="A24" s="70">
        <v>8</v>
      </c>
      <c r="B24" s="75"/>
      <c r="C24" s="75" t="s">
        <v>286</v>
      </c>
      <c r="D24" s="75"/>
      <c r="E24" s="87">
        <f>-E22*E20</f>
        <v>341925.78618588671</v>
      </c>
      <c r="F24" s="75"/>
      <c r="G24" s="57"/>
    </row>
    <row r="25" spans="1:7" ht="15.5" x14ac:dyDescent="0.35">
      <c r="A25" s="75"/>
      <c r="B25" s="75"/>
      <c r="C25" s="75"/>
      <c r="D25" s="75"/>
      <c r="E25" s="75"/>
      <c r="F25" s="75"/>
      <c r="G25" s="57"/>
    </row>
    <row r="26" spans="1:7" ht="16" thickBot="1" x14ac:dyDescent="0.4">
      <c r="A26" s="70">
        <v>9</v>
      </c>
      <c r="B26" s="75"/>
      <c r="C26" s="75" t="s">
        <v>287</v>
      </c>
      <c r="D26" s="75"/>
      <c r="E26" s="106">
        <f>+E17+E24</f>
        <v>1706209.6730675744</v>
      </c>
      <c r="F26" s="75"/>
      <c r="G26" s="57"/>
    </row>
    <row r="27" spans="1:7" ht="16" thickTop="1" x14ac:dyDescent="0.35">
      <c r="A27" s="75"/>
      <c r="B27" s="75"/>
      <c r="C27" s="75"/>
      <c r="D27" s="75"/>
      <c r="E27" s="75"/>
      <c r="F27" s="75"/>
      <c r="G27" s="57"/>
    </row>
    <row r="28" spans="1:7" ht="15.5" x14ac:dyDescent="0.35">
      <c r="A28" s="83" t="s">
        <v>190</v>
      </c>
      <c r="B28" s="83"/>
      <c r="C28" s="83"/>
      <c r="D28" s="18"/>
      <c r="E28" s="18"/>
      <c r="F28" s="75"/>
      <c r="G28" s="57"/>
    </row>
    <row r="29" spans="1:7" ht="15.5" x14ac:dyDescent="0.35">
      <c r="A29" s="91" t="s">
        <v>229</v>
      </c>
      <c r="B29" s="75"/>
      <c r="C29" s="1"/>
      <c r="D29" s="75"/>
      <c r="E29" s="75"/>
      <c r="F29" s="75"/>
      <c r="G29" s="57"/>
    </row>
    <row r="30" spans="1:7" ht="15.5" x14ac:dyDescent="0.35">
      <c r="A30" s="75"/>
      <c r="B30" s="75"/>
      <c r="C30" s="1"/>
      <c r="D30" s="75"/>
      <c r="E30" s="75"/>
      <c r="F30" s="75"/>
      <c r="G30" s="57"/>
    </row>
    <row r="31" spans="1:7" ht="15.5" x14ac:dyDescent="0.35">
      <c r="A31" s="75"/>
      <c r="B31" s="75"/>
      <c r="C31" s="57"/>
      <c r="D31" s="75"/>
      <c r="E31" s="75"/>
      <c r="F31" s="75"/>
      <c r="G31" s="57"/>
    </row>
    <row r="32" spans="1:7" ht="15.5" x14ac:dyDescent="0.35">
      <c r="A32" s="75"/>
      <c r="B32" s="75"/>
      <c r="C32" s="75"/>
      <c r="D32" s="75"/>
      <c r="E32" s="75"/>
      <c r="F32" s="75"/>
      <c r="G32" s="57"/>
    </row>
  </sheetData>
  <pageMargins left="0.7" right="0.7" top="0.75" bottom="0.75" header="0.3" footer="0.3"/>
  <pageSetup scale="8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6B95-9DF5-4042-ACA9-662C64D12540}">
  <sheetPr>
    <pageSetUpPr fitToPage="1"/>
  </sheetPr>
  <dimension ref="A1:I44"/>
  <sheetViews>
    <sheetView topLeftCell="A4" workbookViewId="0">
      <selection activeCell="D21" sqref="D21"/>
    </sheetView>
  </sheetViews>
  <sheetFormatPr defaultRowHeight="14.5" x14ac:dyDescent="0.35"/>
  <cols>
    <col min="1" max="1" width="6.453125" customWidth="1"/>
    <col min="2" max="2" width="1.54296875" customWidth="1"/>
    <col min="3" max="3" width="26.453125" customWidth="1"/>
    <col min="4" max="4" width="21.54296875" customWidth="1"/>
    <col min="5" max="5" width="12.1796875" customWidth="1"/>
    <col min="6" max="6" width="1.1796875" customWidth="1"/>
    <col min="7" max="7" width="12.1796875" customWidth="1"/>
    <col min="8" max="8" width="0.81640625" customWidth="1"/>
    <col min="9" max="9" width="12.1796875" customWidth="1"/>
  </cols>
  <sheetData>
    <row r="1" spans="1:9" ht="15.5" x14ac:dyDescent="0.35">
      <c r="A1" s="1" t="str">
        <f>A!A1</f>
        <v>Columbia Gas of Kentucky, Inc.</v>
      </c>
      <c r="B1" s="1"/>
      <c r="C1" s="1"/>
      <c r="D1" s="1"/>
      <c r="E1" s="1"/>
      <c r="F1" s="1"/>
      <c r="G1" s="2"/>
      <c r="H1" s="2"/>
      <c r="I1" s="12" t="str">
        <f>A!H1</f>
        <v>Case No. 2024-00092</v>
      </c>
    </row>
    <row r="2" spans="1:9" ht="15.5" x14ac:dyDescent="0.35">
      <c r="A2" s="1" t="str">
        <f>A!A2</f>
        <v>Forecasted Test Period: Twelve Months Ended December 31, 2025</v>
      </c>
      <c r="B2" s="1"/>
      <c r="C2" s="1"/>
      <c r="D2" s="1"/>
      <c r="E2" s="1"/>
      <c r="F2" s="1"/>
      <c r="G2" s="2"/>
      <c r="H2" s="2"/>
      <c r="I2" s="12" t="str">
        <f>A!H2</f>
        <v>Exhibit JD-1</v>
      </c>
    </row>
    <row r="3" spans="1:9" ht="15.5" x14ac:dyDescent="0.35">
      <c r="A3" s="1"/>
      <c r="B3" s="1"/>
      <c r="C3" s="1"/>
      <c r="D3" s="1"/>
      <c r="E3" s="1"/>
      <c r="F3" s="1"/>
      <c r="G3" s="2"/>
      <c r="H3" s="2"/>
      <c r="I3" s="12" t="s">
        <v>8</v>
      </c>
    </row>
    <row r="4" spans="1:9" ht="15.5" x14ac:dyDescent="0.35">
      <c r="A4" s="13" t="s">
        <v>9</v>
      </c>
      <c r="B4" s="1"/>
      <c r="C4" s="1"/>
      <c r="D4" s="1"/>
      <c r="E4" s="1"/>
      <c r="F4" s="1"/>
      <c r="G4" s="1"/>
      <c r="H4" s="1"/>
      <c r="I4" s="12" t="s">
        <v>10</v>
      </c>
    </row>
    <row r="5" spans="1:9" ht="15.5" x14ac:dyDescent="0.35">
      <c r="A5" s="14"/>
      <c r="B5" s="1"/>
      <c r="C5" s="1"/>
      <c r="D5" s="1"/>
      <c r="E5" s="1"/>
      <c r="F5" s="1"/>
      <c r="G5" s="1"/>
      <c r="H5" s="1"/>
      <c r="I5" s="61"/>
    </row>
    <row r="7" spans="1:9" ht="15.5" x14ac:dyDescent="0.35">
      <c r="A7" s="142" t="s">
        <v>199</v>
      </c>
      <c r="B7" s="143"/>
      <c r="C7" s="143"/>
      <c r="D7" s="143"/>
      <c r="E7" s="143"/>
      <c r="F7" s="143"/>
      <c r="G7" s="143"/>
      <c r="H7" s="143"/>
      <c r="I7" s="144"/>
    </row>
    <row r="8" spans="1:9" ht="15.5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15.5" x14ac:dyDescent="0.35">
      <c r="A9" s="3" t="s">
        <v>11</v>
      </c>
      <c r="B9" s="3"/>
      <c r="C9" s="3"/>
      <c r="D9" s="3"/>
      <c r="E9" s="4" t="s">
        <v>12</v>
      </c>
      <c r="F9" s="3"/>
      <c r="G9" s="4" t="s">
        <v>13</v>
      </c>
      <c r="H9" s="3"/>
      <c r="I9" s="5" t="s">
        <v>14</v>
      </c>
    </row>
    <row r="10" spans="1:9" ht="15.5" x14ac:dyDescent="0.35">
      <c r="A10" s="15" t="s">
        <v>15</v>
      </c>
      <c r="B10" s="3"/>
      <c r="C10" s="6" t="s">
        <v>16</v>
      </c>
      <c r="D10" s="7" t="s">
        <v>33</v>
      </c>
      <c r="E10" s="7" t="s">
        <v>17</v>
      </c>
      <c r="F10" s="3"/>
      <c r="G10" s="7" t="s">
        <v>18</v>
      </c>
      <c r="H10" s="3"/>
      <c r="I10" s="8" t="s">
        <v>13</v>
      </c>
    </row>
    <row r="11" spans="1:9" ht="15.5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9" ht="15.5" x14ac:dyDescent="0.35">
      <c r="A12" s="5">
        <v>1</v>
      </c>
      <c r="B12" s="2"/>
      <c r="C12" s="16" t="s">
        <v>20</v>
      </c>
      <c r="D12" s="2">
        <v>11600500</v>
      </c>
      <c r="E12" s="9">
        <v>1.8295430122161324E-2</v>
      </c>
      <c r="F12" s="9"/>
      <c r="G12" s="9">
        <v>5.2499999999999998E-2</v>
      </c>
      <c r="H12" s="9"/>
      <c r="I12" s="9">
        <v>1E-3</v>
      </c>
    </row>
    <row r="13" spans="1:9" ht="15.5" x14ac:dyDescent="0.35">
      <c r="A13" s="5"/>
      <c r="B13" s="2"/>
      <c r="C13" s="2"/>
      <c r="D13" s="2"/>
      <c r="E13" s="9"/>
      <c r="F13" s="9"/>
      <c r="G13" s="9"/>
      <c r="H13" s="9"/>
      <c r="I13" s="9"/>
    </row>
    <row r="14" spans="1:9" ht="15.5" x14ac:dyDescent="0.35">
      <c r="A14" s="5">
        <v>2</v>
      </c>
      <c r="B14" s="2"/>
      <c r="C14" s="2" t="s">
        <v>19</v>
      </c>
      <c r="D14" s="2">
        <v>288682692.30769229</v>
      </c>
      <c r="E14" s="9">
        <v>0.45528848106484915</v>
      </c>
      <c r="F14" s="9"/>
      <c r="G14" s="9">
        <v>4.8800000000000003E-2</v>
      </c>
      <c r="H14" s="9"/>
      <c r="I14" s="9">
        <v>2.2200000000000001E-2</v>
      </c>
    </row>
    <row r="15" spans="1:9" ht="15.5" x14ac:dyDescent="0.35">
      <c r="A15" s="5"/>
      <c r="B15" s="2"/>
      <c r="C15" s="2"/>
      <c r="D15" s="2"/>
      <c r="E15" s="9"/>
      <c r="F15" s="9"/>
      <c r="G15" s="9"/>
      <c r="H15" s="9"/>
      <c r="I15" s="9"/>
    </row>
    <row r="16" spans="1:9" ht="15.5" x14ac:dyDescent="0.35">
      <c r="A16" s="5">
        <v>3</v>
      </c>
      <c r="B16" s="2"/>
      <c r="C16" s="16" t="s">
        <v>21</v>
      </c>
      <c r="D16" s="2">
        <v>0</v>
      </c>
      <c r="E16" s="9">
        <v>0</v>
      </c>
      <c r="F16" s="9"/>
      <c r="G16" s="9">
        <v>0</v>
      </c>
      <c r="H16" s="9"/>
      <c r="I16" s="9">
        <v>0</v>
      </c>
    </row>
    <row r="17" spans="1:9" ht="15.5" x14ac:dyDescent="0.35">
      <c r="A17" s="5"/>
      <c r="B17" s="2"/>
      <c r="C17" s="2"/>
      <c r="D17" s="2"/>
      <c r="E17" s="9"/>
      <c r="F17" s="9"/>
      <c r="G17" s="9"/>
      <c r="H17" s="9"/>
      <c r="I17" s="9"/>
    </row>
    <row r="18" spans="1:9" ht="15.5" x14ac:dyDescent="0.35">
      <c r="A18" s="5">
        <v>4</v>
      </c>
      <c r="B18" s="2"/>
      <c r="C18" s="16" t="s">
        <v>71</v>
      </c>
      <c r="D18" s="11">
        <v>333782250.40350533</v>
      </c>
      <c r="E18" s="10">
        <v>0.52641608881298951</v>
      </c>
      <c r="F18" s="9"/>
      <c r="G18" s="9">
        <v>0.108</v>
      </c>
      <c r="H18" s="9"/>
      <c r="I18" s="10">
        <v>5.6899999999999999E-2</v>
      </c>
    </row>
    <row r="19" spans="1:9" ht="15.5" x14ac:dyDescent="0.35">
      <c r="A19" s="5"/>
      <c r="B19" s="2"/>
      <c r="C19" s="2"/>
      <c r="D19" s="2"/>
      <c r="E19" s="9"/>
      <c r="F19" s="9"/>
      <c r="G19" s="9"/>
      <c r="H19" s="9"/>
      <c r="I19" s="9"/>
    </row>
    <row r="20" spans="1:9" ht="16" thickBot="1" x14ac:dyDescent="0.4">
      <c r="A20" s="5">
        <v>5</v>
      </c>
      <c r="B20" s="2"/>
      <c r="C20" s="16" t="s">
        <v>23</v>
      </c>
      <c r="D20" s="2">
        <v>634065442.71119761</v>
      </c>
      <c r="E20" s="9">
        <v>1</v>
      </c>
      <c r="F20" s="9"/>
      <c r="G20" s="9"/>
      <c r="H20" s="9"/>
      <c r="I20" s="58">
        <v>8.0100000000000005E-2</v>
      </c>
    </row>
    <row r="21" spans="1:9" ht="15" thickTop="1" x14ac:dyDescent="0.35"/>
    <row r="23" spans="1:9" ht="15.5" x14ac:dyDescent="0.35">
      <c r="A23" s="142" t="s">
        <v>269</v>
      </c>
      <c r="B23" s="143"/>
      <c r="C23" s="143"/>
      <c r="D23" s="143"/>
      <c r="E23" s="143"/>
      <c r="F23" s="143"/>
      <c r="G23" s="143"/>
      <c r="H23" s="143"/>
      <c r="I23" s="144"/>
    </row>
    <row r="24" spans="1:9" ht="15.5" x14ac:dyDescent="0.35">
      <c r="A24" s="2"/>
      <c r="B24" s="2"/>
      <c r="C24" s="2"/>
      <c r="D24" s="2"/>
      <c r="E24" s="2"/>
      <c r="F24" s="2"/>
      <c r="G24" s="2"/>
      <c r="H24" s="2"/>
      <c r="I24" s="2"/>
    </row>
    <row r="25" spans="1:9" ht="15.5" x14ac:dyDescent="0.35">
      <c r="A25" s="3" t="s">
        <v>11</v>
      </c>
      <c r="B25" s="3"/>
      <c r="C25" s="3"/>
      <c r="D25" s="3"/>
      <c r="E25" s="4" t="s">
        <v>12</v>
      </c>
      <c r="F25" s="3"/>
      <c r="G25" s="4" t="s">
        <v>13</v>
      </c>
      <c r="H25" s="3"/>
      <c r="I25" s="5" t="s">
        <v>14</v>
      </c>
    </row>
    <row r="26" spans="1:9" ht="15.5" x14ac:dyDescent="0.35">
      <c r="A26" s="15" t="s">
        <v>15</v>
      </c>
      <c r="B26" s="3"/>
      <c r="C26" s="6" t="s">
        <v>16</v>
      </c>
      <c r="D26" s="7"/>
      <c r="E26" s="7" t="s">
        <v>17</v>
      </c>
      <c r="F26" s="3"/>
      <c r="G26" s="7" t="s">
        <v>18</v>
      </c>
      <c r="H26" s="3"/>
      <c r="I26" s="8" t="s">
        <v>13</v>
      </c>
    </row>
    <row r="27" spans="1:9" ht="15.5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9" ht="15.5" x14ac:dyDescent="0.35">
      <c r="A28" s="5">
        <v>6</v>
      </c>
      <c r="B28" s="2"/>
      <c r="C28" s="16" t="s">
        <v>20</v>
      </c>
      <c r="D28" s="2"/>
      <c r="E28" s="9">
        <v>1.8295430122161324E-2</v>
      </c>
      <c r="F28" s="9"/>
      <c r="G28" s="9">
        <v>5.2499999999999998E-2</v>
      </c>
      <c r="H28" s="9"/>
      <c r="I28" s="9">
        <f>ROUND(E28*G28,4)</f>
        <v>1E-3</v>
      </c>
    </row>
    <row r="29" spans="1:9" ht="15.5" x14ac:dyDescent="0.35">
      <c r="A29" s="5"/>
      <c r="B29" s="2"/>
      <c r="C29" s="2"/>
      <c r="D29" s="2"/>
      <c r="E29" s="9"/>
      <c r="F29" s="9"/>
      <c r="G29" s="9"/>
      <c r="H29" s="9"/>
      <c r="I29" s="9"/>
    </row>
    <row r="30" spans="1:9" ht="15.5" x14ac:dyDescent="0.35">
      <c r="A30" s="5">
        <v>7</v>
      </c>
      <c r="B30" s="2"/>
      <c r="C30" s="2" t="s">
        <v>19</v>
      </c>
      <c r="D30" s="2"/>
      <c r="E30" s="9">
        <v>0.45528848106484915</v>
      </c>
      <c r="F30" s="9"/>
      <c r="G30" s="9">
        <v>4.8399999999999999E-2</v>
      </c>
      <c r="H30" s="9"/>
      <c r="I30" s="9">
        <f>ROUND(E30*G30,4)</f>
        <v>2.1999999999999999E-2</v>
      </c>
    </row>
    <row r="31" spans="1:9" ht="15.5" x14ac:dyDescent="0.35">
      <c r="A31" s="5"/>
      <c r="B31" s="2"/>
      <c r="C31" s="2"/>
      <c r="D31" s="2"/>
      <c r="E31" s="9"/>
      <c r="F31" s="9"/>
      <c r="G31" s="9"/>
      <c r="H31" s="9"/>
      <c r="I31" s="9"/>
    </row>
    <row r="32" spans="1:9" ht="15.5" x14ac:dyDescent="0.35">
      <c r="A32" s="5">
        <v>8</v>
      </c>
      <c r="B32" s="2"/>
      <c r="C32" s="16" t="s">
        <v>21</v>
      </c>
      <c r="D32" s="2"/>
      <c r="E32" s="9">
        <v>0</v>
      </c>
      <c r="F32" s="9"/>
      <c r="G32" s="9">
        <v>0</v>
      </c>
      <c r="H32" s="9"/>
      <c r="I32" s="9">
        <f>ROUND(E32*G32,4)</f>
        <v>0</v>
      </c>
    </row>
    <row r="33" spans="1:9" ht="15.5" x14ac:dyDescent="0.35">
      <c r="A33" s="5"/>
      <c r="B33" s="2"/>
      <c r="C33" s="2"/>
      <c r="D33" s="2"/>
      <c r="E33" s="9"/>
      <c r="F33" s="9"/>
      <c r="G33" s="9"/>
      <c r="H33" s="9"/>
      <c r="I33" s="9"/>
    </row>
    <row r="34" spans="1:9" ht="15.5" x14ac:dyDescent="0.35">
      <c r="A34" s="5">
        <v>9</v>
      </c>
      <c r="B34" s="2"/>
      <c r="C34" s="16" t="s">
        <v>71</v>
      </c>
      <c r="D34" s="11"/>
      <c r="E34" s="10">
        <v>0.52641608881298951</v>
      </c>
      <c r="F34" s="9"/>
      <c r="G34" s="9">
        <v>9.6000000000000002E-2</v>
      </c>
      <c r="H34" s="9"/>
      <c r="I34" s="10">
        <f>ROUND(E34*G34,4)</f>
        <v>5.0500000000000003E-2</v>
      </c>
    </row>
    <row r="35" spans="1:9" ht="15.5" x14ac:dyDescent="0.35">
      <c r="A35" s="5"/>
      <c r="B35" s="2"/>
      <c r="C35" s="2"/>
      <c r="D35" s="2"/>
      <c r="E35" s="9"/>
      <c r="F35" s="9"/>
      <c r="G35" s="9"/>
      <c r="H35" s="9"/>
      <c r="I35" s="9"/>
    </row>
    <row r="36" spans="1:9" ht="16" thickBot="1" x14ac:dyDescent="0.4">
      <c r="A36" s="5">
        <v>10</v>
      </c>
      <c r="B36" s="2"/>
      <c r="C36" s="16" t="s">
        <v>23</v>
      </c>
      <c r="D36" s="2"/>
      <c r="E36" s="9">
        <f>SUM(E27:E35)</f>
        <v>1</v>
      </c>
      <c r="F36" s="9"/>
      <c r="G36" s="9"/>
      <c r="H36" s="9"/>
      <c r="I36" s="58">
        <f>SUM(I28:I34)</f>
        <v>7.350000000000001E-2</v>
      </c>
    </row>
    <row r="37" spans="1:9" ht="16" thickTop="1" x14ac:dyDescent="0.35">
      <c r="A37" s="5"/>
      <c r="B37" s="2"/>
      <c r="C37" s="16"/>
      <c r="D37" s="2"/>
      <c r="E37" s="9"/>
      <c r="F37" s="9"/>
      <c r="G37" s="9"/>
      <c r="H37" s="9"/>
      <c r="I37" s="9"/>
    </row>
    <row r="38" spans="1:9" ht="15.5" x14ac:dyDescent="0.35">
      <c r="A38" s="5"/>
      <c r="B38" s="2"/>
      <c r="C38" s="16"/>
      <c r="D38" s="2"/>
      <c r="E38" s="9"/>
      <c r="F38" s="9"/>
      <c r="G38" s="9"/>
      <c r="H38" s="9"/>
      <c r="I38" s="9"/>
    </row>
    <row r="39" spans="1:9" ht="15.5" x14ac:dyDescent="0.35">
      <c r="A39" s="5"/>
      <c r="B39" s="2"/>
      <c r="C39" s="16"/>
      <c r="D39" s="2"/>
      <c r="E39" s="9"/>
      <c r="F39" s="9"/>
      <c r="G39" s="9"/>
      <c r="H39" s="9"/>
      <c r="I39" s="9"/>
    </row>
    <row r="40" spans="1:9" ht="15.5" x14ac:dyDescent="0.35">
      <c r="A40" s="5"/>
      <c r="B40" s="2"/>
      <c r="C40" s="16"/>
      <c r="D40" s="2"/>
      <c r="E40" s="9"/>
      <c r="F40" s="9"/>
      <c r="G40" s="9"/>
      <c r="H40" s="9"/>
      <c r="I40" s="9"/>
    </row>
    <row r="41" spans="1:9" ht="15.5" x14ac:dyDescent="0.35">
      <c r="A41" s="113" t="s">
        <v>22</v>
      </c>
      <c r="B41" s="11"/>
      <c r="C41" s="114"/>
      <c r="D41" s="11"/>
      <c r="E41" s="10"/>
      <c r="F41" s="10"/>
      <c r="G41" s="10"/>
      <c r="H41" s="10"/>
      <c r="I41" s="10"/>
    </row>
    <row r="42" spans="1:9" ht="15.5" x14ac:dyDescent="0.35">
      <c r="A42" s="60" t="s">
        <v>256</v>
      </c>
      <c r="B42" s="1"/>
      <c r="C42" s="1"/>
      <c r="D42" s="1"/>
      <c r="E42" s="1"/>
      <c r="F42" s="1"/>
      <c r="G42" s="1"/>
    </row>
    <row r="43" spans="1:9" ht="15.5" x14ac:dyDescent="0.35">
      <c r="A43" s="1" t="s">
        <v>295</v>
      </c>
      <c r="B43" s="1"/>
      <c r="C43" s="1"/>
      <c r="D43" s="1"/>
      <c r="E43" s="1"/>
      <c r="F43" s="1"/>
      <c r="G43" s="1"/>
    </row>
    <row r="44" spans="1:9" ht="15.5" x14ac:dyDescent="0.35">
      <c r="A44" s="62"/>
      <c r="B44" s="62"/>
      <c r="C44" s="62"/>
      <c r="D44" s="62"/>
    </row>
  </sheetData>
  <mergeCells count="2">
    <mergeCell ref="A7:I7"/>
    <mergeCell ref="A23:I23"/>
  </mergeCells>
  <pageMargins left="0.7" right="0.7" top="0.75" bottom="0.75" header="0.3" footer="0.3"/>
  <pageSetup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BF7E-807E-4C73-8060-2A80D9EB105A}">
  <sheetPr>
    <pageSetUpPr fitToPage="1"/>
  </sheetPr>
  <dimension ref="A1:H31"/>
  <sheetViews>
    <sheetView showGridLines="0" workbookViewId="0">
      <selection activeCell="H12" sqref="H12"/>
    </sheetView>
  </sheetViews>
  <sheetFormatPr defaultRowHeight="14.5" x14ac:dyDescent="0.35"/>
  <cols>
    <col min="1" max="1" width="33.54296875" customWidth="1"/>
    <col min="2" max="4" width="17.453125" customWidth="1"/>
    <col min="5" max="6" width="20.81640625" customWidth="1"/>
    <col min="7" max="7" width="16.54296875" customWidth="1"/>
    <col min="8" max="8" width="14.81640625" customWidth="1"/>
  </cols>
  <sheetData>
    <row r="1" spans="1:8" ht="15.5" x14ac:dyDescent="0.35">
      <c r="A1" s="29" t="s">
        <v>260</v>
      </c>
      <c r="B1" s="29"/>
      <c r="C1" s="29"/>
      <c r="D1" s="29"/>
      <c r="E1" s="99"/>
      <c r="F1" s="99">
        <f>+A!D21</f>
        <v>23773019.439206764</v>
      </c>
      <c r="G1" s="99"/>
    </row>
    <row r="2" spans="1:8" ht="15.5" x14ac:dyDescent="0.35">
      <c r="A2" s="96"/>
      <c r="B2" s="96"/>
      <c r="C2" s="96"/>
      <c r="D2" s="96"/>
      <c r="E2" s="99"/>
      <c r="F2" s="99"/>
      <c r="G2" s="99"/>
    </row>
    <row r="3" spans="1:8" ht="15.5" x14ac:dyDescent="0.35">
      <c r="A3" s="139" t="s">
        <v>273</v>
      </c>
      <c r="B3" s="29"/>
      <c r="C3" s="29"/>
      <c r="D3" s="29"/>
      <c r="E3" s="25"/>
      <c r="F3" s="98"/>
      <c r="G3" s="98"/>
    </row>
    <row r="4" spans="1:8" ht="15.5" x14ac:dyDescent="0.35">
      <c r="A4" s="29" t="s">
        <v>261</v>
      </c>
      <c r="B4" s="29"/>
      <c r="C4" s="29"/>
      <c r="D4" s="29"/>
      <c r="E4" s="99"/>
      <c r="F4" s="99">
        <f>-((0.0801-0.0735)*518827312*1.339776)</f>
        <v>-4587741.7130299453</v>
      </c>
      <c r="G4" s="99"/>
    </row>
    <row r="5" spans="1:8" ht="15.5" x14ac:dyDescent="0.35">
      <c r="A5" s="29"/>
      <c r="B5" s="29"/>
      <c r="C5" s="29"/>
      <c r="D5" s="29"/>
      <c r="E5" s="99"/>
      <c r="F5" s="99"/>
      <c r="G5" s="99"/>
    </row>
    <row r="6" spans="1:8" ht="15.5" x14ac:dyDescent="0.35">
      <c r="A6" s="132" t="s">
        <v>262</v>
      </c>
      <c r="B6" s="29"/>
      <c r="C6" s="29"/>
      <c r="D6" s="29"/>
      <c r="E6" s="99"/>
      <c r="F6" s="99"/>
      <c r="G6" s="99"/>
      <c r="H6" s="121"/>
    </row>
    <row r="7" spans="1:8" ht="15.5" x14ac:dyDescent="0.35">
      <c r="A7" s="29" t="s">
        <v>142</v>
      </c>
      <c r="B7" s="29"/>
      <c r="C7" s="29"/>
      <c r="D7" s="29"/>
      <c r="E7" s="99">
        <f>(-9402090*0.0735)*1.339776</f>
        <v>-925857.04809023999</v>
      </c>
      <c r="F7" s="25"/>
      <c r="G7" s="99"/>
    </row>
    <row r="8" spans="1:8" ht="15.5" x14ac:dyDescent="0.35">
      <c r="A8" s="29" t="s">
        <v>147</v>
      </c>
      <c r="B8" s="29"/>
      <c r="C8" s="29"/>
      <c r="D8" s="29"/>
      <c r="E8" s="133">
        <f>(-1969434*0.0735)*1.339776</f>
        <v>-193937.12989862403</v>
      </c>
      <c r="F8" s="25"/>
      <c r="G8" s="99"/>
    </row>
    <row r="9" spans="1:8" ht="15.5" x14ac:dyDescent="0.35">
      <c r="A9" s="131" t="s">
        <v>69</v>
      </c>
      <c r="B9" s="131"/>
      <c r="C9" s="131"/>
      <c r="D9" s="131"/>
      <c r="E9" s="99"/>
      <c r="F9" s="25">
        <f>SUM(E7:E8)</f>
        <v>-1119794.177988864</v>
      </c>
    </row>
    <row r="10" spans="1:8" ht="15.5" x14ac:dyDescent="0.35">
      <c r="A10" s="131"/>
      <c r="B10" s="131"/>
      <c r="C10" s="131"/>
      <c r="D10" s="131"/>
      <c r="E10" s="99"/>
      <c r="F10" s="25"/>
    </row>
    <row r="11" spans="1:8" ht="15.5" x14ac:dyDescent="0.35">
      <c r="A11" s="132" t="s">
        <v>263</v>
      </c>
      <c r="B11" s="137" t="s">
        <v>265</v>
      </c>
      <c r="C11" s="137" t="s">
        <v>266</v>
      </c>
      <c r="D11" s="137" t="s">
        <v>267</v>
      </c>
      <c r="E11" s="138" t="s">
        <v>264</v>
      </c>
      <c r="F11" s="25"/>
    </row>
    <row r="12" spans="1:8" ht="15.5" x14ac:dyDescent="0.35">
      <c r="A12" s="29" t="s">
        <v>151</v>
      </c>
      <c r="B12" s="135">
        <v>761500</v>
      </c>
      <c r="C12" s="135">
        <v>571506</v>
      </c>
      <c r="D12" s="134">
        <v>1.3397762996948819</v>
      </c>
      <c r="E12" s="100">
        <f>+C12*-D12</f>
        <v>-765690.19393342314</v>
      </c>
      <c r="G12" s="128"/>
    </row>
    <row r="13" spans="1:8" ht="15.5" x14ac:dyDescent="0.35">
      <c r="A13" s="29" t="s">
        <v>193</v>
      </c>
      <c r="B13" s="135">
        <v>250837</v>
      </c>
      <c r="C13" s="135">
        <v>188253</v>
      </c>
      <c r="D13" s="134">
        <v>1.3397762996948819</v>
      </c>
      <c r="E13" s="100">
        <f t="shared" ref="E13:E22" si="0">+C13*-D13</f>
        <v>-252216.90774646061</v>
      </c>
      <c r="G13" s="100"/>
    </row>
    <row r="14" spans="1:8" ht="15.5" x14ac:dyDescent="0.35">
      <c r="A14" s="29" t="s">
        <v>167</v>
      </c>
      <c r="B14" s="135">
        <v>106034.25</v>
      </c>
      <c r="C14" s="135">
        <v>79579</v>
      </c>
      <c r="D14" s="134">
        <v>1.3397762996948819</v>
      </c>
      <c r="E14" s="100">
        <f t="shared" si="0"/>
        <v>-106618.058153419</v>
      </c>
      <c r="G14" s="100"/>
    </row>
    <row r="15" spans="1:8" ht="15.5" x14ac:dyDescent="0.35">
      <c r="A15" s="97" t="s">
        <v>169</v>
      </c>
      <c r="B15" s="136">
        <v>45141</v>
      </c>
      <c r="C15" s="136">
        <v>33878</v>
      </c>
      <c r="D15" s="134">
        <v>1.3397762996948819</v>
      </c>
      <c r="E15" s="100">
        <f t="shared" si="0"/>
        <v>-45388.941481063208</v>
      </c>
      <c r="G15" s="100"/>
    </row>
    <row r="16" spans="1:8" ht="15.5" x14ac:dyDescent="0.35">
      <c r="A16" s="97" t="s">
        <v>170</v>
      </c>
      <c r="B16" s="136">
        <v>294544</v>
      </c>
      <c r="C16" s="136">
        <v>221055</v>
      </c>
      <c r="D16" s="134">
        <v>1.3397762996948819</v>
      </c>
      <c r="E16" s="100">
        <f t="shared" si="0"/>
        <v>-296164.24992905214</v>
      </c>
      <c r="G16" s="25"/>
    </row>
    <row r="17" spans="1:7" ht="15.5" x14ac:dyDescent="0.35">
      <c r="A17" s="29" t="s">
        <v>173</v>
      </c>
      <c r="B17" s="135">
        <v>1628841.6440000001</v>
      </c>
      <c r="C17" s="135">
        <v>1222446</v>
      </c>
      <c r="D17" s="134">
        <v>1.3397762996948819</v>
      </c>
      <c r="E17" s="100">
        <f t="shared" si="0"/>
        <v>-1637804.1784568096</v>
      </c>
      <c r="G17" s="25"/>
    </row>
    <row r="18" spans="1:7" ht="15.5" x14ac:dyDescent="0.35">
      <c r="A18" s="29" t="s">
        <v>175</v>
      </c>
      <c r="B18" s="135">
        <v>2860854.6</v>
      </c>
      <c r="C18" s="135">
        <v>2147072</v>
      </c>
      <c r="D18" s="134">
        <v>1.3397762996948819</v>
      </c>
      <c r="E18" s="100">
        <f t="shared" si="0"/>
        <v>-2876596.1793384892</v>
      </c>
      <c r="G18" s="25"/>
    </row>
    <row r="19" spans="1:7" ht="15.5" x14ac:dyDescent="0.35">
      <c r="A19" s="97" t="s">
        <v>230</v>
      </c>
      <c r="B19" s="136">
        <v>126613.9</v>
      </c>
      <c r="C19" s="136">
        <v>95024</v>
      </c>
      <c r="D19" s="134">
        <v>1.3397762996948819</v>
      </c>
      <c r="E19" s="100">
        <f t="shared" si="0"/>
        <v>-127310.90310220646</v>
      </c>
      <c r="G19" s="25"/>
    </row>
    <row r="20" spans="1:7" ht="15.5" x14ac:dyDescent="0.35">
      <c r="A20" s="97" t="s">
        <v>176</v>
      </c>
      <c r="B20" s="136">
        <v>305755.80990947335</v>
      </c>
      <c r="C20" s="136">
        <v>229470</v>
      </c>
      <c r="D20" s="134">
        <v>1.3397762996948819</v>
      </c>
      <c r="E20" s="100">
        <f t="shared" si="0"/>
        <v>-307438.46749098453</v>
      </c>
      <c r="G20" s="25"/>
    </row>
    <row r="21" spans="1:7" ht="15.5" x14ac:dyDescent="0.35">
      <c r="A21" s="97" t="s">
        <v>181</v>
      </c>
      <c r="B21" s="136">
        <v>377280.5198082588</v>
      </c>
      <c r="C21" s="136">
        <v>283149</v>
      </c>
      <c r="D21" s="134">
        <v>1.3397762996948819</v>
      </c>
      <c r="E21" s="100">
        <f t="shared" si="0"/>
        <v>-379356.31948230613</v>
      </c>
      <c r="G21" s="25"/>
    </row>
    <row r="22" spans="1:7" ht="15.5" x14ac:dyDescent="0.35">
      <c r="A22" s="97" t="s">
        <v>239</v>
      </c>
      <c r="B22" s="136">
        <v>60552</v>
      </c>
      <c r="C22" s="136">
        <v>45444</v>
      </c>
      <c r="D22" s="134">
        <v>1.3397762996948819</v>
      </c>
      <c r="E22" s="100">
        <f t="shared" si="0"/>
        <v>-60884.794163334212</v>
      </c>
      <c r="G22" s="25"/>
    </row>
    <row r="23" spans="1:7" ht="15.5" x14ac:dyDescent="0.35">
      <c r="A23" s="97" t="s">
        <v>289</v>
      </c>
      <c r="B23" s="136">
        <v>20561</v>
      </c>
      <c r="C23" s="136">
        <v>15431</v>
      </c>
      <c r="D23" s="134">
        <v>1.3397762996948819</v>
      </c>
      <c r="E23" s="100">
        <f t="shared" ref="E23" si="1">+C23*-D23</f>
        <v>-20674.088080591722</v>
      </c>
      <c r="G23" s="25"/>
    </row>
    <row r="24" spans="1:7" ht="15.5" x14ac:dyDescent="0.35">
      <c r="A24" s="130" t="s">
        <v>69</v>
      </c>
      <c r="B24" s="130"/>
      <c r="C24" s="130"/>
      <c r="D24" s="130"/>
      <c r="E24" s="25"/>
      <c r="F24" s="26">
        <f>SUM(E12:E23)</f>
        <v>-6876143.2813581387</v>
      </c>
      <c r="G24" s="128"/>
    </row>
    <row r="25" spans="1:7" ht="15.5" x14ac:dyDescent="0.35">
      <c r="A25" s="97"/>
      <c r="B25" s="97"/>
      <c r="C25" s="97"/>
      <c r="D25" s="97"/>
      <c r="E25" s="25"/>
      <c r="F25" s="25"/>
      <c r="G25" s="128"/>
    </row>
    <row r="26" spans="1:7" ht="15.5" x14ac:dyDescent="0.35">
      <c r="A26" s="28"/>
      <c r="B26" s="28"/>
      <c r="C26" s="28"/>
      <c r="D26" s="28"/>
      <c r="E26" s="25"/>
      <c r="F26" s="26"/>
      <c r="G26" s="128"/>
    </row>
    <row r="27" spans="1:7" ht="16" thickBot="1" x14ac:dyDescent="0.4">
      <c r="A27" s="29" t="s">
        <v>288</v>
      </c>
      <c r="B27" s="29"/>
      <c r="C27" s="29"/>
      <c r="D27" s="29"/>
      <c r="E27" s="25"/>
      <c r="F27" s="27">
        <f>SUM(F1:F24)+2</f>
        <v>11189342.266829818</v>
      </c>
      <c r="G27" s="129"/>
    </row>
    <row r="28" spans="1:7" ht="16" thickTop="1" x14ac:dyDescent="0.35">
      <c r="A28" s="28"/>
      <c r="B28" s="28"/>
      <c r="C28" s="28"/>
      <c r="D28" s="28"/>
      <c r="E28" s="25"/>
      <c r="F28" s="25"/>
      <c r="G28" s="128"/>
    </row>
    <row r="29" spans="1:7" ht="15.5" x14ac:dyDescent="0.35">
      <c r="E29" s="25"/>
      <c r="F29" s="25"/>
      <c r="G29" s="128"/>
    </row>
    <row r="30" spans="1:7" ht="15.5" x14ac:dyDescent="0.35">
      <c r="E30" s="1"/>
      <c r="F30" s="25"/>
      <c r="G30" s="128"/>
    </row>
    <row r="31" spans="1:7" ht="15.5" x14ac:dyDescent="0.35">
      <c r="D31" s="134"/>
      <c r="E31" s="100"/>
      <c r="F31" s="25"/>
      <c r="G31" s="128"/>
    </row>
  </sheetData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09F9-D3F9-4169-94C4-601F749F1D00}">
  <sheetPr>
    <pageSetUpPr fitToPage="1"/>
  </sheetPr>
  <dimension ref="A1:D38"/>
  <sheetViews>
    <sheetView workbookViewId="0">
      <selection activeCell="D24" sqref="D24"/>
    </sheetView>
  </sheetViews>
  <sheetFormatPr defaultRowHeight="14.5" x14ac:dyDescent="0.35"/>
  <cols>
    <col min="1" max="1" width="10.54296875" customWidth="1"/>
    <col min="2" max="2" width="51.26953125" customWidth="1"/>
    <col min="3" max="3" width="8.54296875" customWidth="1"/>
    <col min="4" max="4" width="25.54296875" customWidth="1"/>
  </cols>
  <sheetData>
    <row r="1" spans="1:4" ht="15.5" x14ac:dyDescent="0.35">
      <c r="A1" s="1" t="str">
        <f>A!A1</f>
        <v>Columbia Gas of Kentucky, Inc.</v>
      </c>
      <c r="B1" s="1"/>
      <c r="C1" s="1"/>
      <c r="D1" s="12" t="str">
        <f>A!H1</f>
        <v>Case No. 2024-00092</v>
      </c>
    </row>
    <row r="2" spans="1:4" ht="15.5" x14ac:dyDescent="0.35">
      <c r="A2" s="1" t="str">
        <f>A!A2</f>
        <v>Forecasted Test Period: Twelve Months Ended December 31, 2025</v>
      </c>
      <c r="B2" s="1"/>
      <c r="C2" s="1"/>
      <c r="D2" s="12" t="str">
        <f>A!H2</f>
        <v>Exhibit JD-1</v>
      </c>
    </row>
    <row r="3" spans="1:4" ht="15.5" x14ac:dyDescent="0.35">
      <c r="A3" s="1"/>
      <c r="B3" s="1"/>
      <c r="C3" s="1"/>
      <c r="D3" s="12" t="s">
        <v>52</v>
      </c>
    </row>
    <row r="4" spans="1:4" ht="15.5" x14ac:dyDescent="0.35">
      <c r="A4" s="1" t="s">
        <v>31</v>
      </c>
      <c r="B4" s="1"/>
      <c r="C4" s="1"/>
      <c r="D4" s="12" t="str">
        <f>A!H4</f>
        <v>Page 1 of 1</v>
      </c>
    </row>
    <row r="5" spans="1:4" ht="15.5" x14ac:dyDescent="0.35">
      <c r="B5" s="1"/>
      <c r="C5" s="1"/>
      <c r="D5" s="1"/>
    </row>
    <row r="6" spans="1:4" ht="15.5" x14ac:dyDescent="0.35">
      <c r="A6" s="18" t="s">
        <v>32</v>
      </c>
      <c r="B6" s="18" t="s">
        <v>16</v>
      </c>
      <c r="C6" s="18"/>
      <c r="D6" s="18" t="s">
        <v>56</v>
      </c>
    </row>
    <row r="7" spans="1:4" ht="15.5" x14ac:dyDescent="0.35">
      <c r="A7" s="1"/>
      <c r="B7" s="1"/>
      <c r="C7" s="1"/>
      <c r="D7" s="1"/>
    </row>
    <row r="8" spans="1:4" ht="15.5" x14ac:dyDescent="0.35">
      <c r="A8" s="21">
        <v>1</v>
      </c>
      <c r="B8" s="1" t="s">
        <v>24</v>
      </c>
      <c r="C8" s="1"/>
      <c r="D8" s="19">
        <v>1</v>
      </c>
    </row>
    <row r="9" spans="1:4" ht="15.5" x14ac:dyDescent="0.35">
      <c r="A9" s="21"/>
      <c r="B9" s="1"/>
      <c r="C9" s="1"/>
      <c r="D9" s="19"/>
    </row>
    <row r="10" spans="1:4" ht="15.5" x14ac:dyDescent="0.35">
      <c r="A10" s="21">
        <v>2</v>
      </c>
      <c r="B10" s="1" t="s">
        <v>25</v>
      </c>
      <c r="C10" s="1"/>
      <c r="D10" s="19">
        <v>4.1700000000000001E-3</v>
      </c>
    </row>
    <row r="11" spans="1:4" ht="15.5" x14ac:dyDescent="0.35">
      <c r="A11" s="21"/>
      <c r="B11" s="1"/>
      <c r="C11" s="1"/>
      <c r="D11" s="19"/>
    </row>
    <row r="12" spans="1:4" ht="15.5" x14ac:dyDescent="0.35">
      <c r="A12" s="21">
        <v>3</v>
      </c>
      <c r="B12" s="1" t="s">
        <v>26</v>
      </c>
      <c r="C12" s="1"/>
      <c r="D12" s="20">
        <v>1.302E-3</v>
      </c>
    </row>
    <row r="13" spans="1:4" ht="15.5" x14ac:dyDescent="0.35">
      <c r="A13" s="21"/>
      <c r="B13" s="1"/>
      <c r="C13" s="1"/>
      <c r="D13" s="19"/>
    </row>
    <row r="14" spans="1:4" ht="15.5" x14ac:dyDescent="0.35">
      <c r="A14" s="21">
        <v>4</v>
      </c>
      <c r="B14" s="1" t="s">
        <v>27</v>
      </c>
      <c r="C14" s="1"/>
      <c r="D14" s="19">
        <f>+D8-D10-D12</f>
        <v>0.99452799999999997</v>
      </c>
    </row>
    <row r="15" spans="1:4" ht="15.5" x14ac:dyDescent="0.35">
      <c r="A15" s="21"/>
      <c r="B15" s="1"/>
      <c r="C15" s="1"/>
      <c r="D15" s="19"/>
    </row>
    <row r="16" spans="1:4" ht="15.5" x14ac:dyDescent="0.35">
      <c r="A16" s="21">
        <v>5</v>
      </c>
      <c r="B16" s="1" t="s">
        <v>212</v>
      </c>
      <c r="C16" s="1"/>
      <c r="D16" s="20">
        <v>4.9726399999999997E-2</v>
      </c>
    </row>
    <row r="17" spans="1:4" ht="15.5" x14ac:dyDescent="0.35">
      <c r="A17" s="21"/>
      <c r="B17" s="1"/>
      <c r="C17" s="1"/>
      <c r="D17" s="19"/>
    </row>
    <row r="18" spans="1:4" ht="15.5" x14ac:dyDescent="0.35">
      <c r="A18" s="21">
        <v>6</v>
      </c>
      <c r="B18" s="1" t="s">
        <v>28</v>
      </c>
      <c r="C18" s="1"/>
      <c r="D18" s="19">
        <f>+D14-D16</f>
        <v>0.94480160000000002</v>
      </c>
    </row>
    <row r="19" spans="1:4" ht="15.5" x14ac:dyDescent="0.35">
      <c r="A19" s="21"/>
      <c r="B19" s="1"/>
      <c r="C19" s="1"/>
      <c r="D19" s="19"/>
    </row>
    <row r="20" spans="1:4" ht="15.5" x14ac:dyDescent="0.35">
      <c r="A20" s="21">
        <v>7</v>
      </c>
      <c r="B20" s="1" t="s">
        <v>213</v>
      </c>
      <c r="C20" s="1"/>
      <c r="D20" s="20">
        <v>0.19840833999999999</v>
      </c>
    </row>
    <row r="21" spans="1:4" ht="15.5" x14ac:dyDescent="0.35">
      <c r="A21" s="21"/>
      <c r="B21" s="1"/>
      <c r="C21" s="1"/>
      <c r="D21" s="19"/>
    </row>
    <row r="22" spans="1:4" ht="15.5" x14ac:dyDescent="0.35">
      <c r="A22" s="21">
        <v>8</v>
      </c>
      <c r="B22" s="1" t="s">
        <v>30</v>
      </c>
      <c r="C22" s="1"/>
      <c r="D22" s="20">
        <f>+D18-D20</f>
        <v>0.74639326000000006</v>
      </c>
    </row>
    <row r="23" spans="1:4" ht="15.5" x14ac:dyDescent="0.35">
      <c r="A23" s="21"/>
      <c r="B23" s="1"/>
      <c r="C23" s="1"/>
      <c r="D23" s="19"/>
    </row>
    <row r="24" spans="1:4" ht="16" thickBot="1" x14ac:dyDescent="0.4">
      <c r="A24" s="21">
        <v>9</v>
      </c>
      <c r="B24" s="1" t="s">
        <v>31</v>
      </c>
      <c r="C24" s="1"/>
      <c r="D24" s="115">
        <f>+D8/D22</f>
        <v>1.3397762996948819</v>
      </c>
    </row>
    <row r="25" spans="1:4" ht="16" thickTop="1" x14ac:dyDescent="0.35">
      <c r="A25" s="21"/>
      <c r="B25" s="1" t="s">
        <v>248</v>
      </c>
      <c r="C25" s="1"/>
      <c r="D25" s="19"/>
    </row>
    <row r="26" spans="1:4" ht="15.5" x14ac:dyDescent="0.35">
      <c r="A26" s="21"/>
      <c r="B26" s="1"/>
      <c r="C26" s="1"/>
      <c r="D26" s="1"/>
    </row>
    <row r="27" spans="1:4" ht="15.5" x14ac:dyDescent="0.35">
      <c r="A27" s="21"/>
      <c r="B27" s="1"/>
      <c r="C27" s="1"/>
      <c r="D27" s="1"/>
    </row>
    <row r="28" spans="1:4" ht="15.5" x14ac:dyDescent="0.35">
      <c r="A28" s="21"/>
      <c r="B28" s="1"/>
      <c r="C28" s="1"/>
      <c r="D28" s="1"/>
    </row>
    <row r="29" spans="1:4" ht="15.5" x14ac:dyDescent="0.35">
      <c r="A29" s="21"/>
      <c r="B29" s="1"/>
      <c r="C29" s="1"/>
      <c r="D29" s="1"/>
    </row>
    <row r="30" spans="1:4" ht="15.5" x14ac:dyDescent="0.35">
      <c r="A30" s="21"/>
      <c r="B30" s="1"/>
      <c r="C30" s="1"/>
      <c r="D30" s="1"/>
    </row>
    <row r="31" spans="1:4" ht="15.5" x14ac:dyDescent="0.35">
      <c r="A31" s="18" t="s">
        <v>40</v>
      </c>
      <c r="B31" s="18"/>
      <c r="C31" s="18"/>
      <c r="D31" s="18"/>
    </row>
    <row r="32" spans="1:4" ht="15.5" x14ac:dyDescent="0.35">
      <c r="A32" s="1" t="s">
        <v>214</v>
      </c>
      <c r="B32" s="1"/>
      <c r="C32" s="1"/>
      <c r="D32" s="1"/>
    </row>
    <row r="33" spans="1:3" x14ac:dyDescent="0.35">
      <c r="A33" s="17"/>
      <c r="B33" s="17"/>
      <c r="C33" s="17"/>
    </row>
    <row r="34" spans="1:3" ht="15.5" x14ac:dyDescent="0.35">
      <c r="B34" s="1"/>
      <c r="C34" s="1"/>
    </row>
    <row r="35" spans="1:3" ht="15.5" x14ac:dyDescent="0.35">
      <c r="B35" s="1"/>
      <c r="C35" s="1"/>
    </row>
    <row r="36" spans="1:3" ht="15.5" x14ac:dyDescent="0.35">
      <c r="B36" s="1"/>
      <c r="C36" s="1"/>
    </row>
    <row r="37" spans="1:3" ht="15.5" x14ac:dyDescent="0.35">
      <c r="B37" s="1"/>
      <c r="C37" s="1"/>
    </row>
    <row r="38" spans="1:3" ht="15.5" x14ac:dyDescent="0.35">
      <c r="B38" s="1"/>
      <c r="C38" s="1"/>
    </row>
  </sheetData>
  <pageMargins left="0.7" right="0.7" top="0.75" bottom="0.75" header="0.3" footer="0.3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5FE5-AE15-4606-A447-124F5A628E0F}">
  <sheetPr>
    <pageSetUpPr fitToPage="1"/>
  </sheetPr>
  <dimension ref="A1:K44"/>
  <sheetViews>
    <sheetView workbookViewId="0">
      <selection activeCell="E10" sqref="E10"/>
    </sheetView>
  </sheetViews>
  <sheetFormatPr defaultRowHeight="14.5" x14ac:dyDescent="0.35"/>
  <cols>
    <col min="2" max="2" width="44.26953125" customWidth="1"/>
    <col min="3" max="5" width="20.7265625" customWidth="1"/>
    <col min="7" max="7" width="12.81640625" bestFit="1" customWidth="1"/>
  </cols>
  <sheetData>
    <row r="1" spans="1:11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11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11" ht="15.5" x14ac:dyDescent="0.35">
      <c r="A3" s="1"/>
      <c r="B3" s="1"/>
      <c r="C3" s="1"/>
      <c r="D3" s="1"/>
      <c r="E3" s="12" t="s">
        <v>59</v>
      </c>
    </row>
    <row r="4" spans="1:11" ht="15.5" x14ac:dyDescent="0.35">
      <c r="A4" s="1" t="s">
        <v>43</v>
      </c>
      <c r="B4" s="1"/>
      <c r="C4" s="1"/>
      <c r="D4" s="1"/>
      <c r="E4" s="12" t="str">
        <f>A!H4</f>
        <v>Page 1 of 1</v>
      </c>
    </row>
    <row r="5" spans="1:11" ht="15.5" x14ac:dyDescent="0.35">
      <c r="A5" s="1"/>
      <c r="B5" s="1"/>
      <c r="C5" s="1"/>
      <c r="D5" s="1"/>
      <c r="E5" s="1"/>
    </row>
    <row r="6" spans="1:11" ht="15.5" x14ac:dyDescent="0.35">
      <c r="B6" s="1"/>
      <c r="C6" s="21" t="s">
        <v>54</v>
      </c>
      <c r="D6" s="21"/>
      <c r="E6" s="21" t="s">
        <v>54</v>
      </c>
    </row>
    <row r="7" spans="1:11" ht="15.5" x14ac:dyDescent="0.35">
      <c r="A7" s="1"/>
      <c r="B7" s="1"/>
      <c r="C7" s="21" t="s">
        <v>55</v>
      </c>
      <c r="D7" s="21"/>
      <c r="E7" s="21" t="s">
        <v>55</v>
      </c>
      <c r="F7" s="1"/>
      <c r="G7" s="1"/>
      <c r="H7" s="1"/>
      <c r="I7" s="1"/>
      <c r="J7" s="1"/>
      <c r="K7" s="1"/>
    </row>
    <row r="8" spans="1:11" ht="15.5" x14ac:dyDescent="0.35">
      <c r="A8" s="1"/>
      <c r="B8" s="1"/>
      <c r="C8" s="21" t="s">
        <v>53</v>
      </c>
      <c r="D8" s="21" t="s">
        <v>269</v>
      </c>
      <c r="E8" s="21" t="s">
        <v>53</v>
      </c>
      <c r="F8" s="1"/>
      <c r="G8" s="1"/>
      <c r="H8" s="1"/>
      <c r="I8" s="1"/>
      <c r="J8" s="1"/>
      <c r="K8" s="1"/>
    </row>
    <row r="9" spans="1:11" ht="15.5" x14ac:dyDescent="0.35">
      <c r="A9" s="18" t="s">
        <v>32</v>
      </c>
      <c r="B9" s="18" t="s">
        <v>16</v>
      </c>
      <c r="C9" s="24" t="s">
        <v>41</v>
      </c>
      <c r="D9" s="24" t="s">
        <v>66</v>
      </c>
      <c r="E9" s="24" t="s">
        <v>269</v>
      </c>
      <c r="F9" s="1"/>
      <c r="G9" s="1"/>
      <c r="H9" s="1"/>
      <c r="I9" s="1"/>
      <c r="J9" s="1"/>
      <c r="K9" s="1"/>
    </row>
    <row r="10" spans="1:11" ht="15.5" x14ac:dyDescent="0.35">
      <c r="B10" s="1"/>
      <c r="C10" s="21" t="s">
        <v>35</v>
      </c>
      <c r="D10" s="21" t="s">
        <v>36</v>
      </c>
      <c r="E10" s="21" t="s">
        <v>37</v>
      </c>
      <c r="F10" s="21"/>
      <c r="G10" s="21"/>
      <c r="H10" s="1"/>
      <c r="I10" s="1"/>
      <c r="J10" s="1"/>
      <c r="K10" s="1"/>
    </row>
    <row r="11" spans="1:11" ht="15.5" x14ac:dyDescent="0.35">
      <c r="B11" s="1"/>
      <c r="C11" s="21"/>
      <c r="D11" s="21"/>
      <c r="E11" s="21"/>
      <c r="F11" s="21"/>
      <c r="G11" s="21"/>
      <c r="H11" s="1"/>
      <c r="I11" s="1"/>
      <c r="J11" s="1"/>
      <c r="K11" s="1"/>
    </row>
    <row r="12" spans="1:11" ht="15.5" x14ac:dyDescent="0.35">
      <c r="A12" s="21">
        <v>1</v>
      </c>
      <c r="B12" s="1" t="s">
        <v>47</v>
      </c>
      <c r="C12" s="25">
        <v>775008140.86461902</v>
      </c>
      <c r="D12" s="25"/>
      <c r="E12" s="25">
        <f>+D12+C12</f>
        <v>775008140.86461902</v>
      </c>
      <c r="F12" s="1"/>
      <c r="G12" s="1"/>
      <c r="H12" s="1"/>
      <c r="I12" s="1"/>
      <c r="J12" s="1"/>
      <c r="K12" s="1"/>
    </row>
    <row r="13" spans="1:11" ht="15.5" x14ac:dyDescent="0.35">
      <c r="A13" s="21"/>
      <c r="B13" s="1"/>
      <c r="C13" s="25"/>
      <c r="D13" s="25"/>
      <c r="E13" s="25"/>
      <c r="F13" s="1"/>
      <c r="G13" s="1"/>
      <c r="H13" s="1"/>
      <c r="I13" s="1"/>
      <c r="J13" s="1"/>
      <c r="K13" s="1"/>
    </row>
    <row r="14" spans="1:11" ht="15.5" x14ac:dyDescent="0.35">
      <c r="A14" s="21">
        <v>2</v>
      </c>
      <c r="B14" s="1" t="s">
        <v>46</v>
      </c>
      <c r="C14" s="25"/>
      <c r="D14" s="25"/>
      <c r="E14" s="25"/>
      <c r="F14" s="1"/>
      <c r="G14" s="1"/>
      <c r="H14" s="1"/>
      <c r="I14" s="1"/>
      <c r="J14" s="1"/>
      <c r="K14" s="1"/>
    </row>
    <row r="15" spans="1:11" ht="15.5" x14ac:dyDescent="0.35">
      <c r="A15" s="21"/>
      <c r="B15" s="1"/>
      <c r="C15" s="25"/>
      <c r="D15" s="25"/>
      <c r="E15" s="25"/>
      <c r="F15" s="1"/>
      <c r="G15" s="1"/>
      <c r="H15" s="1"/>
      <c r="I15" s="1"/>
      <c r="J15" s="1"/>
      <c r="K15" s="1"/>
    </row>
    <row r="16" spans="1:11" ht="15.5" x14ac:dyDescent="0.35">
      <c r="A16" s="21">
        <v>3</v>
      </c>
      <c r="B16" s="1" t="s">
        <v>48</v>
      </c>
      <c r="C16" s="25"/>
      <c r="D16" s="25"/>
      <c r="E16" s="25"/>
      <c r="F16" s="1"/>
      <c r="G16" s="1"/>
      <c r="H16" s="1"/>
      <c r="I16" s="1"/>
      <c r="J16" s="1"/>
      <c r="K16" s="1"/>
    </row>
    <row r="17" spans="1:11" ht="15.5" x14ac:dyDescent="0.35">
      <c r="A17" s="21"/>
      <c r="B17" s="1"/>
      <c r="C17" s="25"/>
      <c r="D17" s="25"/>
      <c r="E17" s="25"/>
      <c r="F17" s="1"/>
      <c r="G17" s="1"/>
      <c r="H17" s="1"/>
      <c r="I17" s="1"/>
      <c r="J17" s="1"/>
      <c r="K17" s="1"/>
    </row>
    <row r="18" spans="1:11" ht="15.5" x14ac:dyDescent="0.35">
      <c r="A18" s="21">
        <v>4</v>
      </c>
      <c r="B18" s="1" t="s">
        <v>49</v>
      </c>
      <c r="C18" s="26">
        <v>-194991110</v>
      </c>
      <c r="D18" s="26"/>
      <c r="E18" s="26">
        <f>+C18+D18</f>
        <v>-194991110</v>
      </c>
      <c r="F18" s="1"/>
      <c r="G18" s="1"/>
      <c r="H18" s="1"/>
      <c r="I18" s="1"/>
      <c r="J18" s="1"/>
      <c r="K18" s="1"/>
    </row>
    <row r="19" spans="1:11" ht="15.5" x14ac:dyDescent="0.35">
      <c r="A19" s="21"/>
      <c r="B19" s="1"/>
      <c r="C19" s="25"/>
      <c r="D19" s="25"/>
      <c r="E19" s="25"/>
      <c r="F19" s="1"/>
      <c r="G19" s="1"/>
      <c r="H19" s="1"/>
      <c r="I19" s="1"/>
      <c r="J19" s="1"/>
      <c r="K19" s="1"/>
    </row>
    <row r="20" spans="1:11" ht="15.5" x14ac:dyDescent="0.35">
      <c r="A20" s="21">
        <v>5</v>
      </c>
      <c r="B20" s="1" t="s">
        <v>60</v>
      </c>
      <c r="C20" s="25">
        <f>SUM(C12:C18)-1</f>
        <v>580017029.86461902</v>
      </c>
      <c r="D20" s="25">
        <f>SUM(D12:D18)</f>
        <v>0</v>
      </c>
      <c r="E20" s="25">
        <f>+C20+D20</f>
        <v>580017029.86461902</v>
      </c>
      <c r="F20" s="1"/>
      <c r="G20" s="1"/>
      <c r="H20" s="1"/>
      <c r="I20" s="1"/>
      <c r="J20" s="1"/>
      <c r="K20" s="1"/>
    </row>
    <row r="21" spans="1:11" ht="15.5" x14ac:dyDescent="0.35">
      <c r="A21" s="21"/>
      <c r="B21" s="1"/>
      <c r="C21" s="25"/>
      <c r="D21" s="25"/>
      <c r="E21" s="25"/>
      <c r="F21" s="1"/>
      <c r="G21" s="1"/>
      <c r="H21" s="1"/>
      <c r="I21" s="1"/>
      <c r="J21" s="1"/>
      <c r="K21" s="1"/>
    </row>
    <row r="22" spans="1:11" ht="15.5" x14ac:dyDescent="0.35">
      <c r="A22" s="21">
        <v>6</v>
      </c>
      <c r="B22" s="1" t="s">
        <v>67</v>
      </c>
      <c r="C22" s="25">
        <f>'B-1'!M50</f>
        <v>0</v>
      </c>
      <c r="D22" s="25">
        <f>'B-1'!M48</f>
        <v>-9402090</v>
      </c>
      <c r="E22" s="25">
        <f>+C22+D22</f>
        <v>-9402090</v>
      </c>
      <c r="F22" s="1"/>
      <c r="G22" s="1"/>
      <c r="H22" s="1"/>
      <c r="I22" s="1"/>
      <c r="J22" s="1"/>
      <c r="K22" s="1"/>
    </row>
    <row r="23" spans="1:11" ht="15.5" x14ac:dyDescent="0.35">
      <c r="A23" s="21"/>
      <c r="B23" s="1"/>
      <c r="C23" s="25"/>
      <c r="D23" s="25"/>
      <c r="E23" s="25"/>
      <c r="F23" s="1"/>
      <c r="G23" s="1"/>
      <c r="H23" s="1"/>
      <c r="I23" s="1"/>
      <c r="J23" s="1"/>
      <c r="K23" s="1"/>
    </row>
    <row r="24" spans="1:11" ht="15.5" x14ac:dyDescent="0.35">
      <c r="A24" s="21">
        <v>7</v>
      </c>
      <c r="B24" s="1" t="s">
        <v>61</v>
      </c>
      <c r="C24" s="25">
        <v>37749890.488828242</v>
      </c>
      <c r="D24" s="25"/>
      <c r="E24" s="25">
        <f>+C24+D24</f>
        <v>37749890.488828242</v>
      </c>
      <c r="F24" s="1"/>
      <c r="G24" s="1"/>
      <c r="H24" s="1"/>
      <c r="I24" s="1"/>
      <c r="J24" s="1"/>
      <c r="K24" s="1"/>
    </row>
    <row r="25" spans="1:11" ht="15.5" x14ac:dyDescent="0.35">
      <c r="A25" s="21"/>
      <c r="B25" s="1"/>
      <c r="C25" s="25"/>
      <c r="D25" s="25"/>
      <c r="E25" s="25"/>
      <c r="F25" s="1"/>
      <c r="G25" s="1"/>
      <c r="H25" s="1"/>
      <c r="I25" s="1"/>
      <c r="J25" s="1"/>
      <c r="K25" s="1"/>
    </row>
    <row r="26" spans="1:11" ht="15.5" x14ac:dyDescent="0.35">
      <c r="A26" s="21">
        <v>8</v>
      </c>
      <c r="B26" s="1" t="s">
        <v>217</v>
      </c>
      <c r="C26" s="25"/>
      <c r="D26" s="25"/>
      <c r="E26" s="25"/>
      <c r="F26" s="1"/>
      <c r="G26" s="1"/>
      <c r="H26" s="1"/>
      <c r="I26" s="1"/>
      <c r="J26" s="1"/>
      <c r="K26" s="1"/>
    </row>
    <row r="27" spans="1:11" ht="15.5" x14ac:dyDescent="0.35">
      <c r="A27" s="21">
        <v>9</v>
      </c>
      <c r="B27" s="1" t="s">
        <v>62</v>
      </c>
      <c r="C27" s="25">
        <v>-99011326.859644532</v>
      </c>
      <c r="D27" s="25"/>
      <c r="E27" s="25">
        <f>+C27+D27</f>
        <v>-99011326.859644532</v>
      </c>
      <c r="F27" s="1"/>
      <c r="G27" s="1"/>
      <c r="H27" s="1"/>
      <c r="I27" s="1"/>
      <c r="J27" s="1"/>
      <c r="K27" s="1"/>
    </row>
    <row r="28" spans="1:11" ht="15.5" x14ac:dyDescent="0.35">
      <c r="A28" s="21">
        <v>10</v>
      </c>
      <c r="B28" s="1" t="s">
        <v>63</v>
      </c>
      <c r="C28" s="25">
        <v>3490855.384615385</v>
      </c>
      <c r="D28" s="25"/>
      <c r="E28" s="25">
        <f>+C28+D28</f>
        <v>3490855.384615385</v>
      </c>
      <c r="F28" s="1"/>
      <c r="G28" s="1"/>
      <c r="H28" s="1"/>
      <c r="I28" s="1"/>
      <c r="J28" s="1"/>
      <c r="K28" s="1"/>
    </row>
    <row r="29" spans="1:11" ht="15.5" x14ac:dyDescent="0.35">
      <c r="A29" s="21">
        <v>11</v>
      </c>
      <c r="B29" s="1" t="s">
        <v>65</v>
      </c>
      <c r="C29" s="25">
        <f>-C28</f>
        <v>-3490855.384615385</v>
      </c>
      <c r="D29" s="25"/>
      <c r="E29" s="25">
        <f>+C29+D29</f>
        <v>-3490855.384615385</v>
      </c>
      <c r="F29" s="1"/>
      <c r="G29" s="1"/>
      <c r="H29" s="1"/>
      <c r="I29" s="1"/>
      <c r="J29" s="1"/>
      <c r="K29" s="1"/>
    </row>
    <row r="30" spans="1:11" ht="15.5" x14ac:dyDescent="0.35">
      <c r="A30" s="21">
        <v>12</v>
      </c>
      <c r="B30" s="1" t="s">
        <v>64</v>
      </c>
      <c r="C30" s="25">
        <v>71717.641587942839</v>
      </c>
      <c r="D30" s="25"/>
      <c r="E30" s="25">
        <f>+C30+D30</f>
        <v>71717.641587942839</v>
      </c>
      <c r="F30" s="1"/>
      <c r="G30" s="1"/>
      <c r="H30" s="1"/>
      <c r="I30" s="1"/>
      <c r="J30" s="1"/>
      <c r="K30" s="1"/>
    </row>
    <row r="31" spans="1:11" ht="15.5" x14ac:dyDescent="0.35">
      <c r="A31" s="21"/>
      <c r="B31" s="1"/>
      <c r="C31" s="25"/>
      <c r="D31" s="25"/>
      <c r="E31" s="25"/>
      <c r="F31" s="1"/>
      <c r="G31" s="1"/>
      <c r="H31" s="1"/>
      <c r="I31" s="1"/>
      <c r="J31" s="1"/>
      <c r="K31" s="1"/>
    </row>
    <row r="32" spans="1:11" ht="15.5" x14ac:dyDescent="0.35">
      <c r="A32" s="21">
        <v>13</v>
      </c>
      <c r="B32" s="1" t="s">
        <v>147</v>
      </c>
      <c r="C32" s="25">
        <v>0</v>
      </c>
      <c r="D32" s="25">
        <f>'B-2'!E14</f>
        <v>-1969434</v>
      </c>
      <c r="E32" s="25">
        <f>+C32+D32</f>
        <v>-1969434</v>
      </c>
      <c r="F32" s="1"/>
      <c r="G32" s="1"/>
      <c r="H32" s="1"/>
      <c r="I32" s="1"/>
      <c r="J32" s="1"/>
      <c r="K32" s="1"/>
    </row>
    <row r="33" spans="1:11" ht="15.5" x14ac:dyDescent="0.35">
      <c r="A33" s="21"/>
      <c r="B33" s="1"/>
      <c r="C33" s="26"/>
      <c r="D33" s="26"/>
      <c r="E33" s="26"/>
      <c r="F33" s="1"/>
      <c r="G33" s="1"/>
      <c r="H33" s="1"/>
      <c r="I33" s="1"/>
      <c r="J33" s="1"/>
      <c r="K33" s="1"/>
    </row>
    <row r="34" spans="1:11" ht="15.5" x14ac:dyDescent="0.35">
      <c r="A34" s="21">
        <v>14</v>
      </c>
      <c r="B34" s="12" t="s">
        <v>69</v>
      </c>
      <c r="C34" s="25">
        <f>SUM(C27:C32)</f>
        <v>-98939609.218056589</v>
      </c>
      <c r="D34" s="25">
        <f>SUM(D20:D32)</f>
        <v>-11371524</v>
      </c>
      <c r="E34" s="25">
        <f>SUM(E27:E32)</f>
        <v>-100909043.21805659</v>
      </c>
    </row>
    <row r="35" spans="1:11" ht="15.5" x14ac:dyDescent="0.35">
      <c r="C35" s="25"/>
      <c r="D35" s="25"/>
      <c r="E35" s="25"/>
    </row>
    <row r="36" spans="1:11" ht="16" thickBot="1" x14ac:dyDescent="0.4">
      <c r="A36" s="21">
        <v>15</v>
      </c>
      <c r="B36" s="1" t="s">
        <v>68</v>
      </c>
      <c r="C36" s="27">
        <f>+C20+C24+C34+C22+1</f>
        <v>518827312.13539064</v>
      </c>
      <c r="D36" s="27">
        <f>+D20+D24+D34</f>
        <v>-11371524</v>
      </c>
      <c r="E36" s="27">
        <f>+E20+E24+E34+E22</f>
        <v>507455787.13539064</v>
      </c>
    </row>
    <row r="37" spans="1:11" ht="16" thickTop="1" x14ac:dyDescent="0.35">
      <c r="C37" s="25"/>
      <c r="D37" s="25"/>
      <c r="E37" s="25"/>
    </row>
    <row r="38" spans="1:11" ht="15.5" x14ac:dyDescent="0.35">
      <c r="C38" s="25"/>
      <c r="D38" s="25"/>
      <c r="E38" s="25"/>
    </row>
    <row r="39" spans="1:11" ht="15.5" x14ac:dyDescent="0.35">
      <c r="C39" s="25"/>
      <c r="D39" s="25"/>
      <c r="E39" s="25"/>
    </row>
    <row r="40" spans="1:11" ht="15.5" x14ac:dyDescent="0.35">
      <c r="C40" s="25"/>
      <c r="D40" s="25"/>
      <c r="E40" s="25"/>
    </row>
    <row r="41" spans="1:11" ht="15.5" x14ac:dyDescent="0.35">
      <c r="C41" s="25"/>
      <c r="D41" s="25"/>
      <c r="E41" s="25"/>
    </row>
    <row r="42" spans="1:11" ht="15.5" x14ac:dyDescent="0.35">
      <c r="A42" s="18" t="s">
        <v>40</v>
      </c>
      <c r="B42" s="18"/>
      <c r="C42" s="18"/>
      <c r="D42" s="26"/>
      <c r="E42" s="26"/>
    </row>
    <row r="43" spans="1:11" x14ac:dyDescent="0.35">
      <c r="A43" s="32" t="s">
        <v>246</v>
      </c>
    </row>
    <row r="44" spans="1:11" x14ac:dyDescent="0.35">
      <c r="A44" s="31"/>
    </row>
  </sheetData>
  <pageMargins left="0.7" right="0.7" top="0.75" bottom="0.75" header="0.3" footer="0.3"/>
  <pageSetup scale="78" orientation="portrait" r:id="rId1"/>
  <ignoredErrors>
    <ignoredError sqref="D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AA83-87EF-4A5E-9EE3-338AB9DD21B7}">
  <sheetPr>
    <pageSetUpPr fitToPage="1"/>
  </sheetPr>
  <dimension ref="A1:M68"/>
  <sheetViews>
    <sheetView topLeftCell="A19" workbookViewId="0">
      <selection activeCell="E42" sqref="E42"/>
    </sheetView>
  </sheetViews>
  <sheetFormatPr defaultRowHeight="14.5" x14ac:dyDescent="0.35"/>
  <cols>
    <col min="1" max="1" width="4.81640625" customWidth="1"/>
    <col min="2" max="2" width="2.26953125" customWidth="1"/>
    <col min="3" max="3" width="47.7265625" customWidth="1"/>
    <col min="4" max="4" width="19.453125" bestFit="1" customWidth="1"/>
    <col min="5" max="8" width="19.453125" customWidth="1"/>
    <col min="9" max="9" width="16.54296875" bestFit="1" customWidth="1"/>
    <col min="10" max="10" width="10.453125" bestFit="1" customWidth="1"/>
    <col min="11" max="11" width="11.54296875" bestFit="1" customWidth="1"/>
    <col min="12" max="12" width="10.81640625" customWidth="1"/>
    <col min="13" max="13" width="18.54296875" bestFit="1" customWidth="1"/>
  </cols>
  <sheetData>
    <row r="1" spans="1:13" x14ac:dyDescent="0.35">
      <c r="A1" s="17" t="str">
        <f>A!A1</f>
        <v>Columbia Gas of Kentucky, Inc.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3" t="str">
        <f>A!H1</f>
        <v>Case No. 2024-00092</v>
      </c>
    </row>
    <row r="2" spans="1:13" x14ac:dyDescent="0.35">
      <c r="A2" s="17" t="str">
        <f>A!A2</f>
        <v>Forecasted Test Period: Twelve Months Ended December 31, 2025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63" t="str">
        <f>A!H2</f>
        <v>Exhibit JD-1</v>
      </c>
    </row>
    <row r="3" spans="1:13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63" t="s">
        <v>143</v>
      </c>
    </row>
    <row r="4" spans="1:13" x14ac:dyDescent="0.35">
      <c r="A4" s="17" t="s">
        <v>142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63" t="s">
        <v>10</v>
      </c>
    </row>
    <row r="6" spans="1:13" x14ac:dyDescent="0.35">
      <c r="A6" s="34"/>
      <c r="B6" s="34"/>
      <c r="C6" s="34"/>
      <c r="D6" s="141" t="s">
        <v>87</v>
      </c>
      <c r="E6" s="141"/>
      <c r="F6" s="141"/>
      <c r="G6" s="141"/>
      <c r="H6" s="141"/>
      <c r="I6" s="141"/>
      <c r="J6" s="141"/>
      <c r="K6" s="141"/>
      <c r="L6" s="141"/>
      <c r="M6" s="141"/>
    </row>
    <row r="7" spans="1:13" x14ac:dyDescent="0.35">
      <c r="A7" s="33" t="s">
        <v>11</v>
      </c>
      <c r="B7" s="34"/>
      <c r="C7" s="34"/>
      <c r="D7" s="33" t="s">
        <v>23</v>
      </c>
      <c r="E7" s="33" t="s">
        <v>269</v>
      </c>
      <c r="F7" s="33" t="s">
        <v>269</v>
      </c>
      <c r="G7" s="35" t="s">
        <v>105</v>
      </c>
      <c r="H7" s="35" t="s">
        <v>105</v>
      </c>
      <c r="I7" s="33" t="s">
        <v>106</v>
      </c>
      <c r="J7" s="33" t="s">
        <v>107</v>
      </c>
      <c r="K7" s="33" t="s">
        <v>109</v>
      </c>
      <c r="L7" s="33" t="s">
        <v>111</v>
      </c>
      <c r="M7" s="33" t="s">
        <v>113</v>
      </c>
    </row>
    <row r="8" spans="1:13" x14ac:dyDescent="0.35">
      <c r="A8" s="36" t="s">
        <v>15</v>
      </c>
      <c r="B8" s="37"/>
      <c r="C8" s="36" t="s">
        <v>103</v>
      </c>
      <c r="D8" s="36" t="s">
        <v>104</v>
      </c>
      <c r="E8" s="36" t="s">
        <v>145</v>
      </c>
      <c r="F8" s="36" t="s">
        <v>205</v>
      </c>
      <c r="G8" s="38" t="s">
        <v>70</v>
      </c>
      <c r="H8" s="38" t="s">
        <v>33</v>
      </c>
      <c r="I8" s="38" t="s">
        <v>33</v>
      </c>
      <c r="J8" s="36" t="s">
        <v>108</v>
      </c>
      <c r="K8" s="36" t="s">
        <v>110</v>
      </c>
      <c r="L8" s="36" t="s">
        <v>112</v>
      </c>
      <c r="M8" s="36" t="s">
        <v>114</v>
      </c>
    </row>
    <row r="9" spans="1:13" x14ac:dyDescent="0.35">
      <c r="A9" s="33"/>
      <c r="B9" s="34"/>
      <c r="C9" s="32"/>
      <c r="D9" s="39" t="s">
        <v>88</v>
      </c>
      <c r="E9" s="39"/>
      <c r="F9" s="39"/>
      <c r="G9" s="39" t="s">
        <v>89</v>
      </c>
      <c r="H9" s="39" t="s">
        <v>90</v>
      </c>
      <c r="I9" s="39" t="s">
        <v>91</v>
      </c>
      <c r="J9" s="39" t="s">
        <v>92</v>
      </c>
      <c r="K9" s="39" t="s">
        <v>93</v>
      </c>
      <c r="L9" s="39" t="s">
        <v>94</v>
      </c>
      <c r="M9" s="39" t="s">
        <v>95</v>
      </c>
    </row>
    <row r="10" spans="1:13" x14ac:dyDescent="0.35">
      <c r="A10" s="34"/>
      <c r="B10" s="34"/>
      <c r="C10" s="34"/>
      <c r="D10" s="33" t="s">
        <v>96</v>
      </c>
      <c r="E10" s="33"/>
      <c r="F10" s="33"/>
      <c r="G10" s="40"/>
      <c r="H10" s="35" t="s">
        <v>96</v>
      </c>
      <c r="I10" s="33" t="s">
        <v>96</v>
      </c>
      <c r="J10" s="34"/>
      <c r="K10" s="34"/>
      <c r="L10" s="34"/>
      <c r="M10" s="33" t="s">
        <v>96</v>
      </c>
    </row>
    <row r="11" spans="1:13" x14ac:dyDescent="0.35">
      <c r="A11" s="33">
        <v>1</v>
      </c>
      <c r="B11" s="41" t="s">
        <v>97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35">
      <c r="A12" s="33">
        <f>A11+1</f>
        <v>2</v>
      </c>
      <c r="B12" s="34"/>
      <c r="C12" s="32" t="s">
        <v>128</v>
      </c>
      <c r="D12" s="42">
        <v>26766112.270000003</v>
      </c>
      <c r="E12" s="42"/>
      <c r="F12" s="42">
        <f>+D12+E12</f>
        <v>26766112.270000003</v>
      </c>
      <c r="G12" s="35" t="s">
        <v>98</v>
      </c>
      <c r="H12" s="43">
        <f>F12</f>
        <v>26766112.270000003</v>
      </c>
      <c r="I12" s="43">
        <f>ROUND(H12/365,0)</f>
        <v>73332</v>
      </c>
      <c r="J12" s="34">
        <v>21.43</v>
      </c>
      <c r="K12" s="44">
        <v>39.24</v>
      </c>
      <c r="L12" s="45">
        <f t="shared" ref="L12:L46" si="0">J12-K12</f>
        <v>-17.810000000000002</v>
      </c>
      <c r="M12" s="43">
        <f>ROUND(L12*I12,0)</f>
        <v>-1306043</v>
      </c>
    </row>
    <row r="13" spans="1:13" x14ac:dyDescent="0.35">
      <c r="A13" s="33">
        <f>A12+1</f>
        <v>3</v>
      </c>
      <c r="B13" s="34"/>
      <c r="C13" s="32" t="s">
        <v>129</v>
      </c>
      <c r="D13" s="46">
        <v>8646909.3900000006</v>
      </c>
      <c r="E13" s="46"/>
      <c r="F13" s="42">
        <f t="shared" ref="F13:F25" si="1">+D13+E13</f>
        <v>8646909.3900000006</v>
      </c>
      <c r="G13" s="35" t="s">
        <v>98</v>
      </c>
      <c r="H13" s="43">
        <f>F13</f>
        <v>8646909.3900000006</v>
      </c>
      <c r="I13" s="43">
        <f t="shared" ref="I13:I46" si="2">ROUND(H13/365,0)</f>
        <v>23690</v>
      </c>
      <c r="J13" s="34">
        <f>J12</f>
        <v>21.43</v>
      </c>
      <c r="K13" s="44">
        <v>0</v>
      </c>
      <c r="L13" s="45">
        <f t="shared" si="0"/>
        <v>21.43</v>
      </c>
      <c r="M13" s="43">
        <f t="shared" ref="M13:M25" si="3">ROUND(L13*I13,0)</f>
        <v>507677</v>
      </c>
    </row>
    <row r="14" spans="1:13" x14ac:dyDescent="0.35">
      <c r="A14" s="33">
        <f t="shared" ref="A14:A30" si="4">A13+1</f>
        <v>4</v>
      </c>
      <c r="B14" s="34"/>
      <c r="C14" s="34" t="s">
        <v>130</v>
      </c>
      <c r="D14" s="46">
        <v>1394938.1812145161</v>
      </c>
      <c r="E14" s="46">
        <f>'D&amp;O'!D15</f>
        <v>-106034.25</v>
      </c>
      <c r="F14" s="42">
        <f t="shared" si="1"/>
        <v>1288903.9312145161</v>
      </c>
      <c r="G14" s="35" t="s">
        <v>98</v>
      </c>
      <c r="H14" s="43">
        <f t="shared" ref="H14:H25" si="5">F14</f>
        <v>1288903.9312145161</v>
      </c>
      <c r="I14" s="43">
        <f t="shared" si="2"/>
        <v>3531</v>
      </c>
      <c r="J14" s="34">
        <f t="shared" ref="J14:J23" si="6">J13</f>
        <v>21.43</v>
      </c>
      <c r="K14" s="47">
        <v>-155.85</v>
      </c>
      <c r="L14" s="45">
        <f t="shared" si="0"/>
        <v>177.28</v>
      </c>
      <c r="M14" s="43">
        <f t="shared" si="3"/>
        <v>625976</v>
      </c>
    </row>
    <row r="15" spans="1:13" x14ac:dyDescent="0.35">
      <c r="A15" s="33">
        <f t="shared" si="4"/>
        <v>5</v>
      </c>
      <c r="B15" s="34"/>
      <c r="C15" s="32" t="s">
        <v>131</v>
      </c>
      <c r="D15" s="46">
        <v>11529945.47634453</v>
      </c>
      <c r="E15" s="46">
        <f>+Payroll!D22</f>
        <v>-1245234.1680000001</v>
      </c>
      <c r="F15" s="42">
        <f t="shared" si="1"/>
        <v>10284711.30834453</v>
      </c>
      <c r="G15" s="35" t="s">
        <v>98</v>
      </c>
      <c r="H15" s="43">
        <f t="shared" si="5"/>
        <v>10284711.30834453</v>
      </c>
      <c r="I15" s="43">
        <f t="shared" si="2"/>
        <v>28177</v>
      </c>
      <c r="J15" s="34">
        <f t="shared" si="6"/>
        <v>21.43</v>
      </c>
      <c r="K15" s="44">
        <v>4.9000000000000004</v>
      </c>
      <c r="L15" s="45">
        <f t="shared" si="0"/>
        <v>16.53</v>
      </c>
      <c r="M15" s="43">
        <f t="shared" si="3"/>
        <v>465766</v>
      </c>
    </row>
    <row r="16" spans="1:13" x14ac:dyDescent="0.35">
      <c r="A16" s="33">
        <f t="shared" si="4"/>
        <v>6</v>
      </c>
      <c r="B16" s="34"/>
      <c r="C16" s="34" t="s">
        <v>132</v>
      </c>
      <c r="D16" s="46">
        <v>829180.09959444776</v>
      </c>
      <c r="E16" s="46">
        <f>+F60</f>
        <v>-580426</v>
      </c>
      <c r="F16" s="42">
        <f t="shared" si="1"/>
        <v>248754.09959444776</v>
      </c>
      <c r="G16" s="35" t="s">
        <v>98</v>
      </c>
      <c r="H16" s="43">
        <f t="shared" si="5"/>
        <v>248754.09959444776</v>
      </c>
      <c r="I16" s="43">
        <f t="shared" si="2"/>
        <v>682</v>
      </c>
      <c r="J16" s="34">
        <f t="shared" si="6"/>
        <v>21.43</v>
      </c>
      <c r="K16" s="44">
        <v>239.87</v>
      </c>
      <c r="L16" s="45">
        <f t="shared" si="0"/>
        <v>-218.44</v>
      </c>
      <c r="M16" s="43">
        <f t="shared" si="3"/>
        <v>-148976</v>
      </c>
    </row>
    <row r="17" spans="1:13" x14ac:dyDescent="0.35">
      <c r="A17" s="33">
        <f t="shared" si="4"/>
        <v>7</v>
      </c>
      <c r="B17" s="34"/>
      <c r="C17" s="32" t="s">
        <v>133</v>
      </c>
      <c r="D17" s="46">
        <v>3422444.458779708</v>
      </c>
      <c r="E17" s="46">
        <f>+Benefits!D13+'401(k)'!D11+'Profit Sharing'!D15</f>
        <v>-798438.41980825888</v>
      </c>
      <c r="F17" s="42">
        <f t="shared" si="1"/>
        <v>2624006.0389714492</v>
      </c>
      <c r="G17" s="35" t="s">
        <v>98</v>
      </c>
      <c r="H17" s="43">
        <f t="shared" si="5"/>
        <v>2624006.0389714492</v>
      </c>
      <c r="I17" s="43">
        <f t="shared" si="2"/>
        <v>7189</v>
      </c>
      <c r="J17" s="34">
        <f t="shared" si="6"/>
        <v>21.43</v>
      </c>
      <c r="K17" s="44">
        <v>13.7</v>
      </c>
      <c r="L17" s="45">
        <f t="shared" si="0"/>
        <v>7.73</v>
      </c>
      <c r="M17" s="43">
        <f t="shared" si="3"/>
        <v>55571</v>
      </c>
    </row>
    <row r="18" spans="1:13" x14ac:dyDescent="0.35">
      <c r="A18" s="33">
        <f t="shared" si="4"/>
        <v>8</v>
      </c>
      <c r="B18" s="34"/>
      <c r="C18" s="34" t="s">
        <v>134</v>
      </c>
      <c r="D18" s="46">
        <v>423725.83016556001</v>
      </c>
      <c r="E18" s="46"/>
      <c r="F18" s="42">
        <f t="shared" si="1"/>
        <v>423725.83016556001</v>
      </c>
      <c r="G18" s="35" t="s">
        <v>98</v>
      </c>
      <c r="H18" s="43">
        <f t="shared" si="5"/>
        <v>423725.83016556001</v>
      </c>
      <c r="I18" s="43">
        <f t="shared" si="2"/>
        <v>1161</v>
      </c>
      <c r="J18" s="34">
        <f t="shared" si="6"/>
        <v>21.43</v>
      </c>
      <c r="K18" s="44">
        <f>J18</f>
        <v>21.43</v>
      </c>
      <c r="L18" s="45">
        <f t="shared" si="0"/>
        <v>0</v>
      </c>
      <c r="M18" s="43">
        <f t="shared" si="3"/>
        <v>0</v>
      </c>
    </row>
    <row r="19" spans="1:13" x14ac:dyDescent="0.35">
      <c r="A19" s="33">
        <f t="shared" si="4"/>
        <v>9</v>
      </c>
      <c r="B19" s="34"/>
      <c r="C19" s="34" t="s">
        <v>135</v>
      </c>
      <c r="D19" s="46">
        <v>62560.42500000001</v>
      </c>
      <c r="E19" s="46"/>
      <c r="F19" s="42">
        <f t="shared" si="1"/>
        <v>62560.42500000001</v>
      </c>
      <c r="G19" s="35" t="s">
        <v>98</v>
      </c>
      <c r="H19" s="43">
        <f t="shared" si="5"/>
        <v>62560.42500000001</v>
      </c>
      <c r="I19" s="43">
        <f>ROUND(H19/365,0)</f>
        <v>171</v>
      </c>
      <c r="J19" s="34">
        <f t="shared" si="6"/>
        <v>21.43</v>
      </c>
      <c r="K19" s="44">
        <v>43.4</v>
      </c>
      <c r="L19" s="45">
        <f>J19-K19</f>
        <v>-21.97</v>
      </c>
      <c r="M19" s="43">
        <f>ROUND(L19*I19,0)</f>
        <v>-3757</v>
      </c>
    </row>
    <row r="20" spans="1:13" x14ac:dyDescent="0.35">
      <c r="A20" s="33">
        <f t="shared" si="4"/>
        <v>10</v>
      </c>
      <c r="B20" s="34"/>
      <c r="C20" s="34" t="s">
        <v>204</v>
      </c>
      <c r="D20" s="46">
        <v>545803</v>
      </c>
      <c r="E20" s="46"/>
      <c r="F20" s="42">
        <f t="shared" si="1"/>
        <v>545803</v>
      </c>
      <c r="G20" s="35" t="s">
        <v>98</v>
      </c>
      <c r="H20" s="43">
        <f t="shared" si="5"/>
        <v>545803</v>
      </c>
      <c r="I20" s="43">
        <f t="shared" si="2"/>
        <v>1495</v>
      </c>
      <c r="J20" s="34">
        <f t="shared" si="6"/>
        <v>21.43</v>
      </c>
      <c r="K20" s="44">
        <f>J20</f>
        <v>21.43</v>
      </c>
      <c r="L20" s="45">
        <f t="shared" si="0"/>
        <v>0</v>
      </c>
      <c r="M20" s="43">
        <f t="shared" si="3"/>
        <v>0</v>
      </c>
    </row>
    <row r="21" spans="1:13" x14ac:dyDescent="0.35">
      <c r="A21" s="33">
        <f t="shared" si="4"/>
        <v>11</v>
      </c>
      <c r="B21" s="34"/>
      <c r="C21" s="34" t="s">
        <v>136</v>
      </c>
      <c r="D21" s="46">
        <v>19722578.664737422</v>
      </c>
      <c r="E21" s="46">
        <f>+Aircraft!D15+'Investor Rel'!D15+Payroll!D26+F63+F64+Dues!D15</f>
        <v>-2303607.2760000001</v>
      </c>
      <c r="F21" s="42">
        <f t="shared" si="1"/>
        <v>17418971.388737421</v>
      </c>
      <c r="G21" s="35" t="s">
        <v>98</v>
      </c>
      <c r="H21" s="43">
        <f t="shared" si="5"/>
        <v>17418971.388737421</v>
      </c>
      <c r="I21" s="43">
        <f t="shared" si="2"/>
        <v>47723</v>
      </c>
      <c r="J21" s="34">
        <f t="shared" si="6"/>
        <v>21.43</v>
      </c>
      <c r="K21" s="44">
        <v>39.4</v>
      </c>
      <c r="L21" s="45">
        <f t="shared" si="0"/>
        <v>-17.97</v>
      </c>
      <c r="M21" s="43">
        <f t="shared" si="3"/>
        <v>-857582</v>
      </c>
    </row>
    <row r="22" spans="1:13" x14ac:dyDescent="0.35">
      <c r="A22" s="33">
        <f t="shared" si="4"/>
        <v>12</v>
      </c>
      <c r="B22" s="34"/>
      <c r="C22" s="34" t="s">
        <v>137</v>
      </c>
      <c r="D22" s="48">
        <v>572490.52</v>
      </c>
      <c r="E22" s="48"/>
      <c r="F22" s="42">
        <f t="shared" si="1"/>
        <v>572490.52</v>
      </c>
      <c r="G22" s="35" t="s">
        <v>98</v>
      </c>
      <c r="H22" s="43">
        <f t="shared" si="5"/>
        <v>572490.52</v>
      </c>
      <c r="I22" s="43">
        <f t="shared" si="2"/>
        <v>1568</v>
      </c>
      <c r="J22" s="34">
        <f t="shared" si="6"/>
        <v>21.43</v>
      </c>
      <c r="K22" s="44">
        <f>J22</f>
        <v>21.43</v>
      </c>
      <c r="L22" s="45">
        <f t="shared" si="0"/>
        <v>0</v>
      </c>
      <c r="M22" s="43">
        <f t="shared" si="3"/>
        <v>0</v>
      </c>
    </row>
    <row r="23" spans="1:13" x14ac:dyDescent="0.35">
      <c r="A23" s="33">
        <f t="shared" si="4"/>
        <v>13</v>
      </c>
      <c r="B23" s="34"/>
      <c r="C23" s="34" t="s">
        <v>138</v>
      </c>
      <c r="D23" s="49">
        <v>14362905.320831716</v>
      </c>
      <c r="E23" s="49">
        <f>+'Rate Case Exp'!D15+SERP!D15+F61</f>
        <v>-1499020.8</v>
      </c>
      <c r="F23" s="42">
        <f t="shared" si="1"/>
        <v>12863884.520831715</v>
      </c>
      <c r="G23" s="35" t="s">
        <v>98</v>
      </c>
      <c r="H23" s="43">
        <f t="shared" si="5"/>
        <v>12863884.520831715</v>
      </c>
      <c r="I23" s="43">
        <f t="shared" si="2"/>
        <v>35244</v>
      </c>
      <c r="J23" s="34">
        <f t="shared" si="6"/>
        <v>21.43</v>
      </c>
      <c r="K23" s="44">
        <v>26.08</v>
      </c>
      <c r="L23" s="45">
        <f t="shared" si="0"/>
        <v>-4.6499999999999986</v>
      </c>
      <c r="M23" s="43">
        <f t="shared" si="3"/>
        <v>-163885</v>
      </c>
    </row>
    <row r="24" spans="1:13" x14ac:dyDescent="0.35">
      <c r="A24" s="33"/>
      <c r="B24" s="34"/>
      <c r="C24" s="34"/>
      <c r="D24" s="46"/>
      <c r="E24" s="46"/>
      <c r="F24" s="42"/>
      <c r="G24" s="35"/>
      <c r="H24" s="50"/>
      <c r="I24" s="43"/>
      <c r="J24" s="34"/>
      <c r="K24" s="44"/>
      <c r="L24" s="45"/>
      <c r="M24" s="34"/>
    </row>
    <row r="25" spans="1:13" x14ac:dyDescent="0.35">
      <c r="A25" s="33">
        <f>A23+1</f>
        <v>14</v>
      </c>
      <c r="B25" s="34"/>
      <c r="C25" s="34" t="s">
        <v>127</v>
      </c>
      <c r="D25" s="46">
        <v>26483896.030000001</v>
      </c>
      <c r="E25" s="46"/>
      <c r="F25" s="42">
        <f t="shared" si="1"/>
        <v>26483896.030000001</v>
      </c>
      <c r="G25" s="35" t="s">
        <v>98</v>
      </c>
      <c r="H25" s="43">
        <f t="shared" si="5"/>
        <v>26483896.030000001</v>
      </c>
      <c r="I25" s="43">
        <f t="shared" si="2"/>
        <v>72559</v>
      </c>
      <c r="J25" s="34">
        <f>J23</f>
        <v>21.43</v>
      </c>
      <c r="K25" s="44">
        <f>J25</f>
        <v>21.43</v>
      </c>
      <c r="L25" s="45">
        <f t="shared" si="0"/>
        <v>0</v>
      </c>
      <c r="M25" s="43">
        <f t="shared" si="3"/>
        <v>0</v>
      </c>
    </row>
    <row r="26" spans="1:13" x14ac:dyDescent="0.35">
      <c r="A26" s="33"/>
      <c r="B26" s="34"/>
      <c r="C26" s="34"/>
      <c r="D26" s="46"/>
      <c r="E26" s="46"/>
      <c r="F26" s="46"/>
      <c r="G26" s="35"/>
      <c r="H26" s="50"/>
      <c r="I26" s="43"/>
      <c r="J26" s="34"/>
      <c r="K26" s="44"/>
      <c r="L26" s="45"/>
      <c r="M26" s="34"/>
    </row>
    <row r="27" spans="1:13" x14ac:dyDescent="0.35">
      <c r="A27" s="33">
        <f>A25+1</f>
        <v>15</v>
      </c>
      <c r="B27" s="41" t="s">
        <v>99</v>
      </c>
      <c r="C27" s="34"/>
      <c r="D27" s="46"/>
      <c r="E27" s="46"/>
      <c r="F27" s="46"/>
      <c r="G27" s="35"/>
      <c r="H27" s="50"/>
      <c r="I27" s="43"/>
      <c r="J27" s="34"/>
      <c r="K27" s="44"/>
      <c r="L27" s="45"/>
      <c r="M27" s="34"/>
    </row>
    <row r="28" spans="1:13" x14ac:dyDescent="0.35">
      <c r="A28" s="33">
        <f t="shared" si="4"/>
        <v>16</v>
      </c>
      <c r="B28" s="34"/>
      <c r="C28" s="34" t="s">
        <v>115</v>
      </c>
      <c r="D28" s="46">
        <v>900432.44286459521</v>
      </c>
      <c r="E28" s="46">
        <f>'Payroll Tax'!D13</f>
        <v>-305755.80990947335</v>
      </c>
      <c r="F28" s="42">
        <f t="shared" ref="F28:F30" si="7">+D28+E28</f>
        <v>594676.63295512181</v>
      </c>
      <c r="G28" s="35" t="s">
        <v>98</v>
      </c>
      <c r="H28" s="43">
        <f t="shared" ref="H28:H30" si="8">F28</f>
        <v>594676.63295512181</v>
      </c>
      <c r="I28" s="43">
        <f t="shared" si="2"/>
        <v>1629</v>
      </c>
      <c r="J28" s="34">
        <f>J25</f>
        <v>21.43</v>
      </c>
      <c r="K28" s="44">
        <v>8.6999999999999993</v>
      </c>
      <c r="L28" s="45">
        <f t="shared" si="0"/>
        <v>12.73</v>
      </c>
      <c r="M28" s="43">
        <f>ROUND(L28*I28,0)</f>
        <v>20737</v>
      </c>
    </row>
    <row r="29" spans="1:13" x14ac:dyDescent="0.35">
      <c r="A29" s="33">
        <f t="shared" si="4"/>
        <v>17</v>
      </c>
      <c r="B29" s="34"/>
      <c r="C29" s="34" t="s">
        <v>116</v>
      </c>
      <c r="D29" s="46">
        <v>7451759</v>
      </c>
      <c r="E29" s="46"/>
      <c r="F29" s="42">
        <f t="shared" si="7"/>
        <v>7451759</v>
      </c>
      <c r="G29" s="35" t="s">
        <v>98</v>
      </c>
      <c r="H29" s="43">
        <f t="shared" si="8"/>
        <v>7451759</v>
      </c>
      <c r="I29" s="43">
        <f t="shared" si="2"/>
        <v>20416</v>
      </c>
      <c r="J29" s="34">
        <f>J28</f>
        <v>21.43</v>
      </c>
      <c r="K29" s="44">
        <v>297.97000000000003</v>
      </c>
      <c r="L29" s="45">
        <f t="shared" si="0"/>
        <v>-276.54000000000002</v>
      </c>
      <c r="M29" s="43">
        <f>ROUND(L29*I29,0)</f>
        <v>-5645841</v>
      </c>
    </row>
    <row r="30" spans="1:13" x14ac:dyDescent="0.35">
      <c r="A30" s="33">
        <f t="shared" si="4"/>
        <v>18</v>
      </c>
      <c r="B30" s="34"/>
      <c r="C30" s="34" t="s">
        <v>117</v>
      </c>
      <c r="D30" s="51">
        <v>225600</v>
      </c>
      <c r="E30" s="51"/>
      <c r="F30" s="42">
        <f t="shared" si="7"/>
        <v>225600</v>
      </c>
      <c r="G30" s="35" t="s">
        <v>98</v>
      </c>
      <c r="H30" s="43">
        <f t="shared" si="8"/>
        <v>225600</v>
      </c>
      <c r="I30" s="43">
        <f t="shared" si="2"/>
        <v>618</v>
      </c>
      <c r="J30" s="34">
        <f>J29</f>
        <v>21.43</v>
      </c>
      <c r="K30" s="44">
        <v>45</v>
      </c>
      <c r="L30" s="45">
        <f t="shared" si="0"/>
        <v>-23.57</v>
      </c>
      <c r="M30" s="43">
        <f>ROUND(L30*I30,0)</f>
        <v>-14566</v>
      </c>
    </row>
    <row r="31" spans="1:13" x14ac:dyDescent="0.35">
      <c r="A31" s="33"/>
      <c r="B31" s="34"/>
      <c r="C31" s="34"/>
      <c r="D31" s="46"/>
      <c r="E31" s="46"/>
      <c r="F31" s="46"/>
      <c r="G31" s="35"/>
      <c r="H31" s="50"/>
      <c r="I31" s="43"/>
      <c r="J31" s="34"/>
      <c r="K31" s="44"/>
      <c r="L31" s="45"/>
      <c r="M31" s="34"/>
    </row>
    <row r="32" spans="1:13" x14ac:dyDescent="0.35">
      <c r="A32" s="33">
        <f>A30+1</f>
        <v>19</v>
      </c>
      <c r="B32" s="41" t="s">
        <v>100</v>
      </c>
      <c r="C32" s="34"/>
      <c r="D32" s="46"/>
      <c r="E32" s="46"/>
      <c r="F32" s="46"/>
      <c r="G32" s="35"/>
      <c r="H32" s="50"/>
      <c r="I32" s="43"/>
      <c r="J32" s="34"/>
      <c r="K32" s="44"/>
      <c r="L32" s="45"/>
      <c r="M32" s="34"/>
    </row>
    <row r="33" spans="1:13" x14ac:dyDescent="0.35">
      <c r="A33" s="33">
        <f>A32+1</f>
        <v>20</v>
      </c>
      <c r="B33" s="34"/>
      <c r="C33" s="34" t="s">
        <v>118</v>
      </c>
      <c r="D33" s="46">
        <v>1295036.6493891045</v>
      </c>
      <c r="E33" s="46"/>
      <c r="F33" s="42">
        <f t="shared" ref="F33:F35" si="9">+D33+E33</f>
        <v>1295036.6493891045</v>
      </c>
      <c r="G33" s="35" t="s">
        <v>98</v>
      </c>
      <c r="H33" s="43">
        <f t="shared" ref="H33:H35" si="10">F33</f>
        <v>1295036.6493891045</v>
      </c>
      <c r="I33" s="43">
        <f t="shared" si="2"/>
        <v>3548</v>
      </c>
      <c r="J33" s="34">
        <f>J30</f>
        <v>21.43</v>
      </c>
      <c r="K33" s="44">
        <v>37.5</v>
      </c>
      <c r="L33" s="45">
        <f t="shared" si="0"/>
        <v>-16.07</v>
      </c>
      <c r="M33" s="43">
        <f>ROUND(L33*I33,0)</f>
        <v>-57016</v>
      </c>
    </row>
    <row r="34" spans="1:13" x14ac:dyDescent="0.35">
      <c r="A34" s="33">
        <f>A33+1</f>
        <v>21</v>
      </c>
      <c r="B34" s="34"/>
      <c r="C34" s="34" t="s">
        <v>119</v>
      </c>
      <c r="D34" s="46">
        <v>149742.9119772194</v>
      </c>
      <c r="E34" s="46"/>
      <c r="F34" s="42">
        <f t="shared" si="9"/>
        <v>149742.9119772194</v>
      </c>
      <c r="G34" s="35" t="s">
        <v>98</v>
      </c>
      <c r="H34" s="43">
        <f t="shared" si="10"/>
        <v>149742.9119772194</v>
      </c>
      <c r="I34" s="43">
        <f t="shared" si="2"/>
        <v>410</v>
      </c>
      <c r="J34" s="34">
        <f>J33</f>
        <v>21.43</v>
      </c>
      <c r="K34" s="44">
        <f>K33</f>
        <v>37.5</v>
      </c>
      <c r="L34" s="45">
        <f t="shared" si="0"/>
        <v>-16.07</v>
      </c>
      <c r="M34" s="43">
        <f>ROUND(L34*I34,0)</f>
        <v>-6589</v>
      </c>
    </row>
    <row r="35" spans="1:13" x14ac:dyDescent="0.35">
      <c r="A35" s="33">
        <f>A34+1</f>
        <v>22</v>
      </c>
      <c r="B35" s="34"/>
      <c r="C35" s="34" t="s">
        <v>120</v>
      </c>
      <c r="D35" s="46">
        <v>1757574.4386336762</v>
      </c>
      <c r="E35" s="46"/>
      <c r="F35" s="42">
        <f t="shared" si="9"/>
        <v>1757574.4386336762</v>
      </c>
      <c r="G35" s="35" t="s">
        <v>98</v>
      </c>
      <c r="H35" s="43">
        <f t="shared" si="10"/>
        <v>1757574.4386336762</v>
      </c>
      <c r="I35" s="43">
        <f t="shared" si="2"/>
        <v>4815</v>
      </c>
      <c r="J35" s="34">
        <f>J34</f>
        <v>21.43</v>
      </c>
      <c r="K35" s="44">
        <f>J35</f>
        <v>21.43</v>
      </c>
      <c r="L35" s="45">
        <f t="shared" si="0"/>
        <v>0</v>
      </c>
      <c r="M35" s="43">
        <f>ROUND(L35*I35,0)</f>
        <v>0</v>
      </c>
    </row>
    <row r="36" spans="1:13" x14ac:dyDescent="0.35">
      <c r="A36" s="34"/>
      <c r="B36" s="34"/>
      <c r="C36" s="34"/>
      <c r="D36" s="46"/>
      <c r="E36" s="46"/>
      <c r="F36" s="46"/>
      <c r="G36" s="35"/>
      <c r="H36" s="50"/>
      <c r="I36" s="43"/>
      <c r="J36" s="34"/>
      <c r="K36" s="44"/>
      <c r="L36" s="45"/>
      <c r="M36" s="34"/>
    </row>
    <row r="37" spans="1:13" x14ac:dyDescent="0.35">
      <c r="A37" s="33">
        <f>A35+1</f>
        <v>23</v>
      </c>
      <c r="B37" s="41" t="s">
        <v>101</v>
      </c>
      <c r="C37" s="34"/>
      <c r="D37" s="46"/>
      <c r="E37" s="46"/>
      <c r="F37" s="46"/>
      <c r="G37" s="35"/>
      <c r="H37" s="50"/>
      <c r="I37" s="43"/>
      <c r="J37" s="34"/>
      <c r="K37" s="44"/>
      <c r="L37" s="45"/>
      <c r="M37" s="34"/>
    </row>
    <row r="38" spans="1:13" x14ac:dyDescent="0.35">
      <c r="A38" s="33">
        <f>A37+1</f>
        <v>24</v>
      </c>
      <c r="B38" s="34"/>
      <c r="C38" s="34" t="s">
        <v>121</v>
      </c>
      <c r="D38" s="46">
        <v>923041.19178248371</v>
      </c>
      <c r="E38" s="46"/>
      <c r="F38" s="42">
        <f t="shared" ref="F38:F40" si="11">+D38+E38</f>
        <v>923041.19178248371</v>
      </c>
      <c r="G38" s="35" t="s">
        <v>98</v>
      </c>
      <c r="H38" s="43">
        <f t="shared" ref="H38:H40" si="12">F38</f>
        <v>923041.19178248371</v>
      </c>
      <c r="I38" s="43">
        <f t="shared" si="2"/>
        <v>2529</v>
      </c>
      <c r="J38" s="34">
        <f>J35</f>
        <v>21.43</v>
      </c>
      <c r="K38" s="44">
        <f>J38</f>
        <v>21.43</v>
      </c>
      <c r="L38" s="45">
        <f t="shared" si="0"/>
        <v>0</v>
      </c>
      <c r="M38" s="43">
        <f>ROUND(L38*I38,0)</f>
        <v>0</v>
      </c>
    </row>
    <row r="39" spans="1:13" x14ac:dyDescent="0.35">
      <c r="A39" s="33">
        <f>A38+1</f>
        <v>25</v>
      </c>
      <c r="B39" s="34"/>
      <c r="C39" s="34" t="s">
        <v>122</v>
      </c>
      <c r="D39" s="46">
        <v>12036793.632906139</v>
      </c>
      <c r="E39" s="46"/>
      <c r="F39" s="42">
        <f t="shared" si="11"/>
        <v>12036793.632906139</v>
      </c>
      <c r="G39" s="35" t="s">
        <v>98</v>
      </c>
      <c r="H39" s="43">
        <f t="shared" si="12"/>
        <v>12036793.632906139</v>
      </c>
      <c r="I39" s="43">
        <f t="shared" si="2"/>
        <v>32978</v>
      </c>
      <c r="J39" s="34">
        <f>J38</f>
        <v>21.43</v>
      </c>
      <c r="K39" s="44">
        <v>83.46</v>
      </c>
      <c r="L39" s="45">
        <f t="shared" si="0"/>
        <v>-62.029999999999994</v>
      </c>
      <c r="M39" s="43">
        <f>ROUND(L39*I39,0)</f>
        <v>-2045625</v>
      </c>
    </row>
    <row r="40" spans="1:13" x14ac:dyDescent="0.35">
      <c r="A40" s="33">
        <f>A39+1</f>
        <v>26</v>
      </c>
      <c r="B40" s="34"/>
      <c r="C40" s="34" t="s">
        <v>126</v>
      </c>
      <c r="D40" s="52">
        <v>11823743.160673603</v>
      </c>
      <c r="E40" s="52"/>
      <c r="F40" s="102">
        <f t="shared" si="11"/>
        <v>11823743.160673603</v>
      </c>
      <c r="G40" s="35" t="s">
        <v>98</v>
      </c>
      <c r="H40" s="43">
        <f t="shared" si="12"/>
        <v>11823743.160673603</v>
      </c>
      <c r="I40" s="53">
        <f t="shared" si="2"/>
        <v>32394</v>
      </c>
      <c r="J40" s="34">
        <f>J39</f>
        <v>21.43</v>
      </c>
      <c r="K40" s="44">
        <f>J40</f>
        <v>21.43</v>
      </c>
      <c r="L40" s="45">
        <f t="shared" si="0"/>
        <v>0</v>
      </c>
      <c r="M40" s="53">
        <f>ROUND(L40*I40,0)</f>
        <v>0</v>
      </c>
    </row>
    <row r="41" spans="1:13" x14ac:dyDescent="0.35">
      <c r="A41" s="34"/>
      <c r="B41" s="34"/>
      <c r="C41" s="34"/>
      <c r="D41" s="46"/>
      <c r="E41" s="46"/>
      <c r="F41" s="46"/>
      <c r="G41" s="35"/>
      <c r="H41" s="50"/>
      <c r="I41" s="43"/>
      <c r="J41" s="34"/>
      <c r="K41" s="44"/>
      <c r="L41" s="45"/>
      <c r="M41" s="34"/>
    </row>
    <row r="42" spans="1:13" x14ac:dyDescent="0.35">
      <c r="A42" s="33">
        <f>A40+1</f>
        <v>27</v>
      </c>
      <c r="B42" s="34"/>
      <c r="C42" s="31" t="s">
        <v>102</v>
      </c>
      <c r="D42" s="42">
        <f>SUM(D12:D35)-D38+SUM(D39+D40)</f>
        <v>149481130.71132976</v>
      </c>
      <c r="E42" s="42">
        <f>SUM(E12:E35)-E38+SUM(E39+E40)</f>
        <v>-6838516.7237177324</v>
      </c>
      <c r="F42" s="42">
        <f>SUM(F12:F35)-F38+SUM(F39+F40)</f>
        <v>142642613.98761201</v>
      </c>
      <c r="G42" s="35" t="s">
        <v>98</v>
      </c>
      <c r="H42" s="43">
        <f>D42</f>
        <v>149481130.71132976</v>
      </c>
      <c r="I42" s="43">
        <f>ROUND(H42/365,0)</f>
        <v>409537</v>
      </c>
      <c r="J42" s="34"/>
      <c r="K42" s="44"/>
      <c r="L42" s="45"/>
      <c r="M42" s="54">
        <f>SUM(M12:M40)</f>
        <v>-8574153</v>
      </c>
    </row>
    <row r="43" spans="1:13" x14ac:dyDescent="0.35">
      <c r="A43" s="34"/>
      <c r="B43" s="34"/>
      <c r="C43" s="34"/>
      <c r="D43" s="46"/>
      <c r="E43" s="46"/>
      <c r="F43" s="46"/>
      <c r="G43" s="35"/>
      <c r="H43" s="50"/>
      <c r="I43" s="43"/>
      <c r="J43" s="34"/>
      <c r="K43" s="44"/>
      <c r="L43" s="45"/>
      <c r="M43" s="34"/>
    </row>
    <row r="44" spans="1:13" x14ac:dyDescent="0.35">
      <c r="A44" s="33">
        <f>A42+1</f>
        <v>28</v>
      </c>
      <c r="B44" s="34"/>
      <c r="C44" s="34" t="s">
        <v>123</v>
      </c>
      <c r="D44" s="46">
        <v>6266788.4100000001</v>
      </c>
      <c r="E44" s="46"/>
      <c r="F44" s="42">
        <f t="shared" ref="F44:F46" si="13">+D44+E44</f>
        <v>6266788.4100000001</v>
      </c>
      <c r="G44" s="35" t="s">
        <v>98</v>
      </c>
      <c r="H44" s="43">
        <f t="shared" ref="H44:H46" si="14">F44</f>
        <v>6266788.4100000001</v>
      </c>
      <c r="I44" s="43">
        <f t="shared" si="2"/>
        <v>17169</v>
      </c>
      <c r="J44" s="34">
        <f>J40</f>
        <v>21.43</v>
      </c>
      <c r="K44" s="44">
        <v>35.5</v>
      </c>
      <c r="L44" s="45">
        <f t="shared" si="0"/>
        <v>-14.07</v>
      </c>
      <c r="M44" s="43">
        <f>ROUND(L44*I44,0)</f>
        <v>-241568</v>
      </c>
    </row>
    <row r="45" spans="1:13" x14ac:dyDescent="0.35">
      <c r="A45" s="33">
        <f>A44+1</f>
        <v>29</v>
      </c>
      <c r="B45" s="34"/>
      <c r="C45" s="34" t="s">
        <v>124</v>
      </c>
      <c r="D45" s="46">
        <v>5411905.6600000001</v>
      </c>
      <c r="E45" s="46"/>
      <c r="F45" s="42">
        <f t="shared" si="13"/>
        <v>5411905.6600000001</v>
      </c>
      <c r="G45" s="35" t="s">
        <v>98</v>
      </c>
      <c r="H45" s="43">
        <f t="shared" si="14"/>
        <v>5411905.6600000001</v>
      </c>
      <c r="I45" s="43">
        <f t="shared" si="2"/>
        <v>14827</v>
      </c>
      <c r="J45" s="34">
        <f>J44</f>
        <v>21.43</v>
      </c>
      <c r="K45" s="44">
        <v>44.9</v>
      </c>
      <c r="L45" s="45">
        <f t="shared" si="0"/>
        <v>-23.47</v>
      </c>
      <c r="M45" s="43">
        <f>ROUND(L45*I45,0)</f>
        <v>-347990</v>
      </c>
    </row>
    <row r="46" spans="1:13" x14ac:dyDescent="0.35">
      <c r="A46" s="33">
        <f>A45+1</f>
        <v>30</v>
      </c>
      <c r="B46" s="34"/>
      <c r="C46" s="34" t="s">
        <v>125</v>
      </c>
      <c r="D46" s="46">
        <v>4660351.2699999996</v>
      </c>
      <c r="E46" s="46"/>
      <c r="F46" s="42">
        <f t="shared" si="13"/>
        <v>4660351.2699999996</v>
      </c>
      <c r="G46" s="35" t="s">
        <v>98</v>
      </c>
      <c r="H46" s="43">
        <f t="shared" si="14"/>
        <v>4660351.2699999996</v>
      </c>
      <c r="I46" s="43">
        <f t="shared" si="2"/>
        <v>12768</v>
      </c>
      <c r="J46" s="34">
        <f>J45</f>
        <v>21.43</v>
      </c>
      <c r="K46" s="44">
        <v>40.1</v>
      </c>
      <c r="L46" s="45">
        <f t="shared" si="0"/>
        <v>-18.670000000000002</v>
      </c>
      <c r="M46" s="43">
        <f>ROUND(L46*I46,0)</f>
        <v>-238379</v>
      </c>
    </row>
    <row r="47" spans="1:13" x14ac:dyDescent="0.35">
      <c r="A47" s="33"/>
      <c r="B47" s="34"/>
      <c r="C47" s="34"/>
      <c r="D47" s="46"/>
      <c r="E47" s="46"/>
      <c r="F47" s="46"/>
      <c r="G47" s="46"/>
      <c r="H47" s="46"/>
      <c r="I47" s="43"/>
      <c r="J47" s="34"/>
      <c r="K47" s="44"/>
      <c r="L47" s="45"/>
      <c r="M47" s="43"/>
    </row>
    <row r="48" spans="1:13" ht="15" thickBot="1" x14ac:dyDescent="0.4">
      <c r="A48" s="33">
        <f>A46+1</f>
        <v>31</v>
      </c>
      <c r="B48" s="34"/>
      <c r="C48" s="34" t="s">
        <v>270</v>
      </c>
      <c r="D48" s="46"/>
      <c r="E48" s="46"/>
      <c r="F48" s="46"/>
      <c r="G48" s="46"/>
      <c r="H48" s="46"/>
      <c r="I48" s="43"/>
      <c r="J48" s="34"/>
      <c r="K48" s="44"/>
      <c r="L48" s="45"/>
      <c r="M48" s="55">
        <f>SUM(M42:M46)</f>
        <v>-9402090</v>
      </c>
    </row>
    <row r="49" spans="1:13" ht="15" thickTop="1" x14ac:dyDescent="0.3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ht="15" thickBot="1" x14ac:dyDescent="0.4">
      <c r="A50" s="33">
        <f>A48+1</f>
        <v>32</v>
      </c>
      <c r="B50" s="34"/>
      <c r="C50" s="34" t="s">
        <v>206</v>
      </c>
      <c r="D50" s="46"/>
      <c r="E50" s="46"/>
      <c r="F50" s="46"/>
      <c r="G50" s="46"/>
      <c r="H50" s="46"/>
      <c r="I50" s="43"/>
      <c r="J50" s="34"/>
      <c r="K50" s="44"/>
      <c r="L50" s="45"/>
      <c r="M50" s="56">
        <v>0</v>
      </c>
    </row>
    <row r="51" spans="1:13" ht="15" thickTop="1" x14ac:dyDescent="0.3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3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5" spans="1:13" ht="15.5" x14ac:dyDescent="0.35">
      <c r="A55" s="18" t="s">
        <v>40</v>
      </c>
      <c r="B55" s="18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1:13" ht="15.5" x14ac:dyDescent="0.35">
      <c r="A56" s="32" t="s">
        <v>249</v>
      </c>
      <c r="B56" s="1"/>
    </row>
    <row r="59" spans="1:13" x14ac:dyDescent="0.35">
      <c r="F59" s="121"/>
    </row>
    <row r="60" spans="1:13" x14ac:dyDescent="0.35">
      <c r="C60" s="17" t="s">
        <v>242</v>
      </c>
      <c r="D60" s="123">
        <v>829180</v>
      </c>
      <c r="E60" s="124">
        <v>-0.7</v>
      </c>
      <c r="F60" s="123">
        <f>+D60*E60</f>
        <v>-580426</v>
      </c>
      <c r="G60" s="17"/>
    </row>
    <row r="61" spans="1:13" x14ac:dyDescent="0.35">
      <c r="C61" s="17" t="s">
        <v>243</v>
      </c>
      <c r="D61" s="123">
        <v>846211</v>
      </c>
      <c r="E61" s="124">
        <v>-0.8</v>
      </c>
      <c r="F61" s="123">
        <f>+D61*E61</f>
        <v>-676968.8</v>
      </c>
      <c r="G61" s="17"/>
    </row>
    <row r="62" spans="1:13" x14ac:dyDescent="0.35">
      <c r="C62" s="17"/>
      <c r="D62" s="123"/>
      <c r="E62" s="17"/>
      <c r="F62" s="123"/>
      <c r="G62" s="17"/>
    </row>
    <row r="63" spans="1:13" x14ac:dyDescent="0.35">
      <c r="C63" s="17" t="s">
        <v>244</v>
      </c>
      <c r="D63" s="123">
        <v>1142616</v>
      </c>
      <c r="E63" s="124">
        <v>-0.7</v>
      </c>
      <c r="F63" s="123">
        <f t="shared" ref="F63:F64" si="15">+D63*E63</f>
        <v>-799831.2</v>
      </c>
      <c r="G63" s="17"/>
    </row>
    <row r="64" spans="1:13" x14ac:dyDescent="0.35">
      <c r="C64" s="17" t="s">
        <v>245</v>
      </c>
      <c r="D64" s="123">
        <v>1004537</v>
      </c>
      <c r="E64" s="124">
        <v>-0.8</v>
      </c>
      <c r="F64" s="125">
        <f t="shared" si="15"/>
        <v>-803629.60000000009</v>
      </c>
      <c r="G64" s="17"/>
    </row>
    <row r="65" spans="3:7" x14ac:dyDescent="0.35">
      <c r="C65" s="17"/>
      <c r="D65" s="123"/>
      <c r="E65" s="17"/>
      <c r="F65" s="123"/>
      <c r="G65" s="17"/>
    </row>
    <row r="66" spans="3:7" x14ac:dyDescent="0.35">
      <c r="C66" s="17"/>
      <c r="D66" s="17"/>
      <c r="E66" s="17"/>
      <c r="F66" s="123">
        <f>SUM(F60:F64)</f>
        <v>-2860855.6</v>
      </c>
      <c r="G66" s="17"/>
    </row>
    <row r="67" spans="3:7" x14ac:dyDescent="0.35">
      <c r="C67" s="17"/>
      <c r="D67" s="17"/>
      <c r="E67" s="17"/>
      <c r="F67" s="17"/>
      <c r="G67" s="17"/>
    </row>
    <row r="68" spans="3:7" x14ac:dyDescent="0.35">
      <c r="C68" s="17"/>
      <c r="D68" s="17"/>
      <c r="E68" s="17"/>
      <c r="F68" s="17"/>
      <c r="G68" s="17"/>
    </row>
  </sheetData>
  <mergeCells count="1">
    <mergeCell ref="D6:M6"/>
  </mergeCells>
  <pageMargins left="0.7" right="0.7" top="0.75" bottom="0.75" header="0.3" footer="0.3"/>
  <pageSetup scale="55" orientation="landscape" r:id="rId1"/>
  <ignoredErrors>
    <ignoredError sqref="D42:E42 F12:F25 F28:F43 F44:F46 E23" unlockedFormula="1"/>
    <ignoredError sqref="G44:G46 G42 G38:G40 G32:G35 G9 G12:G30 J9:M9 D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8519-7869-4BE8-8A74-1B1E747A84C4}">
  <sheetPr>
    <pageSetUpPr fitToPage="1"/>
  </sheetPr>
  <dimension ref="A1:E38"/>
  <sheetViews>
    <sheetView workbookViewId="0">
      <selection activeCell="C15" sqref="C15"/>
    </sheetView>
  </sheetViews>
  <sheetFormatPr defaultRowHeight="14.5" x14ac:dyDescent="0.35"/>
  <cols>
    <col min="1" max="1" width="9" customWidth="1"/>
    <col min="2" max="2" width="2.26953125" customWidth="1"/>
    <col min="3" max="3" width="44.7265625" customWidth="1"/>
    <col min="4" max="4" width="22" customWidth="1"/>
    <col min="5" max="5" width="20.5429687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148</v>
      </c>
    </row>
    <row r="4" spans="1:5" ht="15.5" x14ac:dyDescent="0.35">
      <c r="A4" s="1" t="s">
        <v>147</v>
      </c>
      <c r="B4" s="1"/>
      <c r="C4" s="1"/>
      <c r="D4" s="1"/>
      <c r="E4" s="12" t="str">
        <f>A!H4</f>
        <v>Page 1 of 1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1"/>
      <c r="C6" s="1"/>
      <c r="D6" s="1"/>
      <c r="E6" s="21"/>
    </row>
    <row r="7" spans="1:5" ht="15.5" x14ac:dyDescent="0.35">
      <c r="A7" s="1"/>
      <c r="B7" s="1"/>
      <c r="C7" s="1"/>
      <c r="D7" s="1"/>
      <c r="E7" s="21" t="s">
        <v>54</v>
      </c>
    </row>
    <row r="8" spans="1:5" ht="15.5" x14ac:dyDescent="0.35">
      <c r="A8" s="1"/>
      <c r="B8" s="65"/>
      <c r="C8" s="65"/>
      <c r="D8" s="65"/>
      <c r="E8" s="21" t="s">
        <v>55</v>
      </c>
    </row>
    <row r="9" spans="1:5" ht="15.5" x14ac:dyDescent="0.35">
      <c r="A9" s="18" t="s">
        <v>32</v>
      </c>
      <c r="B9" s="65"/>
      <c r="C9" s="18" t="s">
        <v>16</v>
      </c>
      <c r="D9" s="18"/>
      <c r="E9" s="24" t="s">
        <v>53</v>
      </c>
    </row>
    <row r="10" spans="1:5" ht="15.5" x14ac:dyDescent="0.35">
      <c r="A10" s="67">
        <v>1</v>
      </c>
      <c r="B10" s="65"/>
      <c r="C10" s="1" t="s">
        <v>146</v>
      </c>
      <c r="D10" s="1"/>
      <c r="E10" s="25">
        <v>0</v>
      </c>
    </row>
    <row r="11" spans="1:5" ht="15.5" x14ac:dyDescent="0.35">
      <c r="A11" s="67"/>
      <c r="B11" s="65"/>
      <c r="C11" s="1"/>
      <c r="D11" s="1"/>
      <c r="E11" s="25"/>
    </row>
    <row r="12" spans="1:5" ht="15.5" x14ac:dyDescent="0.35">
      <c r="A12" s="21">
        <v>2</v>
      </c>
      <c r="B12" s="1"/>
      <c r="C12" s="1" t="s">
        <v>271</v>
      </c>
      <c r="D12" s="1"/>
      <c r="E12" s="26">
        <v>-1969434</v>
      </c>
    </row>
    <row r="13" spans="1:5" ht="15.5" x14ac:dyDescent="0.35">
      <c r="A13" s="21"/>
      <c r="B13" s="1"/>
      <c r="C13" s="1"/>
      <c r="D13" s="1"/>
      <c r="E13" s="25"/>
    </row>
    <row r="14" spans="1:5" ht="16" thickBot="1" x14ac:dyDescent="0.4">
      <c r="A14" s="21">
        <v>3</v>
      </c>
      <c r="B14" s="1"/>
      <c r="C14" s="1" t="s">
        <v>272</v>
      </c>
      <c r="D14" s="1"/>
      <c r="E14" s="30">
        <f>+E12</f>
        <v>-1969434</v>
      </c>
    </row>
    <row r="15" spans="1:5" ht="16" thickTop="1" x14ac:dyDescent="0.35">
      <c r="A15" s="21"/>
      <c r="B15" s="1"/>
      <c r="C15" s="1"/>
      <c r="D15" s="1"/>
      <c r="E15" s="1"/>
    </row>
    <row r="16" spans="1:5" ht="15.5" x14ac:dyDescent="0.35">
      <c r="A16" s="21"/>
      <c r="B16" s="1"/>
      <c r="C16" s="1"/>
      <c r="D16" s="1"/>
      <c r="E16" s="25"/>
    </row>
    <row r="17" spans="1:5" ht="15.5" x14ac:dyDescent="0.35">
      <c r="A17" s="21"/>
      <c r="B17" s="25"/>
      <c r="C17" s="1"/>
      <c r="D17" s="1"/>
      <c r="E17" s="25"/>
    </row>
    <row r="18" spans="1:5" ht="15.5" x14ac:dyDescent="0.35">
      <c r="A18" s="13"/>
      <c r="B18" s="25"/>
      <c r="C18" s="1"/>
      <c r="D18" s="1"/>
      <c r="E18" s="25"/>
    </row>
    <row r="19" spans="1:5" ht="15.5" x14ac:dyDescent="0.35">
      <c r="A19" s="1"/>
      <c r="B19" s="1"/>
      <c r="C19" s="1"/>
      <c r="D19" s="1"/>
      <c r="E19" s="1"/>
    </row>
    <row r="20" spans="1:5" ht="15.5" x14ac:dyDescent="0.35">
      <c r="A20" s="1"/>
      <c r="B20" s="1"/>
      <c r="D20" s="122"/>
      <c r="E20" s="25"/>
    </row>
    <row r="21" spans="1:5" ht="15.5" x14ac:dyDescent="0.35">
      <c r="A21" s="1"/>
      <c r="B21" s="1"/>
      <c r="D21" s="122"/>
      <c r="E21" s="25"/>
    </row>
    <row r="22" spans="1:5" ht="15.5" x14ac:dyDescent="0.35">
      <c r="A22" s="1"/>
      <c r="B22" s="1"/>
      <c r="D22" s="122"/>
      <c r="E22" s="25"/>
    </row>
    <row r="23" spans="1:5" ht="15.5" x14ac:dyDescent="0.35">
      <c r="A23" s="1"/>
      <c r="B23" s="1"/>
      <c r="D23" s="122"/>
      <c r="E23" s="25"/>
    </row>
    <row r="24" spans="1:5" ht="15.5" x14ac:dyDescent="0.35">
      <c r="A24" s="1"/>
      <c r="B24" s="1"/>
      <c r="D24" s="122"/>
      <c r="E24" s="25"/>
    </row>
    <row r="25" spans="1:5" ht="15.5" x14ac:dyDescent="0.35">
      <c r="A25" s="1"/>
      <c r="B25" s="1"/>
      <c r="D25" s="122"/>
      <c r="E25" s="25"/>
    </row>
    <row r="26" spans="1:5" ht="15.5" x14ac:dyDescent="0.35">
      <c r="D26" s="122"/>
      <c r="E26" s="25"/>
    </row>
    <row r="27" spans="1:5" ht="15.5" x14ac:dyDescent="0.35">
      <c r="D27" s="122"/>
      <c r="E27" s="25"/>
    </row>
    <row r="28" spans="1:5" ht="15.5" x14ac:dyDescent="0.35">
      <c r="D28" s="122"/>
      <c r="E28" s="25"/>
    </row>
    <row r="29" spans="1:5" ht="15.5" x14ac:dyDescent="0.35">
      <c r="D29" s="122"/>
      <c r="E29" s="25"/>
    </row>
    <row r="30" spans="1:5" ht="15.5" x14ac:dyDescent="0.35">
      <c r="D30" s="122"/>
      <c r="E30" s="25"/>
    </row>
    <row r="31" spans="1:5" ht="15.5" x14ac:dyDescent="0.35">
      <c r="D31" s="122"/>
      <c r="E31" s="25"/>
    </row>
    <row r="32" spans="1:5" ht="15.5" x14ac:dyDescent="0.35">
      <c r="D32" s="122"/>
      <c r="E32" s="25"/>
    </row>
    <row r="33" spans="1:5" ht="15.5" x14ac:dyDescent="0.35">
      <c r="D33" s="62"/>
      <c r="E33" s="62"/>
    </row>
    <row r="34" spans="1:5" ht="15.5" x14ac:dyDescent="0.35">
      <c r="D34" s="12"/>
      <c r="E34" s="25"/>
    </row>
    <row r="35" spans="1:5" ht="15.5" x14ac:dyDescent="0.35">
      <c r="D35" s="62"/>
      <c r="E35" s="62"/>
    </row>
    <row r="37" spans="1:5" ht="15.5" x14ac:dyDescent="0.35">
      <c r="A37" s="18" t="s">
        <v>40</v>
      </c>
      <c r="B37" s="18"/>
      <c r="C37" s="26"/>
      <c r="D37" s="64"/>
      <c r="E37" s="64"/>
    </row>
    <row r="38" spans="1:5" ht="15.5" x14ac:dyDescent="0.35">
      <c r="A38" s="89" t="s">
        <v>234</v>
      </c>
      <c r="B38" s="1"/>
      <c r="C38" s="25"/>
    </row>
  </sheetData>
  <pageMargins left="0.7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AB44-334F-45D2-8C66-817767501F29}">
  <sheetPr>
    <pageSetUpPr fitToPage="1"/>
  </sheetPr>
  <dimension ref="A1:H32"/>
  <sheetViews>
    <sheetView workbookViewId="0">
      <selection activeCell="D16" sqref="D16"/>
    </sheetView>
  </sheetViews>
  <sheetFormatPr defaultRowHeight="14.5" x14ac:dyDescent="0.35"/>
  <cols>
    <col min="2" max="2" width="44.26953125" customWidth="1"/>
    <col min="3" max="5" width="16.7265625" customWidth="1"/>
    <col min="7" max="7" width="14.26953125" bestFit="1" customWidth="1"/>
  </cols>
  <sheetData>
    <row r="1" spans="1:8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8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8" ht="15.5" x14ac:dyDescent="0.35">
      <c r="A3" s="1"/>
      <c r="B3" s="1"/>
      <c r="C3" s="1"/>
      <c r="D3" s="1"/>
      <c r="E3" s="12" t="s">
        <v>38</v>
      </c>
    </row>
    <row r="4" spans="1:8" ht="15.5" x14ac:dyDescent="0.35">
      <c r="A4" s="1" t="s">
        <v>80</v>
      </c>
      <c r="B4" s="1"/>
      <c r="C4" s="1"/>
      <c r="D4" s="1"/>
      <c r="E4" s="12" t="s">
        <v>140</v>
      </c>
    </row>
    <row r="6" spans="1:8" ht="15.5" x14ac:dyDescent="0.35">
      <c r="B6" s="1"/>
      <c r="C6" s="21" t="s">
        <v>55</v>
      </c>
      <c r="D6" s="21"/>
      <c r="E6" s="21" t="s">
        <v>55</v>
      </c>
      <c r="F6" s="1"/>
      <c r="G6" s="1"/>
      <c r="H6" s="1"/>
    </row>
    <row r="7" spans="1:8" ht="15.5" x14ac:dyDescent="0.35">
      <c r="B7" s="1"/>
      <c r="C7" s="21" t="s">
        <v>53</v>
      </c>
      <c r="D7" s="21" t="s">
        <v>269</v>
      </c>
      <c r="E7" s="21" t="s">
        <v>53</v>
      </c>
      <c r="F7" s="1"/>
      <c r="G7" s="1"/>
      <c r="H7" s="1"/>
    </row>
    <row r="8" spans="1:8" ht="15.5" x14ac:dyDescent="0.35">
      <c r="A8" s="18" t="s">
        <v>32</v>
      </c>
      <c r="B8" s="18" t="s">
        <v>16</v>
      </c>
      <c r="C8" s="24" t="s">
        <v>41</v>
      </c>
      <c r="D8" s="24" t="s">
        <v>66</v>
      </c>
      <c r="E8" s="24" t="s">
        <v>268</v>
      </c>
      <c r="F8" s="1"/>
      <c r="G8" s="1"/>
      <c r="H8" s="1"/>
    </row>
    <row r="9" spans="1:8" ht="15.5" x14ac:dyDescent="0.35">
      <c r="B9" s="1"/>
      <c r="C9" s="21" t="s">
        <v>35</v>
      </c>
      <c r="D9" s="21" t="s">
        <v>36</v>
      </c>
      <c r="E9" s="21" t="s">
        <v>37</v>
      </c>
      <c r="F9" s="1"/>
      <c r="G9" s="1"/>
      <c r="H9" s="1"/>
    </row>
    <row r="10" spans="1:8" ht="15.5" x14ac:dyDescent="0.35">
      <c r="B10" s="1"/>
      <c r="C10" s="1"/>
      <c r="D10" s="1"/>
      <c r="E10" s="1"/>
      <c r="F10" s="1"/>
      <c r="G10" s="1"/>
      <c r="H10" s="1"/>
    </row>
    <row r="11" spans="1:8" ht="15.5" x14ac:dyDescent="0.35">
      <c r="A11" s="21">
        <v>1</v>
      </c>
      <c r="B11" s="1" t="s">
        <v>83</v>
      </c>
      <c r="C11" s="26">
        <v>150357678</v>
      </c>
      <c r="D11" s="26"/>
      <c r="E11" s="26">
        <f>+C11+D11</f>
        <v>150357678</v>
      </c>
      <c r="F11" s="1"/>
      <c r="G11" s="1"/>
      <c r="H11" s="1"/>
    </row>
    <row r="12" spans="1:8" ht="15.5" x14ac:dyDescent="0.35">
      <c r="A12" s="21"/>
      <c r="B12" s="28"/>
      <c r="C12" s="25"/>
      <c r="D12" s="25"/>
      <c r="E12" s="25"/>
      <c r="F12" s="1"/>
      <c r="G12" s="1"/>
      <c r="H12" s="1"/>
    </row>
    <row r="13" spans="1:8" ht="15.5" x14ac:dyDescent="0.35">
      <c r="A13" s="21">
        <v>2</v>
      </c>
      <c r="B13" s="29" t="s">
        <v>81</v>
      </c>
      <c r="C13" s="25"/>
      <c r="D13" s="25"/>
      <c r="E13" s="25"/>
      <c r="F13" s="1"/>
      <c r="G13" s="1"/>
      <c r="H13" s="1"/>
    </row>
    <row r="14" spans="1:8" ht="15.5" x14ac:dyDescent="0.35">
      <c r="A14" s="21">
        <v>3</v>
      </c>
      <c r="B14" s="29" t="s">
        <v>73</v>
      </c>
      <c r="C14" s="25">
        <v>35413022</v>
      </c>
      <c r="D14" s="25"/>
      <c r="E14" s="25">
        <f t="shared" ref="E14:E17" si="0">+C14+D14</f>
        <v>35413022</v>
      </c>
      <c r="F14" s="1"/>
      <c r="G14" s="1"/>
      <c r="H14" s="1"/>
    </row>
    <row r="15" spans="1:8" ht="15.5" x14ac:dyDescent="0.35">
      <c r="A15" s="21">
        <v>4</v>
      </c>
      <c r="B15" s="29" t="s">
        <v>74</v>
      </c>
      <c r="C15" s="25">
        <v>52866572</v>
      </c>
      <c r="D15" s="25">
        <f>-SUM('Cp2'!D13:D24)+'Cp2'!D21</f>
        <v>-6532759.9138082601</v>
      </c>
      <c r="E15" s="25">
        <f t="shared" si="0"/>
        <v>46333812.086191744</v>
      </c>
      <c r="F15" s="1"/>
      <c r="G15" s="1"/>
      <c r="H15" s="1"/>
    </row>
    <row r="16" spans="1:8" ht="15.5" x14ac:dyDescent="0.35">
      <c r="A16" s="21">
        <v>5</v>
      </c>
      <c r="B16" s="29" t="s">
        <v>82</v>
      </c>
      <c r="C16" s="25">
        <v>26483896</v>
      </c>
      <c r="D16" s="25"/>
      <c r="E16" s="25">
        <f t="shared" si="0"/>
        <v>26483896</v>
      </c>
      <c r="F16" s="1"/>
      <c r="G16" s="1"/>
      <c r="H16" s="1"/>
    </row>
    <row r="17" spans="1:8" ht="15.5" x14ac:dyDescent="0.35">
      <c r="A17" s="21">
        <v>6</v>
      </c>
      <c r="B17" s="29" t="s">
        <v>75</v>
      </c>
      <c r="C17" s="26">
        <v>8577791</v>
      </c>
      <c r="D17" s="26">
        <f>'Payroll Tax'!D13</f>
        <v>-305755.80990947335</v>
      </c>
      <c r="E17" s="26">
        <f t="shared" si="0"/>
        <v>8272035.1900905268</v>
      </c>
      <c r="F17" s="1"/>
      <c r="G17" s="1"/>
      <c r="H17" s="1"/>
    </row>
    <row r="18" spans="1:8" ht="15.5" x14ac:dyDescent="0.35">
      <c r="A18" s="21">
        <v>7</v>
      </c>
      <c r="B18" s="29" t="s">
        <v>215</v>
      </c>
      <c r="C18" s="25">
        <f>SUM(C14:C17)</f>
        <v>123341281</v>
      </c>
      <c r="D18" s="25">
        <f>SUM(D14:D17)</f>
        <v>-6838515.7237177333</v>
      </c>
      <c r="E18" s="25">
        <f>SUM(E14:E17)</f>
        <v>116502765.27628227</v>
      </c>
      <c r="F18" s="1"/>
      <c r="G18" s="1"/>
      <c r="H18" s="1"/>
    </row>
    <row r="19" spans="1:8" ht="15.5" x14ac:dyDescent="0.35">
      <c r="A19" s="21"/>
      <c r="B19" s="29"/>
      <c r="C19" s="25"/>
      <c r="D19" s="25"/>
      <c r="E19" s="25"/>
      <c r="F19" s="1"/>
      <c r="G19" s="1"/>
      <c r="H19" s="1"/>
    </row>
    <row r="20" spans="1:8" ht="15.5" x14ac:dyDescent="0.35">
      <c r="A20" s="21">
        <v>8</v>
      </c>
      <c r="B20" s="29" t="s">
        <v>79</v>
      </c>
      <c r="C20" s="26">
        <f>+C11-C18</f>
        <v>27016397</v>
      </c>
      <c r="D20" s="26">
        <f>+E20-C20</f>
        <v>6838515.7237177342</v>
      </c>
      <c r="E20" s="26">
        <f>+E11-E18</f>
        <v>33854912.723717734</v>
      </c>
      <c r="F20" s="1"/>
      <c r="G20" s="1"/>
      <c r="H20" s="1"/>
    </row>
    <row r="21" spans="1:8" ht="15.5" x14ac:dyDescent="0.35">
      <c r="A21" s="21"/>
      <c r="B21" s="29"/>
      <c r="C21" s="25"/>
      <c r="D21" s="25"/>
      <c r="E21" s="25"/>
      <c r="F21" s="1"/>
      <c r="G21" s="1"/>
      <c r="H21" s="1"/>
    </row>
    <row r="22" spans="1:8" ht="15.5" x14ac:dyDescent="0.35">
      <c r="A22" s="21">
        <v>9</v>
      </c>
      <c r="B22" s="29" t="s">
        <v>144</v>
      </c>
      <c r="C22" s="25"/>
      <c r="D22" s="25"/>
      <c r="E22" s="25"/>
      <c r="F22" s="1"/>
      <c r="G22" s="1"/>
      <c r="H22" s="1"/>
    </row>
    <row r="23" spans="1:8" ht="15.5" x14ac:dyDescent="0.35">
      <c r="A23" s="21">
        <v>10</v>
      </c>
      <c r="B23" s="28" t="s">
        <v>76</v>
      </c>
      <c r="C23" s="25">
        <v>2487264</v>
      </c>
      <c r="D23" s="25">
        <f>'Inc Tax'!E17</f>
        <v>1364283.8868816877</v>
      </c>
      <c r="E23" s="25">
        <f>+C23+D23</f>
        <v>3851547.8868816877</v>
      </c>
      <c r="F23" s="1"/>
      <c r="G23" s="1"/>
      <c r="H23" s="1"/>
    </row>
    <row r="24" spans="1:8" ht="15.5" x14ac:dyDescent="0.35">
      <c r="A24" s="21">
        <v>11</v>
      </c>
      <c r="B24" s="28" t="s">
        <v>77</v>
      </c>
      <c r="C24" s="26">
        <v>715090</v>
      </c>
      <c r="D24" s="26">
        <f>'Inc Tax'!E24</f>
        <v>341925.78618588671</v>
      </c>
      <c r="E24" s="26">
        <f>+C24+D24</f>
        <v>1057015.7861858867</v>
      </c>
      <c r="F24" s="1"/>
      <c r="G24" s="1"/>
      <c r="H24" s="1"/>
    </row>
    <row r="25" spans="1:8" ht="15.5" x14ac:dyDescent="0.35">
      <c r="A25" s="21">
        <v>12</v>
      </c>
      <c r="B25" s="29" t="s">
        <v>78</v>
      </c>
      <c r="C25" s="25">
        <f>SUM(C23:C24)</f>
        <v>3202354</v>
      </c>
      <c r="D25" s="25">
        <f>SUM(D23:D24)</f>
        <v>1706209.6730675744</v>
      </c>
      <c r="E25" s="25">
        <f>SUM(E23:E24)</f>
        <v>4908563.6730675744</v>
      </c>
      <c r="F25" s="1"/>
      <c r="G25" s="25"/>
      <c r="H25" s="1"/>
    </row>
    <row r="26" spans="1:8" ht="15.5" x14ac:dyDescent="0.35">
      <c r="A26" s="21"/>
      <c r="B26" s="28"/>
      <c r="C26" s="25"/>
      <c r="D26" s="25"/>
      <c r="E26" s="25"/>
      <c r="F26" s="1"/>
      <c r="G26" s="1"/>
      <c r="H26" s="1"/>
    </row>
    <row r="27" spans="1:8" ht="16" thickBot="1" x14ac:dyDescent="0.4">
      <c r="A27" s="21">
        <v>13</v>
      </c>
      <c r="B27" s="29" t="s">
        <v>80</v>
      </c>
      <c r="C27" s="30">
        <f>+C20-C25</f>
        <v>23814043</v>
      </c>
      <c r="D27" s="30">
        <f>+D20-D25</f>
        <v>5132306.0506501598</v>
      </c>
      <c r="E27" s="30">
        <f>+E20-E25</f>
        <v>28946349.050650161</v>
      </c>
      <c r="F27" s="1"/>
      <c r="G27" s="1"/>
      <c r="H27" s="1"/>
    </row>
    <row r="28" spans="1:8" ht="16" thickTop="1" x14ac:dyDescent="0.35">
      <c r="A28" s="21"/>
      <c r="B28" s="1"/>
      <c r="C28" s="25"/>
      <c r="D28" s="25"/>
      <c r="E28" s="25"/>
      <c r="F28" s="1"/>
      <c r="G28" s="1"/>
      <c r="H28" s="1"/>
    </row>
    <row r="29" spans="1:8" ht="15.5" x14ac:dyDescent="0.35">
      <c r="A29" s="21"/>
      <c r="B29" s="1"/>
      <c r="C29" s="25"/>
      <c r="D29" s="25"/>
      <c r="E29" s="25"/>
      <c r="F29" s="1"/>
      <c r="G29" s="1"/>
      <c r="H29" s="1"/>
    </row>
    <row r="30" spans="1:8" ht="15.5" x14ac:dyDescent="0.35">
      <c r="A30" s="18" t="s">
        <v>40</v>
      </c>
      <c r="B30" s="18"/>
      <c r="C30" s="26"/>
      <c r="D30" s="26"/>
      <c r="E30" s="26"/>
      <c r="F30" s="1"/>
      <c r="G30" s="1"/>
      <c r="H30" s="1"/>
    </row>
    <row r="31" spans="1:8" ht="15.5" x14ac:dyDescent="0.35">
      <c r="A31" s="29" t="s">
        <v>231</v>
      </c>
      <c r="B31" s="1"/>
      <c r="C31" s="25"/>
      <c r="D31" s="25"/>
      <c r="E31" s="25"/>
      <c r="F31" s="1"/>
      <c r="G31" s="1"/>
      <c r="H31" s="1"/>
    </row>
    <row r="32" spans="1:8" ht="15.5" x14ac:dyDescent="0.35">
      <c r="B32" s="1"/>
      <c r="C32" s="1"/>
      <c r="D32" s="1"/>
      <c r="E32" s="1"/>
      <c r="F32" s="1"/>
      <c r="G32" s="1"/>
      <c r="H32" s="1"/>
    </row>
  </sheetData>
  <pageMargins left="0.7" right="0.7" top="0.75" bottom="0.75" header="0.3" footer="0.3"/>
  <pageSetup scale="87" orientation="portrait" r:id="rId1"/>
  <ignoredErrors>
    <ignoredError sqref="D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DB33-7007-4713-9E89-B24D3D42BAAB}">
  <sheetPr>
    <pageSetUpPr fitToPage="1"/>
  </sheetPr>
  <dimension ref="A1:G49"/>
  <sheetViews>
    <sheetView workbookViewId="0">
      <selection activeCell="D25" sqref="D25"/>
    </sheetView>
  </sheetViews>
  <sheetFormatPr defaultRowHeight="14.5" x14ac:dyDescent="0.35"/>
  <cols>
    <col min="2" max="2" width="67.1796875" customWidth="1"/>
    <col min="3" max="3" width="2.1796875" customWidth="1"/>
    <col min="4" max="6" width="20.7265625" customWidth="1"/>
    <col min="7" max="7" width="17.7265625" customWidth="1"/>
    <col min="8" max="8" width="17.1796875" customWidth="1"/>
  </cols>
  <sheetData>
    <row r="1" spans="1:6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6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6" ht="15.5" x14ac:dyDescent="0.35">
      <c r="A3" s="1"/>
      <c r="B3" s="1"/>
      <c r="C3" s="1"/>
      <c r="D3" s="1"/>
      <c r="E3" s="12" t="str">
        <f>'C'!E3</f>
        <v>Schedule C</v>
      </c>
    </row>
    <row r="4" spans="1:6" ht="15.5" x14ac:dyDescent="0.35">
      <c r="A4" s="1" t="str">
        <f>'C'!A4</f>
        <v>Operating Income</v>
      </c>
      <c r="B4" s="1"/>
      <c r="C4" s="1"/>
      <c r="D4" s="1"/>
      <c r="E4" s="12" t="s">
        <v>141</v>
      </c>
    </row>
    <row r="5" spans="1:6" ht="15.5" x14ac:dyDescent="0.35">
      <c r="A5" s="1"/>
      <c r="B5" s="1"/>
      <c r="C5" s="1"/>
      <c r="D5" s="1"/>
      <c r="E5" s="1"/>
      <c r="F5" s="12"/>
    </row>
    <row r="6" spans="1:6" ht="15.5" x14ac:dyDescent="0.35">
      <c r="A6" s="1"/>
      <c r="B6" s="1"/>
      <c r="C6" s="1"/>
      <c r="D6" s="1"/>
      <c r="E6" s="1"/>
      <c r="F6" s="1"/>
    </row>
    <row r="7" spans="1:6" ht="15.5" x14ac:dyDescent="0.35">
      <c r="A7" s="70" t="s">
        <v>149</v>
      </c>
      <c r="B7" s="70"/>
      <c r="C7" s="70"/>
      <c r="D7" s="70"/>
      <c r="E7" s="70"/>
      <c r="F7" s="70"/>
    </row>
    <row r="8" spans="1:6" ht="15.5" x14ac:dyDescent="0.35">
      <c r="A8" s="71" t="s">
        <v>15</v>
      </c>
      <c r="B8" s="71" t="s">
        <v>16</v>
      </c>
      <c r="C8" s="70"/>
      <c r="D8" s="71" t="s">
        <v>150</v>
      </c>
      <c r="E8" s="116" t="s">
        <v>190</v>
      </c>
      <c r="F8" s="70"/>
    </row>
    <row r="9" spans="1:6" ht="15.5" x14ac:dyDescent="0.35">
      <c r="A9" s="70" t="s">
        <v>139</v>
      </c>
      <c r="B9" s="70"/>
      <c r="C9" s="70"/>
      <c r="D9" s="70" t="s">
        <v>35</v>
      </c>
      <c r="E9" s="70"/>
      <c r="F9" s="70"/>
    </row>
    <row r="10" spans="1:6" ht="31" x14ac:dyDescent="0.35">
      <c r="A10" s="72">
        <v>1</v>
      </c>
      <c r="B10" s="29" t="s">
        <v>201</v>
      </c>
      <c r="C10" s="101"/>
      <c r="D10" s="99">
        <f>'C'!C27</f>
        <v>23814043</v>
      </c>
      <c r="E10" s="79" t="s">
        <v>216</v>
      </c>
      <c r="F10" s="73"/>
    </row>
    <row r="11" spans="1:6" ht="15.5" x14ac:dyDescent="0.35">
      <c r="A11" s="72">
        <f>+A10+1</f>
        <v>2</v>
      </c>
      <c r="B11" s="96"/>
      <c r="C11" s="101"/>
      <c r="D11" s="99"/>
      <c r="E11" s="107"/>
      <c r="F11" s="74"/>
    </row>
    <row r="12" spans="1:6" ht="15.5" x14ac:dyDescent="0.35">
      <c r="A12" s="72">
        <f t="shared" ref="A12:A17" si="0">+A11+1</f>
        <v>3</v>
      </c>
      <c r="B12" s="29" t="s">
        <v>273</v>
      </c>
      <c r="C12" s="1"/>
      <c r="D12" s="98"/>
      <c r="E12" s="107"/>
      <c r="F12" s="74"/>
    </row>
    <row r="13" spans="1:6" ht="15.5" x14ac:dyDescent="0.35">
      <c r="A13" s="72">
        <f t="shared" si="0"/>
        <v>4</v>
      </c>
      <c r="B13" s="29" t="str">
        <f>'Rate Case Exp'!A4</f>
        <v>Rate Case Expense</v>
      </c>
      <c r="C13" s="101"/>
      <c r="D13" s="99">
        <f>-'Rate Case Exp'!D15</f>
        <v>761500</v>
      </c>
      <c r="E13" s="108" t="str">
        <f>'Rate Case Exp'!E3</f>
        <v>Schedule C-1</v>
      </c>
      <c r="F13" s="74"/>
    </row>
    <row r="14" spans="1:6" ht="15.5" x14ac:dyDescent="0.35">
      <c r="A14" s="72">
        <f t="shared" si="0"/>
        <v>5</v>
      </c>
      <c r="B14" s="29" t="str">
        <f>Aircraft!A4</f>
        <v>Corporate Aircraft Expense</v>
      </c>
      <c r="C14" s="101"/>
      <c r="D14" s="99">
        <f>-Aircraft!D15</f>
        <v>250837</v>
      </c>
      <c r="E14" s="108" t="str">
        <f>Aircraft!E3</f>
        <v>Schedule C-2</v>
      </c>
      <c r="F14" s="74"/>
    </row>
    <row r="15" spans="1:6" ht="15.5" x14ac:dyDescent="0.35">
      <c r="A15" s="72">
        <f t="shared" si="0"/>
        <v>6</v>
      </c>
      <c r="B15" s="29" t="str">
        <f>'D&amp;O'!A4</f>
        <v>D&amp;O</v>
      </c>
      <c r="C15" s="101"/>
      <c r="D15" s="99">
        <f>-'D&amp;O'!D15</f>
        <v>106034.25</v>
      </c>
      <c r="E15" s="108" t="str">
        <f>'D&amp;O'!E3</f>
        <v>Schedule C-3</v>
      </c>
      <c r="F15" s="74"/>
    </row>
    <row r="16" spans="1:6" ht="15.5" x14ac:dyDescent="0.35">
      <c r="A16" s="72">
        <f t="shared" si="0"/>
        <v>7</v>
      </c>
      <c r="B16" s="29" t="str">
        <f>'Investor Rel'!A4</f>
        <v>Investor Relations Expense</v>
      </c>
      <c r="C16" s="101"/>
      <c r="D16" s="100">
        <f>-'Investor Rel'!D15</f>
        <v>45141</v>
      </c>
      <c r="E16" s="109" t="str">
        <f>'Investor Rel'!E3</f>
        <v>Schedule C-4</v>
      </c>
      <c r="F16" s="74"/>
    </row>
    <row r="17" spans="1:7" ht="15.5" x14ac:dyDescent="0.35">
      <c r="A17" s="72">
        <f t="shared" si="0"/>
        <v>8</v>
      </c>
      <c r="B17" s="97" t="str">
        <f>'401(k)'!A4</f>
        <v>401(k) Expense</v>
      </c>
      <c r="C17" s="101"/>
      <c r="D17" s="100">
        <f>-'401(k)'!D11</f>
        <v>294544</v>
      </c>
      <c r="E17" s="109" t="str">
        <f>'401(k)'!E3</f>
        <v>Schedule C-5</v>
      </c>
      <c r="F17" s="74"/>
    </row>
    <row r="18" spans="1:7" ht="15.5" x14ac:dyDescent="0.35">
      <c r="A18" s="21">
        <v>9</v>
      </c>
      <c r="B18" s="97" t="str">
        <f>Payroll!A4</f>
        <v>Payroll Expense</v>
      </c>
      <c r="C18" s="1"/>
      <c r="D18" s="25">
        <f>-Payroll!D15</f>
        <v>1628841.6440000001</v>
      </c>
      <c r="E18" s="79" t="str">
        <f>Payroll!E3</f>
        <v>Schedule C-6</v>
      </c>
      <c r="F18" s="1"/>
      <c r="G18" s="1"/>
    </row>
    <row r="19" spans="1:7" ht="15.5" x14ac:dyDescent="0.35">
      <c r="A19" s="21">
        <v>10</v>
      </c>
      <c r="B19" s="29" t="str">
        <f>'Incentive Comp'!A4</f>
        <v xml:space="preserve">Incentive Compensation </v>
      </c>
      <c r="C19" s="1"/>
      <c r="D19" s="25">
        <f>-'Incentive Comp'!D15</f>
        <v>2860854.6</v>
      </c>
      <c r="E19" s="79" t="str">
        <f>'Incentive Comp'!E3</f>
        <v>Schedule C-7</v>
      </c>
      <c r="F19" s="1"/>
      <c r="G19" s="25"/>
    </row>
    <row r="20" spans="1:7" ht="15.5" x14ac:dyDescent="0.35">
      <c r="A20" s="21">
        <v>11</v>
      </c>
      <c r="B20" s="29" t="str">
        <f>'Profit Sharing'!A4</f>
        <v>Profit Sharing</v>
      </c>
      <c r="C20" s="1"/>
      <c r="D20" s="25">
        <f>-'Profit Sharing'!D15</f>
        <v>126613.9</v>
      </c>
      <c r="E20" s="79" t="str">
        <f>'Profit Sharing'!E3</f>
        <v>Schedule C-8</v>
      </c>
      <c r="F20" s="1"/>
      <c r="G20" s="25"/>
    </row>
    <row r="21" spans="1:7" ht="15.5" x14ac:dyDescent="0.35">
      <c r="A21" s="21">
        <v>11</v>
      </c>
      <c r="B21" s="97" t="str">
        <f>'Payroll Tax'!A4</f>
        <v>Payroll Tax</v>
      </c>
      <c r="C21" s="1"/>
      <c r="D21" s="25">
        <f>-'Payroll Tax'!D13</f>
        <v>305755.80990947335</v>
      </c>
      <c r="E21" s="79" t="str">
        <f>'Payroll Tax'!E3</f>
        <v>Schedule C-9</v>
      </c>
      <c r="F21" s="1"/>
      <c r="G21" s="1"/>
    </row>
    <row r="22" spans="1:7" ht="15.5" x14ac:dyDescent="0.35">
      <c r="A22" s="21">
        <v>12</v>
      </c>
      <c r="B22" s="97" t="str">
        <f>Benefits!A4</f>
        <v>Benefits</v>
      </c>
      <c r="C22" s="1"/>
      <c r="D22" s="25">
        <f>-Benefits!D13</f>
        <v>377280.5198082588</v>
      </c>
      <c r="E22" s="79" t="str">
        <f>Benefits!E3</f>
        <v>Schedule C-10</v>
      </c>
      <c r="F22" s="1"/>
      <c r="G22" s="25"/>
    </row>
    <row r="23" spans="1:7" ht="15.5" x14ac:dyDescent="0.35">
      <c r="A23" s="21">
        <v>14</v>
      </c>
      <c r="B23" s="97" t="str">
        <f>SERP!A4</f>
        <v>SERP</v>
      </c>
      <c r="C23" s="1"/>
      <c r="D23" s="25">
        <f>-SERP!D15</f>
        <v>60552</v>
      </c>
      <c r="E23" s="79" t="str">
        <f>SERP!E3</f>
        <v>Schedule C-11</v>
      </c>
      <c r="F23" s="25"/>
      <c r="G23" s="121"/>
    </row>
    <row r="24" spans="1:7" ht="15.5" x14ac:dyDescent="0.35">
      <c r="A24" s="21">
        <v>15</v>
      </c>
      <c r="B24" s="97" t="str">
        <f>Dues!A4</f>
        <v>AGA Dues</v>
      </c>
      <c r="C24" s="1"/>
      <c r="D24" s="25">
        <f>-Dues!D15</f>
        <v>20561</v>
      </c>
      <c r="E24" s="79" t="str">
        <f>Dues!E3</f>
        <v>Schedule C-12</v>
      </c>
      <c r="F24" s="25"/>
      <c r="G24" s="121"/>
    </row>
    <row r="25" spans="1:7" ht="15.5" x14ac:dyDescent="0.35">
      <c r="A25" s="21">
        <v>16</v>
      </c>
      <c r="B25" s="97" t="str">
        <f>'Inc Tax'!A4</f>
        <v>Income Tax Expense</v>
      </c>
      <c r="C25" s="1"/>
      <c r="D25" s="25">
        <f>-'Inc Tax'!E26</f>
        <v>-1706209.6730675744</v>
      </c>
      <c r="E25" s="79" t="str">
        <f>'Inc Tax'!E3</f>
        <v>Schedule C-13</v>
      </c>
      <c r="G25" s="25"/>
    </row>
    <row r="26" spans="1:7" ht="15.5" x14ac:dyDescent="0.35">
      <c r="A26" s="21">
        <v>17</v>
      </c>
      <c r="B26" s="97"/>
      <c r="C26" s="1"/>
      <c r="D26" s="1"/>
      <c r="E26" s="79"/>
      <c r="G26" s="1"/>
    </row>
    <row r="27" spans="1:7" ht="15.5" x14ac:dyDescent="0.35">
      <c r="A27" s="21">
        <v>18</v>
      </c>
      <c r="B27" s="28"/>
      <c r="C27" s="1"/>
      <c r="D27" s="18"/>
      <c r="E27" s="1"/>
      <c r="G27" s="25"/>
    </row>
    <row r="28" spans="1:7" ht="16" thickBot="1" x14ac:dyDescent="0.4">
      <c r="A28" s="21">
        <v>19</v>
      </c>
      <c r="B28" s="29" t="s">
        <v>274</v>
      </c>
      <c r="C28" s="1"/>
      <c r="D28" s="27">
        <f>SUM(D10:D27)</f>
        <v>28946349.050650161</v>
      </c>
      <c r="E28" s="1"/>
      <c r="G28" s="25"/>
    </row>
    <row r="29" spans="1:7" ht="16" thickTop="1" x14ac:dyDescent="0.35">
      <c r="A29" s="21"/>
      <c r="B29" s="28"/>
      <c r="C29" s="1"/>
      <c r="D29" s="1"/>
      <c r="E29" s="1"/>
      <c r="F29" s="1"/>
    </row>
    <row r="30" spans="1:7" ht="15.5" x14ac:dyDescent="0.35">
      <c r="A30" s="1"/>
      <c r="B30" s="29"/>
      <c r="C30" s="1"/>
      <c r="D30" s="1"/>
      <c r="E30" s="1"/>
      <c r="F30" s="1"/>
    </row>
    <row r="31" spans="1:7" ht="15.5" x14ac:dyDescent="0.35">
      <c r="A31" s="1"/>
      <c r="B31" s="28"/>
      <c r="C31" s="1"/>
      <c r="D31" s="1"/>
      <c r="E31" s="1"/>
      <c r="F31" s="1"/>
    </row>
    <row r="32" spans="1:7" ht="15.5" x14ac:dyDescent="0.35">
      <c r="A32" s="1"/>
      <c r="B32" s="28"/>
      <c r="C32" s="1"/>
      <c r="D32" s="1"/>
      <c r="E32" s="1"/>
      <c r="F32" s="1"/>
    </row>
    <row r="33" spans="1:6" ht="15.5" x14ac:dyDescent="0.35">
      <c r="A33" s="1"/>
      <c r="B33" s="29"/>
      <c r="C33" s="1"/>
      <c r="D33" s="1"/>
      <c r="E33" s="1"/>
      <c r="F33" s="1"/>
    </row>
    <row r="34" spans="1:6" ht="15.5" x14ac:dyDescent="0.35">
      <c r="A34" s="1"/>
      <c r="B34" s="28"/>
      <c r="C34" s="1"/>
      <c r="D34" s="1"/>
      <c r="E34" s="1"/>
      <c r="F34" s="1"/>
    </row>
    <row r="35" spans="1:6" ht="15.5" x14ac:dyDescent="0.35">
      <c r="A35" s="1"/>
      <c r="B35" s="29"/>
      <c r="C35" s="1"/>
      <c r="D35" s="1"/>
      <c r="E35" s="1"/>
      <c r="F35" s="1"/>
    </row>
    <row r="36" spans="1:6" ht="15.5" x14ac:dyDescent="0.35">
      <c r="A36" s="1"/>
      <c r="B36" s="1"/>
      <c r="C36" s="1"/>
      <c r="D36" s="1"/>
      <c r="E36" s="1"/>
      <c r="F36" s="1"/>
    </row>
    <row r="37" spans="1:6" ht="15.5" x14ac:dyDescent="0.35">
      <c r="A37" s="1"/>
      <c r="B37" s="1"/>
      <c r="C37" s="1"/>
      <c r="D37" s="1"/>
      <c r="E37" s="1"/>
      <c r="F37" s="1"/>
    </row>
    <row r="38" spans="1:6" ht="15.5" x14ac:dyDescent="0.35">
      <c r="A38" s="1"/>
      <c r="B38" s="1"/>
      <c r="C38" s="1"/>
      <c r="D38" s="1"/>
      <c r="E38" s="1"/>
      <c r="F38" s="1"/>
    </row>
    <row r="39" spans="1:6" ht="15.5" x14ac:dyDescent="0.35">
      <c r="A39" s="1"/>
      <c r="B39" s="1"/>
      <c r="C39" s="1"/>
      <c r="D39" s="1"/>
      <c r="E39" s="1"/>
      <c r="F39" s="1"/>
    </row>
    <row r="40" spans="1:6" ht="15.5" x14ac:dyDescent="0.35">
      <c r="A40" s="1"/>
      <c r="B40" s="1"/>
      <c r="C40" s="25"/>
      <c r="D40" s="1"/>
      <c r="E40" s="1"/>
      <c r="F40" s="1"/>
    </row>
    <row r="41" spans="1:6" ht="15.5" x14ac:dyDescent="0.35">
      <c r="A41" s="1"/>
      <c r="B41" s="1"/>
      <c r="C41" s="25"/>
      <c r="D41" s="1"/>
      <c r="E41" s="1"/>
      <c r="F41" s="1"/>
    </row>
    <row r="42" spans="1:6" ht="15.5" x14ac:dyDescent="0.35">
      <c r="A42" s="1"/>
      <c r="B42" s="1"/>
      <c r="C42" s="1"/>
      <c r="D42" s="1"/>
      <c r="E42" s="1"/>
      <c r="F42" s="1"/>
    </row>
    <row r="43" spans="1:6" ht="15.5" x14ac:dyDescent="0.35">
      <c r="A43" s="1"/>
      <c r="B43" s="1"/>
      <c r="C43" s="1"/>
      <c r="D43" s="1"/>
      <c r="E43" s="1"/>
      <c r="F43" s="1"/>
    </row>
    <row r="44" spans="1:6" ht="15.5" x14ac:dyDescent="0.35">
      <c r="A44" s="1"/>
      <c r="B44" s="1"/>
      <c r="C44" s="1"/>
      <c r="D44" s="1"/>
      <c r="E44" s="1"/>
      <c r="F44" s="1"/>
    </row>
    <row r="45" spans="1:6" ht="15.5" x14ac:dyDescent="0.35">
      <c r="A45" s="1"/>
      <c r="B45" s="1"/>
      <c r="C45" s="1"/>
      <c r="D45" s="1"/>
      <c r="E45" s="1"/>
      <c r="F45" s="1"/>
    </row>
    <row r="46" spans="1:6" ht="15.5" x14ac:dyDescent="0.35">
      <c r="A46" s="1"/>
      <c r="B46" s="1"/>
      <c r="C46" s="1"/>
      <c r="D46" s="1"/>
      <c r="E46" s="1"/>
      <c r="F46" s="1"/>
    </row>
    <row r="47" spans="1:6" ht="15.5" x14ac:dyDescent="0.35">
      <c r="A47" s="1"/>
      <c r="B47" s="1"/>
      <c r="C47" s="1"/>
      <c r="D47" s="1"/>
      <c r="E47" s="1"/>
      <c r="F47" s="1"/>
    </row>
    <row r="48" spans="1:6" ht="15.5" x14ac:dyDescent="0.35">
      <c r="A48" s="1"/>
      <c r="B48" s="1"/>
      <c r="C48" s="1"/>
      <c r="D48" s="1"/>
      <c r="E48" s="1"/>
      <c r="F48" s="1"/>
    </row>
    <row r="49" spans="1:6" ht="15.5" x14ac:dyDescent="0.35">
      <c r="A49" s="1"/>
      <c r="B49" s="1"/>
      <c r="C49" s="1"/>
      <c r="D49" s="1"/>
      <c r="E49" s="1"/>
      <c r="F49" s="1"/>
    </row>
  </sheetData>
  <pageMargins left="0.7" right="0.7" top="0.75" bottom="0.75" header="0.3" footer="0.3"/>
  <pageSetup scale="75" orientation="portrait" r:id="rId1"/>
  <ignoredErrors>
    <ignoredError sqref="B17:B19 B21:B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D089-23EC-4D4A-988F-1EA180E5ADFE}">
  <sheetPr>
    <pageSetUpPr fitToPage="1"/>
  </sheetPr>
  <dimension ref="A1:E41"/>
  <sheetViews>
    <sheetView showGridLines="0" topLeftCell="A19" workbookViewId="0">
      <selection activeCell="E22" sqref="E22"/>
    </sheetView>
  </sheetViews>
  <sheetFormatPr defaultRowHeight="14.5" x14ac:dyDescent="0.35"/>
  <cols>
    <col min="2" max="2" width="4" customWidth="1"/>
    <col min="3" max="3" width="43.453125" customWidth="1"/>
    <col min="4" max="4" width="19.7265625" customWidth="1"/>
    <col min="5" max="5" width="26.453125" customWidth="1"/>
  </cols>
  <sheetData>
    <row r="1" spans="1:5" ht="15.5" x14ac:dyDescent="0.35">
      <c r="A1" s="1" t="str">
        <f>A!A1</f>
        <v>Columbia Gas of Kentucky, Inc.</v>
      </c>
      <c r="B1" s="1"/>
      <c r="C1" s="1"/>
      <c r="D1" s="1"/>
      <c r="E1" s="12" t="str">
        <f>A!H1</f>
        <v>Case No. 2024-00092</v>
      </c>
    </row>
    <row r="2" spans="1:5" ht="15.5" x14ac:dyDescent="0.35">
      <c r="A2" s="1" t="str">
        <f>A!A2</f>
        <v>Forecasted Test Period: Twelve Months Ended December 31, 2025</v>
      </c>
      <c r="B2" s="1"/>
      <c r="C2" s="1"/>
      <c r="D2" s="1"/>
      <c r="E2" s="12" t="str">
        <f>A!H2</f>
        <v>Exhibit JD-1</v>
      </c>
    </row>
    <row r="3" spans="1:5" ht="15.5" x14ac:dyDescent="0.35">
      <c r="A3" s="1"/>
      <c r="B3" s="1"/>
      <c r="C3" s="1"/>
      <c r="D3" s="1"/>
      <c r="E3" s="12" t="s">
        <v>165</v>
      </c>
    </row>
    <row r="4" spans="1:5" ht="15.5" x14ac:dyDescent="0.35">
      <c r="A4" s="75" t="s">
        <v>151</v>
      </c>
      <c r="B4" s="1"/>
      <c r="C4" s="1"/>
      <c r="D4" s="1"/>
      <c r="E4" s="12" t="s">
        <v>10</v>
      </c>
    </row>
    <row r="5" spans="1:5" ht="15.5" x14ac:dyDescent="0.35">
      <c r="A5" s="1"/>
      <c r="B5" s="1"/>
      <c r="C5" s="1"/>
      <c r="D5" s="1"/>
      <c r="E5" s="1"/>
    </row>
    <row r="6" spans="1:5" ht="15.5" x14ac:dyDescent="0.35">
      <c r="B6" s="75"/>
      <c r="C6" s="75"/>
      <c r="D6" s="75"/>
      <c r="E6" s="57"/>
    </row>
    <row r="7" spans="1:5" ht="15.5" x14ac:dyDescent="0.35">
      <c r="A7" s="76"/>
      <c r="B7" s="75"/>
      <c r="C7" s="75"/>
      <c r="D7" s="75"/>
      <c r="E7" s="75"/>
    </row>
    <row r="8" spans="1:5" ht="15.5" x14ac:dyDescent="0.35">
      <c r="A8" s="75"/>
      <c r="B8" s="75"/>
      <c r="C8" s="75"/>
      <c r="D8" s="75"/>
      <c r="E8" s="75"/>
    </row>
    <row r="9" spans="1:5" ht="15.5" x14ac:dyDescent="0.35">
      <c r="A9" s="18" t="s">
        <v>32</v>
      </c>
      <c r="B9" s="1"/>
      <c r="C9" s="18" t="s">
        <v>16</v>
      </c>
      <c r="D9" s="24" t="s">
        <v>150</v>
      </c>
      <c r="E9" s="24" t="s">
        <v>34</v>
      </c>
    </row>
    <row r="10" spans="1:5" ht="15.5" x14ac:dyDescent="0.35">
      <c r="A10" s="1"/>
      <c r="B10" s="1"/>
      <c r="C10" s="1"/>
      <c r="D10" s="21"/>
      <c r="E10" s="21"/>
    </row>
    <row r="11" spans="1:5" ht="15.5" x14ac:dyDescent="0.35">
      <c r="A11" s="21">
        <v>1</v>
      </c>
      <c r="B11" s="1"/>
      <c r="C11" s="1" t="s">
        <v>146</v>
      </c>
      <c r="D11" s="25">
        <v>1142250</v>
      </c>
      <c r="E11" s="25" t="s">
        <v>152</v>
      </c>
    </row>
    <row r="12" spans="1:5" ht="15.5" x14ac:dyDescent="0.35">
      <c r="A12" s="21"/>
      <c r="B12" s="1"/>
      <c r="C12" s="1"/>
      <c r="D12" s="25"/>
      <c r="E12" s="25"/>
    </row>
    <row r="13" spans="1:5" ht="15.5" x14ac:dyDescent="0.35">
      <c r="A13" s="21">
        <v>2</v>
      </c>
      <c r="B13" s="1"/>
      <c r="C13" s="1" t="s">
        <v>271</v>
      </c>
      <c r="D13" s="26">
        <f>D22</f>
        <v>380750</v>
      </c>
      <c r="E13" s="25" t="s">
        <v>153</v>
      </c>
    </row>
    <row r="14" spans="1:5" ht="15.5" x14ac:dyDescent="0.35">
      <c r="A14" s="21"/>
      <c r="B14" s="1"/>
      <c r="C14" s="1"/>
      <c r="D14" s="25"/>
      <c r="E14" s="25"/>
    </row>
    <row r="15" spans="1:5" ht="16" thickBot="1" x14ac:dyDescent="0.4">
      <c r="A15" s="21">
        <v>3</v>
      </c>
      <c r="B15" s="1"/>
      <c r="C15" s="1" t="s">
        <v>272</v>
      </c>
      <c r="D15" s="30">
        <f>D13-D11</f>
        <v>-761500</v>
      </c>
      <c r="E15" s="25" t="s">
        <v>154</v>
      </c>
    </row>
    <row r="16" spans="1:5" ht="16" thickTop="1" x14ac:dyDescent="0.35">
      <c r="A16" s="21"/>
      <c r="B16" s="1"/>
      <c r="C16" s="1"/>
      <c r="D16" s="1"/>
      <c r="E16" s="1"/>
    </row>
    <row r="17" spans="1:5" ht="15.5" x14ac:dyDescent="0.35">
      <c r="A17" s="70"/>
      <c r="B17" s="75"/>
      <c r="C17" s="75"/>
      <c r="D17" s="75"/>
      <c r="E17" s="73"/>
    </row>
    <row r="18" spans="1:5" ht="15.5" x14ac:dyDescent="0.35">
      <c r="A18" s="70"/>
      <c r="B18" s="75"/>
      <c r="C18" s="75"/>
      <c r="D18" s="75"/>
      <c r="E18" s="73"/>
    </row>
    <row r="19" spans="1:5" ht="15.5" x14ac:dyDescent="0.35">
      <c r="A19" s="70"/>
      <c r="B19" s="75"/>
      <c r="C19" s="75"/>
      <c r="D19" s="75"/>
      <c r="E19" s="73"/>
    </row>
    <row r="20" spans="1:5" ht="46.5" x14ac:dyDescent="0.35">
      <c r="A20" s="70">
        <v>4</v>
      </c>
      <c r="B20" s="75"/>
      <c r="C20" s="75" t="s">
        <v>155</v>
      </c>
      <c r="D20" s="74">
        <v>1142250</v>
      </c>
      <c r="E20" s="110" t="s">
        <v>218</v>
      </c>
    </row>
    <row r="21" spans="1:5" ht="15.5" x14ac:dyDescent="0.35">
      <c r="A21" s="21">
        <v>5</v>
      </c>
      <c r="C21" s="1" t="s">
        <v>276</v>
      </c>
      <c r="D21" s="26">
        <v>3</v>
      </c>
      <c r="E21" s="1" t="s">
        <v>250</v>
      </c>
    </row>
    <row r="22" spans="1:5" ht="15.5" x14ac:dyDescent="0.35">
      <c r="A22" s="21">
        <v>6</v>
      </c>
      <c r="C22" s="1" t="s">
        <v>275</v>
      </c>
      <c r="D22" s="25">
        <f>+D20/D21</f>
        <v>380750</v>
      </c>
      <c r="E22" s="1" t="s">
        <v>210</v>
      </c>
    </row>
    <row r="23" spans="1:5" ht="15.5" x14ac:dyDescent="0.35">
      <c r="A23" s="21"/>
    </row>
    <row r="28" spans="1:5" x14ac:dyDescent="0.35">
      <c r="C28" s="118" t="s">
        <v>156</v>
      </c>
      <c r="D28" s="118" t="s">
        <v>157</v>
      </c>
      <c r="E28" s="119" t="s">
        <v>158</v>
      </c>
    </row>
    <row r="29" spans="1:5" ht="15.5" x14ac:dyDescent="0.35">
      <c r="A29" s="21">
        <v>7</v>
      </c>
      <c r="C29" s="68" t="s">
        <v>219</v>
      </c>
      <c r="D29" s="78">
        <v>39114</v>
      </c>
      <c r="E29" s="57"/>
    </row>
    <row r="30" spans="1:5" ht="15.5" x14ac:dyDescent="0.35">
      <c r="A30" s="21">
        <v>8</v>
      </c>
      <c r="C30" s="68" t="s">
        <v>159</v>
      </c>
      <c r="D30" s="78">
        <v>39934</v>
      </c>
      <c r="E30" s="57">
        <v>2</v>
      </c>
    </row>
    <row r="31" spans="1:5" ht="15.5" x14ac:dyDescent="0.35">
      <c r="A31" s="21">
        <v>9</v>
      </c>
      <c r="C31" s="68" t="s">
        <v>160</v>
      </c>
      <c r="D31" s="78">
        <v>41423</v>
      </c>
      <c r="E31" s="57">
        <v>4</v>
      </c>
    </row>
    <row r="32" spans="1:5" ht="15.5" x14ac:dyDescent="0.35">
      <c r="A32" s="21">
        <v>10</v>
      </c>
      <c r="C32" s="68" t="s">
        <v>161</v>
      </c>
      <c r="D32" s="78">
        <v>42517</v>
      </c>
      <c r="E32" s="57">
        <v>3</v>
      </c>
    </row>
    <row r="33" spans="1:5" ht="15.5" x14ac:dyDescent="0.35">
      <c r="A33" s="21">
        <v>11</v>
      </c>
      <c r="C33" s="68" t="s">
        <v>162</v>
      </c>
      <c r="D33" s="78" t="s">
        <v>257</v>
      </c>
      <c r="E33" s="57">
        <v>5</v>
      </c>
    </row>
    <row r="34" spans="1:5" ht="15.5" x14ac:dyDescent="0.35">
      <c r="A34" s="21">
        <v>12</v>
      </c>
      <c r="C34" s="68" t="s">
        <v>163</v>
      </c>
      <c r="D34" s="78">
        <v>45428</v>
      </c>
      <c r="E34" s="66">
        <v>3</v>
      </c>
    </row>
    <row r="35" spans="1:5" ht="16" thickBot="1" x14ac:dyDescent="0.4">
      <c r="A35" s="21">
        <v>13</v>
      </c>
      <c r="C35" s="57"/>
      <c r="D35" s="77" t="s">
        <v>164</v>
      </c>
      <c r="E35" s="117">
        <f>AVERAGE(E30:E34)</f>
        <v>3.4</v>
      </c>
    </row>
    <row r="36" spans="1:5" ht="16" thickTop="1" x14ac:dyDescent="0.35">
      <c r="A36" s="21"/>
    </row>
    <row r="37" spans="1:5" ht="15.5" x14ac:dyDescent="0.35">
      <c r="A37" s="21"/>
    </row>
    <row r="38" spans="1:5" ht="15.5" x14ac:dyDescent="0.35">
      <c r="A38" s="13" t="s">
        <v>258</v>
      </c>
    </row>
    <row r="39" spans="1:5" ht="15.5" x14ac:dyDescent="0.35">
      <c r="A39" s="13" t="s">
        <v>259</v>
      </c>
    </row>
    <row r="41" spans="1:5" ht="15.5" x14ac:dyDescent="0.35">
      <c r="B41" s="1"/>
      <c r="C41" s="25"/>
    </row>
  </sheetData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TOC</vt:lpstr>
      <vt:lpstr>A</vt:lpstr>
      <vt:lpstr>A-1</vt:lpstr>
      <vt:lpstr>B</vt:lpstr>
      <vt:lpstr>B-1</vt:lpstr>
      <vt:lpstr>B-2</vt:lpstr>
      <vt:lpstr>C</vt:lpstr>
      <vt:lpstr>Cp2</vt:lpstr>
      <vt:lpstr>Rate Case Exp</vt:lpstr>
      <vt:lpstr>Aircraft</vt:lpstr>
      <vt:lpstr>D&amp;O</vt:lpstr>
      <vt:lpstr>Investor Rel</vt:lpstr>
      <vt:lpstr>401(k)</vt:lpstr>
      <vt:lpstr>Payroll</vt:lpstr>
      <vt:lpstr>Incentive Comp</vt:lpstr>
      <vt:lpstr>Profit Sharing</vt:lpstr>
      <vt:lpstr>Payroll Tax</vt:lpstr>
      <vt:lpstr>Benefits</vt:lpstr>
      <vt:lpstr>SERP</vt:lpstr>
      <vt:lpstr>Dues</vt:lpstr>
      <vt:lpstr>Inc Tax</vt:lpstr>
      <vt:lpstr>D</vt:lpstr>
      <vt:lpstr>SummaryWP</vt:lpstr>
      <vt:lpstr>'B-1'!Print_Area</vt:lpstr>
      <vt:lpstr>'Cp2'!Print_Area</vt:lpstr>
      <vt:lpstr>SummaryWP!Print_Area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Miller</dc:creator>
  <cp:lastModifiedBy>angela.goad</cp:lastModifiedBy>
  <cp:lastPrinted>2024-08-13T14:47:04Z</cp:lastPrinted>
  <dcterms:created xsi:type="dcterms:W3CDTF">2024-07-16T18:08:30Z</dcterms:created>
  <dcterms:modified xsi:type="dcterms:W3CDTF">2024-08-14T00:34:10Z</dcterms:modified>
</cp:coreProperties>
</file>