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ohn Ryan\CKY\2024 Rate Case\Discovery\Post-Hearing\FINAL DRAFTS FOR DISTRIBUTION\"/>
    </mc:Choice>
  </mc:AlternateContent>
  <xr:revisionPtr revIDLastSave="0" documentId="8_{DC5D1C0B-2DD2-4C27-A113-13FD369E77B7}" xr6:coauthVersionLast="47" xr6:coauthVersionMax="47" xr10:uidLastSave="{00000000-0000-0000-0000-000000000000}"/>
  <bookViews>
    <workbookView xWindow="-28920" yWindow="-120" windowWidth="29040" windowHeight="15840" xr2:uid="{1DFE5C29-771D-4C71-9431-87C3179383F1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1" l="1"/>
  <c r="G95" i="1" s="1"/>
  <c r="K95" i="1" s="1"/>
  <c r="G94" i="1"/>
  <c r="K94" i="1" s="1"/>
  <c r="G93" i="1"/>
  <c r="K93" i="1" s="1"/>
  <c r="G92" i="1"/>
  <c r="K92" i="1" s="1"/>
  <c r="G91" i="1"/>
  <c r="K91" i="1" s="1"/>
  <c r="G90" i="1"/>
  <c r="K90" i="1" s="1"/>
  <c r="K89" i="1"/>
  <c r="G89" i="1"/>
  <c r="C88" i="1"/>
  <c r="G88" i="1" s="1"/>
  <c r="K88" i="1" s="1"/>
  <c r="G87" i="1"/>
  <c r="K87" i="1" s="1"/>
  <c r="G86" i="1"/>
  <c r="K86" i="1" s="1"/>
  <c r="G85" i="1"/>
  <c r="K85" i="1" s="1"/>
  <c r="G84" i="1"/>
  <c r="K84" i="1" s="1"/>
  <c r="G83" i="1"/>
  <c r="K83" i="1" s="1"/>
  <c r="G82" i="1"/>
  <c r="K82" i="1" s="1"/>
  <c r="E81" i="1"/>
  <c r="C81" i="1"/>
  <c r="G80" i="1"/>
  <c r="K80" i="1" s="1"/>
  <c r="G79" i="1"/>
  <c r="K79" i="1" s="1"/>
  <c r="G78" i="1"/>
  <c r="K78" i="1" s="1"/>
  <c r="G77" i="1"/>
  <c r="K77" i="1" s="1"/>
  <c r="G76" i="1"/>
  <c r="K76" i="1" s="1"/>
  <c r="G75" i="1"/>
  <c r="K75" i="1" s="1"/>
  <c r="G74" i="1"/>
  <c r="K74" i="1" s="1"/>
  <c r="G73" i="1"/>
  <c r="K73" i="1" s="1"/>
  <c r="G72" i="1"/>
  <c r="K72" i="1" s="1"/>
  <c r="K71" i="1"/>
  <c r="G71" i="1"/>
  <c r="G70" i="1"/>
  <c r="K70" i="1" s="1"/>
  <c r="G69" i="1"/>
  <c r="K69" i="1" s="1"/>
  <c r="G68" i="1"/>
  <c r="K68" i="1" s="1"/>
  <c r="G67" i="1"/>
  <c r="K67" i="1" s="1"/>
  <c r="G66" i="1"/>
  <c r="K66" i="1" s="1"/>
  <c r="G65" i="1"/>
  <c r="K65" i="1" s="1"/>
  <c r="G64" i="1"/>
  <c r="K64" i="1" s="1"/>
  <c r="G63" i="1"/>
  <c r="K63" i="1" s="1"/>
  <c r="G62" i="1"/>
  <c r="K62" i="1" s="1"/>
  <c r="K61" i="1"/>
  <c r="G61" i="1"/>
  <c r="K60" i="1"/>
  <c r="G60" i="1"/>
  <c r="G59" i="1"/>
  <c r="K59" i="1" s="1"/>
  <c r="G58" i="1"/>
  <c r="K58" i="1" s="1"/>
  <c r="G57" i="1"/>
  <c r="K57" i="1" s="1"/>
  <c r="G56" i="1"/>
  <c r="K56" i="1" s="1"/>
  <c r="G55" i="1"/>
  <c r="K55" i="1" s="1"/>
  <c r="E54" i="1"/>
  <c r="C54" i="1"/>
  <c r="G53" i="1"/>
  <c r="K53" i="1" s="1"/>
  <c r="G52" i="1"/>
  <c r="K52" i="1" s="1"/>
  <c r="G51" i="1"/>
  <c r="K51" i="1" s="1"/>
  <c r="C50" i="1"/>
  <c r="G50" i="1" s="1"/>
  <c r="K50" i="1" s="1"/>
  <c r="G49" i="1"/>
  <c r="K49" i="1" s="1"/>
  <c r="E48" i="1"/>
  <c r="C48" i="1"/>
  <c r="C47" i="1"/>
  <c r="G47" i="1" s="1"/>
  <c r="K47" i="1" s="1"/>
  <c r="G46" i="1"/>
  <c r="K46" i="1" s="1"/>
  <c r="G45" i="1"/>
  <c r="K45" i="1" s="1"/>
  <c r="G44" i="1"/>
  <c r="K44" i="1" s="1"/>
  <c r="G43" i="1"/>
  <c r="K43" i="1" s="1"/>
  <c r="G42" i="1"/>
  <c r="K42" i="1" s="1"/>
  <c r="G41" i="1"/>
  <c r="K41" i="1" s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2" i="1"/>
  <c r="K12" i="1" s="1"/>
  <c r="E8" i="1"/>
  <c r="C8" i="1"/>
  <c r="G8" i="1" s="1"/>
  <c r="G54" i="1" l="1"/>
  <c r="K54" i="1" s="1"/>
  <c r="E9" i="1"/>
  <c r="E10" i="1" s="1"/>
  <c r="G81" i="1"/>
  <c r="K81" i="1" s="1"/>
  <c r="G48" i="1"/>
  <c r="K48" i="1" s="1"/>
  <c r="C9" i="1"/>
  <c r="C10" i="1" s="1"/>
</calcChain>
</file>

<file path=xl/sharedStrings.xml><?xml version="1.0" encoding="utf-8"?>
<sst xmlns="http://schemas.openxmlformats.org/spreadsheetml/2006/main" count="217" uniqueCount="129">
  <si>
    <t>KY PSC Case No. 2024-00092</t>
  </si>
  <si>
    <t>Staff 6-10</t>
  </si>
  <si>
    <t>Respondents: Shaeffer, Bly</t>
  </si>
  <si>
    <t>Columbia Gas of Kentucky</t>
  </si>
  <si>
    <t>Per Staff 3-11:</t>
  </si>
  <si>
    <t>Sum of Amount Below:</t>
  </si>
  <si>
    <t>Check / Difference:</t>
  </si>
  <si>
    <t>Explanations:</t>
  </si>
  <si>
    <t>Billing Pool Code</t>
  </si>
  <si>
    <t>Operating Company Name</t>
  </si>
  <si>
    <t>0012</t>
  </si>
  <si>
    <t>NiSource Corporate Services</t>
  </si>
  <si>
    <t>0012-00DB*</t>
  </si>
  <si>
    <t>N/A</t>
  </si>
  <si>
    <t>0012-00KF*</t>
  </si>
  <si>
    <t>0012-00KS*</t>
  </si>
  <si>
    <t>0012-00AN*</t>
  </si>
  <si>
    <t>0012-00BN*</t>
  </si>
  <si>
    <t>0012-00DE*</t>
  </si>
  <si>
    <t>0012-00MR*</t>
  </si>
  <si>
    <t>0022</t>
  </si>
  <si>
    <t>NiSource Insurance Corp Inc</t>
  </si>
  <si>
    <t>0032</t>
  </si>
  <si>
    <t>0034</t>
  </si>
  <si>
    <t>Columbia Gas of Ohio</t>
  </si>
  <si>
    <t>0035</t>
  </si>
  <si>
    <t>Columbia Gas of Maryland</t>
  </si>
  <si>
    <t>0037</t>
  </si>
  <si>
    <t>Columbia Gas of Pennsylvania</t>
  </si>
  <si>
    <t>0038</t>
  </si>
  <si>
    <t>Columbia Gas of Virginia</t>
  </si>
  <si>
    <t>0550</t>
  </si>
  <si>
    <t>Rosewater Wind Farm LLC</t>
  </si>
  <si>
    <t>0551</t>
  </si>
  <si>
    <t>Indiana Crossroads Wind Farm</t>
  </si>
  <si>
    <t>0552</t>
  </si>
  <si>
    <t>Dunn's Bridge Solar Center LLC</t>
  </si>
  <si>
    <t>0553</t>
  </si>
  <si>
    <t>Meadow Lake Solar Park LLC</t>
  </si>
  <si>
    <t>0058</t>
  </si>
  <si>
    <t>NiSource Inc.</t>
  </si>
  <si>
    <t>0059</t>
  </si>
  <si>
    <t>Northern Indiana Public Svc Co</t>
  </si>
  <si>
    <t>0060</t>
  </si>
  <si>
    <t>NiSource Development Co Inc</t>
  </si>
  <si>
    <t>0080</t>
  </si>
  <si>
    <t>Columbia Gas of Massachusetts</t>
  </si>
  <si>
    <t>0089</t>
  </si>
  <si>
    <t>NIPSCO Electric</t>
  </si>
  <si>
    <t>0090</t>
  </si>
  <si>
    <t>NIPSCO Gas</t>
  </si>
  <si>
    <t>0093</t>
  </si>
  <si>
    <t>Columbia of Ohio Receivables</t>
  </si>
  <si>
    <t>0094</t>
  </si>
  <si>
    <t>Columbia of PA Receivables</t>
  </si>
  <si>
    <t>Allocated</t>
  </si>
  <si>
    <t>00AC</t>
  </si>
  <si>
    <t>00AD</t>
  </si>
  <si>
    <t>00AQ</t>
  </si>
  <si>
    <t>00AR</t>
  </si>
  <si>
    <t>00AV</t>
  </si>
  <si>
    <t>00BA</t>
  </si>
  <si>
    <t>00DD</t>
  </si>
  <si>
    <t>00JE</t>
  </si>
  <si>
    <t>00JP</t>
  </si>
  <si>
    <t>00JR</t>
  </si>
  <si>
    <t xml:space="preserve">2021 Non-Labor CKY </t>
  </si>
  <si>
    <t>00KG</t>
  </si>
  <si>
    <t>00KU</t>
  </si>
  <si>
    <t>00OH</t>
  </si>
  <si>
    <t>00TA</t>
  </si>
  <si>
    <t>00TI</t>
  </si>
  <si>
    <t>00ZJ</t>
  </si>
  <si>
    <t>00ZK</t>
  </si>
  <si>
    <t>00TL</t>
  </si>
  <si>
    <t>00ZB</t>
  </si>
  <si>
    <t>00GG</t>
  </si>
  <si>
    <t>00JD</t>
  </si>
  <si>
    <t>00JI</t>
  </si>
  <si>
    <t>00JC</t>
  </si>
  <si>
    <t>00JJ</t>
  </si>
  <si>
    <t>01JN</t>
  </si>
  <si>
    <t>00JN</t>
  </si>
  <si>
    <t>00JF</t>
  </si>
  <si>
    <t>00JH</t>
  </si>
  <si>
    <t>00JK</t>
  </si>
  <si>
    <t>00JL</t>
  </si>
  <si>
    <t>00JQ</t>
  </si>
  <si>
    <t>00AG</t>
  </si>
  <si>
    <t>00AU</t>
  </si>
  <si>
    <t>00HD</t>
  </si>
  <si>
    <t>00IG</t>
  </si>
  <si>
    <t>00KD</t>
  </si>
  <si>
    <t>00MA</t>
  </si>
  <si>
    <t>00MZ</t>
  </si>
  <si>
    <t>00ND</t>
  </si>
  <si>
    <t>00ZI</t>
  </si>
  <si>
    <t>01AR</t>
  </si>
  <si>
    <t>00MM</t>
  </si>
  <si>
    <t>00KC</t>
  </si>
  <si>
    <t>00MD</t>
  </si>
  <si>
    <t>00MK</t>
  </si>
  <si>
    <t>00CC</t>
  </si>
  <si>
    <t>00ZG</t>
  </si>
  <si>
    <t>00JU</t>
  </si>
  <si>
    <t>00BN (Initial Allocation)*</t>
  </si>
  <si>
    <t>00DB (Initial Allocation)*</t>
  </si>
  <si>
    <t>00DE (Initial Allocation)*</t>
  </si>
  <si>
    <t>00KF (Initial Allocation)*</t>
  </si>
  <si>
    <t>00KS (Initial Allocation)*</t>
  </si>
  <si>
    <t>00MR (Initial Allocation)*</t>
  </si>
  <si>
    <t>00AN (Initial Allocation)*</t>
  </si>
  <si>
    <t>00OH triggers a process to allocate based on labor.  It's used for overheads, e.g. short-term incentive compensation.</t>
  </si>
  <si>
    <t>Based on labor</t>
  </si>
  <si>
    <t>Attachment A</t>
  </si>
  <si>
    <t>Twelve Months - January 2023 through December 2023</t>
  </si>
  <si>
    <t>Calculated Percentage</t>
  </si>
  <si>
    <t>Variance</t>
  </si>
  <si>
    <t>Allocated to Columbia (per Att. B)</t>
  </si>
  <si>
    <t>Total NCSC (per Att. C)</t>
  </si>
  <si>
    <t>Charges are prior to the 8/1 survey update, which was lower than historical (e.g. 2/1/23 Survey had a rate of 24.73%)</t>
  </si>
  <si>
    <t>0469</t>
  </si>
  <si>
    <t>NIPSCO Holdings I LLC</t>
  </si>
  <si>
    <t>0470</t>
  </si>
  <si>
    <t>NIPSCO Holdings II LLC</t>
  </si>
  <si>
    <t>Dunn's Bridge I Solar Gen LLC</t>
  </si>
  <si>
    <t>0522</t>
  </si>
  <si>
    <t>August 2023 Allocation Survey</t>
  </si>
  <si>
    <t>Note * --  Billing Pools with an asterisk beside them include NCSC in the allocation (e.g. in the 8/1/23 Allocation Survey billing pool KF allocates 2.65% to Columbia Gas of Kentucky and 28.43% to NCSC); these have been separated into their initial allocation and secondary allocation.  The initial allocation will agree to the Allocation Survey.  The secondary allocation is based on labor.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</si>
</sst>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lightDown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164" fontId="2" fillId="0" borderId="0" xfId="1" applyNumberFormat="1" applyFont="1" applyAlignment="1">
      <alignment horizontal="right"/>
    </xf>
    <xf numFmtId="164" fontId="4" fillId="0" borderId="0" xfId="1" applyNumberFormat="1" applyFont="1"/>
    <xf numFmtId="164" fontId="3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1" applyNumberFormat="1" applyFont="1"/>
    <xf numFmtId="10" fontId="0" fillId="0" borderId="0" xfId="2" applyNumberFormat="1" applyFont="1"/>
    <xf numFmtId="10" fontId="0" fillId="0" borderId="0" xfId="0" applyNumberFormat="1" applyAlignment="1">
      <alignment horizontal="right"/>
    </xf>
    <xf numFmtId="164" fontId="0" fillId="0" borderId="0" xfId="1" applyNumberFormat="1" applyFont="1" applyFill="1"/>
    <xf numFmtId="49" fontId="0" fillId="0" borderId="0" xfId="0" applyNumberFormat="1" applyAlignment="1">
      <alignment horizontal="center" vertical="center"/>
    </xf>
    <xf numFmtId="10" fontId="0" fillId="0" borderId="0" xfId="2" applyNumberFormat="1" applyFont="1" applyFill="1"/>
    <xf numFmtId="43" fontId="0" fillId="0" borderId="0" xfId="1" applyFont="1" applyFill="1"/>
    <xf numFmtId="165" fontId="0" fillId="0" borderId="0" xfId="2" applyNumberFormat="1" applyFont="1" applyFill="1"/>
    <xf numFmtId="10" fontId="0" fillId="0" borderId="0" xfId="0" applyNumberFormat="1"/>
    <xf numFmtId="164" fontId="0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0" fontId="0" fillId="0" borderId="0" xfId="2" applyNumberFormat="1" applyFont="1" applyAlignment="1">
      <alignment vertical="center"/>
    </xf>
    <xf numFmtId="10" fontId="0" fillId="0" borderId="0" xfId="0" applyNumberFormat="1" applyAlignment="1">
      <alignment horizontal="righ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0" fontId="0" fillId="2" borderId="0" xfId="2" applyNumberFormat="1" applyFont="1" applyFill="1"/>
    <xf numFmtId="0" fontId="0" fillId="0" borderId="0" xfId="0" quotePrefix="1" applyAlignment="1">
      <alignment horizontal="center" vertical="center"/>
    </xf>
    <xf numFmtId="10" fontId="0" fillId="2" borderId="0" xfId="2" applyNumberFormat="1" applyFont="1" applyFill="1" applyAlignment="1">
      <alignment vertical="center"/>
    </xf>
    <xf numFmtId="0" fontId="3" fillId="3" borderId="0" xfId="0" applyFont="1" applyFill="1" applyAlignment="1">
      <alignment horizontal="center"/>
    </xf>
    <xf numFmtId="10" fontId="0" fillId="2" borderId="0" xfId="2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2" borderId="0" xfId="1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FDAD7-C006-41DC-8AA4-A308A24F2594}">
  <dimension ref="A1:Z95"/>
  <sheetViews>
    <sheetView tabSelected="1" zoomScaleNormal="100" workbookViewId="0">
      <selection activeCell="L20" sqref="L20"/>
    </sheetView>
  </sheetViews>
  <sheetFormatPr defaultRowHeight="15" x14ac:dyDescent="0.25"/>
  <cols>
    <col min="1" max="1" width="26.28515625" customWidth="1"/>
    <col min="2" max="2" width="37.42578125" customWidth="1"/>
    <col min="3" max="3" width="12.28515625" bestFit="1" customWidth="1"/>
    <col min="4" max="4" width="2.42578125" customWidth="1"/>
    <col min="5" max="5" width="13" bestFit="1" customWidth="1"/>
    <col min="6" max="6" width="3.42578125" customWidth="1"/>
    <col min="7" max="7" width="11.42578125" customWidth="1"/>
    <col min="8" max="8" width="2.85546875" customWidth="1"/>
    <col min="9" max="9" width="11" style="1" customWidth="1"/>
    <col min="10" max="10" width="2.140625" customWidth="1"/>
    <col min="11" max="11" width="9.28515625" customWidth="1"/>
    <col min="12" max="12" width="75.85546875" customWidth="1"/>
    <col min="13" max="13" width="13.85546875" bestFit="1" customWidth="1"/>
    <col min="15" max="15" width="14.28515625" customWidth="1"/>
    <col min="16" max="16" width="15.28515625" customWidth="1"/>
    <col min="17" max="17" width="13.28515625" customWidth="1"/>
    <col min="19" max="19" width="1.7109375" customWidth="1"/>
    <col min="20" max="20" width="15.28515625" customWidth="1"/>
    <col min="21" max="21" width="11.28515625" customWidth="1"/>
    <col min="22" max="22" width="7.140625" customWidth="1"/>
    <col min="23" max="23" width="2.28515625" customWidth="1"/>
    <col min="24" max="24" width="14.28515625" customWidth="1"/>
    <col min="25" max="25" width="14.5703125" customWidth="1"/>
  </cols>
  <sheetData>
    <row r="1" spans="1:12" x14ac:dyDescent="0.25">
      <c r="L1" s="2" t="s">
        <v>0</v>
      </c>
    </row>
    <row r="2" spans="1:12" x14ac:dyDescent="0.25">
      <c r="L2" s="2" t="s">
        <v>1</v>
      </c>
    </row>
    <row r="3" spans="1:12" x14ac:dyDescent="0.25">
      <c r="L3" s="2" t="s">
        <v>114</v>
      </c>
    </row>
    <row r="4" spans="1:12" x14ac:dyDescent="0.25">
      <c r="L4" s="2" t="s">
        <v>2</v>
      </c>
    </row>
    <row r="5" spans="1:12" x14ac:dyDescent="0.25">
      <c r="C5" s="1"/>
      <c r="E5" s="1"/>
    </row>
    <row r="6" spans="1:12" x14ac:dyDescent="0.25">
      <c r="C6" s="29" t="s">
        <v>115</v>
      </c>
      <c r="D6" s="29"/>
      <c r="E6" s="29"/>
      <c r="F6" s="29"/>
      <c r="G6" s="29"/>
      <c r="H6" s="29"/>
      <c r="I6" s="29"/>
      <c r="J6" s="29"/>
      <c r="K6" s="29"/>
    </row>
    <row r="7" spans="1:12" ht="60" x14ac:dyDescent="0.25">
      <c r="C7" s="25" t="s">
        <v>118</v>
      </c>
      <c r="D7" s="25"/>
      <c r="E7" s="25" t="s">
        <v>119</v>
      </c>
      <c r="F7" s="25"/>
      <c r="G7" s="25" t="s">
        <v>116</v>
      </c>
      <c r="H7" s="25"/>
      <c r="I7" s="25" t="s">
        <v>127</v>
      </c>
      <c r="J7" s="25"/>
      <c r="K7" s="25" t="s">
        <v>117</v>
      </c>
    </row>
    <row r="8" spans="1:12" x14ac:dyDescent="0.25">
      <c r="B8" s="4" t="s">
        <v>4</v>
      </c>
      <c r="C8" s="5">
        <f>+ROUND(20998813,0)</f>
        <v>20998813</v>
      </c>
      <c r="E8" s="5">
        <f>+ROUND(507279191.8002,0)</f>
        <v>507279192</v>
      </c>
      <c r="G8" s="12">
        <f>C8/E8</f>
        <v>4.1394981956996965E-2</v>
      </c>
    </row>
    <row r="9" spans="1:12" x14ac:dyDescent="0.25">
      <c r="B9" s="2" t="s">
        <v>5</v>
      </c>
      <c r="C9" s="6">
        <f>ROUND(SUM(C12:C103),0)</f>
        <v>20998813</v>
      </c>
      <c r="E9" s="6">
        <f>ROUND(SUM(E12:E103),0)</f>
        <v>507279192</v>
      </c>
    </row>
    <row r="10" spans="1:12" x14ac:dyDescent="0.25">
      <c r="B10" s="2" t="s">
        <v>6</v>
      </c>
      <c r="C10" s="6">
        <f>+C8-C9</f>
        <v>0</v>
      </c>
      <c r="E10" s="6">
        <f>+E8-E9</f>
        <v>0</v>
      </c>
      <c r="L10" s="7" t="s">
        <v>7</v>
      </c>
    </row>
    <row r="11" spans="1:12" x14ac:dyDescent="0.25">
      <c r="A11" s="3" t="s">
        <v>8</v>
      </c>
      <c r="B11" s="8" t="s">
        <v>9</v>
      </c>
      <c r="C11" s="6"/>
    </row>
    <row r="12" spans="1:12" ht="14.45" customHeight="1" x14ac:dyDescent="0.25">
      <c r="A12" s="9" t="s">
        <v>10</v>
      </c>
      <c r="B12" s="10" t="s">
        <v>11</v>
      </c>
      <c r="C12" s="11">
        <v>1086148.919999999</v>
      </c>
      <c r="E12" s="11">
        <v>23453301.550000008</v>
      </c>
      <c r="G12" s="12">
        <f>IFERROR(C12/E12,0)</f>
        <v>4.6311130980192364E-2</v>
      </c>
      <c r="I12" s="30"/>
      <c r="K12" s="13">
        <f t="shared" ref="K12" si="0">+G12</f>
        <v>4.6311130980192364E-2</v>
      </c>
      <c r="L12" t="s">
        <v>113</v>
      </c>
    </row>
    <row r="13" spans="1:12" ht="14.45" customHeight="1" x14ac:dyDescent="0.25">
      <c r="A13" s="9" t="s">
        <v>12</v>
      </c>
      <c r="B13" s="10" t="s">
        <v>11</v>
      </c>
      <c r="C13" s="14">
        <v>13.13</v>
      </c>
      <c r="E13" s="32"/>
      <c r="G13" s="12">
        <v>1</v>
      </c>
      <c r="I13" s="30"/>
      <c r="K13" s="13" t="s">
        <v>13</v>
      </c>
      <c r="L13" s="31" t="s">
        <v>128</v>
      </c>
    </row>
    <row r="14" spans="1:12" x14ac:dyDescent="0.25">
      <c r="A14" s="9" t="s">
        <v>14</v>
      </c>
      <c r="B14" s="10" t="s">
        <v>11</v>
      </c>
      <c r="C14" s="11">
        <v>309347.478</v>
      </c>
      <c r="E14" s="32"/>
      <c r="G14" s="12">
        <v>1</v>
      </c>
      <c r="I14" s="30"/>
      <c r="K14" s="13" t="s">
        <v>13</v>
      </c>
      <c r="L14" s="31"/>
    </row>
    <row r="15" spans="1:12" x14ac:dyDescent="0.25">
      <c r="A15" s="9" t="s">
        <v>15</v>
      </c>
      <c r="B15" s="10" t="s">
        <v>11</v>
      </c>
      <c r="C15" s="14">
        <v>80.229970000000094</v>
      </c>
      <c r="E15" s="32"/>
      <c r="G15" s="12">
        <v>1</v>
      </c>
      <c r="I15" s="30"/>
      <c r="K15" s="13" t="s">
        <v>13</v>
      </c>
      <c r="L15" s="31"/>
    </row>
    <row r="16" spans="1:12" x14ac:dyDescent="0.25">
      <c r="A16" s="9" t="s">
        <v>16</v>
      </c>
      <c r="B16" s="10" t="s">
        <v>11</v>
      </c>
      <c r="C16" s="14">
        <v>0.25</v>
      </c>
      <c r="E16" s="32"/>
      <c r="G16" s="12">
        <v>1</v>
      </c>
      <c r="I16" s="30"/>
      <c r="K16" s="13" t="s">
        <v>13</v>
      </c>
      <c r="L16" s="31"/>
    </row>
    <row r="17" spans="1:12" x14ac:dyDescent="0.25">
      <c r="A17" s="9" t="s">
        <v>17</v>
      </c>
      <c r="B17" s="10" t="s">
        <v>11</v>
      </c>
      <c r="C17" s="14">
        <v>7.24</v>
      </c>
      <c r="E17" s="32"/>
      <c r="G17" s="12">
        <v>1</v>
      </c>
      <c r="I17" s="30"/>
      <c r="K17" s="13" t="s">
        <v>13</v>
      </c>
      <c r="L17" s="31"/>
    </row>
    <row r="18" spans="1:12" x14ac:dyDescent="0.25">
      <c r="A18" s="9" t="s">
        <v>18</v>
      </c>
      <c r="B18" s="10" t="s">
        <v>11</v>
      </c>
      <c r="C18" s="14">
        <v>1810.34</v>
      </c>
      <c r="E18" s="32"/>
      <c r="G18" s="12">
        <v>1</v>
      </c>
      <c r="I18" s="30"/>
      <c r="K18" s="13" t="s">
        <v>13</v>
      </c>
      <c r="L18" s="31"/>
    </row>
    <row r="19" spans="1:12" x14ac:dyDescent="0.25">
      <c r="A19" s="9" t="s">
        <v>19</v>
      </c>
      <c r="B19" s="10" t="s">
        <v>11</v>
      </c>
      <c r="C19" s="14">
        <v>1777.62</v>
      </c>
      <c r="E19" s="32"/>
      <c r="G19" s="12">
        <v>1</v>
      </c>
      <c r="I19" s="30"/>
      <c r="K19" s="13" t="s">
        <v>13</v>
      </c>
      <c r="L19" s="31"/>
    </row>
    <row r="20" spans="1:12" ht="14.45" customHeight="1" x14ac:dyDescent="0.25">
      <c r="A20" s="9" t="s">
        <v>20</v>
      </c>
      <c r="B20" s="15" t="s">
        <v>21</v>
      </c>
      <c r="C20" s="11">
        <v>0</v>
      </c>
      <c r="E20" s="11">
        <v>17191.73</v>
      </c>
      <c r="G20" s="12">
        <f t="shared" ref="G20:G45" si="1">IFERROR(C20/E20,0)</f>
        <v>0</v>
      </c>
      <c r="I20" s="28"/>
      <c r="K20" s="13" t="s">
        <v>13</v>
      </c>
    </row>
    <row r="21" spans="1:12" x14ac:dyDescent="0.25">
      <c r="A21" s="9" t="s">
        <v>22</v>
      </c>
      <c r="B21" s="10" t="s">
        <v>3</v>
      </c>
      <c r="C21" s="11">
        <v>4891994.5700000012</v>
      </c>
      <c r="E21" s="11">
        <v>4888696.4300000006</v>
      </c>
      <c r="G21" s="12">
        <f t="shared" si="1"/>
        <v>1.0006746461039719</v>
      </c>
      <c r="I21" s="28"/>
      <c r="K21" s="13" t="s">
        <v>13</v>
      </c>
    </row>
    <row r="22" spans="1:12" x14ac:dyDescent="0.25">
      <c r="A22" s="9" t="s">
        <v>23</v>
      </c>
      <c r="B22" s="10" t="s">
        <v>24</v>
      </c>
      <c r="C22" s="11">
        <v>0</v>
      </c>
      <c r="E22" s="11">
        <v>31583958.339999974</v>
      </c>
      <c r="G22" s="12">
        <f t="shared" si="1"/>
        <v>0</v>
      </c>
      <c r="I22" s="28"/>
      <c r="K22" s="13" t="s">
        <v>13</v>
      </c>
    </row>
    <row r="23" spans="1:12" x14ac:dyDescent="0.25">
      <c r="A23" s="9" t="s">
        <v>25</v>
      </c>
      <c r="B23" s="10" t="s">
        <v>26</v>
      </c>
      <c r="C23" s="11">
        <v>0</v>
      </c>
      <c r="E23" s="11">
        <v>2814978.3199999994</v>
      </c>
      <c r="G23" s="12">
        <f t="shared" si="1"/>
        <v>0</v>
      </c>
      <c r="I23" s="28"/>
      <c r="K23" s="13" t="s">
        <v>13</v>
      </c>
    </row>
    <row r="24" spans="1:12" x14ac:dyDescent="0.25">
      <c r="A24" s="9" t="s">
        <v>27</v>
      </c>
      <c r="B24" s="10" t="s">
        <v>28</v>
      </c>
      <c r="C24" s="11">
        <v>0</v>
      </c>
      <c r="E24" s="11">
        <v>14351872.110000005</v>
      </c>
      <c r="G24" s="12">
        <f t="shared" si="1"/>
        <v>0</v>
      </c>
      <c r="I24" s="28"/>
      <c r="K24" s="13" t="s">
        <v>13</v>
      </c>
    </row>
    <row r="25" spans="1:12" x14ac:dyDescent="0.25">
      <c r="A25" s="9" t="s">
        <v>29</v>
      </c>
      <c r="B25" s="10" t="s">
        <v>30</v>
      </c>
      <c r="C25" s="11">
        <v>0</v>
      </c>
      <c r="E25" s="11">
        <v>9933528.5800000019</v>
      </c>
      <c r="G25" s="12">
        <f t="shared" si="1"/>
        <v>0</v>
      </c>
      <c r="I25" s="28"/>
      <c r="K25" s="13" t="s">
        <v>13</v>
      </c>
    </row>
    <row r="26" spans="1:12" x14ac:dyDescent="0.25">
      <c r="A26" s="9" t="s">
        <v>39</v>
      </c>
      <c r="B26" s="15" t="s">
        <v>40</v>
      </c>
      <c r="C26" s="11">
        <v>0</v>
      </c>
      <c r="E26" s="11">
        <v>5338910.3100000005</v>
      </c>
      <c r="G26" s="12">
        <f t="shared" si="1"/>
        <v>0</v>
      </c>
      <c r="I26" s="28"/>
      <c r="K26" s="13" t="s">
        <v>13</v>
      </c>
    </row>
    <row r="27" spans="1:12" x14ac:dyDescent="0.25">
      <c r="A27" s="9" t="s">
        <v>41</v>
      </c>
      <c r="B27" s="15" t="s">
        <v>42</v>
      </c>
      <c r="C27" s="11">
        <v>0</v>
      </c>
      <c r="E27" s="11">
        <v>15521796.619999999</v>
      </c>
      <c r="G27" s="12">
        <f t="shared" si="1"/>
        <v>0</v>
      </c>
      <c r="I27" s="28"/>
      <c r="K27" s="13" t="s">
        <v>13</v>
      </c>
    </row>
    <row r="28" spans="1:12" x14ac:dyDescent="0.25">
      <c r="A28" s="9" t="s">
        <v>43</v>
      </c>
      <c r="B28" s="15" t="s">
        <v>44</v>
      </c>
      <c r="C28" s="11">
        <v>0</v>
      </c>
      <c r="E28" s="11">
        <v>248365.52999999994</v>
      </c>
      <c r="G28" s="12">
        <f t="shared" si="1"/>
        <v>0</v>
      </c>
      <c r="I28" s="28"/>
      <c r="K28" s="13" t="s">
        <v>13</v>
      </c>
    </row>
    <row r="29" spans="1:12" x14ac:dyDescent="0.25">
      <c r="A29" s="9" t="s">
        <v>45</v>
      </c>
      <c r="B29" s="15" t="s">
        <v>46</v>
      </c>
      <c r="C29" s="11">
        <v>0</v>
      </c>
      <c r="E29" s="11">
        <v>-12182.879999999997</v>
      </c>
      <c r="G29" s="12">
        <f t="shared" si="1"/>
        <v>0</v>
      </c>
      <c r="I29" s="28"/>
      <c r="K29" s="13" t="s">
        <v>13</v>
      </c>
    </row>
    <row r="30" spans="1:12" x14ac:dyDescent="0.25">
      <c r="A30" s="9" t="s">
        <v>47</v>
      </c>
      <c r="B30" s="10" t="s">
        <v>48</v>
      </c>
      <c r="C30" s="11">
        <v>0</v>
      </c>
      <c r="E30" s="11">
        <v>15302949.850000007</v>
      </c>
      <c r="G30" s="12">
        <f t="shared" si="1"/>
        <v>0</v>
      </c>
      <c r="I30" s="28"/>
      <c r="K30" s="13" t="s">
        <v>13</v>
      </c>
    </row>
    <row r="31" spans="1:12" x14ac:dyDescent="0.25">
      <c r="A31" s="9" t="s">
        <v>49</v>
      </c>
      <c r="B31" s="10" t="s">
        <v>50</v>
      </c>
      <c r="C31" s="11">
        <v>0</v>
      </c>
      <c r="E31" s="11">
        <v>4876814.99</v>
      </c>
      <c r="G31" s="12">
        <f t="shared" si="1"/>
        <v>0</v>
      </c>
      <c r="I31" s="28"/>
      <c r="K31" s="13" t="s">
        <v>13</v>
      </c>
    </row>
    <row r="32" spans="1:12" x14ac:dyDescent="0.25">
      <c r="A32" s="9" t="s">
        <v>51</v>
      </c>
      <c r="B32" s="15" t="s">
        <v>52</v>
      </c>
      <c r="C32" s="11">
        <v>0</v>
      </c>
      <c r="E32" s="11">
        <v>2679.6099999999997</v>
      </c>
      <c r="G32" s="12">
        <f t="shared" si="1"/>
        <v>0</v>
      </c>
      <c r="I32" s="28"/>
      <c r="K32" s="13" t="s">
        <v>13</v>
      </c>
    </row>
    <row r="33" spans="1:22" x14ac:dyDescent="0.25">
      <c r="A33" s="9" t="s">
        <v>53</v>
      </c>
      <c r="B33" s="15" t="s">
        <v>54</v>
      </c>
      <c r="C33" s="11">
        <v>0</v>
      </c>
      <c r="E33" s="11">
        <v>2593.4300000000003</v>
      </c>
      <c r="G33" s="12">
        <f t="shared" si="1"/>
        <v>0</v>
      </c>
      <c r="I33" s="28"/>
      <c r="K33" s="13" t="s">
        <v>13</v>
      </c>
    </row>
    <row r="34" spans="1:22" x14ac:dyDescent="0.25">
      <c r="A34" s="27" t="s">
        <v>121</v>
      </c>
      <c r="B34" s="10" t="s">
        <v>122</v>
      </c>
      <c r="C34" s="11">
        <v>0</v>
      </c>
      <c r="E34" s="11">
        <v>141.30000000000001</v>
      </c>
      <c r="G34" s="12">
        <f t="shared" si="1"/>
        <v>0</v>
      </c>
      <c r="I34" s="28"/>
      <c r="K34" s="13" t="s">
        <v>13</v>
      </c>
    </row>
    <row r="35" spans="1:22" x14ac:dyDescent="0.25">
      <c r="A35" s="27" t="s">
        <v>123</v>
      </c>
      <c r="B35" s="10" t="s">
        <v>124</v>
      </c>
      <c r="C35" s="11">
        <v>0</v>
      </c>
      <c r="E35" s="11">
        <v>141.30000000000001</v>
      </c>
      <c r="G35" s="12">
        <f t="shared" si="1"/>
        <v>0</v>
      </c>
      <c r="I35" s="28"/>
      <c r="K35" s="13" t="s">
        <v>13</v>
      </c>
    </row>
    <row r="36" spans="1:22" x14ac:dyDescent="0.25">
      <c r="A36" s="27" t="s">
        <v>126</v>
      </c>
      <c r="B36" s="10" t="s">
        <v>125</v>
      </c>
      <c r="C36" s="11">
        <v>0</v>
      </c>
      <c r="E36" s="11">
        <v>319.88</v>
      </c>
      <c r="G36" s="12">
        <f t="shared" si="1"/>
        <v>0</v>
      </c>
      <c r="I36" s="28"/>
      <c r="K36" s="13" t="s">
        <v>13</v>
      </c>
    </row>
    <row r="37" spans="1:22" x14ac:dyDescent="0.25">
      <c r="A37" s="27" t="s">
        <v>31</v>
      </c>
      <c r="B37" s="10" t="s">
        <v>32</v>
      </c>
      <c r="C37" s="11">
        <v>0</v>
      </c>
      <c r="E37" s="11">
        <v>281442.96999999997</v>
      </c>
      <c r="G37" s="12">
        <f t="shared" si="1"/>
        <v>0</v>
      </c>
      <c r="I37" s="28"/>
      <c r="K37" s="13" t="s">
        <v>13</v>
      </c>
    </row>
    <row r="38" spans="1:22" x14ac:dyDescent="0.25">
      <c r="A38" s="27" t="s">
        <v>33</v>
      </c>
      <c r="B38" s="15" t="s">
        <v>34</v>
      </c>
      <c r="C38" s="11">
        <v>0</v>
      </c>
      <c r="E38" s="11">
        <v>444717.21</v>
      </c>
      <c r="G38" s="12">
        <f t="shared" si="1"/>
        <v>0</v>
      </c>
      <c r="I38" s="28"/>
      <c r="K38" s="13" t="s">
        <v>13</v>
      </c>
    </row>
    <row r="39" spans="1:22" x14ac:dyDescent="0.25">
      <c r="A39" s="27" t="s">
        <v>35</v>
      </c>
      <c r="B39" s="10" t="s">
        <v>36</v>
      </c>
      <c r="C39" s="11">
        <v>0</v>
      </c>
      <c r="E39" s="11">
        <v>234456.95</v>
      </c>
      <c r="G39" s="12">
        <f t="shared" si="1"/>
        <v>0</v>
      </c>
      <c r="I39" s="28"/>
      <c r="K39" s="13" t="s">
        <v>13</v>
      </c>
    </row>
    <row r="40" spans="1:22" x14ac:dyDescent="0.25">
      <c r="A40" s="27" t="s">
        <v>37</v>
      </c>
      <c r="B40" s="10" t="s">
        <v>38</v>
      </c>
      <c r="C40" s="11">
        <v>0</v>
      </c>
      <c r="E40" s="11">
        <v>312680.67000000004</v>
      </c>
      <c r="G40" s="12">
        <f t="shared" si="1"/>
        <v>0</v>
      </c>
      <c r="I40" s="28"/>
      <c r="K40" s="13" t="s">
        <v>13</v>
      </c>
    </row>
    <row r="41" spans="1:22" x14ac:dyDescent="0.25">
      <c r="A41" s="1" t="s">
        <v>56</v>
      </c>
      <c r="B41" s="10" t="s">
        <v>55</v>
      </c>
      <c r="C41" s="11">
        <v>113178.47000000002</v>
      </c>
      <c r="E41" s="11">
        <v>1760222.15</v>
      </c>
      <c r="G41" s="12">
        <f t="shared" si="1"/>
        <v>6.4297833088851897E-2</v>
      </c>
      <c r="I41" s="12">
        <v>6.4799999999999996E-2</v>
      </c>
      <c r="K41" s="13">
        <f t="shared" ref="K41:K56" si="2">IF(E41&lt;1,0,G41-$I41)</f>
        <v>-5.0216691114809975E-4</v>
      </c>
    </row>
    <row r="42" spans="1:22" x14ac:dyDescent="0.25">
      <c r="A42" s="1" t="s">
        <v>57</v>
      </c>
      <c r="B42" s="10" t="s">
        <v>55</v>
      </c>
      <c r="C42" s="11">
        <v>377184.54</v>
      </c>
      <c r="E42" s="11">
        <v>5859927.6799999988</v>
      </c>
      <c r="G42" s="12">
        <f t="shared" si="1"/>
        <v>6.4366756826596205E-2</v>
      </c>
      <c r="I42" s="12">
        <v>6.4799999999999996E-2</v>
      </c>
      <c r="K42" s="13">
        <f t="shared" si="2"/>
        <v>-4.3324317340379115E-4</v>
      </c>
    </row>
    <row r="43" spans="1:22" x14ac:dyDescent="0.25">
      <c r="A43" s="1" t="s">
        <v>58</v>
      </c>
      <c r="B43" s="10" t="s">
        <v>55</v>
      </c>
      <c r="C43" s="11">
        <v>243433.18000000002</v>
      </c>
      <c r="E43" s="11">
        <v>2017621.0100000002</v>
      </c>
      <c r="G43" s="12">
        <f t="shared" si="1"/>
        <v>0.12065357110848086</v>
      </c>
      <c r="I43" s="12">
        <v>0.12130000000000001</v>
      </c>
      <c r="K43" s="13">
        <f t="shared" si="2"/>
        <v>-6.4642889151914074E-4</v>
      </c>
    </row>
    <row r="44" spans="1:22" x14ac:dyDescent="0.25">
      <c r="A44" s="1" t="s">
        <v>59</v>
      </c>
      <c r="B44" s="10" t="s">
        <v>55</v>
      </c>
      <c r="C44" s="11">
        <v>451662.62999999989</v>
      </c>
      <c r="E44" s="11">
        <v>9631694.1299999971</v>
      </c>
      <c r="G44" s="12">
        <f t="shared" si="1"/>
        <v>4.6893373471360432E-2</v>
      </c>
      <c r="I44" s="12">
        <v>4.7E-2</v>
      </c>
      <c r="K44" s="13">
        <f t="shared" si="2"/>
        <v>-1.0662652863956817E-4</v>
      </c>
    </row>
    <row r="45" spans="1:22" x14ac:dyDescent="0.25">
      <c r="A45" s="1" t="s">
        <v>60</v>
      </c>
      <c r="B45" s="10" t="s">
        <v>55</v>
      </c>
      <c r="C45" s="11">
        <v>1098306.4200000006</v>
      </c>
      <c r="E45" s="11">
        <v>36072935.120000005</v>
      </c>
      <c r="G45" s="12">
        <f t="shared" si="1"/>
        <v>3.0446827139138561E-2</v>
      </c>
      <c r="I45" s="12">
        <v>3.0499999999999999E-2</v>
      </c>
      <c r="K45" s="13">
        <f t="shared" si="2"/>
        <v>-5.3172860861438326E-5</v>
      </c>
    </row>
    <row r="46" spans="1:22" x14ac:dyDescent="0.25">
      <c r="A46" s="1" t="s">
        <v>61</v>
      </c>
      <c r="B46" s="10" t="s">
        <v>55</v>
      </c>
      <c r="C46" s="11">
        <v>3197.68</v>
      </c>
      <c r="E46" s="11">
        <v>56112</v>
      </c>
      <c r="G46" s="12">
        <f t="shared" ref="G46:G77" si="3">IFERROR(C46/E46,0)</f>
        <v>5.6987453664100365E-2</v>
      </c>
      <c r="I46" s="12">
        <v>5.7000000000000002E-2</v>
      </c>
      <c r="K46" s="13">
        <f t="shared" si="2"/>
        <v>-1.2546335899636663E-5</v>
      </c>
    </row>
    <row r="47" spans="1:22" x14ac:dyDescent="0.25">
      <c r="A47" s="1" t="s">
        <v>105</v>
      </c>
      <c r="B47" s="10" t="s">
        <v>55</v>
      </c>
      <c r="C47" s="11">
        <f>423.55-C17</f>
        <v>416.31</v>
      </c>
      <c r="E47" s="11">
        <v>15328.650000000007</v>
      </c>
      <c r="G47" s="12">
        <f t="shared" si="3"/>
        <v>2.7158947461126702E-2</v>
      </c>
      <c r="I47" s="12">
        <v>2.64E-2</v>
      </c>
      <c r="K47" s="13">
        <f t="shared" si="2"/>
        <v>7.5894746112670219E-4</v>
      </c>
    </row>
    <row r="48" spans="1:22" x14ac:dyDescent="0.25">
      <c r="A48" s="1" t="s">
        <v>106</v>
      </c>
      <c r="B48" s="10" t="s">
        <v>55</v>
      </c>
      <c r="C48" s="14">
        <f>86.99-C13</f>
        <v>73.86</v>
      </c>
      <c r="E48" s="14">
        <f>1247.9</f>
        <v>1247.9000000000001</v>
      </c>
      <c r="G48" s="16">
        <f t="shared" si="3"/>
        <v>5.9187434890616231E-2</v>
      </c>
      <c r="I48" s="12">
        <v>5.4399999999999997E-2</v>
      </c>
      <c r="K48" s="13">
        <f t="shared" si="2"/>
        <v>4.7874348906162337E-3</v>
      </c>
      <c r="T48" s="17"/>
      <c r="U48" s="17"/>
      <c r="V48" s="16"/>
    </row>
    <row r="49" spans="1:26" x14ac:dyDescent="0.25">
      <c r="A49" s="1" t="s">
        <v>62</v>
      </c>
      <c r="B49" s="10" t="s">
        <v>55</v>
      </c>
      <c r="C49" s="11">
        <v>7755.47</v>
      </c>
      <c r="E49" s="11">
        <v>105476.33</v>
      </c>
      <c r="G49" s="12">
        <f t="shared" si="3"/>
        <v>7.3528060750691654E-2</v>
      </c>
      <c r="I49" s="12">
        <v>6.9500000000000006E-2</v>
      </c>
      <c r="K49" s="13">
        <f t="shared" si="2"/>
        <v>4.0280607506916477E-3</v>
      </c>
    </row>
    <row r="50" spans="1:26" x14ac:dyDescent="0.25">
      <c r="A50" s="1" t="s">
        <v>107</v>
      </c>
      <c r="B50" s="10" t="s">
        <v>55</v>
      </c>
      <c r="C50" s="11">
        <f>12537.47-C18</f>
        <v>10727.13</v>
      </c>
      <c r="E50" s="11">
        <v>435049.9800000001</v>
      </c>
      <c r="G50" s="12">
        <f t="shared" si="3"/>
        <v>2.4657235934133354E-2</v>
      </c>
      <c r="I50" s="12">
        <v>2.29E-2</v>
      </c>
      <c r="K50" s="13">
        <f t="shared" si="2"/>
        <v>1.7572359341333534E-3</v>
      </c>
    </row>
    <row r="51" spans="1:26" x14ac:dyDescent="0.25">
      <c r="A51" s="1" t="s">
        <v>63</v>
      </c>
      <c r="B51" s="10" t="s">
        <v>55</v>
      </c>
      <c r="C51" s="11">
        <v>1691766.7600000005</v>
      </c>
      <c r="E51" s="11">
        <v>45968960.740000002</v>
      </c>
      <c r="G51" s="12">
        <f t="shared" si="3"/>
        <v>3.6802371268922454E-2</v>
      </c>
      <c r="I51" s="12">
        <v>3.6700000000000003E-2</v>
      </c>
      <c r="K51" s="13">
        <f t="shared" si="2"/>
        <v>1.0237126892245069E-4</v>
      </c>
    </row>
    <row r="52" spans="1:26" x14ac:dyDescent="0.25">
      <c r="A52" s="1" t="s">
        <v>64</v>
      </c>
      <c r="B52" s="10" t="s">
        <v>55</v>
      </c>
      <c r="C52" s="11">
        <v>7437.18</v>
      </c>
      <c r="E52" s="11">
        <v>114065.24999999997</v>
      </c>
      <c r="G52" s="12">
        <f t="shared" si="3"/>
        <v>6.5201102000828487E-2</v>
      </c>
      <c r="I52" s="12">
        <v>6.5199999999999994E-2</v>
      </c>
      <c r="K52" s="13">
        <f t="shared" si="2"/>
        <v>1.1020008284928773E-6</v>
      </c>
    </row>
    <row r="53" spans="1:26" x14ac:dyDescent="0.25">
      <c r="A53" s="1" t="s">
        <v>65</v>
      </c>
      <c r="B53" s="10" t="s">
        <v>55</v>
      </c>
      <c r="C53" s="11">
        <v>0</v>
      </c>
      <c r="E53" s="11">
        <v>12898.140000000001</v>
      </c>
      <c r="G53" s="12">
        <f t="shared" si="3"/>
        <v>0</v>
      </c>
      <c r="I53" s="12">
        <v>0</v>
      </c>
      <c r="K53" s="13">
        <f t="shared" si="2"/>
        <v>0</v>
      </c>
      <c r="Y53" t="s">
        <v>66</v>
      </c>
    </row>
    <row r="54" spans="1:26" x14ac:dyDescent="0.25">
      <c r="A54" s="1" t="s">
        <v>108</v>
      </c>
      <c r="B54" s="10" t="s">
        <v>55</v>
      </c>
      <c r="C54" s="14">
        <f>960826.43-C14</f>
        <v>651478.95200000005</v>
      </c>
      <c r="E54" s="14">
        <f>24103174.86</f>
        <v>24103174.859999999</v>
      </c>
      <c r="F54" s="18"/>
      <c r="G54" s="16">
        <f t="shared" si="3"/>
        <v>2.7028760973773231E-2</v>
      </c>
      <c r="I54" s="16">
        <v>2.6499999999999999E-2</v>
      </c>
      <c r="K54" s="13">
        <f t="shared" si="2"/>
        <v>5.2876097377323183E-4</v>
      </c>
      <c r="P54" s="17"/>
      <c r="Q54" s="17"/>
      <c r="R54" s="16"/>
      <c r="T54" s="17"/>
      <c r="U54" s="17"/>
      <c r="V54" s="16"/>
      <c r="W54" s="16"/>
      <c r="X54" s="17"/>
      <c r="Y54" s="17"/>
      <c r="Z54" s="16"/>
    </row>
    <row r="55" spans="1:26" x14ac:dyDescent="0.25">
      <c r="A55" s="1" t="s">
        <v>67</v>
      </c>
      <c r="B55" s="10" t="s">
        <v>55</v>
      </c>
      <c r="C55" s="11">
        <v>456279.58</v>
      </c>
      <c r="E55" s="11">
        <v>12224639.990000002</v>
      </c>
      <c r="G55" s="12">
        <f t="shared" si="3"/>
        <v>3.7324582185916784E-2</v>
      </c>
      <c r="I55" s="12">
        <v>3.6999999999999998E-2</v>
      </c>
      <c r="K55" s="13">
        <f t="shared" si="2"/>
        <v>3.2458218591678578E-4</v>
      </c>
    </row>
    <row r="56" spans="1:26" x14ac:dyDescent="0.25">
      <c r="A56" s="1" t="s">
        <v>68</v>
      </c>
      <c r="B56" s="10" t="s">
        <v>55</v>
      </c>
      <c r="C56" s="11">
        <v>5410.34</v>
      </c>
      <c r="E56" s="11">
        <v>109863.57</v>
      </c>
      <c r="G56" s="12">
        <f t="shared" si="3"/>
        <v>4.9245987546190244E-2</v>
      </c>
      <c r="I56" s="12">
        <v>4.9299999999999997E-2</v>
      </c>
      <c r="K56" s="13">
        <f t="shared" si="2"/>
        <v>-5.4012453809752781E-5</v>
      </c>
    </row>
    <row r="57" spans="1:26" s="21" customFormat="1" ht="29.45" customHeight="1" x14ac:dyDescent="0.25">
      <c r="A57" s="10" t="s">
        <v>69</v>
      </c>
      <c r="B57" s="10" t="s">
        <v>55</v>
      </c>
      <c r="C57" s="20">
        <v>-52545.81999999992</v>
      </c>
      <c r="E57" s="20">
        <v>-1218505.790000001</v>
      </c>
      <c r="G57" s="22">
        <f t="shared" si="3"/>
        <v>4.312315988256394E-2</v>
      </c>
      <c r="I57" s="26"/>
      <c r="K57" s="23">
        <f t="shared" ref="K57" si="4">+G57</f>
        <v>4.312315988256394E-2</v>
      </c>
      <c r="L57" s="24" t="s">
        <v>112</v>
      </c>
    </row>
    <row r="58" spans="1:26" x14ac:dyDescent="0.25">
      <c r="A58" s="1" t="s">
        <v>70</v>
      </c>
      <c r="B58" s="10" t="s">
        <v>55</v>
      </c>
      <c r="C58" s="11">
        <v>2812224.310000001</v>
      </c>
      <c r="E58" s="11">
        <v>71812044.499999985</v>
      </c>
      <c r="G58" s="12">
        <f t="shared" si="3"/>
        <v>3.9160900230322808E-2</v>
      </c>
      <c r="I58" s="12">
        <v>3.9800000000000002E-2</v>
      </c>
      <c r="K58" s="13">
        <f t="shared" ref="K58:K95" si="5">IF(E58&lt;1,0,G58-$I58)</f>
        <v>-6.3909976967719412E-4</v>
      </c>
    </row>
    <row r="59" spans="1:26" x14ac:dyDescent="0.25">
      <c r="A59" s="1" t="s">
        <v>71</v>
      </c>
      <c r="B59" s="10" t="s">
        <v>55</v>
      </c>
      <c r="C59" s="11">
        <v>2599925.4900000002</v>
      </c>
      <c r="E59" s="11">
        <v>71568930.999999985</v>
      </c>
      <c r="G59" s="12">
        <f t="shared" si="3"/>
        <v>3.63275719459887E-2</v>
      </c>
      <c r="I59" s="12">
        <v>3.6400000000000002E-2</v>
      </c>
      <c r="K59" s="13">
        <f t="shared" si="5"/>
        <v>-7.2428054011301757E-5</v>
      </c>
    </row>
    <row r="60" spans="1:26" x14ac:dyDescent="0.25">
      <c r="A60" s="1" t="s">
        <v>72</v>
      </c>
      <c r="B60" s="10" t="s">
        <v>55</v>
      </c>
      <c r="C60" s="11">
        <v>0</v>
      </c>
      <c r="E60" s="11">
        <v>0</v>
      </c>
      <c r="G60" s="12">
        <f t="shared" si="3"/>
        <v>0</v>
      </c>
      <c r="I60" s="12">
        <v>0</v>
      </c>
      <c r="K60" s="13">
        <f t="shared" si="5"/>
        <v>0</v>
      </c>
    </row>
    <row r="61" spans="1:26" x14ac:dyDescent="0.25">
      <c r="A61" s="1" t="s">
        <v>73</v>
      </c>
      <c r="B61" s="10" t="s">
        <v>55</v>
      </c>
      <c r="C61" s="11">
        <v>0</v>
      </c>
      <c r="E61" s="11">
        <v>0</v>
      </c>
      <c r="G61" s="12">
        <f t="shared" si="3"/>
        <v>0</v>
      </c>
      <c r="I61" s="12">
        <v>3.0499999999999999E-2</v>
      </c>
      <c r="K61" s="13">
        <f t="shared" si="5"/>
        <v>0</v>
      </c>
    </row>
    <row r="62" spans="1:26" x14ac:dyDescent="0.25">
      <c r="A62" s="1" t="s">
        <v>74</v>
      </c>
      <c r="B62" s="10" t="s">
        <v>55</v>
      </c>
      <c r="C62" s="11">
        <v>204663.06000000003</v>
      </c>
      <c r="E62" s="11">
        <v>6680601.6900000013</v>
      </c>
      <c r="G62" s="12">
        <f t="shared" si="3"/>
        <v>3.0635423199433402E-2</v>
      </c>
      <c r="I62" s="12">
        <v>3.2899999999999999E-2</v>
      </c>
      <c r="K62" s="13">
        <f t="shared" si="5"/>
        <v>-2.2645768005665964E-3</v>
      </c>
    </row>
    <row r="63" spans="1:26" x14ac:dyDescent="0.25">
      <c r="A63" s="1" t="s">
        <v>75</v>
      </c>
      <c r="B63" s="10" t="s">
        <v>55</v>
      </c>
      <c r="C63" s="11">
        <v>0</v>
      </c>
      <c r="E63" s="11">
        <v>231952.07000000004</v>
      </c>
      <c r="G63" s="12">
        <f t="shared" si="3"/>
        <v>0</v>
      </c>
      <c r="I63" s="12">
        <v>0</v>
      </c>
      <c r="K63" s="13">
        <f t="shared" si="5"/>
        <v>0</v>
      </c>
    </row>
    <row r="64" spans="1:26" x14ac:dyDescent="0.25">
      <c r="A64" s="1" t="s">
        <v>76</v>
      </c>
      <c r="B64" s="10" t="s">
        <v>55</v>
      </c>
      <c r="C64" s="11">
        <v>118676.96</v>
      </c>
      <c r="E64" s="11">
        <v>4010892.7600000007</v>
      </c>
      <c r="G64" s="12">
        <f t="shared" si="3"/>
        <v>2.958866444487037E-2</v>
      </c>
      <c r="I64" s="12">
        <v>2.98E-2</v>
      </c>
      <c r="K64" s="13">
        <f t="shared" si="5"/>
        <v>-2.1133555512962976E-4</v>
      </c>
    </row>
    <row r="65" spans="1:11" x14ac:dyDescent="0.25">
      <c r="A65" s="1" t="s">
        <v>77</v>
      </c>
      <c r="B65" s="10" t="s">
        <v>55</v>
      </c>
      <c r="C65" s="11">
        <v>1076013.0400000003</v>
      </c>
      <c r="E65" s="11">
        <v>18695543.190000001</v>
      </c>
      <c r="G65" s="12">
        <f t="shared" si="3"/>
        <v>5.7554521367185814E-2</v>
      </c>
      <c r="I65" s="12">
        <v>5.74E-2</v>
      </c>
      <c r="K65" s="13">
        <f t="shared" si="5"/>
        <v>1.5452136718581422E-4</v>
      </c>
    </row>
    <row r="66" spans="1:11" x14ac:dyDescent="0.25">
      <c r="A66" s="1" t="s">
        <v>78</v>
      </c>
      <c r="B66" s="10" t="s">
        <v>55</v>
      </c>
      <c r="C66" s="11">
        <v>385701.40000000008</v>
      </c>
      <c r="E66" s="11">
        <v>6705318.6399999987</v>
      </c>
      <c r="G66" s="12">
        <f t="shared" si="3"/>
        <v>5.7521710854892369E-2</v>
      </c>
      <c r="I66" s="12">
        <v>5.74E-2</v>
      </c>
      <c r="K66" s="13">
        <f t="shared" si="5"/>
        <v>1.2171085489236927E-4</v>
      </c>
    </row>
    <row r="67" spans="1:11" x14ac:dyDescent="0.25">
      <c r="A67" s="1" t="s">
        <v>79</v>
      </c>
      <c r="B67" s="10" t="s">
        <v>55</v>
      </c>
      <c r="C67" s="11">
        <v>88.600000000000037</v>
      </c>
      <c r="E67" s="11">
        <v>1514.4499999999994</v>
      </c>
      <c r="G67" s="12">
        <f t="shared" si="3"/>
        <v>5.8503086929248292E-2</v>
      </c>
      <c r="I67" s="12">
        <v>5.8200000000000002E-2</v>
      </c>
      <c r="K67" s="13">
        <f t="shared" si="5"/>
        <v>3.0308692924829045E-4</v>
      </c>
    </row>
    <row r="68" spans="1:11" x14ac:dyDescent="0.25">
      <c r="A68" s="1" t="s">
        <v>80</v>
      </c>
      <c r="B68" s="10" t="s">
        <v>55</v>
      </c>
      <c r="C68" s="11">
        <v>0</v>
      </c>
      <c r="E68" s="11">
        <v>273338.56999999995</v>
      </c>
      <c r="G68" s="12">
        <f t="shared" si="3"/>
        <v>0</v>
      </c>
      <c r="I68" s="12">
        <v>0</v>
      </c>
      <c r="K68" s="13">
        <f t="shared" si="5"/>
        <v>0</v>
      </c>
    </row>
    <row r="69" spans="1:11" x14ac:dyDescent="0.25">
      <c r="A69" s="1" t="s">
        <v>81</v>
      </c>
      <c r="B69" s="10" t="s">
        <v>55</v>
      </c>
      <c r="C69" s="11">
        <v>15436.560000000001</v>
      </c>
      <c r="E69" s="11">
        <v>364315.83999999997</v>
      </c>
      <c r="G69" s="12">
        <f t="shared" si="3"/>
        <v>4.2371366559301959E-2</v>
      </c>
      <c r="I69" s="12">
        <v>4.2200000000000001E-2</v>
      </c>
      <c r="K69" s="13">
        <f t="shared" si="5"/>
        <v>1.713665593019581E-4</v>
      </c>
    </row>
    <row r="70" spans="1:11" x14ac:dyDescent="0.25">
      <c r="A70" s="1" t="s">
        <v>82</v>
      </c>
      <c r="B70" s="10" t="s">
        <v>55</v>
      </c>
      <c r="C70" s="11">
        <v>100281.2</v>
      </c>
      <c r="E70" s="11">
        <v>2368014.13</v>
      </c>
      <c r="G70" s="12">
        <f t="shared" si="3"/>
        <v>4.2348227035283778E-2</v>
      </c>
      <c r="I70" s="12">
        <v>4.2200000000000001E-2</v>
      </c>
      <c r="K70" s="13">
        <f t="shared" si="5"/>
        <v>1.4822703528377668E-4</v>
      </c>
    </row>
    <row r="71" spans="1:11" x14ac:dyDescent="0.25">
      <c r="A71" s="1" t="s">
        <v>83</v>
      </c>
      <c r="B71" s="10" t="s">
        <v>55</v>
      </c>
      <c r="C71" s="11">
        <v>0</v>
      </c>
      <c r="E71" s="11">
        <v>0</v>
      </c>
      <c r="G71" s="12">
        <f t="shared" si="3"/>
        <v>0</v>
      </c>
      <c r="I71" s="12">
        <v>0</v>
      </c>
      <c r="K71" s="13">
        <f t="shared" si="5"/>
        <v>0</v>
      </c>
    </row>
    <row r="72" spans="1:11" x14ac:dyDescent="0.25">
      <c r="A72" s="1" t="s">
        <v>84</v>
      </c>
      <c r="B72" s="10" t="s">
        <v>55</v>
      </c>
      <c r="C72" s="11">
        <v>0</v>
      </c>
      <c r="E72" s="11">
        <v>2668386.1900000004</v>
      </c>
      <c r="G72" s="12">
        <f t="shared" si="3"/>
        <v>0</v>
      </c>
      <c r="I72" s="12">
        <v>0</v>
      </c>
      <c r="K72" s="13">
        <f t="shared" si="5"/>
        <v>0</v>
      </c>
    </row>
    <row r="73" spans="1:11" x14ac:dyDescent="0.25">
      <c r="A73" s="1" t="s">
        <v>85</v>
      </c>
      <c r="B73" s="10" t="s">
        <v>55</v>
      </c>
      <c r="C73" s="11">
        <v>526088.34</v>
      </c>
      <c r="E73" s="11">
        <v>1623467.6</v>
      </c>
      <c r="G73" s="12">
        <f t="shared" si="3"/>
        <v>0.3240522570330322</v>
      </c>
      <c r="I73" s="12">
        <v>0.32269999999999999</v>
      </c>
      <c r="K73" s="13">
        <f t="shared" si="5"/>
        <v>1.3522570330322115E-3</v>
      </c>
    </row>
    <row r="74" spans="1:11" x14ac:dyDescent="0.25">
      <c r="A74" s="1" t="s">
        <v>86</v>
      </c>
      <c r="B74" s="10" t="s">
        <v>55</v>
      </c>
      <c r="C74" s="11">
        <v>161131.43000000002</v>
      </c>
      <c r="E74" s="11">
        <v>3913664.640000002</v>
      </c>
      <c r="G74" s="12">
        <f t="shared" si="3"/>
        <v>4.1171496492862489E-2</v>
      </c>
      <c r="I74" s="12">
        <v>4.1000000000000002E-2</v>
      </c>
      <c r="K74" s="13">
        <f t="shared" si="5"/>
        <v>1.7149649286248708E-4</v>
      </c>
    </row>
    <row r="75" spans="1:11" x14ac:dyDescent="0.25">
      <c r="A75" s="1" t="s">
        <v>87</v>
      </c>
      <c r="B75" s="10" t="s">
        <v>55</v>
      </c>
      <c r="C75" s="11">
        <v>9289.69</v>
      </c>
      <c r="E75" s="11">
        <v>129226.40000000001</v>
      </c>
      <c r="G75" s="12">
        <f t="shared" si="3"/>
        <v>7.1886936415469282E-2</v>
      </c>
      <c r="I75" s="12">
        <v>7.17E-2</v>
      </c>
      <c r="K75" s="13">
        <f t="shared" si="5"/>
        <v>1.8693641546928264E-4</v>
      </c>
    </row>
    <row r="76" spans="1:11" x14ac:dyDescent="0.25">
      <c r="A76" s="1" t="s">
        <v>88</v>
      </c>
      <c r="B76" s="10" t="s">
        <v>55</v>
      </c>
      <c r="C76" s="11">
        <v>15320.469999999998</v>
      </c>
      <c r="E76" s="11">
        <v>523791.48999999987</v>
      </c>
      <c r="G76" s="12">
        <f t="shared" si="3"/>
        <v>2.9249176995983651E-2</v>
      </c>
      <c r="I76" s="12">
        <v>2.93E-2</v>
      </c>
      <c r="K76" s="13">
        <f t="shared" si="5"/>
        <v>-5.0823004016348206E-5</v>
      </c>
    </row>
    <row r="77" spans="1:11" x14ac:dyDescent="0.25">
      <c r="A77" s="1" t="s">
        <v>89</v>
      </c>
      <c r="B77" s="10" t="s">
        <v>55</v>
      </c>
      <c r="C77" s="11">
        <v>0</v>
      </c>
      <c r="E77" s="11">
        <v>938799.14000000013</v>
      </c>
      <c r="G77" s="12">
        <f t="shared" si="3"/>
        <v>0</v>
      </c>
      <c r="I77" s="12">
        <v>0</v>
      </c>
      <c r="K77" s="13">
        <f t="shared" si="5"/>
        <v>0</v>
      </c>
    </row>
    <row r="78" spans="1:11" x14ac:dyDescent="0.25">
      <c r="A78" s="1" t="s">
        <v>90</v>
      </c>
      <c r="B78" s="10" t="s">
        <v>55</v>
      </c>
      <c r="C78" s="11">
        <v>2.94</v>
      </c>
      <c r="E78" s="11">
        <v>52.109999999999971</v>
      </c>
      <c r="G78" s="12">
        <f t="shared" ref="G78:G95" si="6">IFERROR(C78/E78,0)</f>
        <v>5.6419113413932097E-2</v>
      </c>
      <c r="I78" s="12">
        <v>5.7500000000000002E-2</v>
      </c>
      <c r="K78" s="13">
        <f t="shared" si="5"/>
        <v>-1.0808865860679057E-3</v>
      </c>
    </row>
    <row r="79" spans="1:11" x14ac:dyDescent="0.25">
      <c r="A79" s="1" t="s">
        <v>91</v>
      </c>
      <c r="B79" s="10" t="s">
        <v>55</v>
      </c>
      <c r="C79" s="11">
        <v>19525.870000000003</v>
      </c>
      <c r="E79" s="11">
        <v>529385.90999999992</v>
      </c>
      <c r="G79" s="12">
        <f t="shared" si="6"/>
        <v>3.6884000180511051E-2</v>
      </c>
      <c r="I79" s="12">
        <v>3.7400000000000003E-2</v>
      </c>
      <c r="K79" s="13">
        <f t="shared" si="5"/>
        <v>-5.1599981948895202E-4</v>
      </c>
    </row>
    <row r="80" spans="1:11" x14ac:dyDescent="0.25">
      <c r="A80" s="1" t="s">
        <v>92</v>
      </c>
      <c r="B80" s="10" t="s">
        <v>55</v>
      </c>
      <c r="C80" s="11">
        <v>11136.3</v>
      </c>
      <c r="E80" s="11">
        <v>145458.44999999995</v>
      </c>
      <c r="G80" s="12">
        <f t="shared" si="6"/>
        <v>7.6560007342302921E-2</v>
      </c>
      <c r="I80" s="12">
        <v>7.6700000000000004E-2</v>
      </c>
      <c r="K80" s="13">
        <f t="shared" si="5"/>
        <v>-1.399926576970828E-4</v>
      </c>
    </row>
    <row r="81" spans="1:26" x14ac:dyDescent="0.25">
      <c r="A81" s="1" t="s">
        <v>109</v>
      </c>
      <c r="B81" s="10" t="s">
        <v>55</v>
      </c>
      <c r="C81" s="14">
        <f>308.91-C15</f>
        <v>228.68002999999993</v>
      </c>
      <c r="E81" s="14">
        <f>5269.13</f>
        <v>5269.13</v>
      </c>
      <c r="G81" s="16">
        <f t="shared" si="6"/>
        <v>4.3399959765653896E-2</v>
      </c>
      <c r="I81" s="16">
        <v>4.3400000000000001E-2</v>
      </c>
      <c r="K81" s="13">
        <f t="shared" si="5"/>
        <v>-4.0234346104783825E-8</v>
      </c>
      <c r="P81" s="17"/>
      <c r="Q81" s="17"/>
      <c r="R81" s="16"/>
      <c r="T81" s="17"/>
      <c r="U81" s="17"/>
      <c r="V81" s="16"/>
      <c r="W81" s="16"/>
      <c r="X81" s="17"/>
      <c r="Y81" s="17"/>
      <c r="Z81" s="16"/>
    </row>
    <row r="82" spans="1:26" x14ac:dyDescent="0.25">
      <c r="A82" s="1" t="s">
        <v>93</v>
      </c>
      <c r="B82" s="10" t="s">
        <v>55</v>
      </c>
      <c r="C82" s="11">
        <v>33442.080000000002</v>
      </c>
      <c r="E82" s="11">
        <v>877180.05</v>
      </c>
      <c r="G82" s="12">
        <f t="shared" si="6"/>
        <v>3.8124533269994001E-2</v>
      </c>
      <c r="I82" s="12">
        <v>3.8199999999999998E-2</v>
      </c>
      <c r="K82" s="13">
        <f t="shared" si="5"/>
        <v>-7.5466730005996352E-5</v>
      </c>
    </row>
    <row r="83" spans="1:26" x14ac:dyDescent="0.25">
      <c r="A83" s="1" t="s">
        <v>94</v>
      </c>
      <c r="B83" s="10" t="s">
        <v>55</v>
      </c>
      <c r="C83" s="11">
        <v>60987.609999999993</v>
      </c>
      <c r="E83" s="11">
        <v>1196139.2899999998</v>
      </c>
      <c r="G83" s="12">
        <f t="shared" si="6"/>
        <v>5.0987046834654187E-2</v>
      </c>
      <c r="I83" s="12">
        <v>5.0900000000000001E-2</v>
      </c>
      <c r="K83" s="13">
        <f t="shared" si="5"/>
        <v>8.7046834654186389E-5</v>
      </c>
      <c r="L83" s="12"/>
      <c r="M83" s="19"/>
    </row>
    <row r="84" spans="1:26" x14ac:dyDescent="0.25">
      <c r="A84" s="1" t="s">
        <v>95</v>
      </c>
      <c r="B84" s="10" t="s">
        <v>55</v>
      </c>
      <c r="C84" s="11">
        <v>92.22</v>
      </c>
      <c r="E84" s="11">
        <v>9023.65</v>
      </c>
      <c r="G84" s="12">
        <f t="shared" si="6"/>
        <v>1.0219811273708532E-2</v>
      </c>
      <c r="I84" s="12">
        <v>9.7000000000000003E-3</v>
      </c>
      <c r="K84" s="13">
        <f t="shared" si="5"/>
        <v>5.1981127370853177E-4</v>
      </c>
    </row>
    <row r="85" spans="1:26" x14ac:dyDescent="0.25">
      <c r="A85" s="1" t="s">
        <v>96</v>
      </c>
      <c r="B85" s="10" t="s">
        <v>55</v>
      </c>
      <c r="C85" s="11">
        <v>0</v>
      </c>
      <c r="E85" s="11">
        <v>14421.210000000003</v>
      </c>
      <c r="G85" s="12">
        <f t="shared" si="6"/>
        <v>0</v>
      </c>
      <c r="I85" s="12">
        <v>0</v>
      </c>
      <c r="K85" s="13">
        <f t="shared" si="5"/>
        <v>0</v>
      </c>
    </row>
    <row r="86" spans="1:26" x14ac:dyDescent="0.25">
      <c r="A86" s="1" t="s">
        <v>97</v>
      </c>
      <c r="B86" s="10" t="s">
        <v>55</v>
      </c>
      <c r="C86" s="11">
        <v>34595.99</v>
      </c>
      <c r="E86" s="11">
        <v>738219.4</v>
      </c>
      <c r="G86" s="12">
        <f t="shared" si="6"/>
        <v>4.6864103002440732E-2</v>
      </c>
      <c r="I86" s="12">
        <v>4.7E-2</v>
      </c>
      <c r="K86" s="13">
        <f t="shared" si="5"/>
        <v>-1.3589699755926776E-4</v>
      </c>
    </row>
    <row r="87" spans="1:26" x14ac:dyDescent="0.25">
      <c r="A87" s="1" t="s">
        <v>98</v>
      </c>
      <c r="B87" s="10" t="s">
        <v>55</v>
      </c>
      <c r="C87" s="11">
        <v>28691.659999999993</v>
      </c>
      <c r="E87" s="11">
        <v>893820.64999999991</v>
      </c>
      <c r="G87" s="12">
        <f t="shared" si="6"/>
        <v>3.2100019170512556E-2</v>
      </c>
      <c r="I87" s="12">
        <v>3.2099999999999997E-2</v>
      </c>
      <c r="K87" s="13">
        <f t="shared" si="5"/>
        <v>1.9170512559341102E-8</v>
      </c>
    </row>
    <row r="88" spans="1:26" x14ac:dyDescent="0.25">
      <c r="A88" s="1" t="s">
        <v>110</v>
      </c>
      <c r="B88" s="10" t="s">
        <v>55</v>
      </c>
      <c r="C88" s="11">
        <f>93120.67-C19</f>
        <v>91343.05</v>
      </c>
      <c r="E88" s="11">
        <v>2432627.2199999997</v>
      </c>
      <c r="G88" s="12">
        <f t="shared" si="6"/>
        <v>3.7549135868010231E-2</v>
      </c>
      <c r="I88" s="12">
        <v>3.7199999999999997E-2</v>
      </c>
      <c r="K88" s="13">
        <f t="shared" si="5"/>
        <v>3.4913586801023355E-4</v>
      </c>
    </row>
    <row r="89" spans="1:26" x14ac:dyDescent="0.25">
      <c r="A89" s="1" t="s">
        <v>99</v>
      </c>
      <c r="B89" s="10" t="s">
        <v>55</v>
      </c>
      <c r="C89" s="11">
        <v>0</v>
      </c>
      <c r="E89" s="11">
        <v>0</v>
      </c>
      <c r="G89" s="12">
        <f t="shared" si="6"/>
        <v>0</v>
      </c>
      <c r="I89" s="12">
        <v>0</v>
      </c>
      <c r="K89" s="13">
        <f t="shared" si="5"/>
        <v>0</v>
      </c>
    </row>
    <row r="90" spans="1:26" x14ac:dyDescent="0.25">
      <c r="A90" s="1" t="s">
        <v>100</v>
      </c>
      <c r="B90" s="10" t="s">
        <v>55</v>
      </c>
      <c r="C90" s="11">
        <v>922097.56</v>
      </c>
      <c r="E90" s="11">
        <v>27857918.170000002</v>
      </c>
      <c r="G90" s="12">
        <f t="shared" si="6"/>
        <v>3.3100016820101101E-2</v>
      </c>
      <c r="I90" s="12">
        <v>3.3099999999999997E-2</v>
      </c>
      <c r="K90" s="13">
        <f t="shared" si="5"/>
        <v>1.6820101103598439E-8</v>
      </c>
    </row>
    <row r="91" spans="1:26" x14ac:dyDescent="0.25">
      <c r="A91" s="1" t="s">
        <v>101</v>
      </c>
      <c r="B91" s="10" t="s">
        <v>55</v>
      </c>
      <c r="C91" s="11">
        <v>407837.25999999995</v>
      </c>
      <c r="E91" s="11">
        <v>13156038.979999997</v>
      </c>
      <c r="G91" s="12">
        <f t="shared" si="6"/>
        <v>3.1000003923673389E-2</v>
      </c>
      <c r="I91" s="12">
        <v>3.1E-2</v>
      </c>
      <c r="K91" s="13">
        <f t="shared" si="5"/>
        <v>3.9236733896663711E-9</v>
      </c>
    </row>
    <row r="92" spans="1:26" s="21" customFormat="1" ht="30" x14ac:dyDescent="0.25">
      <c r="A92" s="10" t="s">
        <v>102</v>
      </c>
      <c r="B92" s="10" t="s">
        <v>55</v>
      </c>
      <c r="C92" s="20">
        <v>1204.2599999999998</v>
      </c>
      <c r="E92" s="20">
        <v>5123.18</v>
      </c>
      <c r="G92" s="22">
        <f t="shared" si="6"/>
        <v>0.23506103630947961</v>
      </c>
      <c r="I92" s="22">
        <v>0.17369999999999999</v>
      </c>
      <c r="K92" s="23">
        <f t="shared" si="5"/>
        <v>6.1361036309479616E-2</v>
      </c>
      <c r="L92" s="24" t="s">
        <v>120</v>
      </c>
    </row>
    <row r="93" spans="1:26" x14ac:dyDescent="0.25">
      <c r="A93" s="1" t="s">
        <v>103</v>
      </c>
      <c r="B93" s="10" t="s">
        <v>55</v>
      </c>
      <c r="C93" s="11">
        <v>1171.19</v>
      </c>
      <c r="E93" s="11">
        <v>7850.7</v>
      </c>
      <c r="G93" s="12">
        <f t="shared" si="6"/>
        <v>0.14918287541238362</v>
      </c>
      <c r="I93" s="12">
        <v>0.1472</v>
      </c>
      <c r="K93" s="13">
        <f t="shared" si="5"/>
        <v>1.9828754123836223E-3</v>
      </c>
    </row>
    <row r="94" spans="1:26" x14ac:dyDescent="0.25">
      <c r="A94" s="1" t="s">
        <v>104</v>
      </c>
      <c r="B94" s="10" t="s">
        <v>55</v>
      </c>
      <c r="C94" s="11">
        <v>4672.16</v>
      </c>
      <c r="E94" s="11">
        <v>30757.889999999996</v>
      </c>
      <c r="G94" s="12">
        <f t="shared" si="6"/>
        <v>0.15190118697999117</v>
      </c>
      <c r="I94" s="12">
        <v>0.15190000000000001</v>
      </c>
      <c r="K94" s="13">
        <f t="shared" si="5"/>
        <v>1.1869799911579104E-6</v>
      </c>
    </row>
    <row r="95" spans="1:26" x14ac:dyDescent="0.25">
      <c r="A95" s="1" t="s">
        <v>111</v>
      </c>
      <c r="B95" s="10" t="s">
        <v>55</v>
      </c>
      <c r="C95" s="11">
        <f>1.17-C16</f>
        <v>0.91999999999999993</v>
      </c>
      <c r="E95" s="11">
        <v>37.000000000000007</v>
      </c>
      <c r="G95" s="12">
        <f t="shared" si="6"/>
        <v>2.4864864864864857E-2</v>
      </c>
      <c r="I95" s="12">
        <v>2.4899999999999999E-2</v>
      </c>
      <c r="K95" s="13">
        <f t="shared" si="5"/>
        <v>-3.5135135135141299E-5</v>
      </c>
    </row>
  </sheetData>
  <mergeCells count="4">
    <mergeCell ref="C6:K6"/>
    <mergeCell ref="I12:I19"/>
    <mergeCell ref="L13:L19"/>
    <mergeCell ref="E13:E19"/>
  </mergeCells>
  <pageMargins left="0.7" right="0.7" top="0.75" bottom="0.75" header="0.3" footer="0.3"/>
  <pageSetup scale="20" orientation="portrait" horizontalDpi="1200" verticalDpi="1200" r:id="rId1"/>
  <ignoredErrors>
    <ignoredError sqref="A12:A25 A41:A96 A26:A28 A29:A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NiSource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Vassalotti \ Joseph \ Nicholas</dc:creator>
  <cp:lastModifiedBy>Ryan \ John \ Robert</cp:lastModifiedBy>
  <dcterms:created xsi:type="dcterms:W3CDTF">2024-11-13T18:44:50Z</dcterms:created>
  <dcterms:modified xsi:type="dcterms:W3CDTF">2024-11-16T00:08:57Z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