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Testimony\Rebuttal\Final for Filing\"/>
    </mc:Choice>
  </mc:AlternateContent>
  <xr:revisionPtr revIDLastSave="0" documentId="13_ncr:1_{1B83D0CD-9204-4D06-8944-F91481DAF45D}" xr6:coauthVersionLast="47" xr6:coauthVersionMax="47" xr10:uidLastSave="{00000000-0000-0000-0000-000000000000}"/>
  <bookViews>
    <workbookView xWindow="-28920" yWindow="-120" windowWidth="29040" windowHeight="15840" xr2:uid="{BAA0E5F9-2F88-4079-9012-32492448E44E}"/>
  </bookViews>
  <sheets>
    <sheet name="TLS Testimony Table" sheetId="12" r:id="rId1"/>
    <sheet name="Sch A (Rev. Req.)" sheetId="1" r:id="rId2"/>
    <sheet name="Sch A-1s1 (Co v OAG Recon)" sheetId="13" r:id="rId3"/>
    <sheet name="Sch A-1s2 (Co v OAG Recon)" sheetId="14" r:id="rId4"/>
    <sheet name="Sch B-1 (FTP RB)" sheetId="2" r:id="rId5"/>
    <sheet name="Sch B-5.2.A (CWC)" sheetId="3" r:id="rId6"/>
    <sheet name="Sch B-5.2.B (CWC)" sheetId="17" r:id="rId7"/>
    <sheet name="Sch C-1 (Op. Income)" sheetId="4" r:id="rId8"/>
    <sheet name="Sch C-2 (Op Income)" sheetId="5" r:id="rId9"/>
    <sheet name="Sch Ds1 (FTP Op Inc Adj)" sheetId="7" r:id="rId10"/>
    <sheet name="Sch Ds2" sheetId="15" r:id="rId11"/>
    <sheet name="Sch Ds3" sheetId="16" r:id="rId12"/>
    <sheet name="Sch E-1.1 (FTP Income Taxes)" sheetId="6" r:id="rId13"/>
    <sheet name="Sch H-1 (Conversion Factor)" sheetId="8" r:id="rId14"/>
    <sheet name="J-1.1,J-1.2 (FTP 13MO AVG WACC)" sheetId="9" r:id="rId1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4" l="1"/>
  <c r="I37" i="1"/>
  <c r="I39" i="1" s="1"/>
  <c r="M18" i="5"/>
  <c r="H37" i="16" l="1"/>
  <c r="F38" i="7" l="1"/>
  <c r="F27" i="7"/>
  <c r="F28" i="7"/>
  <c r="E42" i="12"/>
  <c r="E35" i="12"/>
  <c r="E34" i="12"/>
  <c r="E25" i="12"/>
  <c r="E21" i="15"/>
  <c r="E15" i="12"/>
  <c r="M44" i="13"/>
  <c r="S44" i="13"/>
  <c r="G42" i="13"/>
  <c r="E20" i="12" l="1"/>
  <c r="I31" i="1"/>
  <c r="D54" i="7"/>
  <c r="A54" i="7"/>
  <c r="Q31" i="5"/>
  <c r="D39" i="17" l="1"/>
  <c r="E31" i="17"/>
  <c r="E33" i="17" s="1"/>
  <c r="E35" i="17" s="1"/>
  <c r="E37" i="17" s="1"/>
  <c r="F37" i="17" s="1"/>
  <c r="E29" i="17"/>
  <c r="F29" i="17"/>
  <c r="E25" i="17"/>
  <c r="F25" i="17" s="1"/>
  <c r="F23" i="17"/>
  <c r="A21" i="17"/>
  <c r="A23" i="17" s="1"/>
  <c r="A25" i="17" s="1"/>
  <c r="A27" i="17" s="1"/>
  <c r="A29" i="17" s="1"/>
  <c r="A31" i="17" s="1"/>
  <c r="A33" i="17" s="1"/>
  <c r="A35" i="17" s="1"/>
  <c r="A37" i="17" s="1"/>
  <c r="A39" i="17" s="1"/>
  <c r="C47" i="12"/>
  <c r="C39" i="12"/>
  <c r="C40" i="12"/>
  <c r="C38" i="12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15" i="16"/>
  <c r="E30" i="16"/>
  <c r="E24" i="16"/>
  <c r="E27" i="17" l="1"/>
  <c r="F31" i="17"/>
  <c r="F33" i="17"/>
  <c r="F35" i="17"/>
  <c r="F27" i="17"/>
  <c r="F39" i="17" s="1"/>
  <c r="E34" i="16"/>
  <c r="E36" i="16" s="1"/>
  <c r="F36" i="16" s="1"/>
  <c r="H38" i="16" s="1"/>
  <c r="I86" i="13"/>
  <c r="I85" i="13"/>
  <c r="E28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15" i="15"/>
  <c r="F28" i="15"/>
  <c r="D28" i="15"/>
  <c r="G28" i="15" s="1"/>
  <c r="H28" i="15" s="1"/>
  <c r="H31" i="15" s="1"/>
  <c r="I87" i="13" l="1"/>
  <c r="J86" i="13"/>
  <c r="K86" i="13" s="1"/>
  <c r="G20" i="15"/>
  <c r="G19" i="15"/>
  <c r="F21" i="15"/>
  <c r="G16" i="15"/>
  <c r="G15" i="15"/>
  <c r="E17" i="15"/>
  <c r="F17" i="15"/>
  <c r="D17" i="15"/>
  <c r="E41" i="12" l="1"/>
  <c r="G21" i="15"/>
  <c r="H21" i="15" s="1"/>
  <c r="G17" i="15"/>
  <c r="H17" i="15" s="1"/>
  <c r="G25" i="14" l="1"/>
  <c r="G33" i="14" s="1"/>
  <c r="E22" i="14"/>
  <c r="G22" i="14" s="1"/>
  <c r="E17" i="14"/>
  <c r="E25" i="14" s="1"/>
  <c r="E33" i="14" s="1"/>
  <c r="G17" i="14"/>
  <c r="J17" i="14" s="1"/>
  <c r="J25" i="14" s="1"/>
  <c r="J33" i="14" s="1"/>
  <c r="J14" i="14"/>
  <c r="J13" i="14"/>
  <c r="E13" i="14" s="1"/>
  <c r="I14" i="14"/>
  <c r="I23" i="14" s="1"/>
  <c r="I13" i="14"/>
  <c r="I101" i="13"/>
  <c r="J101" i="13" s="1"/>
  <c r="I98" i="13"/>
  <c r="J98" i="13" s="1"/>
  <c r="I95" i="13"/>
  <c r="J95" i="13" s="1"/>
  <c r="I92" i="13"/>
  <c r="J92" i="13" s="1"/>
  <c r="I89" i="13"/>
  <c r="J89" i="13" s="1"/>
  <c r="J85" i="13"/>
  <c r="J87" i="13" s="1"/>
  <c r="I82" i="13"/>
  <c r="I81" i="13"/>
  <c r="I72" i="13"/>
  <c r="J72" i="13" s="1"/>
  <c r="G73" i="13"/>
  <c r="I70" i="13"/>
  <c r="I61" i="13"/>
  <c r="I59" i="13"/>
  <c r="G62" i="13"/>
  <c r="G71" i="13"/>
  <c r="G60" i="13"/>
  <c r="G55" i="13"/>
  <c r="I54" i="13"/>
  <c r="I52" i="13"/>
  <c r="I31" i="13"/>
  <c r="I36" i="13" s="1"/>
  <c r="G43" i="13" s="1"/>
  <c r="G44" i="13" s="1"/>
  <c r="I30" i="13"/>
  <c r="I26" i="13"/>
  <c r="G26" i="13"/>
  <c r="I20" i="13"/>
  <c r="X25" i="9"/>
  <c r="X23" i="9"/>
  <c r="X21" i="9"/>
  <c r="X19" i="9"/>
  <c r="X27" i="9" s="1"/>
  <c r="S25" i="9"/>
  <c r="S23" i="9"/>
  <c r="S21" i="9"/>
  <c r="S19" i="9"/>
  <c r="S27" i="9" s="1"/>
  <c r="N25" i="9"/>
  <c r="G20" i="13" s="1"/>
  <c r="I31" i="8"/>
  <c r="I27" i="8"/>
  <c r="I29" i="8" s="1"/>
  <c r="J23" i="8"/>
  <c r="J21" i="8"/>
  <c r="I25" i="8"/>
  <c r="N23" i="9"/>
  <c r="N21" i="9"/>
  <c r="N19" i="9"/>
  <c r="W25" i="9"/>
  <c r="W23" i="9"/>
  <c r="W21" i="9"/>
  <c r="W19" i="9"/>
  <c r="J59" i="13" l="1"/>
  <c r="J81" i="13"/>
  <c r="E32" i="12" s="1"/>
  <c r="J52" i="13"/>
  <c r="E31" i="12" s="1"/>
  <c r="I17" i="14"/>
  <c r="I25" i="14" s="1"/>
  <c r="I33" i="14" s="1"/>
  <c r="G13" i="14"/>
  <c r="I31" i="14"/>
  <c r="I22" i="14"/>
  <c r="J22" i="14"/>
  <c r="E14" i="14"/>
  <c r="E15" i="14" s="1"/>
  <c r="G14" i="14"/>
  <c r="J23" i="14"/>
  <c r="J15" i="14"/>
  <c r="I62" i="13"/>
  <c r="J62" i="13" s="1"/>
  <c r="I53" i="13"/>
  <c r="I83" i="13"/>
  <c r="I60" i="13"/>
  <c r="J60" i="13" s="1"/>
  <c r="I32" i="13"/>
  <c r="I55" i="13"/>
  <c r="I102" i="13"/>
  <c r="I96" i="13"/>
  <c r="I90" i="13"/>
  <c r="J82" i="13"/>
  <c r="E40" i="12" s="1"/>
  <c r="I73" i="13"/>
  <c r="J73" i="13" s="1"/>
  <c r="I71" i="13"/>
  <c r="J70" i="13"/>
  <c r="J61" i="13"/>
  <c r="J54" i="13"/>
  <c r="I15" i="14"/>
  <c r="P106" i="13"/>
  <c r="J25" i="8"/>
  <c r="I33" i="8"/>
  <c r="I36" i="8" s="1"/>
  <c r="I99" i="13"/>
  <c r="I93" i="13"/>
  <c r="E17" i="12" l="1"/>
  <c r="J55" i="13"/>
  <c r="E39" i="12" s="1"/>
  <c r="J71" i="13"/>
  <c r="K70" i="13" s="1"/>
  <c r="J53" i="13"/>
  <c r="K52" i="13" s="1"/>
  <c r="I56" i="13"/>
  <c r="I63" i="13"/>
  <c r="M32" i="13"/>
  <c r="J31" i="14"/>
  <c r="E23" i="14"/>
  <c r="G23" i="14"/>
  <c r="G24" i="14" s="1"/>
  <c r="G26" i="14" s="1"/>
  <c r="G15" i="14"/>
  <c r="I74" i="13"/>
  <c r="I75" i="13"/>
  <c r="I57" i="13"/>
  <c r="I24" i="14"/>
  <c r="I26" i="14" s="1"/>
  <c r="J24" i="14"/>
  <c r="J26" i="14" s="1"/>
  <c r="J27" i="8"/>
  <c r="J29" i="8" s="1"/>
  <c r="K92" i="13"/>
  <c r="K95" i="13"/>
  <c r="J99" i="13"/>
  <c r="K99" i="13" s="1"/>
  <c r="M99" i="13" s="1"/>
  <c r="K89" i="13"/>
  <c r="J102" i="13"/>
  <c r="K102" i="13" s="1"/>
  <c r="N27" i="9"/>
  <c r="I64" i="13"/>
  <c r="J64" i="13"/>
  <c r="E19" i="12" l="1"/>
  <c r="E14" i="12"/>
  <c r="J57" i="13"/>
  <c r="M102" i="13"/>
  <c r="J75" i="13"/>
  <c r="J105" i="13" s="1"/>
  <c r="S32" i="13"/>
  <c r="M26" i="14" s="1"/>
  <c r="E31" i="14"/>
  <c r="E24" i="14"/>
  <c r="E26" i="14" s="1"/>
  <c r="L26" i="14" s="1"/>
  <c r="G31" i="14"/>
  <c r="I105" i="13"/>
  <c r="K57" i="13"/>
  <c r="J96" i="13"/>
  <c r="K96" i="13" s="1"/>
  <c r="E33" i="12" s="1"/>
  <c r="J93" i="13"/>
  <c r="K93" i="13" s="1"/>
  <c r="K85" i="13"/>
  <c r="J31" i="8"/>
  <c r="J33" i="8" s="1"/>
  <c r="J36" i="8" s="1"/>
  <c r="J56" i="13"/>
  <c r="K56" i="13" s="1"/>
  <c r="J74" i="13"/>
  <c r="K74" i="13" s="1"/>
  <c r="K54" i="13"/>
  <c r="K81" i="13"/>
  <c r="K61" i="13"/>
  <c r="K101" i="13"/>
  <c r="J63" i="13"/>
  <c r="K63" i="13" s="1"/>
  <c r="K72" i="13"/>
  <c r="J83" i="13"/>
  <c r="K83" i="13" s="1"/>
  <c r="K98" i="13"/>
  <c r="S99" i="13" s="1"/>
  <c r="J90" i="13"/>
  <c r="K90" i="13" s="1"/>
  <c r="K59" i="13"/>
  <c r="K64" i="13"/>
  <c r="M64" i="13" s="1"/>
  <c r="E43" i="12" l="1"/>
  <c r="K75" i="13"/>
  <c r="E47" i="12"/>
  <c r="M63" i="13"/>
  <c r="E44" i="12"/>
  <c r="M56" i="13"/>
  <c r="S102" i="13"/>
  <c r="K87" i="13"/>
  <c r="M87" i="13" s="1"/>
  <c r="S87" i="13" s="1"/>
  <c r="M93" i="13"/>
  <c r="S93" i="13" s="1"/>
  <c r="M90" i="13"/>
  <c r="S90" i="13" s="1"/>
  <c r="M57" i="13"/>
  <c r="M96" i="13"/>
  <c r="S96" i="13" s="1"/>
  <c r="N26" i="14"/>
  <c r="M83" i="13"/>
  <c r="S83" i="13" s="1"/>
  <c r="M74" i="13"/>
  <c r="S74" i="13" s="1"/>
  <c r="K105" i="13" l="1"/>
  <c r="M75" i="13"/>
  <c r="S56" i="13" s="1"/>
  <c r="G38" i="7" l="1"/>
  <c r="H34" i="2"/>
  <c r="D18" i="3"/>
  <c r="D29" i="3" s="1"/>
  <c r="D31" i="3"/>
  <c r="D36" i="3"/>
  <c r="D35" i="3"/>
  <c r="D34" i="3"/>
  <c r="K42" i="5"/>
  <c r="K41" i="5"/>
  <c r="I188" i="6"/>
  <c r="J188" i="6" s="1"/>
  <c r="I187" i="6"/>
  <c r="J187" i="6" s="1"/>
  <c r="J58" i="6" s="1"/>
  <c r="I186" i="6"/>
  <c r="I31" i="6" s="1"/>
  <c r="I185" i="6"/>
  <c r="J185" i="6" s="1"/>
  <c r="J30" i="6" s="1"/>
  <c r="J182" i="6"/>
  <c r="J57" i="6" s="1"/>
  <c r="J181" i="6"/>
  <c r="I178" i="6"/>
  <c r="J178" i="6" s="1"/>
  <c r="I177" i="6"/>
  <c r="J177" i="6" s="1"/>
  <c r="I176" i="6"/>
  <c r="I52" i="6" s="1"/>
  <c r="I175" i="6"/>
  <c r="I40" i="6" s="1"/>
  <c r="J172" i="6"/>
  <c r="J49" i="6" s="1"/>
  <c r="J171" i="6"/>
  <c r="J170" i="6"/>
  <c r="J51" i="6" s="1"/>
  <c r="J159" i="6"/>
  <c r="J151" i="6"/>
  <c r="I148" i="6"/>
  <c r="H148" i="6"/>
  <c r="H24" i="6" s="1"/>
  <c r="H47" i="6" s="1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H100" i="6"/>
  <c r="H23" i="6" s="1"/>
  <c r="I99" i="6"/>
  <c r="I98" i="6"/>
  <c r="J98" i="6" s="1"/>
  <c r="I97" i="6"/>
  <c r="J97" i="6" s="1"/>
  <c r="J96" i="6"/>
  <c r="J95" i="6"/>
  <c r="I94" i="6"/>
  <c r="J94" i="6" s="1"/>
  <c r="J93" i="6"/>
  <c r="I92" i="6"/>
  <c r="J81" i="6"/>
  <c r="I58" i="6"/>
  <c r="H58" i="6"/>
  <c r="I57" i="6"/>
  <c r="H57" i="6"/>
  <c r="J56" i="6"/>
  <c r="I56" i="6"/>
  <c r="H56" i="6"/>
  <c r="H52" i="6"/>
  <c r="I51" i="6"/>
  <c r="H51" i="6"/>
  <c r="J50" i="6"/>
  <c r="I50" i="6"/>
  <c r="H50" i="6"/>
  <c r="I49" i="6"/>
  <c r="H49" i="6"/>
  <c r="H40" i="6"/>
  <c r="H31" i="6"/>
  <c r="H30" i="6"/>
  <c r="J25" i="6"/>
  <c r="I25" i="6"/>
  <c r="H25" i="6"/>
  <c r="I24" i="6"/>
  <c r="I47" i="6" s="1"/>
  <c r="E188" i="6"/>
  <c r="F188" i="6" s="1"/>
  <c r="E187" i="6"/>
  <c r="F187" i="6" s="1"/>
  <c r="E186" i="6"/>
  <c r="F186" i="6" s="1"/>
  <c r="F31" i="6" s="1"/>
  <c r="E185" i="6"/>
  <c r="E30" i="6" s="1"/>
  <c r="F182" i="6"/>
  <c r="F57" i="6" s="1"/>
  <c r="F181" i="6"/>
  <c r="F56" i="6" s="1"/>
  <c r="E178" i="6"/>
  <c r="F178" i="6" s="1"/>
  <c r="E177" i="6"/>
  <c r="F177" i="6" s="1"/>
  <c r="E176" i="6"/>
  <c r="E175" i="6"/>
  <c r="E40" i="6" s="1"/>
  <c r="F172" i="6"/>
  <c r="F49" i="6" s="1"/>
  <c r="F171" i="6"/>
  <c r="F50" i="6" s="1"/>
  <c r="F170" i="6"/>
  <c r="F51" i="6" s="1"/>
  <c r="A170" i="6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F159" i="6"/>
  <c r="A155" i="6"/>
  <c r="F151" i="6"/>
  <c r="F25" i="6" s="1"/>
  <c r="E148" i="6"/>
  <c r="D148" i="6"/>
  <c r="D24" i="6" s="1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D100" i="6"/>
  <c r="D23" i="6" s="1"/>
  <c r="E99" i="6"/>
  <c r="E98" i="6"/>
  <c r="F98" i="6" s="1"/>
  <c r="E97" i="6"/>
  <c r="F97" i="6" s="1"/>
  <c r="F96" i="6"/>
  <c r="F95" i="6"/>
  <c r="E94" i="6"/>
  <c r="F94" i="6" s="1"/>
  <c r="F93" i="6"/>
  <c r="E92" i="6"/>
  <c r="A92" i="6"/>
  <c r="A93" i="6" s="1"/>
  <c r="A94" i="6" s="1"/>
  <c r="A95" i="6" s="1"/>
  <c r="A96" i="6" s="1"/>
  <c r="A97" i="6" s="1"/>
  <c r="A98" i="6" s="1"/>
  <c r="A99" i="6" s="1"/>
  <c r="A100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F81" i="6"/>
  <c r="A77" i="6"/>
  <c r="D58" i="6"/>
  <c r="E57" i="6"/>
  <c r="D57" i="6"/>
  <c r="E56" i="6"/>
  <c r="D56" i="6"/>
  <c r="D52" i="6"/>
  <c r="E51" i="6"/>
  <c r="D51" i="6"/>
  <c r="E50" i="6"/>
  <c r="D50" i="6"/>
  <c r="E49" i="6"/>
  <c r="D49" i="6"/>
  <c r="D40" i="6"/>
  <c r="E31" i="6"/>
  <c r="D31" i="6"/>
  <c r="D30" i="6"/>
  <c r="E25" i="6"/>
  <c r="D25" i="6"/>
  <c r="E24" i="6"/>
  <c r="E55" i="6" s="1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G25" i="8"/>
  <c r="U21" i="9"/>
  <c r="H55" i="6" l="1"/>
  <c r="H59" i="6" s="1"/>
  <c r="I100" i="6"/>
  <c r="I150" i="6" s="1"/>
  <c r="J150" i="6" s="1"/>
  <c r="J175" i="6"/>
  <c r="J40" i="6" s="1"/>
  <c r="E52" i="6"/>
  <c r="J148" i="6"/>
  <c r="J24" i="6" s="1"/>
  <c r="J47" i="6" s="1"/>
  <c r="H48" i="6"/>
  <c r="H53" i="6" s="1"/>
  <c r="F176" i="6"/>
  <c r="F52" i="6" s="1"/>
  <c r="I30" i="6"/>
  <c r="I55" i="6"/>
  <c r="J92" i="6"/>
  <c r="J100" i="6" s="1"/>
  <c r="J23" i="6" s="1"/>
  <c r="J176" i="6"/>
  <c r="J52" i="6" s="1"/>
  <c r="J186" i="6"/>
  <c r="J31" i="6" s="1"/>
  <c r="F148" i="6"/>
  <c r="F24" i="6" s="1"/>
  <c r="F47" i="6" s="1"/>
  <c r="F175" i="6"/>
  <c r="F40" i="6" s="1"/>
  <c r="F185" i="6"/>
  <c r="F30" i="6" s="1"/>
  <c r="E100" i="6"/>
  <c r="E150" i="6" s="1"/>
  <c r="F150" i="6" s="1"/>
  <c r="F58" i="6"/>
  <c r="D55" i="6"/>
  <c r="D47" i="6"/>
  <c r="E48" i="6"/>
  <c r="F92" i="6"/>
  <c r="F100" i="6" s="1"/>
  <c r="F23" i="6" s="1"/>
  <c r="E58" i="6"/>
  <c r="E59" i="6" s="1"/>
  <c r="E47" i="6"/>
  <c r="G27" i="8"/>
  <c r="G29" i="8" s="1"/>
  <c r="E23" i="6" l="1"/>
  <c r="I23" i="6"/>
  <c r="H61" i="6"/>
  <c r="J55" i="6"/>
  <c r="J48" i="6" s="1"/>
  <c r="J53" i="6" s="1"/>
  <c r="J59" i="6"/>
  <c r="I48" i="6"/>
  <c r="I53" i="6" s="1"/>
  <c r="I59" i="6"/>
  <c r="F55" i="6"/>
  <c r="F48" i="6" s="1"/>
  <c r="F53" i="6" s="1"/>
  <c r="E53" i="6"/>
  <c r="E61" i="6" s="1"/>
  <c r="D48" i="6"/>
  <c r="D53" i="6" s="1"/>
  <c r="D59" i="6"/>
  <c r="G31" i="8"/>
  <c r="G33" i="8" s="1"/>
  <c r="G36" i="8" s="1"/>
  <c r="E31" i="1" l="1"/>
  <c r="G31" i="1"/>
  <c r="F59" i="6"/>
  <c r="J61" i="6"/>
  <c r="F61" i="6"/>
  <c r="D61" i="6"/>
  <c r="I61" i="6"/>
  <c r="G27" i="9" l="1"/>
  <c r="I23" i="9" s="1"/>
  <c r="M23" i="9" l="1"/>
  <c r="R23" i="9"/>
  <c r="I19" i="9"/>
  <c r="I21" i="9"/>
  <c r="I25" i="9"/>
  <c r="R25" i="9" s="1"/>
  <c r="R21" i="9" l="1"/>
  <c r="H72" i="6"/>
  <c r="R19" i="9"/>
  <c r="M19" i="9"/>
  <c r="M25" i="9"/>
  <c r="M21" i="9"/>
  <c r="M27" i="9" s="1"/>
  <c r="I27" i="9"/>
  <c r="E25" i="1" l="1"/>
  <c r="I38" i="4"/>
  <c r="D72" i="6"/>
  <c r="R27" i="9"/>
  <c r="W27" i="9" l="1"/>
  <c r="G25" i="1"/>
  <c r="O38" i="4"/>
  <c r="I25" i="1" l="1"/>
  <c r="U38" i="4"/>
  <c r="Q34" i="5" l="1"/>
  <c r="Q36" i="5"/>
  <c r="Q24" i="4"/>
  <c r="Q21" i="5"/>
  <c r="Q22" i="4" s="1"/>
  <c r="Q18" i="5"/>
  <c r="Q19" i="4" s="1"/>
  <c r="F41" i="7"/>
  <c r="G41" i="7" s="1"/>
  <c r="F40" i="7"/>
  <c r="G40" i="7" s="1"/>
  <c r="F39" i="7"/>
  <c r="G39" i="7" s="1"/>
  <c r="F37" i="7"/>
  <c r="G37" i="7" s="1"/>
  <c r="F35" i="7"/>
  <c r="G35" i="7" s="1"/>
  <c r="F33" i="7"/>
  <c r="G33" i="7" s="1"/>
  <c r="F32" i="7"/>
  <c r="G32" i="7" s="1"/>
  <c r="G23" i="7"/>
  <c r="G27" i="7"/>
  <c r="G28" i="7"/>
  <c r="F26" i="7"/>
  <c r="G26" i="7" s="1"/>
  <c r="F25" i="7"/>
  <c r="G25" i="7" s="1"/>
  <c r="F23" i="7"/>
  <c r="F21" i="7"/>
  <c r="G21" i="7" s="1"/>
  <c r="F20" i="7"/>
  <c r="K24" i="4"/>
  <c r="O24" i="4" s="1"/>
  <c r="K22" i="4"/>
  <c r="O22" i="4" s="1"/>
  <c r="K19" i="4"/>
  <c r="G37" i="1" s="1"/>
  <c r="M36" i="5"/>
  <c r="M34" i="5"/>
  <c r="M31" i="5"/>
  <c r="M21" i="5"/>
  <c r="D52" i="7"/>
  <c r="D42" i="7"/>
  <c r="D43" i="7" s="1"/>
  <c r="D47" i="7"/>
  <c r="K35" i="5" s="1"/>
  <c r="M35" i="5" s="1"/>
  <c r="K25" i="4" s="1"/>
  <c r="O25" i="4" s="1"/>
  <c r="M29" i="3"/>
  <c r="D36" i="7"/>
  <c r="I78" i="13" s="1"/>
  <c r="J78" i="13" s="1"/>
  <c r="D24" i="7"/>
  <c r="I77" i="13" s="1"/>
  <c r="D34" i="7"/>
  <c r="I67" i="13" s="1"/>
  <c r="D22" i="7"/>
  <c r="I66" i="13" s="1"/>
  <c r="M27" i="3"/>
  <c r="M22" i="3"/>
  <c r="M21" i="3"/>
  <c r="M20" i="3"/>
  <c r="C37" i="7"/>
  <c r="C33" i="7"/>
  <c r="C34" i="7"/>
  <c r="C35" i="7"/>
  <c r="C36" i="7"/>
  <c r="C32" i="7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O36" i="5"/>
  <c r="N51" i="3"/>
  <c r="N52" i="3"/>
  <c r="N50" i="3"/>
  <c r="N46" i="3"/>
  <c r="N44" i="3"/>
  <c r="N35" i="3"/>
  <c r="N36" i="3"/>
  <c r="N31" i="3"/>
  <c r="N18" i="3"/>
  <c r="N19" i="3"/>
  <c r="N24" i="3"/>
  <c r="N25" i="3"/>
  <c r="N26" i="3"/>
  <c r="N28" i="3"/>
  <c r="D29" i="2"/>
  <c r="J67" i="13" l="1"/>
  <c r="E38" i="12" s="1"/>
  <c r="E45" i="12" s="1"/>
  <c r="N22" i="3"/>
  <c r="N27" i="3"/>
  <c r="N20" i="3"/>
  <c r="N29" i="3"/>
  <c r="G20" i="7"/>
  <c r="F42" i="7"/>
  <c r="G42" i="7" s="1"/>
  <c r="J77" i="13"/>
  <c r="J79" i="13" s="1"/>
  <c r="I79" i="13"/>
  <c r="F34" i="7"/>
  <c r="G34" i="7" s="1"/>
  <c r="G43" i="7" s="1"/>
  <c r="F22" i="7"/>
  <c r="F29" i="7" s="1"/>
  <c r="F36" i="7"/>
  <c r="G36" i="7" s="1"/>
  <c r="F47" i="7"/>
  <c r="F24" i="7"/>
  <c r="G24" i="7" s="1"/>
  <c r="J66" i="13"/>
  <c r="E30" i="12" s="1"/>
  <c r="E36" i="12" s="1"/>
  <c r="I68" i="13"/>
  <c r="U22" i="4"/>
  <c r="U24" i="4"/>
  <c r="D29" i="7"/>
  <c r="D45" i="7" s="1"/>
  <c r="K22" i="5" s="1"/>
  <c r="M22" i="5" s="1"/>
  <c r="M23" i="3"/>
  <c r="D48" i="7"/>
  <c r="M34" i="3"/>
  <c r="N21" i="3"/>
  <c r="A31" i="7"/>
  <c r="H36" i="2"/>
  <c r="H33" i="2"/>
  <c r="H31" i="2"/>
  <c r="H25" i="2"/>
  <c r="H23" i="2"/>
  <c r="H21" i="2"/>
  <c r="H19" i="2"/>
  <c r="F33" i="2"/>
  <c r="F31" i="2"/>
  <c r="F35" i="2"/>
  <c r="F36" i="2"/>
  <c r="F34" i="2"/>
  <c r="F19" i="2"/>
  <c r="F27" i="2" s="1"/>
  <c r="I36" i="5"/>
  <c r="I35" i="5"/>
  <c r="I34" i="5"/>
  <c r="I31" i="5"/>
  <c r="E24" i="4" s="1"/>
  <c r="I29" i="5"/>
  <c r="I28" i="5"/>
  <c r="I27" i="5"/>
  <c r="I26" i="5"/>
  <c r="I25" i="5"/>
  <c r="I23" i="5"/>
  <c r="I22" i="5"/>
  <c r="I21" i="5"/>
  <c r="E22" i="4" s="1"/>
  <c r="A20" i="5"/>
  <c r="A21" i="5" s="1"/>
  <c r="A22" i="5" s="1"/>
  <c r="A23" i="5" s="1"/>
  <c r="A24" i="5" s="1"/>
  <c r="A25" i="5" s="1"/>
  <c r="A26" i="5" s="1"/>
  <c r="A27" i="5" s="1"/>
  <c r="A28" i="5" s="1"/>
  <c r="A29" i="5" s="1"/>
  <c r="A31" i="5" s="1"/>
  <c r="A33" i="5" s="1"/>
  <c r="A34" i="5" s="1"/>
  <c r="A35" i="5" s="1"/>
  <c r="A36" i="5" s="1"/>
  <c r="A38" i="5" s="1"/>
  <c r="A40" i="5" s="1"/>
  <c r="A41" i="5" s="1"/>
  <c r="A42" i="5" s="1"/>
  <c r="A44" i="5" s="1"/>
  <c r="A46" i="5" s="1"/>
  <c r="A21" i="4"/>
  <c r="A22" i="4" s="1"/>
  <c r="A23" i="4" s="1"/>
  <c r="A24" i="4" s="1"/>
  <c r="A25" i="4" s="1"/>
  <c r="A27" i="4" s="1"/>
  <c r="A30" i="4" s="1"/>
  <c r="A31" i="4" s="1"/>
  <c r="A32" i="4" s="1"/>
  <c r="A34" i="4" s="1"/>
  <c r="A36" i="4" s="1"/>
  <c r="A38" i="4" s="1"/>
  <c r="F52" i="3"/>
  <c r="F51" i="3"/>
  <c r="F50" i="3"/>
  <c r="F44" i="3"/>
  <c r="I40" i="3"/>
  <c r="F36" i="3"/>
  <c r="F35" i="3"/>
  <c r="F34" i="3"/>
  <c r="F31" i="3"/>
  <c r="F28" i="3"/>
  <c r="F27" i="3"/>
  <c r="F26" i="3"/>
  <c r="F25" i="3"/>
  <c r="F24" i="3"/>
  <c r="F22" i="3"/>
  <c r="F23" i="3"/>
  <c r="H19" i="3"/>
  <c r="H20" i="3" s="1"/>
  <c r="F19" i="3"/>
  <c r="J18" i="3"/>
  <c r="F18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1" i="3" s="1"/>
  <c r="A33" i="3" s="1"/>
  <c r="A34" i="3" s="1"/>
  <c r="A35" i="3" s="1"/>
  <c r="A36" i="3" s="1"/>
  <c r="A38" i="3" s="1"/>
  <c r="A39" i="3" s="1"/>
  <c r="A40" i="3" s="1"/>
  <c r="A41" i="3" s="1"/>
  <c r="A43" i="3" s="1"/>
  <c r="A44" i="3" s="1"/>
  <c r="A45" i="3" s="1"/>
  <c r="A46" i="3" s="1"/>
  <c r="A48" i="3" s="1"/>
  <c r="A50" i="3" s="1"/>
  <c r="A51" i="3" s="1"/>
  <c r="A52" i="3" s="1"/>
  <c r="A54" i="3" s="1"/>
  <c r="A56" i="3" s="1"/>
  <c r="A32" i="2"/>
  <c r="A31" i="2"/>
  <c r="A37" i="2" s="1"/>
  <c r="A39" i="2" s="1"/>
  <c r="A41" i="2" s="1"/>
  <c r="A30" i="2"/>
  <c r="A29" i="2"/>
  <c r="A28" i="2"/>
  <c r="A27" i="2"/>
  <c r="A26" i="2"/>
  <c r="A25" i="2"/>
  <c r="A24" i="2"/>
  <c r="A23" i="2"/>
  <c r="A22" i="2"/>
  <c r="A21" i="2"/>
  <c r="A20" i="2"/>
  <c r="A19" i="2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E46" i="12" l="1"/>
  <c r="K66" i="13"/>
  <c r="K77" i="13"/>
  <c r="R18" i="3"/>
  <c r="S18" i="3" s="1"/>
  <c r="R50" i="3"/>
  <c r="N34" i="3"/>
  <c r="N23" i="3"/>
  <c r="G22" i="7"/>
  <c r="G29" i="7"/>
  <c r="G45" i="7" s="1"/>
  <c r="K23" i="4"/>
  <c r="K27" i="4" s="1"/>
  <c r="G47" i="7"/>
  <c r="O35" i="5"/>
  <c r="Q35" i="5" s="1"/>
  <c r="Q25" i="4" s="1"/>
  <c r="U25" i="4" s="1"/>
  <c r="F48" i="7"/>
  <c r="K79" i="13"/>
  <c r="I104" i="13"/>
  <c r="I106" i="13" s="1"/>
  <c r="J68" i="13"/>
  <c r="F43" i="7"/>
  <c r="F45" i="7" s="1"/>
  <c r="O22" i="5" s="1"/>
  <c r="K38" i="5"/>
  <c r="K44" i="5" s="1"/>
  <c r="K46" i="5" s="1"/>
  <c r="I24" i="4"/>
  <c r="M38" i="5"/>
  <c r="M48" i="3"/>
  <c r="E25" i="4"/>
  <c r="I22" i="4"/>
  <c r="H27" i="2"/>
  <c r="F37" i="2"/>
  <c r="G31" i="3"/>
  <c r="R31" i="3"/>
  <c r="G28" i="3"/>
  <c r="R28" i="3"/>
  <c r="G23" i="3"/>
  <c r="R23" i="3"/>
  <c r="G36" i="3"/>
  <c r="R36" i="3"/>
  <c r="G19" i="3"/>
  <c r="R19" i="3"/>
  <c r="G25" i="3"/>
  <c r="R25" i="3"/>
  <c r="G52" i="3"/>
  <c r="R52" i="3"/>
  <c r="G44" i="3"/>
  <c r="R44" i="3"/>
  <c r="G34" i="3"/>
  <c r="G35" i="3"/>
  <c r="R35" i="3"/>
  <c r="G24" i="3"/>
  <c r="R24" i="3"/>
  <c r="G18" i="3"/>
  <c r="K18" i="3" s="1"/>
  <c r="G26" i="3"/>
  <c r="R26" i="3"/>
  <c r="G22" i="3"/>
  <c r="R22" i="3"/>
  <c r="G50" i="3"/>
  <c r="G51" i="3"/>
  <c r="R51" i="3"/>
  <c r="O18" i="3"/>
  <c r="G27" i="3"/>
  <c r="R27" i="3"/>
  <c r="J20" i="3"/>
  <c r="O20" i="3" s="1"/>
  <c r="H21" i="3"/>
  <c r="J21" i="3" s="1"/>
  <c r="O21" i="3" s="1"/>
  <c r="J19" i="3"/>
  <c r="I24" i="5"/>
  <c r="E23" i="4" s="1"/>
  <c r="I18" i="5"/>
  <c r="E19" i="4" s="1"/>
  <c r="E38" i="5"/>
  <c r="E44" i="5" s="1"/>
  <c r="E46" i="5" s="1"/>
  <c r="G38" i="5"/>
  <c r="F29" i="3"/>
  <c r="F46" i="3"/>
  <c r="F20" i="3"/>
  <c r="F21" i="3"/>
  <c r="D27" i="2"/>
  <c r="E18" i="12" l="1"/>
  <c r="O38" i="5"/>
  <c r="Q22" i="5"/>
  <c r="Q38" i="5" s="1"/>
  <c r="M79" i="13"/>
  <c r="S79" i="13" s="1"/>
  <c r="Q34" i="3"/>
  <c r="R34" i="3" s="1"/>
  <c r="G48" i="7"/>
  <c r="K68" i="13"/>
  <c r="J104" i="13"/>
  <c r="J106" i="13" s="1"/>
  <c r="E48" i="12"/>
  <c r="I25" i="4"/>
  <c r="E37" i="1"/>
  <c r="E6" i="12" s="1"/>
  <c r="E27" i="4"/>
  <c r="G29" i="3"/>
  <c r="R29" i="3"/>
  <c r="G46" i="3"/>
  <c r="R46" i="3"/>
  <c r="S19" i="3"/>
  <c r="G21" i="3"/>
  <c r="K21" i="3" s="1"/>
  <c r="R21" i="3"/>
  <c r="S21" i="3" s="1"/>
  <c r="K19" i="3"/>
  <c r="O19" i="3"/>
  <c r="G20" i="3"/>
  <c r="K20" i="3" s="1"/>
  <c r="R20" i="3"/>
  <c r="S20" i="3" s="1"/>
  <c r="H22" i="3"/>
  <c r="J22" i="3" s="1"/>
  <c r="I38" i="5"/>
  <c r="D37" i="2"/>
  <c r="D41" i="2" s="1"/>
  <c r="S22" i="3" l="1"/>
  <c r="E16" i="14"/>
  <c r="E18" i="14" s="1"/>
  <c r="D71" i="6"/>
  <c r="D73" i="6" s="1"/>
  <c r="M68" i="13"/>
  <c r="K104" i="13"/>
  <c r="K106" i="13" s="1"/>
  <c r="Q23" i="4"/>
  <c r="Q27" i="4" s="1"/>
  <c r="H19" i="6" s="1"/>
  <c r="D19" i="6"/>
  <c r="E19" i="1"/>
  <c r="E36" i="4"/>
  <c r="I36" i="4" s="1"/>
  <c r="K22" i="3"/>
  <c r="O22" i="3"/>
  <c r="H23" i="3"/>
  <c r="H24" i="3" s="1"/>
  <c r="J23" i="3" l="1"/>
  <c r="D45" i="3"/>
  <c r="D20" i="6"/>
  <c r="F20" i="6" s="1"/>
  <c r="E27" i="1"/>
  <c r="G19" i="13"/>
  <c r="S68" i="13"/>
  <c r="S106" i="13" s="1"/>
  <c r="M109" i="13" s="1"/>
  <c r="M106" i="13"/>
  <c r="O23" i="3"/>
  <c r="S23" i="3"/>
  <c r="H25" i="3"/>
  <c r="I24" i="3"/>
  <c r="J24" i="3" s="1"/>
  <c r="K23" i="3" l="1"/>
  <c r="G25" i="13"/>
  <c r="I19" i="13"/>
  <c r="G16" i="14"/>
  <c r="G21" i="13"/>
  <c r="G22" i="13" s="1"/>
  <c r="N45" i="3"/>
  <c r="F45" i="3"/>
  <c r="G45" i="3" s="1"/>
  <c r="D21" i="6"/>
  <c r="D27" i="6" s="1"/>
  <c r="D29" i="6" s="1"/>
  <c r="D33" i="6" s="1"/>
  <c r="D44" i="6" s="1"/>
  <c r="D40" i="3" s="1"/>
  <c r="K24" i="3"/>
  <c r="O24" i="3"/>
  <c r="S24" i="3"/>
  <c r="H26" i="3"/>
  <c r="J25" i="3"/>
  <c r="I21" i="13" l="1"/>
  <c r="I22" i="13" s="1"/>
  <c r="M22" i="13" s="1"/>
  <c r="P22" i="13"/>
  <c r="I16" i="14"/>
  <c r="G18" i="14"/>
  <c r="D65" i="6"/>
  <c r="I42" i="5" s="1"/>
  <c r="D35" i="6"/>
  <c r="D39" i="6" s="1"/>
  <c r="D43" i="6" s="1"/>
  <c r="D39" i="3" s="1"/>
  <c r="I25" i="13"/>
  <c r="G27" i="13"/>
  <c r="N40" i="3"/>
  <c r="F40" i="3"/>
  <c r="K25" i="3"/>
  <c r="O25" i="3"/>
  <c r="S25" i="3"/>
  <c r="H27" i="3"/>
  <c r="I26" i="3"/>
  <c r="J26" i="3" s="1"/>
  <c r="I27" i="13" l="1"/>
  <c r="M27" i="13" s="1"/>
  <c r="P27" i="13"/>
  <c r="Q22" i="13" s="1"/>
  <c r="D63" i="6"/>
  <c r="I41" i="5" s="1"/>
  <c r="I18" i="14"/>
  <c r="J16" i="14"/>
  <c r="J18" i="14" s="1"/>
  <c r="L18" i="14" s="1"/>
  <c r="D45" i="6"/>
  <c r="N39" i="3"/>
  <c r="F39" i="3"/>
  <c r="M41" i="5"/>
  <c r="E30" i="4"/>
  <c r="G41" i="5"/>
  <c r="I44" i="5"/>
  <c r="I46" i="5" s="1"/>
  <c r="G40" i="3"/>
  <c r="M42" i="5"/>
  <c r="E31" i="4"/>
  <c r="G42" i="5"/>
  <c r="K26" i="3"/>
  <c r="O26" i="3"/>
  <c r="S26" i="3"/>
  <c r="H28" i="3"/>
  <c r="J27" i="3"/>
  <c r="S27" i="13" l="1"/>
  <c r="M18" i="14" s="1"/>
  <c r="N18" i="14" s="1"/>
  <c r="P39" i="13"/>
  <c r="P46" i="13" s="1"/>
  <c r="D67" i="6"/>
  <c r="D69" i="6" s="1"/>
  <c r="M44" i="5"/>
  <c r="M46" i="5" s="1"/>
  <c r="E32" i="4"/>
  <c r="E34" i="4" s="1"/>
  <c r="G44" i="5"/>
  <c r="G46" i="5" s="1"/>
  <c r="G39" i="3"/>
  <c r="K30" i="4"/>
  <c r="K34" i="4" s="1"/>
  <c r="G21" i="1" s="1"/>
  <c r="K27" i="3"/>
  <c r="O27" i="3"/>
  <c r="S27" i="3"/>
  <c r="I28" i="3"/>
  <c r="J28" i="3" s="1"/>
  <c r="H29" i="3"/>
  <c r="D41" i="3" l="1"/>
  <c r="N41" i="3" s="1"/>
  <c r="N48" i="3" s="1"/>
  <c r="E21" i="1"/>
  <c r="E38" i="4"/>
  <c r="K28" i="3"/>
  <c r="O28" i="3"/>
  <c r="S28" i="3"/>
  <c r="J29" i="3"/>
  <c r="H31" i="3"/>
  <c r="D48" i="3" l="1"/>
  <c r="F48" i="3" s="1"/>
  <c r="G48" i="3" s="1"/>
  <c r="F41" i="3"/>
  <c r="E23" i="1"/>
  <c r="E29" i="1"/>
  <c r="E33" i="1" s="1"/>
  <c r="G19" i="4" s="1"/>
  <c r="K29" i="3"/>
  <c r="O29" i="3"/>
  <c r="S29" i="3"/>
  <c r="I31" i="3"/>
  <c r="J31" i="3" s="1"/>
  <c r="H34" i="3"/>
  <c r="G41" i="3" l="1"/>
  <c r="G23" i="4"/>
  <c r="I23" i="4" s="1"/>
  <c r="I19" i="4"/>
  <c r="E35" i="1"/>
  <c r="K31" i="3"/>
  <c r="O31" i="3"/>
  <c r="S31" i="3"/>
  <c r="J34" i="3"/>
  <c r="H35" i="3"/>
  <c r="E39" i="1" l="1"/>
  <c r="P13" i="13"/>
  <c r="P111" i="13" s="1"/>
  <c r="I27" i="4"/>
  <c r="F19" i="6" s="1"/>
  <c r="F21" i="6" s="1"/>
  <c r="F27" i="6" s="1"/>
  <c r="F29" i="6" s="1"/>
  <c r="G27" i="4"/>
  <c r="K34" i="3"/>
  <c r="O34" i="3"/>
  <c r="S34" i="3"/>
  <c r="J35" i="3"/>
  <c r="H36" i="3"/>
  <c r="E19" i="6" l="1"/>
  <c r="E21" i="6" s="1"/>
  <c r="E27" i="6" s="1"/>
  <c r="E29" i="6" s="1"/>
  <c r="E33" i="6" s="1"/>
  <c r="F35" i="6"/>
  <c r="F39" i="6" s="1"/>
  <c r="F43" i="6" s="1"/>
  <c r="F44" i="6"/>
  <c r="F65" i="6" s="1"/>
  <c r="I31" i="4" s="1"/>
  <c r="F33" i="6"/>
  <c r="K35" i="3"/>
  <c r="O35" i="3"/>
  <c r="S35" i="3"/>
  <c r="J36" i="3"/>
  <c r="H39" i="3"/>
  <c r="E35" i="6" l="1"/>
  <c r="E39" i="6" s="1"/>
  <c r="E43" i="6" s="1"/>
  <c r="E63" i="6" s="1"/>
  <c r="E44" i="6"/>
  <c r="E65" i="6" s="1"/>
  <c r="G31" i="4"/>
  <c r="F63" i="6"/>
  <c r="I30" i="4" s="1"/>
  <c r="F45" i="6"/>
  <c r="K36" i="3"/>
  <c r="O36" i="3"/>
  <c r="S36" i="3"/>
  <c r="J39" i="3"/>
  <c r="H40" i="3"/>
  <c r="E45" i="6" l="1"/>
  <c r="E67" i="6"/>
  <c r="E69" i="6" s="1"/>
  <c r="G30" i="4"/>
  <c r="G32" i="4" s="1"/>
  <c r="G34" i="4" s="1"/>
  <c r="I32" i="4"/>
  <c r="I34" i="4" s="1"/>
  <c r="F67" i="6"/>
  <c r="F69" i="6" s="1"/>
  <c r="K39" i="3"/>
  <c r="O39" i="3"/>
  <c r="J40" i="3"/>
  <c r="H41" i="3"/>
  <c r="K40" i="3" l="1"/>
  <c r="O40" i="3"/>
  <c r="H44" i="3"/>
  <c r="I41" i="3"/>
  <c r="J41" i="3" s="1"/>
  <c r="K41" i="3" l="1"/>
  <c r="O41" i="3"/>
  <c r="I44" i="3"/>
  <c r="J44" i="3" s="1"/>
  <c r="H45" i="3"/>
  <c r="K44" i="3" l="1"/>
  <c r="O44" i="3"/>
  <c r="S44" i="3"/>
  <c r="J45" i="3"/>
  <c r="H46" i="3"/>
  <c r="K45" i="3" l="1"/>
  <c r="O45" i="3"/>
  <c r="H50" i="3"/>
  <c r="I46" i="3"/>
  <c r="J46" i="3" s="1"/>
  <c r="K46" i="3" l="1"/>
  <c r="K48" i="3" s="1"/>
  <c r="O46" i="3"/>
  <c r="O48" i="3" s="1"/>
  <c r="S46" i="3"/>
  <c r="J50" i="3"/>
  <c r="H51" i="3"/>
  <c r="K50" i="3" l="1"/>
  <c r="O50" i="3"/>
  <c r="S50" i="3"/>
  <c r="J51" i="3"/>
  <c r="H52" i="3"/>
  <c r="J52" i="3" s="1"/>
  <c r="K52" i="3" l="1"/>
  <c r="O52" i="3"/>
  <c r="S52" i="3"/>
  <c r="K51" i="3"/>
  <c r="K54" i="3" s="1"/>
  <c r="O51" i="3"/>
  <c r="O54" i="3" s="1"/>
  <c r="O56" i="3" s="1"/>
  <c r="F29" i="2" s="1"/>
  <c r="S51" i="3"/>
  <c r="E30" i="14" l="1"/>
  <c r="E32" i="14" s="1"/>
  <c r="E34" i="14" s="1"/>
  <c r="I35" i="13"/>
  <c r="I37" i="13" s="1"/>
  <c r="M37" i="13" s="1"/>
  <c r="F41" i="2"/>
  <c r="A32" i="7"/>
  <c r="A33" i="7" s="1"/>
  <c r="A34" i="7" s="1"/>
  <c r="A35" i="7" s="1"/>
  <c r="A36" i="7" s="1"/>
  <c r="A37" i="7" s="1"/>
  <c r="A38" i="7" s="1"/>
  <c r="A39" i="7" s="1"/>
  <c r="A40" i="7" s="1"/>
  <c r="E26" i="12" l="1"/>
  <c r="S37" i="13"/>
  <c r="M39" i="13"/>
  <c r="G30" i="14"/>
  <c r="K36" i="4"/>
  <c r="G19" i="1"/>
  <c r="G27" i="1" s="1"/>
  <c r="G29" i="1" s="1"/>
  <c r="G33" i="1" s="1"/>
  <c r="A41" i="7"/>
  <c r="A42" i="7" s="1"/>
  <c r="M46" i="13" l="1"/>
  <c r="I30" i="14"/>
  <c r="G32" i="14"/>
  <c r="G34" i="14" s="1"/>
  <c r="M19" i="4"/>
  <c r="M23" i="4" s="1"/>
  <c r="O23" i="4" s="1"/>
  <c r="G23" i="1"/>
  <c r="O36" i="4"/>
  <c r="K38" i="4"/>
  <c r="A43" i="7"/>
  <c r="A45" i="7" s="1"/>
  <c r="A47" i="7" s="1"/>
  <c r="A48" i="7" s="1"/>
  <c r="A50" i="7" s="1"/>
  <c r="A51" i="7" s="1"/>
  <c r="A52" i="7" s="1"/>
  <c r="I32" i="14" l="1"/>
  <c r="I34" i="14" s="1"/>
  <c r="J30" i="14"/>
  <c r="J32" i="14" s="1"/>
  <c r="L34" i="14" s="1"/>
  <c r="M34" i="14"/>
  <c r="S39" i="13"/>
  <c r="S46" i="13" s="1"/>
  <c r="M108" i="13" s="1"/>
  <c r="O34" i="4"/>
  <c r="G35" i="1"/>
  <c r="E7" i="12" s="1"/>
  <c r="O19" i="4"/>
  <c r="M27" i="4"/>
  <c r="O27" i="4" s="1"/>
  <c r="E13" i="12" l="1"/>
  <c r="N34" i="14"/>
  <c r="G39" i="1"/>
  <c r="M13" i="13"/>
  <c r="M111" i="13" s="1"/>
  <c r="O30" i="4"/>
  <c r="M30" i="4" s="1"/>
  <c r="M34" i="4"/>
  <c r="M112" i="13" l="1"/>
  <c r="P112" i="13"/>
  <c r="E21" i="12"/>
  <c r="H29" i="2"/>
  <c r="H35" i="2" s="1"/>
  <c r="H37" i="2" s="1"/>
  <c r="H41" i="2" s="1"/>
  <c r="I19" i="1" s="1"/>
  <c r="I27" i="1" s="1"/>
  <c r="H71" i="6" l="1"/>
  <c r="H73" i="6" s="1"/>
  <c r="E22" i="12"/>
  <c r="E50" i="12"/>
  <c r="Q45" i="3"/>
  <c r="R45" i="3" s="1"/>
  <c r="S45" i="3" s="1"/>
  <c r="H20" i="6"/>
  <c r="U36" i="4"/>
  <c r="E51" i="12" l="1"/>
  <c r="J20" i="6"/>
  <c r="H21" i="6"/>
  <c r="H27" i="6" l="1"/>
  <c r="H29" i="6" l="1"/>
  <c r="H35" i="6" s="1"/>
  <c r="H39" i="6" s="1"/>
  <c r="H43" i="6" s="1"/>
  <c r="H63" i="6" s="1"/>
  <c r="Q41" i="5" s="1"/>
  <c r="Q39" i="3"/>
  <c r="O41" i="5" l="1"/>
  <c r="G51" i="7"/>
  <c r="H33" i="6"/>
  <c r="H44" i="6" s="1"/>
  <c r="R39" i="3"/>
  <c r="Q30" i="4"/>
  <c r="H45" i="6" l="1"/>
  <c r="Q40" i="3"/>
  <c r="R40" i="3" s="1"/>
  <c r="S40" i="3" s="1"/>
  <c r="H65" i="6"/>
  <c r="S39" i="3"/>
  <c r="H67" i="6" l="1"/>
  <c r="H69" i="6" s="1"/>
  <c r="Q42" i="5"/>
  <c r="Q44" i="5" l="1"/>
  <c r="Q46" i="5" s="1"/>
  <c r="G50" i="7"/>
  <c r="O42" i="5"/>
  <c r="Q31" i="4"/>
  <c r="Q32" i="4" s="1"/>
  <c r="G52" i="7" l="1"/>
  <c r="G54" i="7" s="1"/>
  <c r="F50" i="7"/>
  <c r="Q41" i="3"/>
  <c r="Q34" i="4"/>
  <c r="I21" i="1" s="1"/>
  <c r="F51" i="7"/>
  <c r="O44" i="5"/>
  <c r="O46" i="5" s="1"/>
  <c r="I23" i="1" l="1"/>
  <c r="I29" i="1"/>
  <c r="I33" i="1" s="1"/>
  <c r="S19" i="4" s="1"/>
  <c r="I35" i="1" s="1"/>
  <c r="F52" i="7"/>
  <c r="F54" i="7" s="1"/>
  <c r="Q48" i="3"/>
  <c r="R41" i="3"/>
  <c r="S41" i="3" l="1"/>
  <c r="R48" i="3"/>
  <c r="U19" i="4"/>
  <c r="S23" i="4"/>
  <c r="S48" i="3" l="1"/>
  <c r="S54" i="3" s="1"/>
  <c r="U23" i="4"/>
  <c r="U27" i="4" s="1"/>
  <c r="J19" i="6" s="1"/>
  <c r="S27" i="4"/>
  <c r="I19" i="6" l="1"/>
  <c r="I21" i="6" s="1"/>
  <c r="I27" i="6" s="1"/>
  <c r="I29" i="6" s="1"/>
  <c r="I35" i="6" s="1"/>
  <c r="I39" i="6" s="1"/>
  <c r="I43" i="6" s="1"/>
  <c r="J21" i="6"/>
  <c r="J27" i="6" s="1"/>
  <c r="J29" i="6" s="1"/>
  <c r="J35" i="6" l="1"/>
  <c r="J39" i="6" s="1"/>
  <c r="J43" i="6" s="1"/>
  <c r="J63" i="6" s="1"/>
  <c r="I63" i="6"/>
  <c r="I44" i="6"/>
  <c r="I65" i="6" s="1"/>
  <c r="I33" i="6"/>
  <c r="J33" i="6"/>
  <c r="J44" i="6"/>
  <c r="J65" i="6" s="1"/>
  <c r="I67" i="6" l="1"/>
  <c r="I69" i="6" s="1"/>
  <c r="U30" i="4"/>
  <c r="S30" i="4" s="1"/>
  <c r="J67" i="6"/>
  <c r="J69" i="6" s="1"/>
  <c r="U31" i="4"/>
  <c r="S31" i="4" s="1"/>
  <c r="J45" i="6"/>
  <c r="I45" i="6"/>
  <c r="S32" i="4" l="1"/>
  <c r="S34" i="4" s="1"/>
  <c r="U32" i="4"/>
  <c r="U34" i="4" s="1"/>
  <c r="B13" i="13"/>
  <c r="B15" i="13"/>
  <c r="B17" i="13"/>
  <c r="B18" i="13"/>
  <c r="B19" i="13"/>
  <c r="B20" i="13"/>
  <c r="B21" i="13"/>
  <c r="B22" i="13"/>
  <c r="B24" i="13"/>
  <c r="B25" i="13"/>
  <c r="B26" i="13"/>
  <c r="B27" i="13"/>
  <c r="B29" i="13"/>
  <c r="B30" i="13"/>
  <c r="B31" i="13"/>
  <c r="B32" i="13"/>
  <c r="B34" i="13"/>
  <c r="B35" i="13"/>
  <c r="B36" i="13"/>
  <c r="B37" i="13"/>
  <c r="B39" i="13"/>
  <c r="B41" i="13"/>
  <c r="B42" i="13"/>
  <c r="B43" i="13"/>
  <c r="B44" i="13"/>
  <c r="B46" i="13"/>
  <c r="B48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8" i="13"/>
  <c r="B109" i="13"/>
  <c r="B111" i="13"/>
  <c r="B112" i="13"/>
  <c r="B12" i="14"/>
  <c r="B13" i="14"/>
  <c r="B14" i="14"/>
  <c r="B15" i="14"/>
  <c r="B16" i="14"/>
  <c r="B17" i="14"/>
  <c r="B18" i="14"/>
  <c r="B21" i="14"/>
  <c r="B22" i="14"/>
  <c r="B23" i="14"/>
  <c r="B24" i="14"/>
  <c r="B25" i="14"/>
  <c r="B26" i="14"/>
  <c r="B29" i="14"/>
  <c r="B30" i="14"/>
  <c r="B31" i="14"/>
  <c r="B32" i="14"/>
  <c r="B33" i="14"/>
  <c r="B34" i="14"/>
</calcChain>
</file>

<file path=xl/sharedStrings.xml><?xml version="1.0" encoding="utf-8"?>
<sst xmlns="http://schemas.openxmlformats.org/spreadsheetml/2006/main" count="1354" uniqueCount="664">
  <si>
    <t>SCHEDULE A</t>
  </si>
  <si>
    <t>PAGE 1 OF 1</t>
  </si>
  <si>
    <t>WORKPAPER REFERENCE NO(S).</t>
  </si>
  <si>
    <t>FORECASTED PERIOD</t>
  </si>
  <si>
    <t xml:space="preserve">SUPPORTING </t>
  </si>
  <si>
    <t>JURISDICTIONAL</t>
  </si>
  <si>
    <t>LINE</t>
  </si>
  <si>
    <t xml:space="preserve">SCHEDULE </t>
  </si>
  <si>
    <t>REVENUE</t>
  </si>
  <si>
    <t xml:space="preserve">REVENUE </t>
  </si>
  <si>
    <t>NO.</t>
  </si>
  <si>
    <t>DESCRIPTION</t>
  </si>
  <si>
    <t>REFERENCE</t>
  </si>
  <si>
    <t>REQUIREMENT</t>
  </si>
  <si>
    <t>RATE BASE</t>
  </si>
  <si>
    <t>B-1</t>
  </si>
  <si>
    <t>ADJUSTED OPERATING INCOME</t>
  </si>
  <si>
    <t>C-1</t>
  </si>
  <si>
    <t>EARNED RATE OF RETURN (2 / 1)</t>
  </si>
  <si>
    <t>REQUIRED RATE OF RETURN</t>
  </si>
  <si>
    <t>J</t>
  </si>
  <si>
    <t>REQUIRED OPERATING INCOME (1 x 4)</t>
  </si>
  <si>
    <t>OPERATING INCOME DEFICIENCY (5 - 2)</t>
  </si>
  <si>
    <t>GROSS REVENUE CONVERSION FACTOR</t>
  </si>
  <si>
    <t>H-1</t>
  </si>
  <si>
    <t>REVENUE DEFICIENCY (6 x 7)</t>
  </si>
  <si>
    <t>REVENUE INCREASE REQUESTED</t>
  </si>
  <si>
    <t>ADJUSTED OPERATING REVENUES</t>
  </si>
  <si>
    <t>REVENUE REQUIREMENTS (9 + 10)</t>
  </si>
  <si>
    <t>SCHEDULE B-1</t>
  </si>
  <si>
    <t>SHEET 2 OF 2</t>
  </si>
  <si>
    <t>TOTAL COMPANY</t>
  </si>
  <si>
    <t>SUPPORTING</t>
  </si>
  <si>
    <t>FORECASTED</t>
  </si>
  <si>
    <t>SCHEDULE</t>
  </si>
  <si>
    <t>RATE BASE COMPONENT</t>
  </si>
  <si>
    <t>$</t>
  </si>
  <si>
    <t>PLANT IN SERVICE</t>
  </si>
  <si>
    <t>B-2</t>
  </si>
  <si>
    <t>PROPERTY HELD FOR FUTURE USE</t>
  </si>
  <si>
    <t>B-2.6</t>
  </si>
  <si>
    <t>PLANT AQUISITION ADJUSTMENTS</t>
  </si>
  <si>
    <t>B-2.4</t>
  </si>
  <si>
    <t>ACCUMULATED DEPRECIATION AND AMORTIZATION</t>
  </si>
  <si>
    <t>B-3</t>
  </si>
  <si>
    <t>NET PLANT IN SERVICE (1 THRU 4)</t>
  </si>
  <si>
    <t>CASH WORKING CAPITAL ALLOWANCE</t>
  </si>
  <si>
    <t>B-5.1</t>
  </si>
  <si>
    <t>OTHER WORKING CAPITAL ALLOWANCES (13 MO. AVG)</t>
  </si>
  <si>
    <t xml:space="preserve">  8a</t>
  </si>
  <si>
    <t>B-6, Line 9</t>
  </si>
  <si>
    <t xml:space="preserve">  8b</t>
  </si>
  <si>
    <t>LEAD LAG</t>
  </si>
  <si>
    <t>B-6, Line 17</t>
  </si>
  <si>
    <t xml:space="preserve">  8c</t>
  </si>
  <si>
    <t>REQUESTED LEAD LAG ADJUSTMENT</t>
  </si>
  <si>
    <t xml:space="preserve">  8d</t>
  </si>
  <si>
    <t>NORMALIZATION</t>
  </si>
  <si>
    <t>B-6.1, Line 19</t>
  </si>
  <si>
    <t>DEFERRED INC. TAXES AND INVESTMENT TAX CREDITS</t>
  </si>
  <si>
    <t xml:space="preserve"> </t>
  </si>
  <si>
    <t>RATE BASE (5 THROUGH 9)</t>
  </si>
  <si>
    <t>COLUMBIA GAS OF KENTUCKY, INC.</t>
  </si>
  <si>
    <t>CASE NO. 2024 - 00092</t>
  </si>
  <si>
    <t>FORECASTED TEST PERIOD: TWELVE MONTHS ENDED DECEMBER 31, 2025</t>
  </si>
  <si>
    <t>WITNESS: SHAEFFER</t>
  </si>
  <si>
    <t>AS OF DECEMBER 31, 2025</t>
  </si>
  <si>
    <t>WITNESS: GORE</t>
  </si>
  <si>
    <t>OVERALL FINANCIAL SUMMARY</t>
  </si>
  <si>
    <t>RATE BASE SUMMARY - JURISDICTIONAL</t>
  </si>
  <si>
    <t xml:space="preserve">CASH WORKING CAPITAL COMPONENTS </t>
  </si>
  <si>
    <t>SCHEDULE B-5.2.A</t>
  </si>
  <si>
    <t>13 MONTH AVERAGE FOR PERIOD</t>
  </si>
  <si>
    <t xml:space="preserve">TOTAL </t>
  </si>
  <si>
    <t xml:space="preserve">DAILY </t>
  </si>
  <si>
    <t>EXPENSE</t>
  </si>
  <si>
    <t>NET LAG</t>
  </si>
  <si>
    <t>WORKING CAPITAL</t>
  </si>
  <si>
    <t>COST CATEGORGY</t>
  </si>
  <si>
    <t>COMPANY</t>
  </si>
  <si>
    <t>PERCENT</t>
  </si>
  <si>
    <t>AMOUNT</t>
  </si>
  <si>
    <t>LAG DAYS</t>
  </si>
  <si>
    <t>LEAD DAYS</t>
  </si>
  <si>
    <t>DAYS</t>
  </si>
  <si>
    <t>(1)</t>
  </si>
  <si>
    <t>(2)</t>
  </si>
  <si>
    <t>(3 = 1 x 2)</t>
  </si>
  <si>
    <t>(4 = 3 / 365 Days)</t>
  </si>
  <si>
    <t>(5)</t>
  </si>
  <si>
    <t>(6)</t>
  </si>
  <si>
    <t>(7 = 5 - 6)</t>
  </si>
  <si>
    <t>(8)</t>
  </si>
  <si>
    <t>OPERATING EXPENSES</t>
  </si>
  <si>
    <t>PURCHASED GAS EXPENSE</t>
  </si>
  <si>
    <t>100.00%</t>
  </si>
  <si>
    <t>GAS WITHDRAWN FROM STORAGE</t>
  </si>
  <si>
    <t>PREPAID INSURANCE EXPENSE</t>
  </si>
  <si>
    <t>EMPLOYEE PAYROLL</t>
  </si>
  <si>
    <t>INCENTIVE COMPENSATION</t>
  </si>
  <si>
    <t>EMPLOYEE BENEFITS EXPENSE</t>
  </si>
  <si>
    <t>PENSION EXPENSE</t>
  </si>
  <si>
    <t>OPEB EXPENSE</t>
  </si>
  <si>
    <t>UNCOLLECTIBLE EXPENSE</t>
  </si>
  <si>
    <t>CORPORATE SERVICES</t>
  </si>
  <si>
    <t>EXPENSE TRACKERS ADJUSTMENT</t>
  </si>
  <si>
    <t>OTHER O&amp;M COSTS</t>
  </si>
  <si>
    <t>DEPRECIATION AND AMORTIZATION</t>
  </si>
  <si>
    <t>TAXES OTHER THAN INCOME</t>
  </si>
  <si>
    <t>PAYROLL TAX EXPENSE</t>
  </si>
  <si>
    <t>PROPERTY TAX EXPENSE</t>
  </si>
  <si>
    <t>OTHER TAXES</t>
  </si>
  <si>
    <t>INCOME TAXES</t>
  </si>
  <si>
    <t>CURRENT: FEDERAL</t>
  </si>
  <si>
    <t>CURRENT: STATE</t>
  </si>
  <si>
    <t>DEFERRED: FEDERAL &amp; STATE (INCLUDING ITC)</t>
  </si>
  <si>
    <t>OTHER EXPENSES</t>
  </si>
  <si>
    <t>OTHER EXPENSE/(INCOME)</t>
  </si>
  <si>
    <t>INTEREST ON DEBT</t>
  </si>
  <si>
    <t>INCOME AVAILABLE FOR COMMON EQUITY</t>
  </si>
  <si>
    <t>SUBTOTAL</t>
  </si>
  <si>
    <t>GROSS RECEIPTS TAX</t>
  </si>
  <si>
    <t>FRANCHISE TAX</t>
  </si>
  <si>
    <t>SALES AND USE TAX</t>
  </si>
  <si>
    <t>CASH WORKING CAPITAL (LEAD LAG)</t>
  </si>
  <si>
    <t>REQUESTED CASH WORKING CAPITAL (LEAD LAG)</t>
  </si>
  <si>
    <t>WITNESS: JOHNSON</t>
  </si>
  <si>
    <t>SCHEDULE C-1</t>
  </si>
  <si>
    <t>SHEET 1 OF 1</t>
  </si>
  <si>
    <t>UNADJUSTED</t>
  </si>
  <si>
    <t>ADJUSTED</t>
  </si>
  <si>
    <t>RETURN AT</t>
  </si>
  <si>
    <t>PROPOSED</t>
  </si>
  <si>
    <t>CURRENT RATES</t>
  </si>
  <si>
    <t>INCREASE</t>
  </si>
  <si>
    <t>PROPOSED RATES</t>
  </si>
  <si>
    <t>(3)</t>
  </si>
  <si>
    <t>1</t>
  </si>
  <si>
    <t>OPERATING REVENUES</t>
  </si>
  <si>
    <t xml:space="preserve">  GAS SUPPLY EXPENSES</t>
  </si>
  <si>
    <t xml:space="preserve">  OPERATING AND MAINTENANCE EXPENSES</t>
  </si>
  <si>
    <t xml:space="preserve">  DEPRECIATION AND AMORTIZATION EXPENSE</t>
  </si>
  <si>
    <t xml:space="preserve">  TAXES OTHER THAN INCOME</t>
  </si>
  <si>
    <t>OPERATING INCOME BEFORE INCOME TAXES</t>
  </si>
  <si>
    <t xml:space="preserve">  FEDERAL INCOME TAXES</t>
  </si>
  <si>
    <t xml:space="preserve">  STATE INCOME TAXES</t>
  </si>
  <si>
    <t>TOTAL INCOME TAXES</t>
  </si>
  <si>
    <t>OPERATING INCOME</t>
  </si>
  <si>
    <t>RATE OF RETURN</t>
  </si>
  <si>
    <t>SCHEDULE C-2</t>
  </si>
  <si>
    <t xml:space="preserve">FORECASTED </t>
  </si>
  <si>
    <t>REVENUE &amp;</t>
  </si>
  <si>
    <t>SUMMARY OF D-2.6</t>
  </si>
  <si>
    <t>EXPENSES</t>
  </si>
  <si>
    <t>ADJUSTMENTS</t>
  </si>
  <si>
    <t>(3 = 1 + 2)</t>
  </si>
  <si>
    <t>(4)</t>
  </si>
  <si>
    <t>(5 = 3 + 4)</t>
  </si>
  <si>
    <t>OPERATING REVENUE</t>
  </si>
  <si>
    <t xml:space="preserve">  GAS SUPPLY EXPENSES - GAS COST</t>
  </si>
  <si>
    <t xml:space="preserve">  LIQUEFIED PETROLEUM GAS PRODUCTION EXPENSES</t>
  </si>
  <si>
    <t xml:space="preserve">  OTHER OPERATING EXPENSES</t>
  </si>
  <si>
    <t xml:space="preserve">  TRANSMISSION EXPENSES</t>
  </si>
  <si>
    <t xml:space="preserve">  DISTRIBUTION EXPENSES</t>
  </si>
  <si>
    <t xml:space="preserve">  CUSTOMER ACCOUNTS &amp; COLLECTING EXPENSES</t>
  </si>
  <si>
    <t xml:space="preserve">  CUSTOMER SERVICE &amp; INFORMATION EXPENSES</t>
  </si>
  <si>
    <t xml:space="preserve">  SALES EXPENSES</t>
  </si>
  <si>
    <t xml:space="preserve">  ADMINISTRATIVE AND GENERAL EXPENSES</t>
  </si>
  <si>
    <t>DEPRECIATION AND AMORTIZATION EXPENSE</t>
  </si>
  <si>
    <t xml:space="preserve">  PROPERTY</t>
  </si>
  <si>
    <t xml:space="preserve">  PAYROLL </t>
  </si>
  <si>
    <t xml:space="preserve">  OTHER</t>
  </si>
  <si>
    <t xml:space="preserve">  FEDERAL INCOME</t>
  </si>
  <si>
    <t xml:space="preserve">  STATE INCOME</t>
  </si>
  <si>
    <t>TOTAL OPERATING EXPENSES</t>
  </si>
  <si>
    <t>NET OPERATING INCOME</t>
  </si>
  <si>
    <t>DATA:_______BASE PERIOD___X___FORECASTED PERIOD</t>
  </si>
  <si>
    <t>Original (Company-As Filed)</t>
  </si>
  <si>
    <t>OAG</t>
  </si>
  <si>
    <t>Updated (Company-Rebuttal)</t>
  </si>
  <si>
    <t>DIFFERENCE</t>
  </si>
  <si>
    <t>13 MONTH AVERAGE</t>
  </si>
  <si>
    <t>TOTAL COMPANTY</t>
  </si>
  <si>
    <t xml:space="preserve"> (LESS SMRP)</t>
  </si>
  <si>
    <t>Original 
(Company-As Filed)</t>
  </si>
  <si>
    <t>OAG ADJUSTMENT</t>
  </si>
  <si>
    <t>Updated 
(Company-Rebuttal)</t>
  </si>
  <si>
    <t>ADJUSTMENT</t>
  </si>
  <si>
    <t>(9)</t>
  </si>
  <si>
    <t>(10 = 1 + 9)</t>
  </si>
  <si>
    <t>(11)</t>
  </si>
  <si>
    <t>(12)</t>
  </si>
  <si>
    <t>(13 = 1 + 12)</t>
  </si>
  <si>
    <t>(14)</t>
  </si>
  <si>
    <t>OPERATING INCOME SUMMARY</t>
  </si>
  <si>
    <t>ADJUSTED OPERATING INCOME SUMMARY</t>
  </si>
  <si>
    <t>SCHEDULE D-1.B</t>
  </si>
  <si>
    <t>FTP</t>
  </si>
  <si>
    <t>(EX. JD-1, Schedule Cp2)</t>
  </si>
  <si>
    <t>Rate Case Expense</t>
  </si>
  <si>
    <t>Corporate Aircraft Expense</t>
  </si>
  <si>
    <t>Investor Relations Expense</t>
  </si>
  <si>
    <t>Profit Sharing</t>
  </si>
  <si>
    <t>Payroll Tax</t>
  </si>
  <si>
    <t>Benefits</t>
  </si>
  <si>
    <t>Operating Expense Category:</t>
  </si>
  <si>
    <t>Columbia Direct</t>
  </si>
  <si>
    <t>Operations and Maintenance (O&amp;M) Expense</t>
  </si>
  <si>
    <t>TOTAL O&amp;M EXPENSE ADJUSTMENTS</t>
  </si>
  <si>
    <t>TOTAL TAXES OTHER THAN INCOME TAX EXPENSE
 ADJUSTMENTS</t>
  </si>
  <si>
    <t>TOTAL INCOME TAX EXPENSE
 ADJUSTMENTS</t>
  </si>
  <si>
    <t>Kentucky (State) Income Tax Expense</t>
  </si>
  <si>
    <t>Federal Income Tax Expense</t>
  </si>
  <si>
    <t>Labor (Payroll) Expense</t>
  </si>
  <si>
    <t>Pension SERP</t>
  </si>
  <si>
    <t xml:space="preserve">Short-Term Incentive Compensation </t>
  </si>
  <si>
    <t xml:space="preserve">Long-Term Incentive Compensation </t>
  </si>
  <si>
    <t>401(k) Expense, Grandfathered Defined Benefits</t>
  </si>
  <si>
    <t>Pension Restoration Plan (PRP)</t>
  </si>
  <si>
    <t>Payroll Expense (Columbia Direct)</t>
  </si>
  <si>
    <t>TOTAL Columbia Direct O&amp;M Adjustments</t>
  </si>
  <si>
    <t>NiSource Corporate Services Company (NCSC), 
Allocated to Columbia</t>
  </si>
  <si>
    <t>TOTAL NCSC Allocated Columbia O&amp;M Adjustments</t>
  </si>
  <si>
    <t>REBUTTAL</t>
  </si>
  <si>
    <t>FTP REBUTTAL</t>
  </si>
  <si>
    <t>SCHEDULE D</t>
  </si>
  <si>
    <t>Corporate Insurance, Directors &amp; Officers</t>
  </si>
  <si>
    <t>Dues &amp; Memberships, AGA Dues</t>
  </si>
  <si>
    <t>Shaeffer &amp; Bly</t>
  </si>
  <si>
    <t>Shaeffer &amp; Owens</t>
  </si>
  <si>
    <t xml:space="preserve">REBUTTAL </t>
  </si>
  <si>
    <t>WITNESS(ES)</t>
  </si>
  <si>
    <t>Shaeffer</t>
  </si>
  <si>
    <t>OTHER ITEMS (CUSTOMER DEPOSITS)</t>
  </si>
  <si>
    <t>(6 = 4 + 5)</t>
  </si>
  <si>
    <t>(7)</t>
  </si>
  <si>
    <t>(9 = 7 + 8)</t>
  </si>
  <si>
    <t>(7 = 5 + 6)</t>
  </si>
  <si>
    <t>OAG ADJUSTMENTS AND COMPANY REBUTTAL ADJUSTMENTS TO OPERATING INCOME</t>
  </si>
  <si>
    <t>DATA:_____BASE PERIOD___X___FORECASTED PERIOD</t>
  </si>
  <si>
    <t>SCHEDULE J-1.1 / J-1.2</t>
  </si>
  <si>
    <t>TYPE OF FILING:___X____ORIGINAL________UPDATED</t>
  </si>
  <si>
    <t>WITNESS:  V.V. REA</t>
  </si>
  <si>
    <t>WORKPAPER</t>
  </si>
  <si>
    <t>WEIGHTED</t>
  </si>
  <si>
    <t>CLASS OF CAPITAL</t>
  </si>
  <si>
    <t>OF TOTAL</t>
  </si>
  <si>
    <t>COST RATE</t>
  </si>
  <si>
    <t>COST</t>
  </si>
  <si>
    <t>(6=5x4)</t>
  </si>
  <si>
    <t>SHORT-TERM DEBT</t>
  </si>
  <si>
    <t>J-2</t>
  </si>
  <si>
    <t>2</t>
  </si>
  <si>
    <t>LONG-TERM DEBT</t>
  </si>
  <si>
    <t>J-3</t>
  </si>
  <si>
    <t>3</t>
  </si>
  <si>
    <t>PREFERRED STOCK</t>
  </si>
  <si>
    <t>J-4</t>
  </si>
  <si>
    <t>4</t>
  </si>
  <si>
    <t>COMMON EQUITY</t>
  </si>
  <si>
    <t>5</t>
  </si>
  <si>
    <t>TOTAL CAPITAL</t>
  </si>
  <si>
    <t>FORECASTED PERIOD AS OF DECEMBER 31, 2025</t>
  </si>
  <si>
    <t>AVG. FORECASTED PERIOD CAPITAL STRUCTURE</t>
  </si>
  <si>
    <t>Data:___X___Base Period___X___Forecasted Period</t>
  </si>
  <si>
    <t>SCHEDULE H-1</t>
  </si>
  <si>
    <t xml:space="preserve">Workpaper Reference No(s). </t>
  </si>
  <si>
    <t>FORECAST PERIOD</t>
  </si>
  <si>
    <t>PERCENTAGE OF</t>
  </si>
  <si>
    <t>INCREMENTAL</t>
  </si>
  <si>
    <t>GROSS REVENUE</t>
  </si>
  <si>
    <t>LESS: UNCOLLECTIBLE ACCOUNTS EXPENSE</t>
  </si>
  <si>
    <t>LESS: PSC FEES</t>
  </si>
  <si>
    <t>NET REVENUES</t>
  </si>
  <si>
    <t>STATE INCOME TAX</t>
  </si>
  <si>
    <t>6</t>
  </si>
  <si>
    <t>INCOME BEFORE FEDERAL INCOME TAX</t>
  </si>
  <si>
    <t>7</t>
  </si>
  <si>
    <t>FEDERAL INCOME TAX</t>
  </si>
  <si>
    <t>8</t>
  </si>
  <si>
    <t>OPERATING INCOME PERCENTAGE</t>
  </si>
  <si>
    <t>9</t>
  </si>
  <si>
    <t>10</t>
  </si>
  <si>
    <t>(100 % DIVIDED BY INCOME AFTER INCOME TAX)</t>
  </si>
  <si>
    <t xml:space="preserve">                            </t>
  </si>
  <si>
    <t>FOR THE TWELVE MONTHS ENDED DECEMBER 31, 2025</t>
  </si>
  <si>
    <t>TYPE OF FILING:___X___ORIGINAL______UPDATED</t>
  </si>
  <si>
    <t>Workpaper WPD-2.6.D(2)</t>
  </si>
  <si>
    <t>DATA:___X___BASE PERIOD___X___FORECASTED PERIOD</t>
  </si>
  <si>
    <t>SCHEDULE E-1.1</t>
  </si>
  <si>
    <t>SHEET 1 OF 3</t>
  </si>
  <si>
    <t>(7) = (5) + (6)</t>
  </si>
  <si>
    <t>Operating Income Before Income Taxes</t>
  </si>
  <si>
    <t>SCH C-1, LN 7</t>
  </si>
  <si>
    <t>Interest Charges</t>
  </si>
  <si>
    <t xml:space="preserve"> 1/</t>
  </si>
  <si>
    <t>Book Net Income before Income Tax &amp; Credits</t>
  </si>
  <si>
    <t>LN 1+2</t>
  </si>
  <si>
    <t>Federal Flow-Through Statutory Adjustments</t>
  </si>
  <si>
    <t>PG 2, LN 9</t>
  </si>
  <si>
    <t>Federal Timing Statutory Adjustments</t>
  </si>
  <si>
    <t>PG 2, LN 53</t>
  </si>
  <si>
    <t>State Bonus Disallowance</t>
  </si>
  <si>
    <t>PG 2, LN 56</t>
  </si>
  <si>
    <t>State Taxable Income</t>
  </si>
  <si>
    <t>LN 3+5+6+7</t>
  </si>
  <si>
    <t xml:space="preserve">State Income Tax </t>
  </si>
  <si>
    <t>LN 9 x 5%</t>
  </si>
  <si>
    <t>Prior Adjustment to State Income Tax</t>
  </si>
  <si>
    <t>PG 2, LN 73</t>
  </si>
  <si>
    <t>Other Adjustments to State Income Tax</t>
  </si>
  <si>
    <t>PG 2, LN 74</t>
  </si>
  <si>
    <t>Total State Income Tax</t>
  </si>
  <si>
    <t>LN 11+12+13</t>
  </si>
  <si>
    <t>Federal Taxable Income</t>
  </si>
  <si>
    <t>LN 3+5+6-11-12</t>
  </si>
  <si>
    <t>Federal Net Operating Loss Carryforward</t>
  </si>
  <si>
    <t>Federal Income Tax</t>
  </si>
  <si>
    <t>LN 17+19 x 21%</t>
  </si>
  <si>
    <t>Prior Adjustment to Federal Income Tax</t>
  </si>
  <si>
    <t>PG 3, LN 7</t>
  </si>
  <si>
    <t>Other Adjustments to Federal Income Tax</t>
  </si>
  <si>
    <t>Current Federal Income Tax</t>
  </si>
  <si>
    <t>LN 21+22+23</t>
  </si>
  <si>
    <t>Current State Income Tax</t>
  </si>
  <si>
    <t>Total Current Income Tax</t>
  </si>
  <si>
    <t>LN 25+26</t>
  </si>
  <si>
    <t>Provision for Deferred Federal Income Tax</t>
  </si>
  <si>
    <t>LN -6 -19 * 21%</t>
  </si>
  <si>
    <t>Federal Benefit of Provision for Deferred State Income Tax</t>
  </si>
  <si>
    <t>LN -37 * 21%</t>
  </si>
  <si>
    <t>Amortization of Excess ADIT-Federal</t>
  </si>
  <si>
    <t>PG 3, LN 4</t>
  </si>
  <si>
    <t>Flow-Through Excess Book/Tax Depreciation-Federal</t>
  </si>
  <si>
    <t>PG 3, LN 3</t>
  </si>
  <si>
    <t>Amortization of Investment Tax Credit</t>
  </si>
  <si>
    <t>PG 3, LN 2</t>
  </si>
  <si>
    <t>Other Adjustments to Deferred Federal Income Tax</t>
  </si>
  <si>
    <t>PG 3, LN 8+9+10</t>
  </si>
  <si>
    <t>Deferred Federal Income Tax</t>
  </si>
  <si>
    <t>LN 29+30+31+32+33</t>
  </si>
  <si>
    <t>Provision for Deferred State Income Tax</t>
  </si>
  <si>
    <t>LN -6 -7 * 5%</t>
  </si>
  <si>
    <t>Amortization of Excess ADIT-State</t>
  </si>
  <si>
    <t>PG 3, LN 13</t>
  </si>
  <si>
    <t>Flow-Through Excess Book/Tax Depreciation-State</t>
  </si>
  <si>
    <t>PG 3, LN 14</t>
  </si>
  <si>
    <t>Other Adjustments to Deferred State Income Tax</t>
  </si>
  <si>
    <t>PG 3, LN 19+20</t>
  </si>
  <si>
    <t>Deferred State Income Tax</t>
  </si>
  <si>
    <t>LN 37+38+39+40</t>
  </si>
  <si>
    <t>Total Provision for Deferred Income Taxes</t>
  </si>
  <si>
    <t>LN 375+41</t>
  </si>
  <si>
    <t>Total Federal Income Taxes</t>
  </si>
  <si>
    <t>LN 25+35</t>
  </si>
  <si>
    <t>Total State Income Taxes</t>
  </si>
  <si>
    <t>LN 26+41</t>
  </si>
  <si>
    <t>Total Income Tax Expense</t>
  </si>
  <si>
    <t>LN 45+47</t>
  </si>
  <si>
    <t>Effective Tax Rate</t>
  </si>
  <si>
    <t>NOTE 1/</t>
  </si>
  <si>
    <t xml:space="preserve">RATE BASE </t>
  </si>
  <si>
    <t>SCH B-1, LN 10</t>
  </si>
  <si>
    <t>WEIGHTED COST OF SHORT-TERM AND LONG-TERM DEBT</t>
  </si>
  <si>
    <t>SCH J-1 LN 1 + LN 2</t>
  </si>
  <si>
    <t>INTEREST CHARGES CALCULATED</t>
  </si>
  <si>
    <t>SCH E-1.1, LN 2</t>
  </si>
  <si>
    <t>SHEET 2 OF 3</t>
  </si>
  <si>
    <t>ADJ JURISDICTION</t>
  </si>
  <si>
    <t>Permanent and Flow Through Items</t>
  </si>
  <si>
    <t>Lobbying</t>
  </si>
  <si>
    <t>Meals and Entertainment</t>
  </si>
  <si>
    <t>AFUDC Equity</t>
  </si>
  <si>
    <t>ESPP</t>
  </si>
  <si>
    <t>Parking</t>
  </si>
  <si>
    <t>Perm Taxes Allocation NCS</t>
  </si>
  <si>
    <t>Fines and Penalties</t>
  </si>
  <si>
    <t>Stock Excess</t>
  </si>
  <si>
    <t>Total Permanent and Flow Through Items</t>
  </si>
  <si>
    <t>Tax Timing Statutory Adjustments</t>
  </si>
  <si>
    <t xml:space="preserve">  NC Payroll Taxes Cares Act</t>
  </si>
  <si>
    <t xml:space="preserve">  Accd Liab-ST FAS112</t>
  </si>
  <si>
    <t xml:space="preserve">  Accum Provisions FAS 112</t>
  </si>
  <si>
    <t xml:space="preserve">  Accum Provisions OPEB</t>
  </si>
  <si>
    <t xml:space="preserve">  Inventory Capitalization</t>
  </si>
  <si>
    <t xml:space="preserve">  LIFO Storage Adjustment</t>
  </si>
  <si>
    <t xml:space="preserve">  Accd Liab-Incentive Compnstion</t>
  </si>
  <si>
    <t xml:space="preserve">  Accd Liab-Profit Sharing</t>
  </si>
  <si>
    <t xml:space="preserve">  Accd Liab-Vacation Pay CY</t>
  </si>
  <si>
    <t xml:space="preserve">  Accd Liab-Vacation Pay PY</t>
  </si>
  <si>
    <t xml:space="preserve">  Accum Prov-Banked Vacation</t>
  </si>
  <si>
    <t xml:space="preserve">  Stock Comp LTIP - Tax</t>
  </si>
  <si>
    <t xml:space="preserve">  Accrd Property Tax</t>
  </si>
  <si>
    <t xml:space="preserve">  Misc Assets-Property Tax</t>
  </si>
  <si>
    <t xml:space="preserve">  Accd Liab-Severance</t>
  </si>
  <si>
    <t xml:space="preserve">  Custmr Advn for Constr NonCur</t>
  </si>
  <si>
    <t xml:space="preserve">  Accd Liability - Pension ST-NQ</t>
  </si>
  <si>
    <t xml:space="preserve">  Accum Prov LT PenCost Non-Qual</t>
  </si>
  <si>
    <t xml:space="preserve">  Accum Provisions Pen Cost Qual</t>
  </si>
  <si>
    <t xml:space="preserve">  Funds Held in Trust</t>
  </si>
  <si>
    <t xml:space="preserve">  FAS 109 Basis Adjustment - TR</t>
  </si>
  <si>
    <t xml:space="preserve">  Other Basis Difference</t>
  </si>
  <si>
    <t xml:space="preserve">  Excess Tax Depreciation</t>
  </si>
  <si>
    <t xml:space="preserve">  Bonus Depreciation</t>
  </si>
  <si>
    <t xml:space="preserve">  Repairs Deduction</t>
  </si>
  <si>
    <t xml:space="preserve">  263A Mixed Service Cost Deduction</t>
  </si>
  <si>
    <t xml:space="preserve">  SMRP Book / Tax Basis Difference - Adjustment</t>
  </si>
  <si>
    <t xml:space="preserve">  Oblig Operating Lease</t>
  </si>
  <si>
    <t xml:space="preserve">  Right of Use Asset</t>
  </si>
  <si>
    <t xml:space="preserve">  NC Reg Asset COVID Costs</t>
  </si>
  <si>
    <t xml:space="preserve">  NC Reg Asset Def Depr Cap Lse</t>
  </si>
  <si>
    <t xml:space="preserve">  NC Reg Asset FAS 158 OPEB</t>
  </si>
  <si>
    <t xml:space="preserve">  NC Reg Asset FAS158 Pension</t>
  </si>
  <si>
    <t xml:space="preserve">  NC Reg Asset Pen NQulfd FAS158</t>
  </si>
  <si>
    <t xml:space="preserve">  NC Reg Asset Rate Case Non-Cur</t>
  </si>
  <si>
    <t xml:space="preserve">  Reg Asset EAP</t>
  </si>
  <si>
    <t xml:space="preserve">  Reg Asset GTI Funding</t>
  </si>
  <si>
    <t xml:space="preserve">  Reg Asset-Prf Base Rt Adj PBRA</t>
  </si>
  <si>
    <t xml:space="preserve">  Reg Lia Curr-AMRP</t>
  </si>
  <si>
    <t xml:space="preserve">  Reg Liab Curr-DSM Uncollect</t>
  </si>
  <si>
    <t xml:space="preserve">  Reg Liab Curr-Other</t>
  </si>
  <si>
    <t xml:space="preserve">  Reg Liab NC-BA Lost Credits</t>
  </si>
  <si>
    <t xml:space="preserve">  Reg Liab NC-State Tax Reform</t>
  </si>
  <si>
    <t xml:space="preserve">  Reg Liab Rate Reserve - Curren</t>
  </si>
  <si>
    <t xml:space="preserve">  Bad Debts</t>
  </si>
  <si>
    <t>Total Tax Timing Differences</t>
  </si>
  <si>
    <t>Total Statutory Adjustments to Taxable Income</t>
  </si>
  <si>
    <t>SHEET 3 OF 3</t>
  </si>
  <si>
    <t>Federal Other</t>
  </si>
  <si>
    <t>Flow-Through Excess Book/Tax Depreciation</t>
  </si>
  <si>
    <t>Current Federal Prior Year Return-to-Provision True-up</t>
  </si>
  <si>
    <t>Deferred Federal Prior Year Return-to-Provision True-up</t>
  </si>
  <si>
    <t>Deferred Federal Prior Year True-up</t>
  </si>
  <si>
    <t>Federal Benefit of State Prior Year True-up</t>
  </si>
  <si>
    <t>State Other</t>
  </si>
  <si>
    <t>Current State Prior Year Return-to-Provision True-up</t>
  </si>
  <si>
    <t>Current State Payable True-up</t>
  </si>
  <si>
    <t>Deferred State Prior Year Return-to-Provision True-up</t>
  </si>
  <si>
    <t>BASE PERIOD: TWELVE MONTHS ENDED AUGUST 31, 2024</t>
  </si>
  <si>
    <t>WITNESS: HARDING</t>
  </si>
  <si>
    <t>COMPUTATION OF FEDERAL AND STATE INCOME TAX</t>
  </si>
  <si>
    <t>[1]</t>
  </si>
  <si>
    <t>[1] OAG's adjustments to the Company's calculated As Filed (original) Income Tax Expense per Schedule E-1.1.</t>
  </si>
  <si>
    <t>SHEET 1 OF 2</t>
  </si>
  <si>
    <t>(3) = (1) + (2)</t>
  </si>
  <si>
    <t>(6) = (4) + (5)</t>
  </si>
  <si>
    <t xml:space="preserve">Reconciliation Between OAG and </t>
  </si>
  <si>
    <t>Columbia’s Rebuttal Revenue Requirement Increase</t>
  </si>
  <si>
    <t>Columbia / OAG Revenues at Current Rates</t>
  </si>
  <si>
    <t>OAG’s proposed Revenue Increase</t>
  </si>
  <si>
    <t>OAG Revenue Requirement at Proposed Rates</t>
  </si>
  <si>
    <t>Return on Equity</t>
  </si>
  <si>
    <t>Cash Working Capital</t>
  </si>
  <si>
    <t xml:space="preserve">Operations Expense Adjustments: </t>
  </si>
  <si>
    <r>
      <t xml:space="preserve">           </t>
    </r>
    <r>
      <rPr>
        <i/>
        <sz val="12"/>
        <color theme="1"/>
        <rFont val="Palatino Linotype"/>
        <family val="1"/>
      </rPr>
      <t>Subtotal Columbia Direct O&amp;M</t>
    </r>
  </si>
  <si>
    <t xml:space="preserve">           Subtotal NCSC Allocated O&amp;M to Columbia</t>
  </si>
  <si>
    <t>Total Operations Expense Adjustments</t>
  </si>
  <si>
    <t>Columbia’s Rebuttal Revenue Increase</t>
  </si>
  <si>
    <t>Reference</t>
  </si>
  <si>
    <t>Company</t>
  </si>
  <si>
    <t xml:space="preserve">CAPITAL-RETURN ON RATE BASE </t>
  </si>
  <si>
    <t>1) Return on Rate Base - Equity (ROE):</t>
  </si>
  <si>
    <t>Rate Base</t>
  </si>
  <si>
    <t>Sch B</t>
  </si>
  <si>
    <t>Weighted Equity (Pre-Tax)</t>
  </si>
  <si>
    <t>Sch J</t>
  </si>
  <si>
    <t>2) Return On Rate Base - Long-Term Debt:</t>
  </si>
  <si>
    <t>Weighted LTD</t>
  </si>
  <si>
    <t>3) Return On Rate Base - Customer Deposits:</t>
  </si>
  <si>
    <t>OAG Customer Deposits</t>
  </si>
  <si>
    <t>OAG Rate of Return (Pre-Tax)</t>
  </si>
  <si>
    <t>Sch J &amp; H</t>
  </si>
  <si>
    <t>4) Return On Rate Base - Cash Working Capital (CWC):</t>
  </si>
  <si>
    <t>OAG Cash Working Capital</t>
  </si>
  <si>
    <t>TOTAL CAPITAL-RETURN ON RATE BASE</t>
  </si>
  <si>
    <t>COST OF SERVICE:</t>
  </si>
  <si>
    <t>Expense</t>
  </si>
  <si>
    <t>Uncoll. &amp; PSC Fee Gross-Up</t>
  </si>
  <si>
    <t>Total</t>
  </si>
  <si>
    <t>Company Direct</t>
  </si>
  <si>
    <t>O&amp;M</t>
  </si>
  <si>
    <t>NCSC Alloc. Columbia</t>
  </si>
  <si>
    <t>A</t>
  </si>
  <si>
    <t>B</t>
  </si>
  <si>
    <t>TOTAL COST OF SERVICE</t>
  </si>
  <si>
    <t>PRE-TAX</t>
  </si>
  <si>
    <t>(9=4x8)</t>
  </si>
  <si>
    <t>(10)</t>
  </si>
  <si>
    <t>(12=4x11)</t>
  </si>
  <si>
    <t>(13)</t>
  </si>
  <si>
    <t>TOTAL</t>
  </si>
  <si>
    <t>INCOME TAX</t>
  </si>
  <si>
    <t>UNCOLLECTIBLE &amp; 
PSC FEES</t>
  </si>
  <si>
    <t>Sch D &amp; H</t>
  </si>
  <si>
    <t>OAG Rate</t>
  </si>
  <si>
    <t>Columbia Kentucky / OAG Requested Rate Increase:</t>
  </si>
  <si>
    <t>Difference</t>
  </si>
  <si>
    <t>Company Rate Base</t>
  </si>
  <si>
    <t>Rate of Return</t>
  </si>
  <si>
    <t>Rate of Return + Gross Conversion</t>
  </si>
  <si>
    <t>Equity</t>
  </si>
  <si>
    <t>Debt</t>
  </si>
  <si>
    <t>Gross Conversion Factor</t>
  </si>
  <si>
    <t>Difference per
Rev. Req. Reconciliation</t>
  </si>
  <si>
    <t>Check</t>
  </si>
  <si>
    <t>Return On Long-Term Debt</t>
  </si>
  <si>
    <t>Return On Customer Deposits</t>
  </si>
  <si>
    <t>Subtotal</t>
  </si>
  <si>
    <t>Return On Cash Working Capital</t>
  </si>
  <si>
    <t>RECONCILIATION OF OAG RECOMMENDED REVENUE REQUIREMENT</t>
  </si>
  <si>
    <t>SCHEDULE A-1</t>
  </si>
  <si>
    <t>CALCULATION</t>
  </si>
  <si>
    <t>OAG Rate Increase (8.14.2024) / Columbia Rate Increase (5.16.2024)</t>
  </si>
  <si>
    <t>COMPANY CALCULATED DIFFERENCE</t>
  </si>
  <si>
    <t>OAG ADJUSTMENTS:</t>
  </si>
  <si>
    <t>OAG’s proposed Revenue Increase - Company Revised</t>
  </si>
  <si>
    <t>COLUMBIA DIRECT LABOR, BUDGETED</t>
  </si>
  <si>
    <t>COLUMBIA DIRECT LABOR, ACTUAL</t>
  </si>
  <si>
    <t>ALLOCATED LABOR, BUDGETED</t>
  </si>
  <si>
    <t>ALLOCATED LABOR, ACTUAL</t>
  </si>
  <si>
    <t>Table per Page 25 of OAG witness Defever's Testimony</t>
  </si>
  <si>
    <t>% Underspent</t>
  </si>
  <si>
    <t>GROSS CAPTIAL &amp; O&amp;M</t>
  </si>
  <si>
    <t>COLUMBIA DIRECT LABOR, ACTUAL / BUDGETED</t>
  </si>
  <si>
    <t>ALLOCATED LABOR, ACTUAL / BUDGETED</t>
  </si>
  <si>
    <t>% Increase</t>
  </si>
  <si>
    <t>2024 MERIT / WAGE INCREASE</t>
  </si>
  <si>
    <t>2023 - Actual</t>
  </si>
  <si>
    <t>Base Period
(Actual / Forecasted)</t>
  </si>
  <si>
    <t>Forecasted 
Test Period</t>
  </si>
  <si>
    <t>Table per KY PSC Staff DR 1-38 and AG DR 1-99</t>
  </si>
  <si>
    <t>2025 MERIT / WAGE INCREASE</t>
  </si>
  <si>
    <t>O&amp;M (AG DR 1-99)</t>
  </si>
  <si>
    <t>(KY PSC STAFF DR 1-38)</t>
  </si>
  <si>
    <t>DIFFERENCE (Line 9 less Lines 10 &amp; 11)</t>
  </si>
  <si>
    <t>FTP (2025) vs. 2023</t>
  </si>
  <si>
    <t>OAG Revenue Requirement at Proposed Rates - Company Revised</t>
  </si>
  <si>
    <t>Att. Rebuttal TLS-1</t>
  </si>
  <si>
    <t>SCH A-1s1 &amp; A-1s2</t>
  </si>
  <si>
    <t>SCH A-1s1</t>
  </si>
  <si>
    <t>Return on Equity (Company's Proposed 10.80%)</t>
  </si>
  <si>
    <t>O&amp;M (SERP)</t>
  </si>
  <si>
    <t>O&amp;M (Pension Restoration Plan)</t>
  </si>
  <si>
    <t>Witness</t>
  </si>
  <si>
    <t>Bly</t>
  </si>
  <si>
    <t>Table per AG DR 1-104</t>
  </si>
  <si>
    <t>Total NCSC Allocated, Investor Relations Department Expenses</t>
  </si>
  <si>
    <t>Calendar 2023
% Factor</t>
  </si>
  <si>
    <t>Expense Items Adjusted by Company or OAG:</t>
  </si>
  <si>
    <t>1003-Regular Pay - Productive</t>
  </si>
  <si>
    <t>1006-Vacation</t>
  </si>
  <si>
    <t>1007-Non Productive</t>
  </si>
  <si>
    <t>3103-Entertainment &amp; Other Non-Ded</t>
  </si>
  <si>
    <t>3106-Gifts</t>
  </si>
  <si>
    <t>9004-Gross Annual CIP</t>
  </si>
  <si>
    <t>9005-Pension-Qualified</t>
  </si>
  <si>
    <t>9007-401K Plan</t>
  </si>
  <si>
    <t>9011-OPEB - Medical</t>
  </si>
  <si>
    <t>9017-Profit Sharing</t>
  </si>
  <si>
    <t>9022-Medical - Active</t>
  </si>
  <si>
    <t>9025-OPEB - Life</t>
  </si>
  <si>
    <t>Cost Element</t>
  </si>
  <si>
    <t>Labor (Payroll) - OAG</t>
  </si>
  <si>
    <t>NCSC Non-Recoverable - Company</t>
  </si>
  <si>
    <t>Account</t>
  </si>
  <si>
    <t>92000000-A_G Salaries</t>
  </si>
  <si>
    <t>92101000-Employee Expenses</t>
  </si>
  <si>
    <t>92600000-Employee Pensions and Benefits</t>
  </si>
  <si>
    <t>92601000-Non Service Pension &amp; OPEB</t>
  </si>
  <si>
    <t>93020000-Misc General Exp</t>
  </si>
  <si>
    <t>Benefits, related to Labor (Payroll) - OAG</t>
  </si>
  <si>
    <t>Benefits, Grandfathered Defined Benefits - OAG</t>
  </si>
  <si>
    <t>Incentive - OAG (70% Financial)</t>
  </si>
  <si>
    <t>Profit Sharing - OAG (70% Financial)</t>
  </si>
  <si>
    <t>Total NCSC Allocated, Investor Relations Department Expenses less Items Adjusted by Company or OAG:</t>
  </si>
  <si>
    <t>FTP Difference</t>
  </si>
  <si>
    <t>O&amp;M Company / Payroll Tax NCSC</t>
  </si>
  <si>
    <r>
      <t>·</t>
    </r>
    <r>
      <rPr>
        <sz val="7"/>
        <color theme="1"/>
        <rFont val="Palatino Linotype"/>
        <family val="1"/>
      </rPr>
      <t xml:space="preserve">       </t>
    </r>
    <r>
      <rPr>
        <sz val="12"/>
        <color theme="1"/>
        <rFont val="Palatino Linotype"/>
        <family val="1"/>
      </rPr>
      <t>401(k) Expense – Defined Benefits</t>
    </r>
  </si>
  <si>
    <r>
      <t>·</t>
    </r>
    <r>
      <rPr>
        <sz val="7"/>
        <color theme="1"/>
        <rFont val="Palatino Linotype"/>
        <family val="1"/>
      </rPr>
      <t xml:space="preserve">       </t>
    </r>
    <r>
      <rPr>
        <sz val="12"/>
        <color theme="1"/>
        <rFont val="Palatino Linotype"/>
        <family val="1"/>
      </rPr>
      <t>Pension Restoration Plan</t>
    </r>
  </si>
  <si>
    <r>
      <t>·</t>
    </r>
    <r>
      <rPr>
        <sz val="7"/>
        <color theme="1"/>
        <rFont val="Palatino Linotype"/>
        <family val="1"/>
      </rPr>
      <t xml:space="preserve">       </t>
    </r>
    <r>
      <rPr>
        <sz val="12"/>
        <color theme="1"/>
        <rFont val="Palatino Linotype"/>
        <family val="1"/>
      </rPr>
      <t>Corporate Aircraft</t>
    </r>
  </si>
  <si>
    <t>Rea</t>
  </si>
  <si>
    <t>Johnson</t>
  </si>
  <si>
    <t>Owens</t>
  </si>
  <si>
    <t>Total O&amp;M Expense Adjustments</t>
  </si>
  <si>
    <t>CASH WORKING CAPITAL - 1 / 8 METHOD</t>
  </si>
  <si>
    <t>SCHEDULE B-5.2.B</t>
  </si>
  <si>
    <t xml:space="preserve">WORKPAPER REFERENCE NO(S). </t>
  </si>
  <si>
    <t>1 / 8 METHOD</t>
  </si>
  <si>
    <t>(Schedule C-2)</t>
  </si>
  <si>
    <t>CASH WORKING CAPITAL</t>
  </si>
  <si>
    <t>OPERATIONS AND MAINTENANCE EXPENSES:</t>
  </si>
  <si>
    <t>LIQUEFIED PETROLEUM GAS EXPENSES</t>
  </si>
  <si>
    <t>OTHER OPERATING EXPENSES</t>
  </si>
  <si>
    <t>TRAMSMISSION EXPENSES</t>
  </si>
  <si>
    <t>DISTRIBUTION EXPENSES</t>
  </si>
  <si>
    <t>CUSTOMER ACCOUNTS &amp; COLLECTING EXPENSES</t>
  </si>
  <si>
    <t>CUSTOMER SERVICE &amp; INFORMATION EXPENSES</t>
  </si>
  <si>
    <t>SALES EXPENSES</t>
  </si>
  <si>
    <t>ADMINISTRATIVE AND GENERAL EXPENSES</t>
  </si>
  <si>
    <t>TOTAL O &amp; M EXPENSES</t>
  </si>
  <si>
    <t>Columbia’s Rebuttal Revenue Requirement at Proposed Rates</t>
  </si>
  <si>
    <t>Check:</t>
  </si>
  <si>
    <t>Company Revised OAG Revenue Requirement:</t>
  </si>
  <si>
    <t>Adjustment</t>
  </si>
  <si>
    <t>Amount</t>
  </si>
  <si>
    <t>OAG Return on Rate Base Errors:</t>
  </si>
  <si>
    <t>- Customer Deposits / Interest Synchronization</t>
  </si>
  <si>
    <t>OAG Operating Expense Errors:</t>
  </si>
  <si>
    <t>- Capitalized Payroll (Labor) applied to O&amp;M</t>
  </si>
  <si>
    <t>- Capitalized Benefits (Labor) applied to O&amp;M</t>
  </si>
  <si>
    <t>- Capitalized Payroll Tax (Labor) applied to Other Taxes</t>
  </si>
  <si>
    <t>- NCSC Investor Relations-Items Removed x2</t>
  </si>
  <si>
    <t>Shaeffer 
&amp; Bly</t>
  </si>
  <si>
    <t>Return On Rate Base &amp; Capital Structure:</t>
  </si>
  <si>
    <t>Operations &amp; Maintenance Expense</t>
  </si>
  <si>
    <t>Columbia Direct, Short-term Incentive (STI) &amp; Profit Sharing</t>
  </si>
  <si>
    <t>Columbia Direct, Long-term Incentive (LTI)</t>
  </si>
  <si>
    <t>Columbia Direct, 401(k) Expense-Defined Benefits</t>
  </si>
  <si>
    <t>Columbia Direct, Corporate Insurance-D&amp;O</t>
  </si>
  <si>
    <t>NCSC Contract Billing, Allocated to Columbia</t>
  </si>
  <si>
    <r>
      <t>·</t>
    </r>
    <r>
      <rPr>
        <sz val="7"/>
        <color theme="1"/>
        <rFont val="Palatino Linotype"/>
        <family val="1"/>
      </rPr>
      <t xml:space="preserve">       </t>
    </r>
    <r>
      <rPr>
        <sz val="12"/>
        <color theme="1"/>
        <rFont val="Palatino Linotype"/>
        <family val="1"/>
      </rPr>
      <t>STI &amp; Profit Sharing, inclusive of Payroll Taxes</t>
    </r>
  </si>
  <si>
    <r>
      <t>·</t>
    </r>
    <r>
      <rPr>
        <sz val="7"/>
        <color theme="1"/>
        <rFont val="Palatino Linotype"/>
        <family val="1"/>
      </rPr>
      <t xml:space="preserve">       </t>
    </r>
    <r>
      <rPr>
        <sz val="12"/>
        <color theme="1"/>
        <rFont val="Palatino Linotype"/>
        <family val="1"/>
      </rPr>
      <t>LTI, inclusive of Payroll Taxes</t>
    </r>
  </si>
  <si>
    <t>Columbia Direct, Payroll Taxes (STI &amp; LTI)</t>
  </si>
  <si>
    <t>5) Return On Rate Base - CWC-ADIT:</t>
  </si>
  <si>
    <t>SUBTOTAL CAPITAL-RETURN ON RATE BASE</t>
  </si>
  <si>
    <t>Company Cash Working Capital-ADIT</t>
  </si>
  <si>
    <t>6) Long-Term Incentive Compensation (Financial)</t>
  </si>
  <si>
    <t>7) Short-Term Incentive Compensation (Financial)</t>
  </si>
  <si>
    <t>8) Profit Sharing (Financial)</t>
  </si>
  <si>
    <t>9) Labor / Payroll</t>
  </si>
  <si>
    <t>10) Benefits</t>
  </si>
  <si>
    <t>11) 401(k) Grandfathered Defined Benefits</t>
  </si>
  <si>
    <t>12) Pension SERP</t>
  </si>
  <si>
    <t>13) Corporate Aircraft</t>
  </si>
  <si>
    <t>14) Investor Relations</t>
  </si>
  <si>
    <t>15) Corporate Insurance - D&amp;O</t>
  </si>
  <si>
    <t>16) Dues &amp; Memberships - AGA</t>
  </si>
  <si>
    <t>17) Rate Case Expense</t>
  </si>
  <si>
    <t>- Cash Working Capital ADIT</t>
  </si>
  <si>
    <t>18) Return on Rate Base Differences Above (Items #1 - 5):</t>
  </si>
  <si>
    <t>19) Cost of Service Differences Above (Items #6 - 17):</t>
  </si>
  <si>
    <t>- Interest Synchronization</t>
  </si>
  <si>
    <t>DIFFERENCE (Line 2 less Line 1)</t>
  </si>
  <si>
    <t>DIFFERENCE (Line 5 less Line 4)</t>
  </si>
  <si>
    <t>DR Reference</t>
  </si>
  <si>
    <t>TYPE OF FILING:______ORIGINAL___X___UPDATED</t>
  </si>
  <si>
    <t>Columbia Direct, Dues &amp; Memberships (AGA)</t>
  </si>
  <si>
    <r>
      <t>·</t>
    </r>
    <r>
      <rPr>
        <sz val="7"/>
        <color theme="1"/>
        <rFont val="Palatino Linotype"/>
        <family val="1"/>
      </rPr>
      <t xml:space="preserve">       </t>
    </r>
    <r>
      <rPr>
        <sz val="12"/>
        <color theme="1"/>
        <rFont val="Palatino Linotype"/>
        <family val="1"/>
      </rPr>
      <t>Pension SERP</t>
    </r>
  </si>
  <si>
    <t>Columbia Direct, Rate Case Expense</t>
  </si>
  <si>
    <t>Cooper</t>
  </si>
  <si>
    <t>Shaeffer &amp; Cooper</t>
  </si>
  <si>
    <r>
      <t>·</t>
    </r>
    <r>
      <rPr>
        <sz val="7"/>
        <color theme="1"/>
        <rFont val="Palatino Linotype"/>
        <family val="1"/>
      </rPr>
      <t xml:space="preserve">       </t>
    </r>
    <r>
      <rPr>
        <sz val="12"/>
        <color theme="1"/>
        <rFont val="Palatino Linotype"/>
        <family val="1"/>
      </rPr>
      <t>Investor Relations (less amount above)</t>
    </r>
  </si>
  <si>
    <t>SCH A-1s1 &amp; 
SCH B-5.2.A</t>
  </si>
  <si>
    <t>SCH A-1s1 &amp; 
SCH Ds1</t>
  </si>
  <si>
    <t>SCH A-1s1&amp; SCH Ds3</t>
  </si>
  <si>
    <t>Return On Long-Term Debt + Uncoll. &amp; PSC Fee Gross-Up (1.005502)</t>
  </si>
  <si>
    <t>Return On Equity + Uncoll. &amp; PSC Fee Gross-Up (1.005502)</t>
  </si>
  <si>
    <t>Return On Customer Deposits + Uncoll. &amp; PSC Fee Gross-Up (1.005502)</t>
  </si>
  <si>
    <t>Return On CWC-ADIT + Uncoll. &amp; PSC Fee Gross-Up (1.005502)</t>
  </si>
  <si>
    <t>Return On CWC + Uncoll. &amp; PSC Fee Gross-Up (1.005502)</t>
  </si>
  <si>
    <t>Shaeffer &amp; Gore</t>
  </si>
  <si>
    <t>Shaeffer, Inscho, &amp; Bly</t>
  </si>
  <si>
    <t>PSC Case No. 2024-00092</t>
  </si>
  <si>
    <t>Attachment Rebuttal TLS-1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</si>
</sst>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_);\(#,##0.000000\)"/>
    <numFmt numFmtId="165" formatCode="_(* #,##0_);_(* \(#,##0\);_(* &quot;-&quot;??_);_(@_)"/>
    <numFmt numFmtId="166" formatCode="0.000000%"/>
    <numFmt numFmtId="167" formatCode="0.000000_)"/>
    <numFmt numFmtId="168" formatCode="&quot;$&quot;#,##0"/>
    <numFmt numFmtId="169" formatCode="_(&quot;$&quot;* #,##0_);_(&quot;$&quot;* \(#,##0\);_(&quot;$&quot;* &quot;-&quot;??_);_(@_)"/>
    <numFmt numFmtId="170" formatCode="0.0%"/>
    <numFmt numFmtId="171" formatCode="_(&quot;$&quot;* #,##0.00_);_(&quot;$&quot;* \(#,##0.00\);_(&quot;$&quot;* &quot;-&quot;_);_(@_)"/>
    <numFmt numFmtId="172" formatCode="0.000000"/>
  </numFmts>
  <fonts count="4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7"/>
      <name val="Helv"/>
    </font>
    <font>
      <u/>
      <sz val="10"/>
      <name val="Arial"/>
      <family val="2"/>
    </font>
    <font>
      <sz val="8"/>
      <name val="Helv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sz val="8"/>
      <name val="Aptos Narrow"/>
      <family val="2"/>
      <scheme val="minor"/>
    </font>
    <font>
      <sz val="12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sz val="10"/>
      <name val="Helv"/>
    </font>
    <font>
      <sz val="9"/>
      <name val="Arial"/>
      <family val="2"/>
    </font>
    <font>
      <sz val="9"/>
      <name val="Helv"/>
    </font>
    <font>
      <u val="double"/>
      <sz val="10"/>
      <name val="Arial"/>
      <family val="2"/>
    </font>
    <font>
      <b/>
      <sz val="10"/>
      <name val="Arial"/>
      <family val="2"/>
    </font>
    <font>
      <sz val="8"/>
      <name val="Tms Rmn"/>
    </font>
    <font>
      <sz val="10"/>
      <name val="Tms Rmn"/>
    </font>
    <font>
      <u val="singleAccounting"/>
      <sz val="10"/>
      <name val="Arial"/>
      <family val="2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</font>
    <font>
      <u/>
      <sz val="12"/>
      <color theme="1"/>
      <name val="Palatino Linotype"/>
      <family val="1"/>
    </font>
    <font>
      <i/>
      <sz val="12"/>
      <color theme="1"/>
      <name val="Palatino Linotype"/>
      <family val="1"/>
    </font>
    <font>
      <b/>
      <u/>
      <sz val="12"/>
      <color theme="1"/>
      <name val="Palatino Linotype"/>
      <family val="1"/>
    </font>
    <font>
      <b/>
      <i/>
      <sz val="10"/>
      <color theme="1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indexed="8"/>
      <name val="Arial"/>
      <family val="2"/>
    </font>
    <font>
      <b/>
      <i/>
      <u val="singleAccounting"/>
      <sz val="10"/>
      <color indexed="8"/>
      <name val="Arial"/>
      <family val="2"/>
    </font>
    <font>
      <u val="singleAccounting"/>
      <sz val="10"/>
      <color indexed="8"/>
      <name val="Arial"/>
      <family val="2"/>
    </font>
    <font>
      <u val="singleAccounting"/>
      <sz val="12"/>
      <color theme="1"/>
      <name val="Palatino Linotype"/>
      <family val="1"/>
    </font>
    <font>
      <sz val="7"/>
      <color theme="1"/>
      <name val="Palatino Linotype"/>
      <family val="1"/>
    </font>
    <font>
      <b/>
      <u val="singleAccounting"/>
      <sz val="12"/>
      <color theme="1"/>
      <name val="Palatino Linotype"/>
      <family val="1"/>
    </font>
    <font>
      <i/>
      <u/>
      <sz val="12"/>
      <color theme="1"/>
      <name val="Palatino Linotype"/>
      <family val="1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3" fontId="1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14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Fill="0" applyBorder="0"/>
    <xf numFmtId="0" fontId="17" fillId="0" borderId="0"/>
    <xf numFmtId="37" fontId="6" fillId="0" borderId="0" applyFill="0" applyBorder="0"/>
    <xf numFmtId="0" fontId="22" fillId="0" borderId="0"/>
    <xf numFmtId="0" fontId="23" fillId="0" borderId="0"/>
  </cellStyleXfs>
  <cellXfs count="374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2" fontId="2" fillId="0" borderId="0" xfId="2" applyNumberFormat="1" applyFont="1" applyFill="1" applyAlignment="1">
      <alignment vertical="center"/>
    </xf>
    <xf numFmtId="37" fontId="2" fillId="0" borderId="0" xfId="0" applyNumberFormat="1" applyFont="1" applyAlignment="1">
      <alignment vertical="center"/>
    </xf>
    <xf numFmtId="42" fontId="2" fillId="0" borderId="0" xfId="0" applyNumberFormat="1" applyFont="1" applyAlignment="1">
      <alignment vertical="center"/>
    </xf>
    <xf numFmtId="10" fontId="2" fillId="0" borderId="0" xfId="1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2" fontId="2" fillId="0" borderId="2" xfId="0" applyNumberFormat="1" applyFont="1" applyBorder="1" applyAlignment="1">
      <alignment vertical="center"/>
    </xf>
    <xf numFmtId="10" fontId="2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41" fontId="2" fillId="0" borderId="4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4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4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4" applyAlignment="1">
      <alignment vertical="center"/>
    </xf>
    <xf numFmtId="0" fontId="5" fillId="0" borderId="0" xfId="0" applyFont="1" applyAlignment="1">
      <alignment vertical="center"/>
    </xf>
    <xf numFmtId="37" fontId="2" fillId="0" borderId="0" xfId="0" applyNumberFormat="1" applyFont="1" applyAlignment="1" applyProtection="1">
      <alignment vertical="center"/>
      <protection locked="0"/>
    </xf>
    <xf numFmtId="165" fontId="2" fillId="0" borderId="0" xfId="5" applyNumberFormat="1" applyFont="1" applyFill="1" applyAlignment="1" applyProtection="1">
      <alignment vertical="center"/>
    </xf>
    <xf numFmtId="2" fontId="2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3" fontId="2" fillId="0" borderId="0" xfId="2" applyFont="1" applyAlignment="1">
      <alignment vertical="center"/>
    </xf>
    <xf numFmtId="165" fontId="2" fillId="0" borderId="0" xfId="2" applyNumberFormat="1" applyFont="1" applyFill="1" applyAlignment="1" applyProtection="1">
      <alignment vertical="center"/>
      <protection locked="0"/>
    </xf>
    <xf numFmtId="43" fontId="2" fillId="0" borderId="0" xfId="5" applyFont="1" applyFill="1" applyAlignment="1" applyProtection="1">
      <alignment vertical="center"/>
    </xf>
    <xf numFmtId="37" fontId="2" fillId="0" borderId="0" xfId="2" applyNumberFormat="1" applyFont="1" applyFill="1" applyAlignment="1" applyProtection="1">
      <alignment vertical="center"/>
    </xf>
    <xf numFmtId="37" fontId="2" fillId="0" borderId="1" xfId="0" applyNumberFormat="1" applyFont="1" applyBorder="1" applyAlignment="1">
      <alignment vertical="center"/>
    </xf>
    <xf numFmtId="165" fontId="2" fillId="0" borderId="1" xfId="2" applyNumberFormat="1" applyFont="1" applyFill="1" applyBorder="1" applyAlignment="1">
      <alignment vertical="center"/>
    </xf>
    <xf numFmtId="165" fontId="2" fillId="0" borderId="1" xfId="5" applyNumberFormat="1" applyFont="1" applyFill="1" applyBorder="1" applyAlignment="1" applyProtection="1">
      <alignment vertical="center"/>
    </xf>
    <xf numFmtId="165" fontId="2" fillId="0" borderId="0" xfId="0" applyNumberFormat="1" applyFont="1" applyAlignment="1">
      <alignment vertical="center"/>
    </xf>
    <xf numFmtId="165" fontId="2" fillId="0" borderId="5" xfId="5" applyNumberFormat="1" applyFont="1" applyFill="1" applyBorder="1" applyAlignment="1" applyProtection="1">
      <alignment vertical="center"/>
    </xf>
    <xf numFmtId="0" fontId="2" fillId="0" borderId="0" xfId="6" applyFont="1" applyAlignment="1">
      <alignment horizontal="center" vertical="center"/>
    </xf>
    <xf numFmtId="0" fontId="6" fillId="0" borderId="0" xfId="6" applyAlignment="1">
      <alignment vertical="center"/>
    </xf>
    <xf numFmtId="0" fontId="2" fillId="0" borderId="0" xfId="6" applyFont="1" applyAlignment="1" applyProtection="1">
      <alignment horizontal="center" vertical="center"/>
      <protection locked="0"/>
    </xf>
    <xf numFmtId="0" fontId="2" fillId="0" borderId="0" xfId="6" applyFont="1" applyAlignment="1">
      <alignment vertical="center"/>
    </xf>
    <xf numFmtId="0" fontId="2" fillId="0" borderId="0" xfId="6" applyFont="1" applyAlignment="1">
      <alignment horizontal="left" vertical="center"/>
    </xf>
    <xf numFmtId="0" fontId="7" fillId="0" borderId="0" xfId="6" applyFont="1" applyAlignment="1">
      <alignment vertical="center"/>
    </xf>
    <xf numFmtId="0" fontId="2" fillId="0" borderId="0" xfId="6" applyFont="1" applyAlignment="1">
      <alignment horizontal="right" vertical="center"/>
    </xf>
    <xf numFmtId="0" fontId="2" fillId="0" borderId="1" xfId="6" applyFont="1" applyBorder="1" applyAlignment="1">
      <alignment vertical="center"/>
    </xf>
    <xf numFmtId="0" fontId="6" fillId="0" borderId="0" xfId="6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quotePrefix="1" applyFont="1" applyAlignment="1">
      <alignment horizontal="center" vertical="center"/>
    </xf>
    <xf numFmtId="41" fontId="2" fillId="0" borderId="0" xfId="6" applyNumberFormat="1" applyFont="1" applyAlignment="1">
      <alignment vertical="center"/>
    </xf>
    <xf numFmtId="41" fontId="2" fillId="0" borderId="0" xfId="6" applyNumberFormat="1" applyFont="1" applyAlignment="1">
      <alignment horizontal="left" vertical="center"/>
    </xf>
    <xf numFmtId="41" fontId="2" fillId="0" borderId="4" xfId="6" applyNumberFormat="1" applyFont="1" applyBorder="1" applyAlignment="1">
      <alignment vertical="center"/>
    </xf>
    <xf numFmtId="41" fontId="8" fillId="0" borderId="0" xfId="6" applyNumberFormat="1" applyFont="1" applyAlignment="1">
      <alignment horizontal="center" vertical="center"/>
    </xf>
    <xf numFmtId="41" fontId="6" fillId="0" borderId="0" xfId="6" applyNumberFormat="1" applyAlignment="1">
      <alignment vertical="center"/>
    </xf>
    <xf numFmtId="41" fontId="2" fillId="0" borderId="3" xfId="6" applyNumberFormat="1" applyFont="1" applyBorder="1" applyAlignment="1">
      <alignment vertical="center"/>
    </xf>
    <xf numFmtId="41" fontId="2" fillId="0" borderId="2" xfId="6" applyNumberFormat="1" applyFont="1" applyBorder="1" applyAlignment="1">
      <alignment vertical="center"/>
    </xf>
    <xf numFmtId="37" fontId="2" fillId="0" borderId="0" xfId="6" applyNumberFormat="1" applyFont="1" applyAlignment="1">
      <alignment vertical="center"/>
    </xf>
    <xf numFmtId="10" fontId="2" fillId="0" borderId="0" xfId="6" applyNumberFormat="1" applyFont="1" applyAlignment="1">
      <alignment vertical="center"/>
    </xf>
    <xf numFmtId="10" fontId="2" fillId="0" borderId="2" xfId="6" applyNumberFormat="1" applyFont="1" applyBorder="1" applyAlignment="1">
      <alignment vertical="center"/>
    </xf>
    <xf numFmtId="0" fontId="9" fillId="0" borderId="0" xfId="6" applyFont="1" applyAlignment="1">
      <alignment vertical="center"/>
    </xf>
    <xf numFmtId="165" fontId="7" fillId="0" borderId="0" xfId="2" applyNumberFormat="1" applyFont="1" applyFill="1" applyAlignment="1">
      <alignment vertical="center"/>
    </xf>
    <xf numFmtId="10" fontId="7" fillId="0" borderId="0" xfId="7" applyNumberFormat="1" applyFont="1" applyFill="1" applyAlignment="1">
      <alignment vertical="center"/>
    </xf>
    <xf numFmtId="9" fontId="7" fillId="0" borderId="0" xfId="6" applyNumberFormat="1" applyFont="1" applyAlignment="1">
      <alignment vertical="center"/>
    </xf>
    <xf numFmtId="0" fontId="2" fillId="0" borderId="4" xfId="6" applyFont="1" applyBorder="1" applyAlignment="1">
      <alignment horizontal="left" vertical="center"/>
    </xf>
    <xf numFmtId="0" fontId="2" fillId="0" borderId="4" xfId="6" applyFont="1" applyBorder="1" applyAlignment="1">
      <alignment vertical="center"/>
    </xf>
    <xf numFmtId="0" fontId="7" fillId="0" borderId="4" xfId="6" applyFont="1" applyBorder="1" applyAlignment="1">
      <alignment vertical="center"/>
    </xf>
    <xf numFmtId="0" fontId="2" fillId="0" borderId="4" xfId="6" applyFont="1" applyBorder="1" applyAlignment="1">
      <alignment horizontal="right" vertical="center"/>
    </xf>
    <xf numFmtId="0" fontId="2" fillId="0" borderId="0" xfId="6" applyFont="1" applyAlignment="1" applyProtection="1">
      <alignment vertical="center"/>
      <protection locked="0"/>
    </xf>
    <xf numFmtId="0" fontId="10" fillId="0" borderId="0" xfId="6" applyFont="1" applyAlignment="1">
      <alignment vertical="center"/>
    </xf>
    <xf numFmtId="0" fontId="2" fillId="0" borderId="0" xfId="6" applyFont="1" applyAlignment="1" applyProtection="1">
      <alignment horizontal="right" vertical="center"/>
      <protection locked="0"/>
    </xf>
    <xf numFmtId="0" fontId="10" fillId="0" borderId="4" xfId="6" applyFont="1" applyBorder="1" applyAlignment="1">
      <alignment vertical="center"/>
    </xf>
    <xf numFmtId="0" fontId="2" fillId="0" borderId="3" xfId="6" applyFont="1" applyBorder="1" applyAlignment="1" applyProtection="1">
      <alignment horizontal="center" vertical="center"/>
      <protection locked="0"/>
    </xf>
    <xf numFmtId="0" fontId="2" fillId="0" borderId="3" xfId="6" applyFont="1" applyBorder="1" applyAlignment="1">
      <alignment vertical="center"/>
    </xf>
    <xf numFmtId="0" fontId="2" fillId="0" borderId="1" xfId="6" applyFont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41" fontId="2" fillId="0" borderId="0" xfId="6" applyNumberFormat="1" applyFont="1" applyAlignment="1" applyProtection="1">
      <alignment vertical="center"/>
      <protection locked="0"/>
    </xf>
    <xf numFmtId="0" fontId="5" fillId="0" borderId="0" xfId="6" applyFont="1" applyAlignment="1" applyProtection="1">
      <alignment vertical="center"/>
      <protection locked="0"/>
    </xf>
    <xf numFmtId="0" fontId="2" fillId="0" borderId="0" xfId="6" applyFont="1" applyAlignment="1" applyProtection="1">
      <alignment horizontal="left" vertical="center"/>
      <protection locked="0"/>
    </xf>
    <xf numFmtId="41" fontId="2" fillId="0" borderId="1" xfId="6" applyNumberFormat="1" applyFont="1" applyBorder="1" applyAlignment="1">
      <alignment vertical="center"/>
    </xf>
    <xf numFmtId="41" fontId="4" fillId="0" borderId="0" xfId="6" applyNumberFormat="1" applyFont="1" applyAlignment="1">
      <alignment vertical="center"/>
    </xf>
    <xf numFmtId="37" fontId="11" fillId="0" borderId="0" xfId="6" applyNumberFormat="1" applyFont="1" applyAlignment="1">
      <alignment vertical="center"/>
    </xf>
    <xf numFmtId="37" fontId="4" fillId="0" borderId="0" xfId="6" applyNumberFormat="1" applyFont="1" applyAlignment="1" applyProtection="1">
      <alignment vertical="center"/>
      <protection locked="0"/>
    </xf>
    <xf numFmtId="0" fontId="2" fillId="0" borderId="0" xfId="3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0" xfId="5" applyNumberFormat="1" applyFont="1" applyFill="1" applyBorder="1" applyAlignment="1" applyProtection="1">
      <alignment vertical="center"/>
    </xf>
    <xf numFmtId="1" fontId="2" fillId="0" borderId="0" xfId="0" applyNumberFormat="1" applyFont="1" applyAlignment="1">
      <alignment vertical="center"/>
    </xf>
    <xf numFmtId="37" fontId="2" fillId="0" borderId="4" xfId="0" applyNumberFormat="1" applyFont="1" applyBorder="1" applyAlignment="1">
      <alignment vertical="center"/>
    </xf>
    <xf numFmtId="165" fontId="2" fillId="0" borderId="4" xfId="5" applyNumberFormat="1" applyFont="1" applyFill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0" borderId="0" xfId="0" applyFont="1"/>
    <xf numFmtId="0" fontId="2" fillId="0" borderId="0" xfId="8" applyFont="1" applyAlignment="1">
      <alignment horizontal="center"/>
    </xf>
    <xf numFmtId="0" fontId="3" fillId="0" borderId="0" xfId="0" applyFont="1" applyAlignment="1">
      <alignment horizontal="center"/>
    </xf>
    <xf numFmtId="42" fontId="3" fillId="0" borderId="0" xfId="0" applyNumberFormat="1" applyFont="1"/>
    <xf numFmtId="0" fontId="2" fillId="0" borderId="0" xfId="6" applyFont="1" applyAlignment="1">
      <alignment horizontal="left" vertical="center" indent="1"/>
    </xf>
    <xf numFmtId="0" fontId="2" fillId="0" borderId="0" xfId="6" applyFont="1" applyAlignment="1" applyProtection="1">
      <alignment horizontal="left" vertical="center" indent="1"/>
      <protection locked="0"/>
    </xf>
    <xf numFmtId="0" fontId="16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/>
    </xf>
    <xf numFmtId="0" fontId="2" fillId="0" borderId="0" xfId="6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16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" vertical="center" wrapText="1"/>
      <protection locked="0"/>
    </xf>
    <xf numFmtId="41" fontId="8" fillId="0" borderId="0" xfId="6" applyNumberFormat="1" applyFont="1" applyAlignment="1">
      <alignment vertical="center"/>
    </xf>
    <xf numFmtId="41" fontId="2" fillId="0" borderId="1" xfId="6" applyNumberFormat="1" applyFont="1" applyBorder="1" applyAlignment="1">
      <alignment horizontal="left" vertical="center"/>
    </xf>
    <xf numFmtId="0" fontId="2" fillId="0" borderId="0" xfId="12" applyFont="1" applyFill="1" applyAlignment="1">
      <alignment horizontal="center" vertical="center"/>
    </xf>
    <xf numFmtId="0" fontId="6" fillId="0" borderId="0" xfId="12" applyFill="1" applyAlignment="1">
      <alignment vertical="center"/>
    </xf>
    <xf numFmtId="0" fontId="2" fillId="0" borderId="0" xfId="12" applyFont="1" applyFill="1" applyAlignment="1">
      <alignment vertical="center"/>
    </xf>
    <xf numFmtId="0" fontId="7" fillId="0" borderId="0" xfId="12" applyFont="1" applyFill="1" applyAlignment="1">
      <alignment vertical="center"/>
    </xf>
    <xf numFmtId="0" fontId="2" fillId="0" borderId="0" xfId="12" applyFont="1" applyFill="1" applyAlignment="1">
      <alignment horizontal="right" vertical="center"/>
    </xf>
    <xf numFmtId="0" fontId="2" fillId="0" borderId="0" xfId="12" applyFont="1" applyFill="1" applyBorder="1" applyAlignment="1">
      <alignment horizontal="left" vertical="center"/>
    </xf>
    <xf numFmtId="0" fontId="2" fillId="0" borderId="0" xfId="12" applyFont="1" applyFill="1" applyBorder="1" applyAlignment="1">
      <alignment vertical="center"/>
    </xf>
    <xf numFmtId="0" fontId="7" fillId="0" borderId="0" xfId="12" applyFont="1" applyFill="1" applyBorder="1" applyAlignment="1">
      <alignment vertical="center"/>
    </xf>
    <xf numFmtId="0" fontId="2" fillId="0" borderId="0" xfId="12" applyFont="1" applyFill="1" applyBorder="1" applyAlignment="1">
      <alignment horizontal="right" vertical="center"/>
    </xf>
    <xf numFmtId="0" fontId="2" fillId="0" borderId="4" xfId="12" applyFont="1" applyFill="1" applyBorder="1" applyAlignment="1">
      <alignment horizontal="left" vertical="center"/>
    </xf>
    <xf numFmtId="0" fontId="2" fillId="0" borderId="4" xfId="12" applyFont="1" applyFill="1" applyBorder="1" applyAlignment="1">
      <alignment vertical="center"/>
    </xf>
    <xf numFmtId="0" fontId="7" fillId="0" borderId="4" xfId="12" applyFont="1" applyFill="1" applyBorder="1" applyAlignment="1">
      <alignment vertical="center"/>
    </xf>
    <xf numFmtId="0" fontId="2" fillId="0" borderId="4" xfId="12" applyFont="1" applyFill="1" applyBorder="1" applyAlignment="1">
      <alignment horizontal="right" vertical="center"/>
    </xf>
    <xf numFmtId="0" fontId="6" fillId="0" borderId="0" xfId="12" applyFill="1" applyAlignment="1">
      <alignment horizontal="center" vertical="center"/>
    </xf>
    <xf numFmtId="0" fontId="2" fillId="0" borderId="3" xfId="12" applyFont="1" applyFill="1" applyBorder="1" applyAlignment="1">
      <alignment horizontal="center" vertical="center"/>
    </xf>
    <xf numFmtId="0" fontId="2" fillId="0" borderId="0" xfId="12" applyFont="1" applyFill="1" applyBorder="1" applyAlignment="1">
      <alignment horizontal="center" vertical="center"/>
    </xf>
    <xf numFmtId="0" fontId="2" fillId="0" borderId="0" xfId="12" quotePrefix="1" applyFont="1" applyFill="1" applyAlignment="1">
      <alignment horizontal="center" vertical="center"/>
    </xf>
    <xf numFmtId="0" fontId="2" fillId="0" borderId="0" xfId="12" quotePrefix="1" applyFont="1" applyFill="1" applyBorder="1" applyAlignment="1">
      <alignment horizontal="center" vertical="center"/>
    </xf>
    <xf numFmtId="6" fontId="2" fillId="0" borderId="0" xfId="12" applyNumberFormat="1" applyFont="1" applyFill="1" applyAlignment="1">
      <alignment horizontal="center" vertical="center"/>
    </xf>
    <xf numFmtId="37" fontId="2" fillId="0" borderId="0" xfId="12" applyNumberFormat="1" applyFont="1" applyFill="1" applyAlignment="1">
      <alignment vertical="center"/>
    </xf>
    <xf numFmtId="10" fontId="2" fillId="0" borderId="0" xfId="12" applyNumberFormat="1" applyFont="1" applyFill="1" applyAlignment="1">
      <alignment vertical="center"/>
    </xf>
    <xf numFmtId="37" fontId="2" fillId="0" borderId="3" xfId="12" applyNumberFormat="1" applyFont="1" applyFill="1" applyBorder="1" applyAlignment="1">
      <alignment vertical="center"/>
    </xf>
    <xf numFmtId="10" fontId="2" fillId="0" borderId="4" xfId="12" applyNumberFormat="1" applyFont="1" applyFill="1" applyBorder="1" applyAlignment="1">
      <alignment vertical="center"/>
    </xf>
    <xf numFmtId="0" fontId="7" fillId="0" borderId="0" xfId="12" applyFont="1" applyFill="1" applyAlignment="1">
      <alignment horizontal="right" vertical="center"/>
    </xf>
    <xf numFmtId="10" fontId="2" fillId="0" borderId="9" xfId="12" applyNumberFormat="1" applyFont="1" applyFill="1" applyBorder="1" applyAlignment="1">
      <alignment vertical="center"/>
    </xf>
    <xf numFmtId="10" fontId="2" fillId="0" borderId="0" xfId="0" applyNumberFormat="1" applyFont="1" applyAlignment="1">
      <alignment vertical="center"/>
    </xf>
    <xf numFmtId="0" fontId="2" fillId="0" borderId="0" xfId="13" applyFont="1" applyAlignment="1">
      <alignment horizontal="center" vertical="center"/>
    </xf>
    <xf numFmtId="0" fontId="18" fillId="0" borderId="0" xfId="13" applyFont="1" applyAlignment="1">
      <alignment vertical="center"/>
    </xf>
    <xf numFmtId="0" fontId="19" fillId="0" borderId="0" xfId="13" applyFont="1" applyAlignment="1">
      <alignment vertical="center"/>
    </xf>
    <xf numFmtId="0" fontId="2" fillId="0" borderId="0" xfId="13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right" vertical="center"/>
    </xf>
    <xf numFmtId="0" fontId="19" fillId="0" borderId="0" xfId="13" applyFont="1" applyAlignment="1">
      <alignment horizontal="center" vertical="center"/>
    </xf>
    <xf numFmtId="0" fontId="7" fillId="0" borderId="0" xfId="13" applyFont="1" applyAlignment="1">
      <alignment vertical="center"/>
    </xf>
    <xf numFmtId="0" fontId="2" fillId="0" borderId="4" xfId="13" applyFont="1" applyBorder="1" applyAlignment="1">
      <alignment horizontal="center" vertical="center"/>
    </xf>
    <xf numFmtId="37" fontId="2" fillId="0" borderId="4" xfId="13" applyNumberFormat="1" applyFont="1" applyBorder="1" applyAlignment="1">
      <alignment horizontal="center" vertical="center"/>
    </xf>
    <xf numFmtId="0" fontId="5" fillId="0" borderId="4" xfId="13" applyFont="1" applyBorder="1" applyAlignment="1">
      <alignment horizontal="center" vertical="center"/>
    </xf>
    <xf numFmtId="0" fontId="2" fillId="0" borderId="0" xfId="4" quotePrefix="1" applyAlignment="1">
      <alignment horizontal="center" vertical="center"/>
    </xf>
    <xf numFmtId="166" fontId="2" fillId="0" borderId="0" xfId="13" applyNumberFormat="1" applyFont="1" applyAlignment="1">
      <alignment vertical="center"/>
    </xf>
    <xf numFmtId="166" fontId="2" fillId="0" borderId="3" xfId="13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0" fontId="2" fillId="0" borderId="0" xfId="13" applyNumberFormat="1" applyFont="1" applyAlignment="1">
      <alignment vertical="center"/>
    </xf>
    <xf numFmtId="10" fontId="2" fillId="0" borderId="0" xfId="7" applyNumberFormat="1" applyFont="1" applyFill="1" applyAlignment="1">
      <alignment vertical="center"/>
    </xf>
    <xf numFmtId="167" fontId="20" fillId="0" borderId="0" xfId="13" applyNumberFormat="1" applyFont="1" applyAlignment="1">
      <alignment vertical="center"/>
    </xf>
    <xf numFmtId="0" fontId="18" fillId="0" borderId="0" xfId="13" applyFont="1" applyAlignment="1">
      <alignment horizontal="left" vertical="center"/>
    </xf>
    <xf numFmtId="0" fontId="19" fillId="0" borderId="6" xfId="13" applyFont="1" applyBorder="1" applyAlignment="1">
      <alignment vertical="center"/>
    </xf>
    <xf numFmtId="0" fontId="2" fillId="0" borderId="4" xfId="13" applyFont="1" applyBorder="1" applyAlignment="1">
      <alignment vertical="center"/>
    </xf>
    <xf numFmtId="37" fontId="2" fillId="0" borderId="0" xfId="14" applyFont="1" applyFill="1" applyAlignment="1">
      <alignment horizontal="center" vertical="center"/>
    </xf>
    <xf numFmtId="37" fontId="2" fillId="0" borderId="0" xfId="14" applyFont="1" applyFill="1" applyAlignment="1">
      <alignment vertical="center"/>
    </xf>
    <xf numFmtId="37" fontId="2" fillId="0" borderId="0" xfId="14" applyFont="1" applyFill="1" applyAlignment="1">
      <alignment horizontal="right" vertical="center"/>
    </xf>
    <xf numFmtId="37" fontId="2" fillId="0" borderId="0" xfId="14" applyFont="1" applyFill="1" applyBorder="1" applyAlignment="1">
      <alignment vertical="center"/>
    </xf>
    <xf numFmtId="37" fontId="2" fillId="0" borderId="0" xfId="14" applyFont="1" applyFill="1" applyBorder="1" applyAlignment="1">
      <alignment horizontal="right" vertical="center"/>
    </xf>
    <xf numFmtId="37" fontId="2" fillId="0" borderId="4" xfId="14" applyFont="1" applyFill="1" applyBorder="1" applyAlignment="1">
      <alignment vertical="center"/>
    </xf>
    <xf numFmtId="37" fontId="2" fillId="0" borderId="4" xfId="14" applyFont="1" applyFill="1" applyBorder="1" applyAlignment="1">
      <alignment horizontal="right" vertical="center"/>
    </xf>
    <xf numFmtId="0" fontId="2" fillId="0" borderId="6" xfId="6" applyFont="1" applyBorder="1" applyAlignment="1">
      <alignment horizontal="left" vertical="center"/>
    </xf>
    <xf numFmtId="37" fontId="2" fillId="0" borderId="6" xfId="14" applyFont="1" applyFill="1" applyBorder="1" applyAlignment="1">
      <alignment vertical="center"/>
    </xf>
    <xf numFmtId="37" fontId="2" fillId="0" borderId="6" xfId="14" applyFont="1" applyFill="1" applyBorder="1" applyAlignment="1">
      <alignment horizontal="center" vertical="center"/>
    </xf>
    <xf numFmtId="37" fontId="2" fillId="0" borderId="0" xfId="14" applyFont="1" applyFill="1" applyBorder="1" applyAlignment="1">
      <alignment horizontal="center" vertical="center"/>
    </xf>
    <xf numFmtId="0" fontId="2" fillId="0" borderId="4" xfId="6" applyFont="1" applyBorder="1" applyAlignment="1" applyProtection="1">
      <alignment horizontal="center" vertical="center"/>
      <protection locked="0"/>
    </xf>
    <xf numFmtId="0" fontId="2" fillId="0" borderId="4" xfId="6" applyFont="1" applyBorder="1" applyAlignment="1">
      <alignment horizontal="center" vertical="center"/>
    </xf>
    <xf numFmtId="37" fontId="2" fillId="0" borderId="4" xfId="14" applyFont="1" applyFill="1" applyBorder="1" applyAlignment="1">
      <alignment horizontal="center" vertical="center"/>
    </xf>
    <xf numFmtId="37" fontId="2" fillId="0" borderId="0" xfId="14" quotePrefix="1" applyFont="1" applyFill="1" applyAlignment="1">
      <alignment horizontal="center" vertical="center"/>
    </xf>
    <xf numFmtId="37" fontId="21" fillId="0" borderId="0" xfId="14" applyFont="1" applyFill="1" applyAlignment="1">
      <alignment vertical="center"/>
    </xf>
    <xf numFmtId="10" fontId="21" fillId="0" borderId="0" xfId="7" applyNumberFormat="1" applyFont="1" applyFill="1" applyAlignment="1">
      <alignment vertical="center"/>
    </xf>
    <xf numFmtId="37" fontId="2" fillId="0" borderId="5" xfId="14" applyFont="1" applyFill="1" applyBorder="1" applyAlignment="1">
      <alignment vertical="center"/>
    </xf>
    <xf numFmtId="0" fontId="2" fillId="0" borderId="6" xfId="6" applyFont="1" applyBorder="1" applyAlignment="1">
      <alignment horizontal="center" vertical="center"/>
    </xf>
    <xf numFmtId="37" fontId="2" fillId="0" borderId="0" xfId="14" applyFont="1" applyFill="1" applyAlignment="1">
      <alignment horizontal="left" vertical="center"/>
    </xf>
    <xf numFmtId="42" fontId="2" fillId="0" borderId="9" xfId="2" applyNumberFormat="1" applyFont="1" applyFill="1" applyBorder="1" applyAlignment="1">
      <alignment vertical="center"/>
    </xf>
    <xf numFmtId="41" fontId="0" fillId="0" borderId="0" xfId="0" applyNumberFormat="1"/>
    <xf numFmtId="0" fontId="25" fillId="0" borderId="16" xfId="0" applyFont="1" applyBorder="1" applyAlignment="1">
      <alignment horizontal="justify" vertical="center" wrapText="1"/>
    </xf>
    <xf numFmtId="0" fontId="26" fillId="0" borderId="16" xfId="0" applyFont="1" applyBorder="1" applyAlignment="1">
      <alignment horizontal="justify" vertical="center" wrapText="1"/>
    </xf>
    <xf numFmtId="0" fontId="27" fillId="0" borderId="16" xfId="0" applyFont="1" applyBorder="1" applyAlignment="1">
      <alignment horizontal="justify" vertical="center" wrapText="1"/>
    </xf>
    <xf numFmtId="0" fontId="28" fillId="0" borderId="16" xfId="0" applyFont="1" applyBorder="1" applyAlignment="1">
      <alignment horizontal="justify" vertical="center" wrapText="1"/>
    </xf>
    <xf numFmtId="0" fontId="25" fillId="0" borderId="15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right" vertical="center" wrapText="1"/>
    </xf>
    <xf numFmtId="42" fontId="25" fillId="0" borderId="17" xfId="0" applyNumberFormat="1" applyFont="1" applyBorder="1" applyAlignment="1">
      <alignment horizontal="right" vertical="center" wrapText="1"/>
    </xf>
    <xf numFmtId="42" fontId="29" fillId="0" borderId="17" xfId="0" applyNumberFormat="1" applyFont="1" applyBorder="1" applyAlignment="1">
      <alignment horizontal="right" vertical="center" wrapText="1"/>
    </xf>
    <xf numFmtId="0" fontId="12" fillId="0" borderId="0" xfId="6" applyFont="1" applyAlignment="1">
      <alignment horizontal="center" vertical="center"/>
    </xf>
    <xf numFmtId="10" fontId="2" fillId="0" borderId="1" xfId="12" applyNumberFormat="1" applyFont="1" applyFill="1" applyBorder="1" applyAlignment="1">
      <alignment vertical="center"/>
    </xf>
    <xf numFmtId="0" fontId="2" fillId="0" borderId="0" xfId="13" applyFont="1" applyAlignment="1">
      <alignment horizontal="center" vertical="center" wrapText="1"/>
    </xf>
    <xf numFmtId="0" fontId="2" fillId="0" borderId="1" xfId="13" applyFont="1" applyBorder="1" applyAlignment="1">
      <alignment vertical="center"/>
    </xf>
    <xf numFmtId="0" fontId="2" fillId="0" borderId="1" xfId="13" applyFont="1" applyBorder="1" applyAlignment="1">
      <alignment horizontal="center" vertical="center"/>
    </xf>
    <xf numFmtId="0" fontId="2" fillId="0" borderId="0" xfId="13" applyFont="1" applyAlignment="1">
      <alignment horizontal="center"/>
    </xf>
    <xf numFmtId="0" fontId="2" fillId="0" borderId="0" xfId="13" applyFont="1" applyAlignment="1">
      <alignment horizontal="center" wrapText="1"/>
    </xf>
    <xf numFmtId="0" fontId="21" fillId="0" borderId="0" xfId="6" applyFont="1" applyAlignment="1">
      <alignment horizontal="left" vertical="center"/>
    </xf>
    <xf numFmtId="42" fontId="2" fillId="0" borderId="0" xfId="8" applyNumberFormat="1" applyFont="1"/>
    <xf numFmtId="168" fontId="30" fillId="0" borderId="9" xfId="0" applyNumberFormat="1" applyFont="1" applyBorder="1" applyAlignment="1">
      <alignment horizontal="center"/>
    </xf>
    <xf numFmtId="42" fontId="21" fillId="0" borderId="0" xfId="8" applyNumberFormat="1" applyFont="1"/>
    <xf numFmtId="42" fontId="31" fillId="0" borderId="0" xfId="9" applyNumberFormat="1" applyFont="1" applyFill="1" applyBorder="1" applyAlignment="1" applyProtection="1"/>
    <xf numFmtId="0" fontId="21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 wrapText="1"/>
    </xf>
    <xf numFmtId="0" fontId="21" fillId="0" borderId="4" xfId="6" applyFont="1" applyBorder="1" applyAlignment="1">
      <alignment horizontal="left" vertical="center"/>
    </xf>
    <xf numFmtId="0" fontId="3" fillId="0" borderId="4" xfId="0" applyFont="1" applyBorder="1"/>
    <xf numFmtId="0" fontId="2" fillId="0" borderId="4" xfId="6" applyFont="1" applyBorder="1" applyAlignment="1">
      <alignment horizontal="center" vertical="center" wrapText="1"/>
    </xf>
    <xf numFmtId="42" fontId="31" fillId="0" borderId="4" xfId="9" applyNumberFormat="1" applyFont="1" applyFill="1" applyBorder="1" applyAlignment="1" applyProtection="1"/>
    <xf numFmtId="0" fontId="32" fillId="0" borderId="0" xfId="6" applyFont="1" applyAlignment="1">
      <alignment horizontal="left" vertical="center"/>
    </xf>
    <xf numFmtId="0" fontId="8" fillId="0" borderId="0" xfId="6" applyFont="1" applyAlignment="1">
      <alignment horizontal="left" vertical="center"/>
    </xf>
    <xf numFmtId="10" fontId="3" fillId="0" borderId="0" xfId="0" applyNumberFormat="1" applyFont="1"/>
    <xf numFmtId="5" fontId="3" fillId="0" borderId="0" xfId="0" applyNumberFormat="1" applyFont="1" applyAlignment="1">
      <alignment horizontal="center"/>
    </xf>
    <xf numFmtId="10" fontId="33" fillId="0" borderId="0" xfId="0" applyNumberFormat="1" applyFont="1"/>
    <xf numFmtId="168" fontId="30" fillId="0" borderId="0" xfId="0" applyNumberFormat="1" applyFont="1" applyAlignment="1">
      <alignment horizontal="center"/>
    </xf>
    <xf numFmtId="42" fontId="15" fillId="0" borderId="0" xfId="0" applyNumberFormat="1" applyFont="1"/>
    <xf numFmtId="5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4" fillId="0" borderId="0" xfId="0" applyFont="1"/>
    <xf numFmtId="10" fontId="3" fillId="0" borderId="0" xfId="0" applyNumberFormat="1" applyFont="1" applyAlignment="1">
      <alignment horizontal="center"/>
    </xf>
    <xf numFmtId="42" fontId="35" fillId="0" borderId="0" xfId="0" applyNumberFormat="1" applyFont="1"/>
    <xf numFmtId="0" fontId="15" fillId="0" borderId="0" xfId="0" applyFont="1"/>
    <xf numFmtId="0" fontId="35" fillId="0" borderId="0" xfId="0" applyFont="1"/>
    <xf numFmtId="42" fontId="15" fillId="0" borderId="0" xfId="0" applyNumberFormat="1" applyFont="1" applyAlignment="1">
      <alignment horizontal="center" vertical="center"/>
    </xf>
    <xf numFmtId="5" fontId="3" fillId="0" borderId="0" xfId="0" applyNumberFormat="1" applyFont="1"/>
    <xf numFmtId="5" fontId="15" fillId="0" borderId="0" xfId="0" applyNumberFormat="1" applyFont="1" applyAlignment="1">
      <alignment horizontal="center"/>
    </xf>
    <xf numFmtId="42" fontId="30" fillId="0" borderId="0" xfId="0" applyNumberFormat="1" applyFont="1"/>
    <xf numFmtId="168" fontId="30" fillId="0" borderId="5" xfId="0" applyNumberFormat="1" applyFont="1" applyBorder="1" applyAlignment="1">
      <alignment horizontal="center"/>
    </xf>
    <xf numFmtId="5" fontId="30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42" fontId="36" fillId="0" borderId="4" xfId="0" applyNumberFormat="1" applyFont="1" applyBorder="1"/>
    <xf numFmtId="42" fontId="15" fillId="0" borderId="4" xfId="0" applyNumberFormat="1" applyFont="1" applyBorder="1" applyAlignment="1">
      <alignment horizontal="center"/>
    </xf>
    <xf numFmtId="0" fontId="35" fillId="0" borderId="4" xfId="0" applyFont="1" applyBorder="1"/>
    <xf numFmtId="5" fontId="3" fillId="0" borderId="4" xfId="0" applyNumberFormat="1" applyFont="1" applyBorder="1" applyAlignment="1">
      <alignment horizontal="center"/>
    </xf>
    <xf numFmtId="42" fontId="36" fillId="0" borderId="0" xfId="0" applyNumberFormat="1" applyFont="1"/>
    <xf numFmtId="42" fontId="36" fillId="0" borderId="0" xfId="0" applyNumberFormat="1" applyFont="1" applyAlignment="1">
      <alignment horizontal="center"/>
    </xf>
    <xf numFmtId="42" fontId="36" fillId="0" borderId="0" xfId="0" applyNumberFormat="1" applyFont="1" applyAlignment="1">
      <alignment horizontal="center" wrapText="1"/>
    </xf>
    <xf numFmtId="0" fontId="2" fillId="2" borderId="0" xfId="6" applyFont="1" applyFill="1" applyAlignment="1">
      <alignment horizontal="center" vertical="center"/>
    </xf>
    <xf numFmtId="0" fontId="3" fillId="2" borderId="0" xfId="0" applyFont="1" applyFill="1"/>
    <xf numFmtId="42" fontId="3" fillId="2" borderId="0" xfId="0" applyNumberFormat="1" applyFont="1" applyFill="1"/>
    <xf numFmtId="42" fontId="3" fillId="0" borderId="0" xfId="0" applyNumberFormat="1" applyFont="1" applyAlignment="1">
      <alignment horizontal="center"/>
    </xf>
    <xf numFmtId="42" fontId="15" fillId="0" borderId="0" xfId="0" applyNumberFormat="1" applyFont="1" applyAlignment="1">
      <alignment horizontal="center"/>
    </xf>
    <xf numFmtId="42" fontId="15" fillId="0" borderId="18" xfId="0" applyNumberFormat="1" applyFont="1" applyBorder="1"/>
    <xf numFmtId="168" fontId="3" fillId="0" borderId="0" xfId="0" applyNumberFormat="1" applyFont="1" applyAlignment="1">
      <alignment horizontal="center"/>
    </xf>
    <xf numFmtId="0" fontId="30" fillId="0" borderId="0" xfId="0" applyFont="1"/>
    <xf numFmtId="5" fontId="30" fillId="0" borderId="0" xfId="0" applyNumberFormat="1" applyFont="1"/>
    <xf numFmtId="168" fontId="35" fillId="0" borderId="0" xfId="0" applyNumberFormat="1" applyFont="1" applyAlignment="1">
      <alignment horizontal="center"/>
    </xf>
    <xf numFmtId="0" fontId="37" fillId="0" borderId="0" xfId="0" applyFont="1"/>
    <xf numFmtId="41" fontId="3" fillId="0" borderId="0" xfId="0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41" fontId="3" fillId="0" borderId="0" xfId="0" applyNumberFormat="1" applyFont="1"/>
    <xf numFmtId="169" fontId="3" fillId="0" borderId="0" xfId="0" applyNumberFormat="1" applyFont="1"/>
    <xf numFmtId="169" fontId="3" fillId="0" borderId="9" xfId="0" applyNumberFormat="1" applyFont="1" applyBorder="1"/>
    <xf numFmtId="44" fontId="3" fillId="0" borderId="0" xfId="0" applyNumberFormat="1" applyFont="1"/>
    <xf numFmtId="43" fontId="3" fillId="0" borderId="0" xfId="0" applyNumberFormat="1" applyFont="1"/>
    <xf numFmtId="7" fontId="3" fillId="0" borderId="0" xfId="0" applyNumberFormat="1" applyFont="1"/>
    <xf numFmtId="172" fontId="3" fillId="0" borderId="0" xfId="0" applyNumberFormat="1" applyFont="1"/>
    <xf numFmtId="0" fontId="33" fillId="0" borderId="0" xfId="0" applyFont="1"/>
    <xf numFmtId="169" fontId="35" fillId="0" borderId="0" xfId="0" applyNumberFormat="1" applyFont="1"/>
    <xf numFmtId="5" fontId="3" fillId="0" borderId="9" xfId="0" applyNumberFormat="1" applyFont="1" applyBorder="1"/>
    <xf numFmtId="42" fontId="38" fillId="0" borderId="0" xfId="9" applyNumberFormat="1" applyFont="1" applyFill="1" applyBorder="1" applyAlignment="1" applyProtection="1"/>
    <xf numFmtId="42" fontId="39" fillId="0" borderId="0" xfId="9" applyNumberFormat="1" applyFont="1" applyFill="1" applyBorder="1" applyAlignment="1" applyProtection="1"/>
    <xf numFmtId="0" fontId="35" fillId="0" borderId="4" xfId="0" applyFont="1" applyBorder="1" applyAlignment="1">
      <alignment horizontal="center"/>
    </xf>
    <xf numFmtId="0" fontId="35" fillId="0" borderId="4" xfId="0" applyFont="1" applyBorder="1" applyAlignment="1">
      <alignment horizontal="center" wrapText="1"/>
    </xf>
    <xf numFmtId="0" fontId="2" fillId="0" borderId="0" xfId="6" applyFont="1" applyAlignment="1">
      <alignment horizontal="left" vertical="center" indent="2"/>
    </xf>
    <xf numFmtId="0" fontId="3" fillId="0" borderId="0" xfId="0" applyFont="1" applyAlignment="1">
      <alignment horizontal="left" indent="2"/>
    </xf>
    <xf numFmtId="10" fontId="3" fillId="0" borderId="0" xfId="0" applyNumberFormat="1" applyFont="1" applyAlignment="1">
      <alignment horizontal="left" indent="2"/>
    </xf>
    <xf numFmtId="0" fontId="15" fillId="0" borderId="0" xfId="0" applyFont="1" applyAlignment="1">
      <alignment horizontal="left" indent="2"/>
    </xf>
    <xf numFmtId="42" fontId="40" fillId="0" borderId="0" xfId="9" applyNumberFormat="1" applyFont="1" applyFill="1" applyBorder="1" applyAlignment="1" applyProtection="1">
      <alignment wrapText="1"/>
    </xf>
    <xf numFmtId="0" fontId="3" fillId="2" borderId="0" xfId="0" applyFont="1" applyFill="1" applyAlignment="1">
      <alignment horizontal="left" indent="2"/>
    </xf>
    <xf numFmtId="170" fontId="2" fillId="0" borderId="0" xfId="1" applyNumberFormat="1" applyFont="1" applyAlignment="1">
      <alignment horizontal="center" vertical="center"/>
    </xf>
    <xf numFmtId="41" fontId="2" fillId="3" borderId="0" xfId="6" applyNumberFormat="1" applyFont="1" applyFill="1" applyAlignment="1">
      <alignment vertical="center"/>
    </xf>
    <xf numFmtId="41" fontId="24" fillId="0" borderId="0" xfId="6" applyNumberFormat="1" applyFont="1" applyAlignment="1">
      <alignment vertical="center"/>
    </xf>
    <xf numFmtId="9" fontId="3" fillId="0" borderId="0" xfId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2" fillId="0" borderId="10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/>
    </xf>
    <xf numFmtId="42" fontId="26" fillId="0" borderId="17" xfId="0" applyNumberFormat="1" applyFont="1" applyBorder="1" applyAlignment="1">
      <alignment horizontal="right" vertical="center" wrapText="1"/>
    </xf>
    <xf numFmtId="42" fontId="41" fillId="0" borderId="17" xfId="0" applyNumberFormat="1" applyFont="1" applyBorder="1" applyAlignment="1">
      <alignment horizontal="right" vertical="center" wrapText="1"/>
    </xf>
    <xf numFmtId="0" fontId="25" fillId="0" borderId="17" xfId="0" applyFont="1" applyBorder="1" applyAlignment="1">
      <alignment horizontal="justify" vertical="center" wrapText="1"/>
    </xf>
    <xf numFmtId="0" fontId="26" fillId="0" borderId="17" xfId="0" applyFont="1" applyBorder="1" applyAlignment="1">
      <alignment horizontal="justify" vertical="center" wrapText="1"/>
    </xf>
    <xf numFmtId="0" fontId="27" fillId="0" borderId="17" xfId="0" applyFont="1" applyBorder="1" applyAlignment="1">
      <alignment horizontal="justify" vertical="center" wrapText="1"/>
    </xf>
    <xf numFmtId="0" fontId="28" fillId="0" borderId="17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justify" vertical="center" wrapText="1"/>
    </xf>
    <xf numFmtId="0" fontId="26" fillId="0" borderId="17" xfId="0" applyFont="1" applyBorder="1" applyAlignment="1">
      <alignment horizontal="center" vertical="center" wrapText="1"/>
    </xf>
    <xf numFmtId="42" fontId="28" fillId="0" borderId="17" xfId="0" applyNumberFormat="1" applyFont="1" applyBorder="1" applyAlignment="1">
      <alignment horizontal="right" vertical="center" wrapText="1"/>
    </xf>
    <xf numFmtId="43" fontId="3" fillId="0" borderId="0" xfId="11" applyFont="1"/>
    <xf numFmtId="43" fontId="3" fillId="0" borderId="4" xfId="11" applyFont="1" applyBorder="1"/>
    <xf numFmtId="165" fontId="3" fillId="0" borderId="0" xfId="11" applyNumberFormat="1" applyFont="1"/>
    <xf numFmtId="165" fontId="3" fillId="0" borderId="0" xfId="0" applyNumberFormat="1" applyFont="1"/>
    <xf numFmtId="165" fontId="3" fillId="0" borderId="4" xfId="0" applyNumberFormat="1" applyFont="1" applyBorder="1"/>
    <xf numFmtId="0" fontId="26" fillId="0" borderId="16" xfId="0" applyFont="1" applyBorder="1" applyAlignment="1">
      <alignment horizontal="left" vertical="center" wrapText="1" indent="1"/>
    </xf>
    <xf numFmtId="0" fontId="21" fillId="0" borderId="0" xfId="0" applyFont="1" applyAlignment="1">
      <alignment vertical="center"/>
    </xf>
    <xf numFmtId="10" fontId="2" fillId="0" borderId="0" xfId="4" applyNumberFormat="1" applyAlignment="1">
      <alignment horizontal="center" vertical="center"/>
    </xf>
    <xf numFmtId="42" fontId="0" fillId="0" borderId="0" xfId="0" applyNumberFormat="1"/>
    <xf numFmtId="42" fontId="43" fillId="0" borderId="17" xfId="0" applyNumberFormat="1" applyFont="1" applyBorder="1" applyAlignment="1">
      <alignment horizontal="right" vertical="center" wrapText="1"/>
    </xf>
    <xf numFmtId="41" fontId="2" fillId="0" borderId="5" xfId="6" applyNumberFormat="1" applyFont="1" applyBorder="1" applyAlignment="1">
      <alignment vertical="center"/>
    </xf>
    <xf numFmtId="171" fontId="25" fillId="0" borderId="17" xfId="0" applyNumberFormat="1" applyFont="1" applyBorder="1" applyAlignment="1">
      <alignment horizontal="right" vertical="center" wrapText="1"/>
    </xf>
    <xf numFmtId="171" fontId="26" fillId="0" borderId="17" xfId="0" applyNumberFormat="1" applyFont="1" applyBorder="1" applyAlignment="1">
      <alignment horizontal="right" vertical="center" wrapText="1"/>
    </xf>
    <xf numFmtId="42" fontId="15" fillId="4" borderId="0" xfId="0" applyNumberFormat="1" applyFont="1" applyFill="1"/>
    <xf numFmtId="42" fontId="15" fillId="5" borderId="0" xfId="0" applyNumberFormat="1" applyFont="1" applyFill="1"/>
    <xf numFmtId="0" fontId="25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171" fontId="25" fillId="0" borderId="17" xfId="0" applyNumberFormat="1" applyFont="1" applyBorder="1" applyAlignment="1">
      <alignment horizontal="center" vertical="center" wrapText="1"/>
    </xf>
    <xf numFmtId="0" fontId="26" fillId="0" borderId="16" xfId="0" quotePrefix="1" applyFont="1" applyBorder="1" applyAlignment="1">
      <alignment horizontal="justify" vertical="center" wrapText="1"/>
    </xf>
    <xf numFmtId="0" fontId="44" fillId="0" borderId="16" xfId="0" applyFont="1" applyBorder="1" applyAlignment="1">
      <alignment horizontal="justify" vertical="center" wrapText="1"/>
    </xf>
    <xf numFmtId="0" fontId="26" fillId="0" borderId="16" xfId="0" applyFont="1" applyBorder="1" applyAlignment="1">
      <alignment horizontal="left" vertical="center" wrapText="1" indent="2"/>
    </xf>
    <xf numFmtId="42" fontId="31" fillId="0" borderId="0" xfId="9" applyNumberFormat="1" applyFont="1" applyFill="1" applyBorder="1" applyAlignment="1" applyProtection="1">
      <alignment horizontal="center" wrapText="1"/>
    </xf>
    <xf numFmtId="42" fontId="31" fillId="0" borderId="1" xfId="9" applyNumberFormat="1" applyFont="1" applyFill="1" applyBorder="1" applyAlignment="1" applyProtection="1"/>
    <xf numFmtId="0" fontId="3" fillId="0" borderId="1" xfId="0" applyFont="1" applyBorder="1"/>
    <xf numFmtId="5" fontId="15" fillId="0" borderId="0" xfId="0" applyNumberFormat="1" applyFont="1" applyAlignment="1">
      <alignment vertical="center"/>
    </xf>
    <xf numFmtId="5" fontId="30" fillId="0" borderId="0" xfId="0" applyNumberFormat="1" applyFont="1" applyAlignment="1">
      <alignment horizontal="center"/>
    </xf>
    <xf numFmtId="42" fontId="3" fillId="0" borderId="0" xfId="0" quotePrefix="1" applyNumberFormat="1" applyFont="1"/>
    <xf numFmtId="10" fontId="33" fillId="0" borderId="0" xfId="0" applyNumberFormat="1" applyFont="1" applyAlignment="1">
      <alignment horizontal="right"/>
    </xf>
    <xf numFmtId="5" fontId="15" fillId="0" borderId="0" xfId="0" applyNumberFormat="1" applyFont="1"/>
    <xf numFmtId="0" fontId="2" fillId="0" borderId="7" xfId="6" applyFont="1" applyBorder="1" applyAlignment="1">
      <alignment horizontal="center" vertical="center"/>
    </xf>
    <xf numFmtId="5" fontId="26" fillId="0" borderId="17" xfId="0" applyNumberFormat="1" applyFont="1" applyBorder="1" applyAlignment="1">
      <alignment horizontal="right" vertical="center" wrapText="1"/>
    </xf>
    <xf numFmtId="0" fontId="45" fillId="0" borderId="0" xfId="0" applyFont="1"/>
    <xf numFmtId="0" fontId="2" fillId="0" borderId="0" xfId="0" applyFont="1"/>
    <xf numFmtId="0" fontId="6" fillId="0" borderId="1" xfId="12" applyFill="1" applyBorder="1" applyAlignment="1">
      <alignment vertical="center"/>
    </xf>
    <xf numFmtId="170" fontId="3" fillId="0" borderId="0" xfId="1" applyNumberFormat="1" applyFont="1" applyAlignment="1">
      <alignment horizontal="center"/>
    </xf>
    <xf numFmtId="170" fontId="3" fillId="0" borderId="4" xfId="1" applyNumberFormat="1" applyFont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5" fontId="15" fillId="0" borderId="18" xfId="0" applyNumberFormat="1" applyFont="1" applyBorder="1" applyAlignment="1">
      <alignment horizontal="center" vertical="center"/>
    </xf>
    <xf numFmtId="5" fontId="15" fillId="0" borderId="0" xfId="0" applyNumberFormat="1" applyFont="1" applyAlignment="1">
      <alignment horizontal="center"/>
    </xf>
    <xf numFmtId="10" fontId="33" fillId="0" borderId="0" xfId="0" applyNumberFormat="1" applyFont="1" applyAlignment="1">
      <alignment horizontal="center"/>
    </xf>
    <xf numFmtId="42" fontId="3" fillId="0" borderId="19" xfId="0" applyNumberFormat="1" applyFont="1" applyBorder="1" applyAlignment="1">
      <alignment horizontal="center" vertical="center"/>
    </xf>
    <xf numFmtId="42" fontId="3" fillId="0" borderId="20" xfId="0" applyNumberFormat="1" applyFont="1" applyBorder="1" applyAlignment="1">
      <alignment horizontal="center" vertical="center"/>
    </xf>
    <xf numFmtId="5" fontId="3" fillId="0" borderId="0" xfId="0" applyNumberFormat="1" applyFont="1" applyAlignment="1">
      <alignment horizontal="center"/>
    </xf>
    <xf numFmtId="5" fontId="30" fillId="0" borderId="5" xfId="0" applyNumberFormat="1" applyFont="1" applyBorder="1" applyAlignment="1">
      <alignment horizontal="center"/>
    </xf>
    <xf numFmtId="42" fontId="15" fillId="0" borderId="18" xfId="0" applyNumberFormat="1" applyFont="1" applyBorder="1" applyAlignment="1">
      <alignment horizontal="center" vertical="center"/>
    </xf>
    <xf numFmtId="42" fontId="15" fillId="0" borderId="0" xfId="0" applyNumberFormat="1" applyFont="1" applyAlignment="1">
      <alignment horizontal="center" vertical="center"/>
    </xf>
    <xf numFmtId="5" fontId="15" fillId="0" borderId="0" xfId="0" applyNumberFormat="1" applyFont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42" fontId="15" fillId="5" borderId="0" xfId="0" applyNumberFormat="1" applyFont="1" applyFill="1" applyAlignment="1">
      <alignment horizontal="center" vertical="center"/>
    </xf>
    <xf numFmtId="42" fontId="31" fillId="0" borderId="0" xfId="9" applyNumberFormat="1" applyFont="1" applyFill="1" applyBorder="1" applyAlignment="1" applyProtection="1">
      <alignment horizontal="center" wrapText="1"/>
    </xf>
    <xf numFmtId="42" fontId="31" fillId="0" borderId="4" xfId="9" applyNumberFormat="1" applyFont="1" applyFill="1" applyBorder="1" applyAlignment="1" applyProtection="1">
      <alignment horizontal="center" wrapText="1"/>
    </xf>
    <xf numFmtId="0" fontId="2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1" fontId="2" fillId="0" borderId="0" xfId="6" applyNumberFormat="1" applyFont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 applyProtection="1">
      <alignment horizontal="center" vertical="center"/>
      <protection locked="0"/>
    </xf>
    <xf numFmtId="0" fontId="2" fillId="0" borderId="7" xfId="6" applyFont="1" applyBorder="1" applyAlignment="1">
      <alignment horizontal="center" vertical="center" wrapText="1"/>
    </xf>
    <xf numFmtId="37" fontId="2" fillId="0" borderId="0" xfId="14" applyFont="1" applyFill="1" applyAlignment="1">
      <alignment horizontal="center" vertical="center"/>
    </xf>
    <xf numFmtId="37" fontId="2" fillId="0" borderId="7" xfId="14" applyFont="1" applyFill="1" applyBorder="1" applyAlignment="1">
      <alignment horizontal="center" vertical="center"/>
    </xf>
    <xf numFmtId="0" fontId="2" fillId="0" borderId="8" xfId="13" applyFont="1" applyBorder="1" applyAlignment="1">
      <alignment horizontal="center" vertical="center"/>
    </xf>
    <xf numFmtId="0" fontId="2" fillId="0" borderId="0" xfId="13" applyFont="1" applyAlignment="1">
      <alignment horizontal="center" vertical="center"/>
    </xf>
    <xf numFmtId="0" fontId="2" fillId="0" borderId="8" xfId="6" applyFont="1" applyBorder="1" applyAlignment="1">
      <alignment horizontal="center" vertical="center" wrapText="1"/>
    </xf>
    <xf numFmtId="0" fontId="2" fillId="0" borderId="0" xfId="12" applyFont="1" applyFill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0" fillId="0" borderId="0" xfId="0" applyAlignment="1">
      <alignment horizontal="right"/>
    </xf>
  </cellXfs>
  <cellStyles count="17">
    <cellStyle name="Comma" xfId="11" builtinId="3"/>
    <cellStyle name="Comma 2 4" xfId="2" xr:uid="{236ACA47-CC55-4D11-AC9B-527EC9A018E1}"/>
    <cellStyle name="Comma 3" xfId="10" xr:uid="{F020DC17-77A6-4BFE-8DE3-1D4504313E90}"/>
    <cellStyle name="Comma 6" xfId="5" xr:uid="{6C061171-6BFA-4DD6-B6B1-033E5EA2D504}"/>
    <cellStyle name="Currency 2" xfId="9" xr:uid="{754E138C-FE0B-4303-A81B-A98F29C79C43}"/>
    <cellStyle name="Normal" xfId="0" builtinId="0"/>
    <cellStyle name="Normal 12" xfId="16" xr:uid="{FB3FE0B1-042B-473C-9A75-7DD523EC9D19}"/>
    <cellStyle name="Normal 2 3" xfId="4" xr:uid="{0DB84162-1917-40E9-939C-7D485475A1B2}"/>
    <cellStyle name="Normal 3" xfId="8" xr:uid="{FE8E824B-4B7D-429D-9B8D-90C1703A9B28}"/>
    <cellStyle name="Normal 8" xfId="15" xr:uid="{97CA2B81-65B8-4626-AD61-F8388488D7F0}"/>
    <cellStyle name="Normal_B-2x3" xfId="3" xr:uid="{73D80312-55B1-491A-98E3-94ED28FD0E54}"/>
    <cellStyle name="Normal_E-1 Income Taxes" xfId="14" xr:uid="{17AB31AB-1B34-4557-844D-BCB19F13FAED}"/>
    <cellStyle name="Normal_H-1 GR Conversion Factor" xfId="13" xr:uid="{25ED2B44-004B-49CE-AC17-DBF235126118}"/>
    <cellStyle name="Normal_Schedule J" xfId="12" xr:uid="{DE4FAAA2-3475-481A-B0FE-DBE87E6BFB4D}"/>
    <cellStyle name="Normal_Schedules A thru L Cost of Servive June 30, 2009" xfId="6" xr:uid="{3BA3B69A-D3A0-4CD4-8566-8C8BD457848E}"/>
    <cellStyle name="Percent" xfId="1" builtinId="5"/>
    <cellStyle name="Percent 2 2" xfId="7" xr:uid="{7DC50247-1D06-48E4-90B8-5C9F8C1A2882}"/>
  </cellStyles>
  <dxfs count="0"/>
  <tableStyles count="0" defaultTableStyle="TableStyleMedium2" defaultPivotStyle="PivotStyleLight16"/>
  <colors>
    <mruColors>
      <color rgb="FFF8FEC2"/>
      <color rgb="FFFEF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B30B-B00E-4261-A342-5C8B8132EFE5}">
  <dimension ref="B1:E52"/>
  <sheetViews>
    <sheetView tabSelected="1" zoomScaleNormal="100" workbookViewId="0">
      <selection activeCell="I8" sqref="I8"/>
    </sheetView>
  </sheetViews>
  <sheetFormatPr defaultRowHeight="15" x14ac:dyDescent="0.25"/>
  <cols>
    <col min="2" max="2" width="71.85546875" bestFit="1" customWidth="1"/>
    <col min="3" max="3" width="11.7109375" customWidth="1"/>
    <col min="4" max="4" width="23.140625" customWidth="1"/>
    <col min="5" max="5" width="18" customWidth="1"/>
    <col min="6" max="6" width="4.140625" customWidth="1"/>
  </cols>
  <sheetData>
    <row r="1" spans="2:5" x14ac:dyDescent="0.25">
      <c r="E1" s="373" t="s">
        <v>662</v>
      </c>
    </row>
    <row r="2" spans="2:5" x14ac:dyDescent="0.25">
      <c r="E2" s="373" t="s">
        <v>663</v>
      </c>
    </row>
    <row r="3" spans="2:5" ht="15.75" thickBot="1" x14ac:dyDescent="0.3"/>
    <row r="4" spans="2:5" ht="18" x14ac:dyDescent="0.25">
      <c r="B4" s="333" t="s">
        <v>446</v>
      </c>
      <c r="C4" s="334"/>
      <c r="D4" s="334"/>
      <c r="E4" s="335"/>
    </row>
    <row r="5" spans="2:5" ht="18.75" thickBot="1" x14ac:dyDescent="0.3">
      <c r="B5" s="336" t="s">
        <v>447</v>
      </c>
      <c r="C5" s="337"/>
      <c r="D5" s="337"/>
      <c r="E5" s="338"/>
    </row>
    <row r="6" spans="2:5" ht="18" x14ac:dyDescent="0.25">
      <c r="B6" s="190" t="s">
        <v>448</v>
      </c>
      <c r="C6" s="289"/>
      <c r="D6" s="289"/>
      <c r="E6" s="196">
        <f>ROUND(+'Sch A (Rev. Req.)'!E37,0)</f>
        <v>150357678</v>
      </c>
    </row>
    <row r="7" spans="2:5" ht="18" x14ac:dyDescent="0.25">
      <c r="B7" s="190" t="s">
        <v>449</v>
      </c>
      <c r="C7" s="289"/>
      <c r="D7" s="289"/>
      <c r="E7" s="197">
        <f>ROUND(+'Sch A (Rev. Req.)'!G35,0)</f>
        <v>11189342</v>
      </c>
    </row>
    <row r="8" spans="2:5" ht="18" x14ac:dyDescent="0.25">
      <c r="B8" s="190" t="s">
        <v>450</v>
      </c>
      <c r="C8" s="289"/>
      <c r="D8" s="289"/>
      <c r="E8" s="196">
        <v>161547020</v>
      </c>
    </row>
    <row r="9" spans="2:5" ht="18" x14ac:dyDescent="0.25">
      <c r="B9" s="190"/>
      <c r="C9" s="289"/>
      <c r="D9" s="289"/>
      <c r="E9" s="307"/>
    </row>
    <row r="10" spans="2:5" ht="18" x14ac:dyDescent="0.25">
      <c r="B10" s="191"/>
      <c r="C10" s="311" t="s">
        <v>459</v>
      </c>
      <c r="D10" s="311" t="s">
        <v>537</v>
      </c>
      <c r="E10" s="313" t="s">
        <v>603</v>
      </c>
    </row>
    <row r="11" spans="2:5" ht="18" x14ac:dyDescent="0.25">
      <c r="B11" s="190" t="s">
        <v>602</v>
      </c>
      <c r="C11" s="312" t="s">
        <v>543</v>
      </c>
      <c r="D11" s="312" t="s">
        <v>458</v>
      </c>
      <c r="E11" s="312" t="s">
        <v>604</v>
      </c>
    </row>
    <row r="12" spans="2:5" ht="18" x14ac:dyDescent="0.25">
      <c r="B12" s="192" t="s">
        <v>605</v>
      </c>
      <c r="C12" s="312"/>
      <c r="D12" s="312"/>
      <c r="E12" s="312"/>
    </row>
    <row r="13" spans="2:5" ht="18" x14ac:dyDescent="0.25">
      <c r="B13" s="314" t="s">
        <v>641</v>
      </c>
      <c r="C13" s="294" t="s">
        <v>232</v>
      </c>
      <c r="D13" s="294" t="s">
        <v>538</v>
      </c>
      <c r="E13" s="287">
        <f>-ROUND('Sch A-1s1 (Co v OAG Recon)'!S39,0)</f>
        <v>122115</v>
      </c>
    </row>
    <row r="14" spans="2:5" ht="36" x14ac:dyDescent="0.25">
      <c r="B14" s="314" t="s">
        <v>606</v>
      </c>
      <c r="C14" s="294" t="s">
        <v>660</v>
      </c>
      <c r="D14" s="294" t="s">
        <v>539</v>
      </c>
      <c r="E14" s="287">
        <f>+ROUND('Sch A-1s1 (Co v OAG Recon)'!M32,0)</f>
        <v>178796</v>
      </c>
    </row>
    <row r="15" spans="2:5" ht="36" x14ac:dyDescent="0.25">
      <c r="B15" s="314" t="s">
        <v>638</v>
      </c>
      <c r="C15" s="294" t="s">
        <v>660</v>
      </c>
      <c r="D15" s="294" t="s">
        <v>539</v>
      </c>
      <c r="E15" s="287">
        <f>ROUND(-'Sch A-1s1 (Co v OAG Recon)'!M44,0)</f>
        <v>316918</v>
      </c>
    </row>
    <row r="16" spans="2:5" ht="18" x14ac:dyDescent="0.25">
      <c r="B16" s="192" t="s">
        <v>607</v>
      </c>
      <c r="C16" s="294"/>
      <c r="D16" s="294"/>
      <c r="E16" s="287"/>
    </row>
    <row r="17" spans="2:5" ht="18" x14ac:dyDescent="0.25">
      <c r="B17" s="314" t="s">
        <v>608</v>
      </c>
      <c r="C17" s="339" t="s">
        <v>661</v>
      </c>
      <c r="D17" s="294" t="s">
        <v>539</v>
      </c>
      <c r="E17" s="287">
        <f>ROUND(-SUM('Sch A-1s1 (Co v OAG Recon)'!I70:J70)-SUM('Sch A-1s1 (Co v OAG Recon)'!I72:J73),0)</f>
        <v>1664072</v>
      </c>
    </row>
    <row r="18" spans="2:5" ht="18" x14ac:dyDescent="0.25">
      <c r="B18" s="314" t="s">
        <v>609</v>
      </c>
      <c r="C18" s="339"/>
      <c r="D18" s="294" t="s">
        <v>539</v>
      </c>
      <c r="E18" s="287">
        <f>ROUND(-'Sch A-1s1 (Co v OAG Recon)'!K79,0)</f>
        <v>379356</v>
      </c>
    </row>
    <row r="19" spans="2:5" ht="18" x14ac:dyDescent="0.25">
      <c r="B19" s="314" t="s">
        <v>610</v>
      </c>
      <c r="C19" s="339"/>
      <c r="D19" s="294" t="s">
        <v>539</v>
      </c>
      <c r="E19" s="287">
        <f>ROUND(-SUM('Sch A-1s1 (Co v OAG Recon)'!I71:J71),0)</f>
        <v>85269</v>
      </c>
    </row>
    <row r="20" spans="2:5" ht="36" x14ac:dyDescent="0.25">
      <c r="B20" s="314" t="s">
        <v>611</v>
      </c>
      <c r="C20" s="294" t="s">
        <v>612</v>
      </c>
      <c r="D20" s="294" t="s">
        <v>654</v>
      </c>
      <c r="E20" s="288">
        <f>ROUND(+'Sch Ds3'!H37*'Sch H-1 (Conversion Factor)'!$J$36,0)</f>
        <v>26256</v>
      </c>
    </row>
    <row r="21" spans="2:5" ht="18" x14ac:dyDescent="0.25">
      <c r="B21" s="190" t="s">
        <v>515</v>
      </c>
      <c r="C21" s="289"/>
      <c r="D21" s="289"/>
      <c r="E21" s="196">
        <f>+E7+SUM(E13:E20)</f>
        <v>13962124</v>
      </c>
    </row>
    <row r="22" spans="2:5" ht="36" x14ac:dyDescent="0.25">
      <c r="B22" s="190" t="s">
        <v>536</v>
      </c>
      <c r="C22" s="289"/>
      <c r="D22" s="289"/>
      <c r="E22" s="196">
        <f>+E6+E21</f>
        <v>164319802</v>
      </c>
    </row>
    <row r="23" spans="2:5" ht="18" x14ac:dyDescent="0.25">
      <c r="B23" s="191"/>
      <c r="C23" s="290"/>
      <c r="D23" s="290"/>
      <c r="E23" s="308"/>
    </row>
    <row r="24" spans="2:5" ht="18" x14ac:dyDescent="0.25">
      <c r="B24" s="192" t="s">
        <v>613</v>
      </c>
      <c r="C24" s="291"/>
      <c r="D24" s="291"/>
      <c r="E24" s="308"/>
    </row>
    <row r="25" spans="2:5" ht="18" x14ac:dyDescent="0.25">
      <c r="B25" s="191" t="s">
        <v>540</v>
      </c>
      <c r="C25" s="294" t="s">
        <v>580</v>
      </c>
      <c r="D25" s="294" t="s">
        <v>539</v>
      </c>
      <c r="E25" s="287">
        <f>ROUND(+'Sch A-1s1 (Co v OAG Recon)'!M22,0)-1</f>
        <v>4448718</v>
      </c>
    </row>
    <row r="26" spans="2:5" ht="36" x14ac:dyDescent="0.25">
      <c r="B26" s="191" t="s">
        <v>452</v>
      </c>
      <c r="C26" s="294" t="s">
        <v>581</v>
      </c>
      <c r="D26" s="294" t="s">
        <v>652</v>
      </c>
      <c r="E26" s="326">
        <f>ROUND(SUM('Sch A-1s1 (Co v OAG Recon)'!M37,'Sch A-1s1 (Co v OAG Recon)'!M44),0)</f>
        <v>536652</v>
      </c>
    </row>
    <row r="27" spans="2:5" ht="18" x14ac:dyDescent="0.25">
      <c r="B27" s="191"/>
      <c r="C27" s="290"/>
      <c r="D27" s="290"/>
      <c r="E27" s="308"/>
    </row>
    <row r="28" spans="2:5" ht="18" x14ac:dyDescent="0.25">
      <c r="B28" s="192" t="s">
        <v>453</v>
      </c>
      <c r="C28" s="291"/>
      <c r="D28" s="291"/>
      <c r="E28" s="308"/>
    </row>
    <row r="29" spans="2:5" ht="19.5" x14ac:dyDescent="0.25">
      <c r="B29" s="315" t="s">
        <v>614</v>
      </c>
      <c r="C29" s="291"/>
      <c r="D29" s="291"/>
      <c r="E29" s="308"/>
    </row>
    <row r="30" spans="2:5" ht="18" x14ac:dyDescent="0.25">
      <c r="B30" s="191" t="s">
        <v>615</v>
      </c>
      <c r="C30" s="294" t="s">
        <v>582</v>
      </c>
      <c r="D30" s="339" t="s">
        <v>653</v>
      </c>
      <c r="E30" s="287">
        <f>ROUND(-SUM('Sch A-1s1 (Co v OAG Recon)'!I59:J59)-SUM('Sch A-1s1 (Co v OAG Recon)'!I66:J66),0)</f>
        <v>664356</v>
      </c>
    </row>
    <row r="31" spans="2:5" ht="18" x14ac:dyDescent="0.25">
      <c r="B31" s="191" t="s">
        <v>616</v>
      </c>
      <c r="C31" s="294" t="s">
        <v>582</v>
      </c>
      <c r="D31" s="339"/>
      <c r="E31" s="287">
        <f>ROUND(-SUM('Sch A-1s1 (Co v OAG Recon)'!I52:J52),0)</f>
        <v>680693</v>
      </c>
    </row>
    <row r="32" spans="2:5" ht="18" x14ac:dyDescent="0.25">
      <c r="B32" s="191" t="s">
        <v>617</v>
      </c>
      <c r="C32" s="294" t="s">
        <v>582</v>
      </c>
      <c r="D32" s="339"/>
      <c r="E32" s="287">
        <f>ROUND(-SUM('Sch A-1s1 (Co v OAG Recon)'!I81:J81),0)+1</f>
        <v>178791</v>
      </c>
    </row>
    <row r="33" spans="2:5" ht="18" x14ac:dyDescent="0.25">
      <c r="B33" s="191" t="s">
        <v>618</v>
      </c>
      <c r="C33" s="294" t="s">
        <v>544</v>
      </c>
      <c r="D33" s="339"/>
      <c r="E33" s="287">
        <f>ROUND(-'Sch A-1s1 (Co v OAG Recon)'!K96,0)</f>
        <v>106618</v>
      </c>
    </row>
    <row r="34" spans="2:5" ht="18" x14ac:dyDescent="0.25">
      <c r="B34" s="191" t="s">
        <v>646</v>
      </c>
      <c r="C34" s="294" t="s">
        <v>649</v>
      </c>
      <c r="D34" s="339"/>
      <c r="E34" s="287">
        <f>ROUND(-'Sch A-1s1 (Co v OAG Recon)'!K98,0)</f>
        <v>20674</v>
      </c>
    </row>
    <row r="35" spans="2:5" ht="36" x14ac:dyDescent="0.25">
      <c r="B35" s="191" t="s">
        <v>648</v>
      </c>
      <c r="C35" s="294" t="s">
        <v>650</v>
      </c>
      <c r="D35" s="339"/>
      <c r="E35" s="288">
        <f>ROUND(-'Sch A-1s1 (Co v OAG Recon)'!K101,0)</f>
        <v>765690</v>
      </c>
    </row>
    <row r="36" spans="2:5" ht="19.5" x14ac:dyDescent="0.25">
      <c r="B36" s="191" t="s">
        <v>454</v>
      </c>
      <c r="C36" s="290"/>
      <c r="D36" s="290"/>
      <c r="E36" s="295">
        <f>SUM(E30:E35)</f>
        <v>2416822</v>
      </c>
    </row>
    <row r="37" spans="2:5" ht="18" x14ac:dyDescent="0.25">
      <c r="B37" s="191" t="s">
        <v>619</v>
      </c>
      <c r="C37" s="290"/>
      <c r="D37" s="290"/>
      <c r="E37" s="308"/>
    </row>
    <row r="38" spans="2:5" ht="18" x14ac:dyDescent="0.25">
      <c r="B38" s="301" t="s">
        <v>620</v>
      </c>
      <c r="C38" s="294" t="str">
        <f>+C30</f>
        <v>Owens</v>
      </c>
      <c r="D38" s="339" t="s">
        <v>653</v>
      </c>
      <c r="E38" s="287">
        <f>ROUND(-SUM('Sch A-1s1 (Co v OAG Recon)'!I61:J62)-SUM('Sch A-1s1 (Co v OAG Recon)'!I67:J67),0)</f>
        <v>905575</v>
      </c>
    </row>
    <row r="39" spans="2:5" ht="18" x14ac:dyDescent="0.25">
      <c r="B39" s="301" t="s">
        <v>621</v>
      </c>
      <c r="C39" s="294" t="str">
        <f t="shared" ref="C39:C40" si="0">+C31</f>
        <v>Owens</v>
      </c>
      <c r="D39" s="339"/>
      <c r="E39" s="287">
        <f>ROUND(-SUM('Sch A-1s1 (Co v OAG Recon)'!I54:J55),0)</f>
        <v>863081</v>
      </c>
    </row>
    <row r="40" spans="2:5" ht="18" x14ac:dyDescent="0.25">
      <c r="B40" s="301" t="s">
        <v>577</v>
      </c>
      <c r="C40" s="294" t="str">
        <f t="shared" si="0"/>
        <v>Owens</v>
      </c>
      <c r="D40" s="339"/>
      <c r="E40" s="287">
        <f>ROUND(-SUM('Sch A-1s1 (Co v OAG Recon)'!I82:J82),0)</f>
        <v>117374</v>
      </c>
    </row>
    <row r="41" spans="2:5" ht="18" x14ac:dyDescent="0.25">
      <c r="B41" s="301" t="s">
        <v>578</v>
      </c>
      <c r="C41" s="294" t="s">
        <v>582</v>
      </c>
      <c r="D41" s="339"/>
      <c r="E41" s="287">
        <f>ROUND(-'Sch A-1s1 (Co v OAG Recon)'!K86,0)</f>
        <v>6446</v>
      </c>
    </row>
    <row r="42" spans="2:5" ht="18" x14ac:dyDescent="0.25">
      <c r="B42" s="301" t="s">
        <v>647</v>
      </c>
      <c r="C42" s="294" t="s">
        <v>582</v>
      </c>
      <c r="D42" s="339"/>
      <c r="E42" s="287">
        <f>ROUND(-'Sch A-1s1 (Co v OAG Recon)'!K85,0)</f>
        <v>54439</v>
      </c>
    </row>
    <row r="43" spans="2:5" ht="18" x14ac:dyDescent="0.25">
      <c r="B43" s="301" t="s">
        <v>579</v>
      </c>
      <c r="C43" s="294" t="s">
        <v>544</v>
      </c>
      <c r="D43" s="339"/>
      <c r="E43" s="287">
        <f>ROUND(-'Sch A-1s1 (Co v OAG Recon)'!K90,0)</f>
        <v>252217</v>
      </c>
    </row>
    <row r="44" spans="2:5" ht="20.25" x14ac:dyDescent="0.25">
      <c r="B44" s="301" t="s">
        <v>651</v>
      </c>
      <c r="C44" s="294" t="s">
        <v>544</v>
      </c>
      <c r="D44" s="339"/>
      <c r="E44" s="288">
        <f>ROUND(-'Sch A-1s1 (Co v OAG Recon)'!K93,0)-E20</f>
        <v>19133</v>
      </c>
    </row>
    <row r="45" spans="2:5" ht="19.5" x14ac:dyDescent="0.25">
      <c r="B45" s="193" t="s">
        <v>455</v>
      </c>
      <c r="C45" s="292"/>
      <c r="D45" s="292"/>
      <c r="E45" s="295">
        <f>SUM(E38:E44)</f>
        <v>2218265</v>
      </c>
    </row>
    <row r="46" spans="2:5" ht="19.5" x14ac:dyDescent="0.25">
      <c r="B46" s="191" t="s">
        <v>583</v>
      </c>
      <c r="C46" s="292"/>
      <c r="D46" s="292"/>
      <c r="E46" s="287">
        <f>+E36+E45</f>
        <v>4635087</v>
      </c>
    </row>
    <row r="47" spans="2:5" ht="36" x14ac:dyDescent="0.25">
      <c r="B47" s="316" t="s">
        <v>622</v>
      </c>
      <c r="C47" s="294" t="str">
        <f>+C30</f>
        <v>Owens</v>
      </c>
      <c r="D47" s="294" t="s">
        <v>653</v>
      </c>
      <c r="E47" s="288">
        <f>ROUND(-'Sch A-1s1 (Co v OAG Recon)'!K57-'Sch A-1s1 (Co v OAG Recon)'!K64,0)</f>
        <v>86102</v>
      </c>
    </row>
    <row r="48" spans="2:5" ht="18" x14ac:dyDescent="0.25">
      <c r="B48" s="191" t="s">
        <v>456</v>
      </c>
      <c r="C48" s="290"/>
      <c r="D48" s="290"/>
      <c r="E48" s="287">
        <f>SUM(E46:E47)</f>
        <v>4721189</v>
      </c>
    </row>
    <row r="49" spans="2:5" ht="18" x14ac:dyDescent="0.25">
      <c r="B49" s="191"/>
      <c r="C49" s="290"/>
      <c r="D49" s="290"/>
      <c r="E49" s="308"/>
    </row>
    <row r="50" spans="2:5" ht="20.25" x14ac:dyDescent="0.25">
      <c r="B50" s="190" t="s">
        <v>457</v>
      </c>
      <c r="C50" s="289"/>
      <c r="D50" s="289"/>
      <c r="E50" s="305">
        <f>+E21+E25+E26+E48</f>
        <v>23668683</v>
      </c>
    </row>
    <row r="51" spans="2:5" ht="18" x14ac:dyDescent="0.25">
      <c r="B51" s="190" t="s">
        <v>600</v>
      </c>
      <c r="C51" s="289"/>
      <c r="D51" s="289"/>
      <c r="E51" s="196">
        <f>+E6+E50</f>
        <v>174026361</v>
      </c>
    </row>
    <row r="52" spans="2:5" ht="18.75" thickBot="1" x14ac:dyDescent="0.3">
      <c r="B52" s="194"/>
      <c r="C52" s="293"/>
      <c r="D52" s="293"/>
      <c r="E52" s="195"/>
    </row>
  </sheetData>
  <mergeCells count="5">
    <mergeCell ref="B4:E4"/>
    <mergeCell ref="B5:E5"/>
    <mergeCell ref="D30:D35"/>
    <mergeCell ref="D38:D44"/>
    <mergeCell ref="C17:C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34876-A3CC-468F-841B-D7B88E80C425}">
  <dimension ref="A1:G62"/>
  <sheetViews>
    <sheetView workbookViewId="0">
      <selection activeCell="K28" sqref="K28"/>
    </sheetView>
  </sheetViews>
  <sheetFormatPr defaultColWidth="8.7109375" defaultRowHeight="12.75" x14ac:dyDescent="0.2"/>
  <cols>
    <col min="1" max="1" width="8.7109375" style="102"/>
    <col min="2" max="2" width="47.42578125" style="102" bestFit="1" customWidth="1"/>
    <col min="3" max="3" width="15.5703125" style="102" bestFit="1" customWidth="1"/>
    <col min="4" max="4" width="22.5703125" style="102" bestFit="1" customWidth="1"/>
    <col min="5" max="5" width="3.5703125" style="102" customWidth="1"/>
    <col min="6" max="6" width="13.85546875" style="102" customWidth="1"/>
    <col min="7" max="7" width="16.85546875" style="102" customWidth="1"/>
    <col min="8" max="16384" width="8.7109375" style="102"/>
  </cols>
  <sheetData>
    <row r="1" spans="1:7" x14ac:dyDescent="0.2">
      <c r="A1" s="364" t="s">
        <v>62</v>
      </c>
      <c r="B1" s="364"/>
      <c r="C1" s="364"/>
      <c r="D1" s="364"/>
      <c r="E1" s="364"/>
      <c r="F1" s="364"/>
      <c r="G1" s="364"/>
    </row>
    <row r="2" spans="1:7" x14ac:dyDescent="0.2">
      <c r="A2" s="364" t="s">
        <v>63</v>
      </c>
      <c r="B2" s="364"/>
      <c r="C2" s="364"/>
      <c r="D2" s="364"/>
      <c r="E2" s="364"/>
      <c r="F2" s="364"/>
      <c r="G2" s="364"/>
    </row>
    <row r="3" spans="1:7" x14ac:dyDescent="0.2">
      <c r="A3" s="364" t="s">
        <v>238</v>
      </c>
      <c r="B3" s="364"/>
      <c r="C3" s="364"/>
      <c r="D3" s="364"/>
      <c r="E3" s="364"/>
      <c r="F3" s="364"/>
      <c r="G3" s="364"/>
    </row>
    <row r="4" spans="1:7" x14ac:dyDescent="0.2">
      <c r="A4" s="364" t="s">
        <v>64</v>
      </c>
      <c r="B4" s="364"/>
      <c r="C4" s="364"/>
      <c r="D4" s="364"/>
      <c r="E4" s="364"/>
      <c r="F4" s="364"/>
      <c r="G4" s="364"/>
    </row>
    <row r="5" spans="1:7" x14ac:dyDescent="0.2">
      <c r="A5" s="47"/>
      <c r="B5" s="47"/>
      <c r="C5" s="47"/>
      <c r="D5" s="47"/>
      <c r="E5" s="73"/>
      <c r="F5" s="73"/>
      <c r="G5" s="47"/>
    </row>
    <row r="6" spans="1:7" x14ac:dyDescent="0.2">
      <c r="A6" s="5" t="s">
        <v>176</v>
      </c>
      <c r="B6" s="2"/>
      <c r="C6" s="2"/>
      <c r="D6" s="47"/>
      <c r="E6" s="47"/>
      <c r="F6" s="328"/>
      <c r="G6" s="75" t="s">
        <v>225</v>
      </c>
    </row>
    <row r="7" spans="1:7" ht="16.5" customHeight="1" x14ac:dyDescent="0.2">
      <c r="A7" s="2" t="s">
        <v>645</v>
      </c>
      <c r="B7" s="2"/>
      <c r="C7" s="2"/>
      <c r="D7" s="47"/>
      <c r="E7" s="47"/>
      <c r="F7" s="328"/>
      <c r="G7" s="75" t="s">
        <v>290</v>
      </c>
    </row>
    <row r="8" spans="1:7" x14ac:dyDescent="0.2">
      <c r="A8" s="2" t="s">
        <v>2</v>
      </c>
      <c r="B8" s="2"/>
      <c r="C8" s="2"/>
      <c r="D8" s="47"/>
      <c r="E8" s="47"/>
      <c r="F8" s="328"/>
      <c r="G8" s="50" t="s">
        <v>65</v>
      </c>
    </row>
    <row r="9" spans="1:7" x14ac:dyDescent="0.2">
      <c r="A9" s="69"/>
      <c r="B9" s="70"/>
      <c r="C9" s="51"/>
      <c r="D9" s="70"/>
      <c r="E9" s="70"/>
      <c r="F9" s="51"/>
      <c r="G9" s="70"/>
    </row>
    <row r="10" spans="1:7" ht="28.5" customHeight="1" thickBot="1" x14ac:dyDescent="0.25">
      <c r="A10" s="48"/>
      <c r="B10" s="47"/>
      <c r="C10" s="47"/>
      <c r="D10" s="325" t="s">
        <v>178</v>
      </c>
      <c r="E10" s="47"/>
      <c r="F10" s="365" t="s">
        <v>186</v>
      </c>
      <c r="G10" s="365"/>
    </row>
    <row r="11" spans="1:7" x14ac:dyDescent="0.2">
      <c r="A11" s="48"/>
      <c r="B11" s="47"/>
      <c r="C11" s="47"/>
      <c r="D11" s="47"/>
      <c r="E11" s="47"/>
      <c r="F11" s="47"/>
      <c r="G11" s="47"/>
    </row>
    <row r="12" spans="1:7" x14ac:dyDescent="0.2">
      <c r="A12" s="47"/>
      <c r="B12" s="47"/>
      <c r="C12" s="44" t="s">
        <v>79</v>
      </c>
      <c r="D12" s="44" t="s">
        <v>197</v>
      </c>
      <c r="E12" s="47"/>
      <c r="F12" s="44" t="s">
        <v>197</v>
      </c>
      <c r="G12" s="44" t="s">
        <v>31</v>
      </c>
    </row>
    <row r="13" spans="1:7" x14ac:dyDescent="0.2">
      <c r="A13" s="46" t="s">
        <v>6</v>
      </c>
      <c r="B13" s="47"/>
      <c r="C13" s="44" t="s">
        <v>230</v>
      </c>
      <c r="D13" s="46" t="s">
        <v>154</v>
      </c>
      <c r="E13" s="44"/>
      <c r="F13" s="104" t="s">
        <v>223</v>
      </c>
      <c r="G13" s="46" t="s">
        <v>224</v>
      </c>
    </row>
    <row r="14" spans="1:7" x14ac:dyDescent="0.2">
      <c r="A14" s="77" t="s">
        <v>10</v>
      </c>
      <c r="B14" s="53" t="s">
        <v>11</v>
      </c>
      <c r="C14" s="79" t="s">
        <v>231</v>
      </c>
      <c r="D14" s="101" t="s">
        <v>198</v>
      </c>
      <c r="E14" s="77"/>
      <c r="F14" s="79" t="s">
        <v>154</v>
      </c>
      <c r="G14" s="113" t="s">
        <v>154</v>
      </c>
    </row>
    <row r="15" spans="1:7" x14ac:dyDescent="0.2">
      <c r="A15" s="46"/>
      <c r="B15" s="47"/>
      <c r="C15" s="44"/>
      <c r="D15" s="54" t="s">
        <v>85</v>
      </c>
      <c r="E15" s="46"/>
      <c r="F15" s="54" t="s">
        <v>86</v>
      </c>
      <c r="G15" s="54" t="s">
        <v>155</v>
      </c>
    </row>
    <row r="16" spans="1:7" x14ac:dyDescent="0.2">
      <c r="A16" s="47"/>
      <c r="B16" s="47"/>
      <c r="C16" s="44"/>
      <c r="D16" s="44" t="s">
        <v>36</v>
      </c>
      <c r="E16" s="80"/>
      <c r="F16" s="44" t="s">
        <v>36</v>
      </c>
      <c r="G16" s="44" t="s">
        <v>36</v>
      </c>
    </row>
    <row r="17" spans="1:7" x14ac:dyDescent="0.2">
      <c r="A17" s="103">
        <v>1</v>
      </c>
      <c r="B17" s="108" t="s">
        <v>205</v>
      </c>
      <c r="C17" s="114"/>
      <c r="D17" s="81"/>
      <c r="E17" s="80"/>
      <c r="F17" s="80"/>
      <c r="G17" s="81"/>
    </row>
    <row r="18" spans="1:7" x14ac:dyDescent="0.2">
      <c r="A18" s="103">
        <f>+A17+1</f>
        <v>2</v>
      </c>
      <c r="B18" s="80" t="s">
        <v>207</v>
      </c>
      <c r="C18" s="115"/>
      <c r="D18" s="81"/>
      <c r="E18" s="80"/>
      <c r="F18" s="80"/>
      <c r="G18" s="81"/>
    </row>
    <row r="19" spans="1:7" x14ac:dyDescent="0.2">
      <c r="A19" s="103">
        <f t="shared" ref="A19:A29" si="0">+A18+1</f>
        <v>3</v>
      </c>
      <c r="B19" s="109" t="s">
        <v>206</v>
      </c>
      <c r="C19" s="116"/>
      <c r="D19" s="55"/>
      <c r="E19" s="55"/>
      <c r="F19" s="55"/>
      <c r="G19" s="55"/>
    </row>
    <row r="20" spans="1:7" x14ac:dyDescent="0.2">
      <c r="A20" s="103">
        <f t="shared" si="0"/>
        <v>4</v>
      </c>
      <c r="B20" s="107" t="s">
        <v>213</v>
      </c>
      <c r="C20" s="46" t="s">
        <v>228</v>
      </c>
      <c r="D20" s="55">
        <v>-1245234.1680000001</v>
      </c>
      <c r="E20" s="55"/>
      <c r="F20" s="55">
        <f t="shared" ref="F20:F28" si="1">-D20</f>
        <v>1245234.1680000001</v>
      </c>
      <c r="G20" s="55">
        <f>+D20+F20</f>
        <v>0</v>
      </c>
    </row>
    <row r="21" spans="1:7" x14ac:dyDescent="0.2">
      <c r="A21" s="103">
        <f t="shared" si="0"/>
        <v>5</v>
      </c>
      <c r="B21" s="107" t="s">
        <v>215</v>
      </c>
      <c r="C21" s="46" t="s">
        <v>229</v>
      </c>
      <c r="D21" s="55">
        <v>-580426</v>
      </c>
      <c r="E21" s="55"/>
      <c r="F21" s="55">
        <f t="shared" si="1"/>
        <v>580426</v>
      </c>
      <c r="G21" s="55">
        <f t="shared" ref="G21:G28" si="2">+D21+F21</f>
        <v>0</v>
      </c>
    </row>
    <row r="22" spans="1:7" x14ac:dyDescent="0.2">
      <c r="A22" s="103">
        <f t="shared" si="0"/>
        <v>6</v>
      </c>
      <c r="B22" s="107" t="s">
        <v>202</v>
      </c>
      <c r="C22" s="46" t="s">
        <v>229</v>
      </c>
      <c r="D22" s="55">
        <f>-114707*0.7</f>
        <v>-80294.899999999994</v>
      </c>
      <c r="E22" s="55"/>
      <c r="F22" s="55">
        <f t="shared" si="1"/>
        <v>80294.899999999994</v>
      </c>
      <c r="G22" s="55">
        <f t="shared" si="2"/>
        <v>0</v>
      </c>
    </row>
    <row r="23" spans="1:7" x14ac:dyDescent="0.2">
      <c r="A23" s="103">
        <f t="shared" si="0"/>
        <v>7</v>
      </c>
      <c r="B23" s="107" t="s">
        <v>216</v>
      </c>
      <c r="C23" s="46" t="s">
        <v>229</v>
      </c>
      <c r="D23" s="55">
        <v>-676968.8</v>
      </c>
      <c r="E23" s="55"/>
      <c r="F23" s="55">
        <f t="shared" si="1"/>
        <v>676968.8</v>
      </c>
      <c r="G23" s="55">
        <f t="shared" si="2"/>
        <v>0</v>
      </c>
    </row>
    <row r="24" spans="1:7" x14ac:dyDescent="0.2">
      <c r="A24" s="103">
        <f t="shared" si="0"/>
        <v>8</v>
      </c>
      <c r="B24" s="107" t="s">
        <v>204</v>
      </c>
      <c r="C24" s="46" t="s">
        <v>229</v>
      </c>
      <c r="D24" s="55">
        <f>+D20*0.231625045441347</f>
        <v>-288427.4207481179</v>
      </c>
      <c r="E24" s="55"/>
      <c r="F24" s="55">
        <f t="shared" si="1"/>
        <v>288427.4207481179</v>
      </c>
      <c r="G24" s="55">
        <f t="shared" si="2"/>
        <v>0</v>
      </c>
    </row>
    <row r="25" spans="1:7" x14ac:dyDescent="0.2">
      <c r="A25" s="103">
        <f t="shared" si="0"/>
        <v>9</v>
      </c>
      <c r="B25" s="107" t="s">
        <v>217</v>
      </c>
      <c r="C25" s="46" t="s">
        <v>229</v>
      </c>
      <c r="D25" s="55">
        <v>-177812</v>
      </c>
      <c r="E25" s="55"/>
      <c r="F25" s="55">
        <f t="shared" si="1"/>
        <v>177812</v>
      </c>
      <c r="G25" s="55">
        <f t="shared" si="2"/>
        <v>0</v>
      </c>
    </row>
    <row r="26" spans="1:7" x14ac:dyDescent="0.2">
      <c r="A26" s="103">
        <f t="shared" si="0"/>
        <v>10</v>
      </c>
      <c r="B26" s="106" t="s">
        <v>226</v>
      </c>
      <c r="C26" s="46" t="s">
        <v>228</v>
      </c>
      <c r="D26" s="55">
        <v>-106034.25</v>
      </c>
      <c r="E26" s="55"/>
      <c r="F26" s="55">
        <f t="shared" si="1"/>
        <v>106034.25</v>
      </c>
      <c r="G26" s="55">
        <f t="shared" si="2"/>
        <v>0</v>
      </c>
    </row>
    <row r="27" spans="1:7" x14ac:dyDescent="0.2">
      <c r="A27" s="103">
        <f t="shared" si="0"/>
        <v>11</v>
      </c>
      <c r="B27" s="107" t="s">
        <v>227</v>
      </c>
      <c r="C27" s="46"/>
      <c r="D27" s="55">
        <v>-20561</v>
      </c>
      <c r="E27" s="55"/>
      <c r="F27" s="55">
        <f t="shared" si="1"/>
        <v>20561</v>
      </c>
      <c r="G27" s="55">
        <f t="shared" si="2"/>
        <v>0</v>
      </c>
    </row>
    <row r="28" spans="1:7" x14ac:dyDescent="0.2">
      <c r="A28" s="103">
        <f t="shared" si="0"/>
        <v>12</v>
      </c>
      <c r="B28" s="106" t="s">
        <v>199</v>
      </c>
      <c r="C28" s="44"/>
      <c r="D28" s="85">
        <v>-761500</v>
      </c>
      <c r="E28" s="55"/>
      <c r="F28" s="85">
        <f t="shared" si="1"/>
        <v>761500</v>
      </c>
      <c r="G28" s="57">
        <f t="shared" si="2"/>
        <v>0</v>
      </c>
    </row>
    <row r="29" spans="1:7" x14ac:dyDescent="0.2">
      <c r="A29" s="103">
        <f t="shared" si="0"/>
        <v>13</v>
      </c>
      <c r="B29" s="109" t="s">
        <v>220</v>
      </c>
      <c r="C29" s="116"/>
      <c r="D29" s="119">
        <f>SUM(D20:D28)</f>
        <v>-3937258.5387481176</v>
      </c>
      <c r="E29" s="55"/>
      <c r="F29" s="119">
        <f>SUM(F20:F28)</f>
        <v>3937258.5387481176</v>
      </c>
      <c r="G29" s="119">
        <f>SUM(G20:G28)</f>
        <v>0</v>
      </c>
    </row>
    <row r="30" spans="1:7" x14ac:dyDescent="0.2">
      <c r="A30" s="104"/>
      <c r="B30" s="107"/>
      <c r="C30" s="46"/>
      <c r="D30" s="55"/>
      <c r="E30" s="55"/>
      <c r="F30" s="55"/>
      <c r="G30" s="55"/>
    </row>
    <row r="31" spans="1:7" ht="25.5" x14ac:dyDescent="0.2">
      <c r="A31" s="111">
        <f>+A29+1</f>
        <v>14</v>
      </c>
      <c r="B31" s="110" t="s">
        <v>221</v>
      </c>
      <c r="C31" s="117"/>
      <c r="D31" s="55"/>
      <c r="E31" s="55"/>
      <c r="F31" s="55"/>
      <c r="G31" s="55"/>
    </row>
    <row r="32" spans="1:7" x14ac:dyDescent="0.2">
      <c r="A32" s="104">
        <f t="shared" ref="A32:A43" si="3">+A31+1</f>
        <v>15</v>
      </c>
      <c r="B32" s="107" t="s">
        <v>213</v>
      </c>
      <c r="C32" s="46" t="str">
        <f>+C20</f>
        <v>Shaeffer &amp; Bly</v>
      </c>
      <c r="D32" s="55">
        <v>-383607.47600000002</v>
      </c>
      <c r="E32" s="55"/>
      <c r="F32" s="55">
        <f t="shared" ref="F32:F38" si="4">-D32</f>
        <v>383607.47600000002</v>
      </c>
      <c r="G32" s="55">
        <f t="shared" ref="G32:G42" si="5">+D32+F32</f>
        <v>0</v>
      </c>
    </row>
    <row r="33" spans="1:7" x14ac:dyDescent="0.2">
      <c r="A33" s="104">
        <f t="shared" si="3"/>
        <v>16</v>
      </c>
      <c r="B33" s="107" t="s">
        <v>215</v>
      </c>
      <c r="C33" s="46" t="str">
        <f t="shared" ref="C33:C36" si="6">+C21</f>
        <v>Shaeffer &amp; Owens</v>
      </c>
      <c r="D33" s="55">
        <v>-799831.2</v>
      </c>
      <c r="E33" s="55"/>
      <c r="F33" s="55">
        <f t="shared" si="4"/>
        <v>799831.2</v>
      </c>
      <c r="G33" s="55">
        <f t="shared" si="5"/>
        <v>0</v>
      </c>
    </row>
    <row r="34" spans="1:7" x14ac:dyDescent="0.2">
      <c r="A34" s="104">
        <f t="shared" si="3"/>
        <v>17</v>
      </c>
      <c r="B34" s="107" t="s">
        <v>202</v>
      </c>
      <c r="C34" s="46" t="str">
        <f t="shared" si="6"/>
        <v>Shaeffer &amp; Owens</v>
      </c>
      <c r="D34" s="55">
        <f>-66170*0.7</f>
        <v>-46319</v>
      </c>
      <c r="E34" s="55"/>
      <c r="F34" s="55">
        <f t="shared" si="4"/>
        <v>46319</v>
      </c>
      <c r="G34" s="55">
        <f t="shared" si="5"/>
        <v>0</v>
      </c>
    </row>
    <row r="35" spans="1:7" x14ac:dyDescent="0.2">
      <c r="A35" s="104">
        <f t="shared" si="3"/>
        <v>18</v>
      </c>
      <c r="B35" s="107" t="s">
        <v>216</v>
      </c>
      <c r="C35" s="46" t="str">
        <f t="shared" si="6"/>
        <v>Shaeffer &amp; Owens</v>
      </c>
      <c r="D35" s="55">
        <v>-803629.60000000009</v>
      </c>
      <c r="E35" s="55"/>
      <c r="F35" s="55">
        <f t="shared" si="4"/>
        <v>803629.60000000009</v>
      </c>
      <c r="G35" s="55">
        <f t="shared" si="5"/>
        <v>0</v>
      </c>
    </row>
    <row r="36" spans="1:7" x14ac:dyDescent="0.2">
      <c r="A36" s="104">
        <f t="shared" si="3"/>
        <v>19</v>
      </c>
      <c r="B36" s="107" t="s">
        <v>204</v>
      </c>
      <c r="C36" s="46" t="str">
        <f t="shared" si="6"/>
        <v>Shaeffer &amp; Owens</v>
      </c>
      <c r="D36" s="55">
        <f>+D32*0.231625045441347</f>
        <v>-88853.099060140434</v>
      </c>
      <c r="E36" s="55"/>
      <c r="F36" s="55">
        <f t="shared" si="4"/>
        <v>88853.099060140434</v>
      </c>
      <c r="G36" s="55">
        <f t="shared" si="5"/>
        <v>0</v>
      </c>
    </row>
    <row r="37" spans="1:7" x14ac:dyDescent="0.2">
      <c r="A37" s="104">
        <f t="shared" si="3"/>
        <v>20</v>
      </c>
      <c r="B37" s="107" t="s">
        <v>217</v>
      </c>
      <c r="C37" s="46" t="str">
        <f>+C25</f>
        <v>Shaeffer &amp; Owens</v>
      </c>
      <c r="D37" s="55">
        <v>-116732</v>
      </c>
      <c r="E37" s="55"/>
      <c r="F37" s="55">
        <f t="shared" si="4"/>
        <v>116732</v>
      </c>
      <c r="G37" s="55">
        <f t="shared" si="5"/>
        <v>0</v>
      </c>
    </row>
    <row r="38" spans="1:7" x14ac:dyDescent="0.2">
      <c r="A38" s="104">
        <f t="shared" si="3"/>
        <v>21</v>
      </c>
      <c r="B38" s="107" t="s">
        <v>214</v>
      </c>
      <c r="C38" s="46"/>
      <c r="D38" s="55">
        <v>-54141</v>
      </c>
      <c r="E38" s="55"/>
      <c r="F38" s="55">
        <f t="shared" si="4"/>
        <v>54141</v>
      </c>
      <c r="G38" s="55">
        <f t="shared" si="5"/>
        <v>0</v>
      </c>
    </row>
    <row r="39" spans="1:7" x14ac:dyDescent="0.2">
      <c r="A39" s="104">
        <f t="shared" si="3"/>
        <v>22</v>
      </c>
      <c r="B39" s="107" t="s">
        <v>218</v>
      </c>
      <c r="C39" s="46" t="s">
        <v>229</v>
      </c>
      <c r="D39" s="55">
        <v>-6411</v>
      </c>
      <c r="E39" s="55"/>
      <c r="F39" s="55">
        <f>-D39</f>
        <v>6411</v>
      </c>
      <c r="G39" s="55">
        <f t="shared" si="5"/>
        <v>0</v>
      </c>
    </row>
    <row r="40" spans="1:7" x14ac:dyDescent="0.2">
      <c r="A40" s="104">
        <f t="shared" si="3"/>
        <v>23</v>
      </c>
      <c r="B40" s="106" t="s">
        <v>200</v>
      </c>
      <c r="C40" s="44" t="s">
        <v>228</v>
      </c>
      <c r="D40" s="55">
        <v>-250837</v>
      </c>
      <c r="E40" s="55"/>
      <c r="F40" s="55">
        <f>-D40</f>
        <v>250837</v>
      </c>
      <c r="G40" s="55">
        <f t="shared" si="5"/>
        <v>0</v>
      </c>
    </row>
    <row r="41" spans="1:7" x14ac:dyDescent="0.2">
      <c r="A41" s="104">
        <f t="shared" si="3"/>
        <v>24</v>
      </c>
      <c r="B41" s="106" t="s">
        <v>201</v>
      </c>
      <c r="C41" s="44" t="s">
        <v>228</v>
      </c>
      <c r="D41" s="55">
        <v>-45141</v>
      </c>
      <c r="E41" s="55"/>
      <c r="F41" s="55">
        <f>-D41</f>
        <v>45141</v>
      </c>
      <c r="G41" s="55">
        <f t="shared" si="5"/>
        <v>0</v>
      </c>
    </row>
    <row r="42" spans="1:7" x14ac:dyDescent="0.2">
      <c r="A42" s="104">
        <f t="shared" si="3"/>
        <v>25</v>
      </c>
      <c r="B42" s="107" t="s">
        <v>203</v>
      </c>
      <c r="C42" s="44" t="s">
        <v>228</v>
      </c>
      <c r="D42" s="85">
        <f>+(D32+D33+D35)*0.0681016695323394</f>
        <v>-135322.66707034738</v>
      </c>
      <c r="E42" s="55"/>
      <c r="F42" s="57">
        <f>-D42</f>
        <v>135322.66707034738</v>
      </c>
      <c r="G42" s="57">
        <f t="shared" si="5"/>
        <v>0</v>
      </c>
    </row>
    <row r="43" spans="1:7" x14ac:dyDescent="0.2">
      <c r="A43" s="104">
        <f t="shared" si="3"/>
        <v>26</v>
      </c>
      <c r="B43" s="110" t="s">
        <v>222</v>
      </c>
      <c r="C43" s="117"/>
      <c r="D43" s="119">
        <f>SUM(D32:D42)</f>
        <v>-2730825.042130488</v>
      </c>
      <c r="E43" s="55"/>
      <c r="F43" s="119">
        <f>SUM(F32:F42)</f>
        <v>2730825.042130488</v>
      </c>
      <c r="G43" s="119">
        <f>SUM(G32:G42)</f>
        <v>0</v>
      </c>
    </row>
    <row r="44" spans="1:7" x14ac:dyDescent="0.2">
      <c r="A44" s="104"/>
      <c r="B44" s="110"/>
      <c r="C44" s="117"/>
      <c r="D44" s="55"/>
      <c r="E44" s="55"/>
      <c r="F44" s="55"/>
      <c r="G44" s="55"/>
    </row>
    <row r="45" spans="1:7" x14ac:dyDescent="0.2">
      <c r="A45" s="104">
        <f>+A43+1</f>
        <v>27</v>
      </c>
      <c r="B45" s="84" t="s">
        <v>208</v>
      </c>
      <c r="C45" s="46"/>
      <c r="D45" s="55">
        <f>+D29+D43</f>
        <v>-6668083.5808786061</v>
      </c>
      <c r="E45" s="55"/>
      <c r="F45" s="55">
        <f>+F29+F43</f>
        <v>6668083.5808786061</v>
      </c>
      <c r="G45" s="55">
        <f>+G29+G43</f>
        <v>0</v>
      </c>
    </row>
    <row r="46" spans="1:7" x14ac:dyDescent="0.2">
      <c r="A46" s="104"/>
      <c r="B46" s="84"/>
      <c r="C46" s="46"/>
      <c r="D46" s="55"/>
      <c r="E46" s="55"/>
      <c r="F46" s="55"/>
      <c r="G46" s="55"/>
    </row>
    <row r="47" spans="1:7" x14ac:dyDescent="0.2">
      <c r="A47" s="104">
        <f>+A45+1</f>
        <v>28</v>
      </c>
      <c r="B47" s="107" t="s">
        <v>219</v>
      </c>
      <c r="C47" s="46" t="s">
        <v>232</v>
      </c>
      <c r="D47" s="85">
        <f>+(D20+D21+D23)*0.0681016695323394</f>
        <v>-170433.2109407956</v>
      </c>
      <c r="E47" s="55"/>
      <c r="F47" s="57">
        <f>-D47</f>
        <v>170433.2109407956</v>
      </c>
      <c r="G47" s="57">
        <f>+D47+F47</f>
        <v>0</v>
      </c>
    </row>
    <row r="48" spans="1:7" ht="38.25" x14ac:dyDescent="0.2">
      <c r="A48" s="90">
        <f>+A47+1</f>
        <v>29</v>
      </c>
      <c r="B48" s="112" t="s">
        <v>209</v>
      </c>
      <c r="C48" s="118"/>
      <c r="D48" s="55">
        <f>SUM(D47)</f>
        <v>-170433.2109407956</v>
      </c>
      <c r="E48" s="55"/>
      <c r="F48" s="55">
        <f>SUM(F47)</f>
        <v>170433.2109407956</v>
      </c>
      <c r="G48" s="55">
        <f>SUM(G47)</f>
        <v>0</v>
      </c>
    </row>
    <row r="49" spans="1:7" x14ac:dyDescent="0.2">
      <c r="A49" s="104"/>
      <c r="B49" s="84"/>
      <c r="C49" s="46"/>
      <c r="D49" s="55"/>
      <c r="E49" s="55"/>
      <c r="F49" s="55"/>
      <c r="G49" s="55"/>
    </row>
    <row r="50" spans="1:7" x14ac:dyDescent="0.2">
      <c r="A50" s="104">
        <f>+A48+1</f>
        <v>30</v>
      </c>
      <c r="B50" s="107" t="s">
        <v>211</v>
      </c>
      <c r="C50" s="46" t="s">
        <v>232</v>
      </c>
      <c r="D50" s="55">
        <v>341925.786185887</v>
      </c>
      <c r="E50" s="55" t="s">
        <v>441</v>
      </c>
      <c r="F50" s="55">
        <f>+G50-D50</f>
        <v>-336737.786185887</v>
      </c>
      <c r="G50" s="55">
        <f>+'Sch C-2 (Op Income)'!Q42-'Sch C-2 (Op Income)'!I42</f>
        <v>5188</v>
      </c>
    </row>
    <row r="51" spans="1:7" x14ac:dyDescent="0.2">
      <c r="A51" s="104">
        <f t="shared" ref="A51:A52" si="7">+A50+1</f>
        <v>31</v>
      </c>
      <c r="B51" s="107" t="s">
        <v>212</v>
      </c>
      <c r="C51" s="46" t="s">
        <v>232</v>
      </c>
      <c r="D51" s="85">
        <v>1364283.88688169</v>
      </c>
      <c r="E51" s="55" t="s">
        <v>441</v>
      </c>
      <c r="F51" s="57">
        <f>+G51-D51</f>
        <v>-1343581.88688169</v>
      </c>
      <c r="G51" s="57">
        <f>+'Sch C-2 (Op Income)'!Q41-'Sch C-2 (Op Income)'!I41</f>
        <v>20702</v>
      </c>
    </row>
    <row r="52" spans="1:7" ht="25.5" x14ac:dyDescent="0.2">
      <c r="A52" s="90">
        <f t="shared" si="7"/>
        <v>32</v>
      </c>
      <c r="B52" s="112" t="s">
        <v>210</v>
      </c>
      <c r="C52" s="118"/>
      <c r="D52" s="55">
        <f>SUM(D50:D51)</f>
        <v>1706209.673067577</v>
      </c>
      <c r="E52" s="55"/>
      <c r="F52" s="55">
        <f t="shared" ref="F52" si="8">SUM(F50:F51)</f>
        <v>-1680319.673067577</v>
      </c>
      <c r="G52" s="55">
        <f>SUM(G50:G51)</f>
        <v>25890</v>
      </c>
    </row>
    <row r="53" spans="1:7" x14ac:dyDescent="0.2">
      <c r="B53" s="48"/>
      <c r="C53" s="44"/>
      <c r="D53" s="55"/>
      <c r="E53" s="55"/>
      <c r="F53" s="55"/>
      <c r="G53" s="55"/>
    </row>
    <row r="54" spans="1:7" ht="13.5" thickBot="1" x14ac:dyDescent="0.25">
      <c r="A54" s="90">
        <f>+A52+1</f>
        <v>33</v>
      </c>
      <c r="B54" s="48" t="s">
        <v>175</v>
      </c>
      <c r="C54" s="44"/>
      <c r="D54" s="306">
        <f>-(D45+D48)-D52</f>
        <v>5132307.1187518248</v>
      </c>
      <c r="E54" s="55"/>
      <c r="F54" s="306">
        <f>-(F45+F48)-F52</f>
        <v>-5158197.1187518248</v>
      </c>
      <c r="G54" s="306">
        <f>-(G45+G48)-G52</f>
        <v>-25890</v>
      </c>
    </row>
    <row r="55" spans="1:7" ht="13.5" thickTop="1" x14ac:dyDescent="0.2">
      <c r="B55" s="48"/>
      <c r="C55" s="44"/>
      <c r="D55" s="55"/>
      <c r="E55" s="55"/>
      <c r="F55" s="55"/>
      <c r="G55" s="55"/>
    </row>
    <row r="56" spans="1:7" x14ac:dyDescent="0.2">
      <c r="B56" s="47" t="s">
        <v>442</v>
      </c>
      <c r="C56" s="44"/>
      <c r="D56" s="55"/>
      <c r="E56" s="55"/>
      <c r="F56" s="55"/>
      <c r="G56" s="55"/>
    </row>
    <row r="57" spans="1:7" x14ac:dyDescent="0.2">
      <c r="B57" s="47"/>
      <c r="C57" s="44"/>
      <c r="D57" s="55"/>
      <c r="E57" s="55"/>
      <c r="F57" s="55"/>
      <c r="G57" s="55"/>
    </row>
    <row r="58" spans="1:7" x14ac:dyDescent="0.2">
      <c r="B58" s="48"/>
      <c r="C58" s="44"/>
      <c r="D58" s="55"/>
      <c r="E58" s="55"/>
      <c r="F58" s="55"/>
      <c r="G58" s="55"/>
    </row>
    <row r="59" spans="1:7" x14ac:dyDescent="0.2">
      <c r="B59" s="47"/>
      <c r="C59" s="44"/>
      <c r="D59" s="55"/>
      <c r="E59" s="55"/>
      <c r="F59" s="55"/>
      <c r="G59" s="55"/>
    </row>
    <row r="60" spans="1:7" x14ac:dyDescent="0.2">
      <c r="B60" s="48"/>
      <c r="C60" s="44"/>
      <c r="D60" s="55"/>
      <c r="E60" s="55"/>
      <c r="F60" s="55"/>
      <c r="G60" s="55"/>
    </row>
    <row r="61" spans="1:7" x14ac:dyDescent="0.2">
      <c r="C61" s="104"/>
      <c r="D61" s="55"/>
      <c r="E61" s="55"/>
      <c r="F61" s="55"/>
      <c r="G61" s="55"/>
    </row>
    <row r="62" spans="1:7" x14ac:dyDescent="0.2">
      <c r="D62" s="55"/>
      <c r="E62" s="55"/>
      <c r="F62" s="55"/>
      <c r="G62" s="55"/>
    </row>
  </sheetData>
  <mergeCells count="5">
    <mergeCell ref="F10:G10"/>
    <mergeCell ref="A1:G1"/>
    <mergeCell ref="A2:G2"/>
    <mergeCell ref="A3:G3"/>
    <mergeCell ref="A4:G4"/>
  </mergeCells>
  <pageMargins left="0.7" right="0.7" top="0.75" bottom="0.75" header="0.3" footer="0.3"/>
  <ignoredErrors>
    <ignoredError sqref="C32:C3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38C90-7723-484B-A7C5-9DDA0503B923}">
  <dimension ref="A1:H31"/>
  <sheetViews>
    <sheetView workbookViewId="0">
      <selection activeCell="D32" sqref="D32"/>
    </sheetView>
  </sheetViews>
  <sheetFormatPr defaultColWidth="8.7109375" defaultRowHeight="12.75" x14ac:dyDescent="0.2"/>
  <cols>
    <col min="1" max="1" width="8.7109375" style="102"/>
    <col min="2" max="2" width="44.140625" style="102" bestFit="1" customWidth="1"/>
    <col min="3" max="3" width="22.140625" style="102" bestFit="1" customWidth="1"/>
    <col min="4" max="7" width="19" style="102" customWidth="1"/>
    <col min="8" max="8" width="17.7109375" style="102" customWidth="1"/>
    <col min="9" max="16384" width="8.7109375" style="102"/>
  </cols>
  <sheetData>
    <row r="1" spans="1:8" x14ac:dyDescent="0.2">
      <c r="A1" s="364" t="s">
        <v>62</v>
      </c>
      <c r="B1" s="364"/>
      <c r="C1" s="364"/>
      <c r="D1" s="364"/>
      <c r="E1" s="364"/>
      <c r="F1" s="364"/>
      <c r="G1" s="364"/>
      <c r="H1" s="364"/>
    </row>
    <row r="2" spans="1:8" x14ac:dyDescent="0.2">
      <c r="A2" s="364" t="s">
        <v>63</v>
      </c>
      <c r="B2" s="364"/>
      <c r="C2" s="364"/>
      <c r="D2" s="364"/>
      <c r="E2" s="364"/>
      <c r="F2" s="364"/>
      <c r="G2" s="364"/>
      <c r="H2" s="364"/>
    </row>
    <row r="3" spans="1:8" x14ac:dyDescent="0.2">
      <c r="A3" s="364" t="s">
        <v>238</v>
      </c>
      <c r="B3" s="364"/>
      <c r="C3" s="364"/>
      <c r="D3" s="364"/>
      <c r="E3" s="364"/>
      <c r="F3" s="364"/>
      <c r="G3" s="364"/>
      <c r="H3" s="364"/>
    </row>
    <row r="4" spans="1:8" x14ac:dyDescent="0.2">
      <c r="A4" s="364" t="s">
        <v>64</v>
      </c>
      <c r="B4" s="364"/>
      <c r="C4" s="364"/>
      <c r="D4" s="364"/>
      <c r="E4" s="364"/>
      <c r="F4" s="364"/>
      <c r="G4" s="364"/>
      <c r="H4" s="364"/>
    </row>
    <row r="5" spans="1:8" x14ac:dyDescent="0.2">
      <c r="A5" s="47"/>
      <c r="B5" s="47"/>
      <c r="C5" s="47"/>
      <c r="D5" s="47"/>
      <c r="E5" s="47"/>
      <c r="F5" s="73"/>
      <c r="G5" s="73"/>
      <c r="H5" s="47"/>
    </row>
    <row r="6" spans="1:8" x14ac:dyDescent="0.2">
      <c r="A6" s="5"/>
      <c r="B6" s="2"/>
      <c r="C6" s="2"/>
      <c r="D6" s="2"/>
      <c r="E6" s="47"/>
      <c r="F6" s="47"/>
      <c r="H6" s="75" t="s">
        <v>225</v>
      </c>
    </row>
    <row r="7" spans="1:8" ht="16.5" customHeight="1" x14ac:dyDescent="0.2">
      <c r="A7" s="2"/>
      <c r="B7" s="2"/>
      <c r="C7" s="2"/>
      <c r="D7" s="2"/>
      <c r="E7" s="47"/>
      <c r="F7" s="47"/>
      <c r="H7" s="75" t="s">
        <v>367</v>
      </c>
    </row>
    <row r="8" spans="1:8" x14ac:dyDescent="0.2">
      <c r="A8" s="2"/>
      <c r="B8" s="2"/>
      <c r="C8" s="2"/>
      <c r="D8" s="2"/>
      <c r="E8" s="47"/>
      <c r="F8" s="47"/>
      <c r="H8" s="50" t="s">
        <v>65</v>
      </c>
    </row>
    <row r="9" spans="1:8" x14ac:dyDescent="0.2">
      <c r="A9" s="69"/>
      <c r="B9" s="70"/>
      <c r="C9" s="70"/>
      <c r="D9" s="51"/>
      <c r="E9" s="70"/>
      <c r="F9" s="70"/>
      <c r="G9" s="51"/>
      <c r="H9" s="70"/>
    </row>
    <row r="10" spans="1:8" x14ac:dyDescent="0.2">
      <c r="A10" s="46" t="s">
        <v>6</v>
      </c>
      <c r="B10" s="47"/>
      <c r="C10" s="47"/>
      <c r="D10" s="44"/>
      <c r="E10" s="46"/>
      <c r="F10" s="44"/>
      <c r="G10" s="104"/>
      <c r="H10" s="46"/>
    </row>
    <row r="11" spans="1:8" ht="12.95" customHeight="1" x14ac:dyDescent="0.2">
      <c r="A11" s="77" t="s">
        <v>10</v>
      </c>
      <c r="B11" s="351" t="s">
        <v>11</v>
      </c>
      <c r="C11" s="351"/>
      <c r="D11" s="351"/>
      <c r="E11" s="351"/>
      <c r="F11" s="351"/>
      <c r="G11" s="351"/>
      <c r="H11" s="351"/>
    </row>
    <row r="12" spans="1:8" x14ac:dyDescent="0.2">
      <c r="A12" s="46"/>
      <c r="B12" s="47"/>
      <c r="C12" s="47"/>
      <c r="D12" s="44"/>
      <c r="E12" s="54"/>
      <c r="F12" s="46"/>
      <c r="G12" s="54"/>
      <c r="H12" s="54"/>
    </row>
    <row r="13" spans="1:8" x14ac:dyDescent="0.2">
      <c r="A13" s="47"/>
      <c r="B13" s="351" t="s">
        <v>520</v>
      </c>
      <c r="C13" s="351"/>
      <c r="D13" s="351"/>
      <c r="E13" s="351"/>
      <c r="F13" s="351"/>
      <c r="G13" s="351"/>
      <c r="H13" s="351"/>
    </row>
    <row r="14" spans="1:8" x14ac:dyDescent="0.2">
      <c r="A14" s="47"/>
      <c r="B14" s="44"/>
      <c r="C14" s="44"/>
      <c r="D14" s="285">
        <v>2021</v>
      </c>
      <c r="E14" s="285">
        <v>2022</v>
      </c>
      <c r="F14" s="285">
        <v>2023</v>
      </c>
      <c r="G14" s="285" t="s">
        <v>478</v>
      </c>
      <c r="H14" s="285" t="s">
        <v>521</v>
      </c>
    </row>
    <row r="15" spans="1:8" x14ac:dyDescent="0.2">
      <c r="A15" s="9">
        <f>IF(ISBLANK($B15),"",COUNTA(B$15:$B15))</f>
        <v>1</v>
      </c>
      <c r="B15" s="102" t="s">
        <v>516</v>
      </c>
      <c r="C15" s="102" t="s">
        <v>522</v>
      </c>
      <c r="D15" s="55">
        <v>22033483</v>
      </c>
      <c r="E15" s="55">
        <v>22570478</v>
      </c>
      <c r="F15" s="55">
        <v>21655306</v>
      </c>
      <c r="G15" s="55">
        <f>SUM(D15:F15)</f>
        <v>66259267</v>
      </c>
      <c r="H15" s="55"/>
    </row>
    <row r="16" spans="1:8" ht="15" x14ac:dyDescent="0.2">
      <c r="A16" s="9">
        <f>IF(ISBLANK($B16),"",COUNTA(B$15:$B16))</f>
        <v>2</v>
      </c>
      <c r="B16" s="102" t="s">
        <v>517</v>
      </c>
      <c r="C16" s="102" t="s">
        <v>522</v>
      </c>
      <c r="D16" s="281">
        <v>19736368</v>
      </c>
      <c r="E16" s="281">
        <v>19800701</v>
      </c>
      <c r="F16" s="281">
        <v>19558002</v>
      </c>
      <c r="G16" s="281">
        <f>SUM(D16:F16)</f>
        <v>59095071</v>
      </c>
      <c r="H16" s="55"/>
    </row>
    <row r="17" spans="1:8" x14ac:dyDescent="0.2">
      <c r="A17" s="9">
        <f>IF(ISBLANK($B17),"",COUNTA(B$15:$B17))</f>
        <v>3</v>
      </c>
      <c r="B17" s="102" t="s">
        <v>642</v>
      </c>
      <c r="D17" s="55">
        <f>+D16-D15</f>
        <v>-2297115</v>
      </c>
      <c r="E17" s="55">
        <f t="shared" ref="E17:G17" si="0">+E16-E15</f>
        <v>-2769777</v>
      </c>
      <c r="F17" s="55">
        <f t="shared" si="0"/>
        <v>-2097304</v>
      </c>
      <c r="G17" s="55">
        <f t="shared" si="0"/>
        <v>-7164196</v>
      </c>
      <c r="H17" s="279">
        <f>+G17/G15</f>
        <v>-0.10812368328795427</v>
      </c>
    </row>
    <row r="18" spans="1:8" x14ac:dyDescent="0.2">
      <c r="A18" s="9" t="str">
        <f>IF(ISBLANK($B18),"",COUNTA(B$15:$B18))</f>
        <v/>
      </c>
      <c r="D18" s="55"/>
      <c r="E18" s="55"/>
      <c r="F18" s="55"/>
      <c r="G18" s="55"/>
      <c r="H18" s="55"/>
    </row>
    <row r="19" spans="1:8" x14ac:dyDescent="0.2">
      <c r="A19" s="9">
        <f>IF(ISBLANK($B19),"",COUNTA(B$15:$B19))</f>
        <v>4</v>
      </c>
      <c r="B19" s="102" t="s">
        <v>518</v>
      </c>
      <c r="C19" s="102" t="s">
        <v>522</v>
      </c>
      <c r="D19" s="280"/>
      <c r="E19" s="55">
        <v>9983783</v>
      </c>
      <c r="F19" s="55">
        <v>9717454</v>
      </c>
      <c r="G19" s="55">
        <f>SUM(D19:F19)</f>
        <v>19701237</v>
      </c>
      <c r="H19" s="55"/>
    </row>
    <row r="20" spans="1:8" ht="15" x14ac:dyDescent="0.2">
      <c r="A20" s="9">
        <f>IF(ISBLANK($B20),"",COUNTA(B$15:$B20))</f>
        <v>5</v>
      </c>
      <c r="B20" s="102" t="s">
        <v>519</v>
      </c>
      <c r="C20" s="102" t="s">
        <v>522</v>
      </c>
      <c r="D20" s="280"/>
      <c r="E20" s="281">
        <v>8936642</v>
      </c>
      <c r="F20" s="281">
        <v>9799767</v>
      </c>
      <c r="G20" s="281">
        <f>SUM(D20:F20)</f>
        <v>18736409</v>
      </c>
      <c r="H20" s="55"/>
    </row>
    <row r="21" spans="1:8" x14ac:dyDescent="0.2">
      <c r="A21" s="9">
        <f>IF(ISBLANK($B21),"",COUNTA(B$15:$B21))</f>
        <v>6</v>
      </c>
      <c r="B21" s="102" t="s">
        <v>643</v>
      </c>
      <c r="E21" s="55">
        <f>+E20-E19</f>
        <v>-1047141</v>
      </c>
      <c r="F21" s="55">
        <f t="shared" ref="F21:G21" si="1">+F20-F19</f>
        <v>82313</v>
      </c>
      <c r="G21" s="55">
        <f t="shared" si="1"/>
        <v>-964828</v>
      </c>
      <c r="H21" s="279">
        <f>+G21/G19</f>
        <v>-4.897296550465334E-2</v>
      </c>
    </row>
    <row r="22" spans="1:8" x14ac:dyDescent="0.2">
      <c r="A22" s="9" t="str">
        <f>IF(ISBLANK($B22),"",COUNTA(B$15:$B22))</f>
        <v/>
      </c>
      <c r="D22" s="55"/>
      <c r="E22" s="55"/>
      <c r="F22" s="55"/>
      <c r="G22" s="55"/>
      <c r="H22" s="55"/>
    </row>
    <row r="23" spans="1:8" x14ac:dyDescent="0.2">
      <c r="A23" s="9" t="str">
        <f>IF(ISBLANK($B23),"",COUNTA(B$15:$B23))</f>
        <v/>
      </c>
      <c r="D23" s="55"/>
      <c r="E23" s="55"/>
      <c r="F23" s="55"/>
      <c r="G23" s="55"/>
      <c r="H23" s="55"/>
    </row>
    <row r="24" spans="1:8" x14ac:dyDescent="0.2">
      <c r="A24" s="9">
        <f>IF(ISBLANK($B24),"",COUNTA(B$15:$B24))</f>
        <v>7</v>
      </c>
      <c r="B24" s="351" t="s">
        <v>530</v>
      </c>
      <c r="C24" s="351"/>
      <c r="D24" s="351"/>
      <c r="E24" s="351"/>
      <c r="F24" s="351"/>
      <c r="G24" s="351"/>
      <c r="H24" s="351"/>
    </row>
    <row r="25" spans="1:8" ht="25.5" x14ac:dyDescent="0.2">
      <c r="A25" s="9" t="str">
        <f>IF(ISBLANK($B25),"",COUNTA(B$15:$B25))</f>
        <v/>
      </c>
      <c r="C25" s="258" t="s">
        <v>644</v>
      </c>
      <c r="D25" s="283" t="s">
        <v>527</v>
      </c>
      <c r="E25" s="284" t="s">
        <v>528</v>
      </c>
      <c r="F25" s="284" t="s">
        <v>529</v>
      </c>
      <c r="G25" s="283" t="s">
        <v>535</v>
      </c>
      <c r="H25" s="286" t="s">
        <v>525</v>
      </c>
    </row>
    <row r="26" spans="1:8" x14ac:dyDescent="0.2">
      <c r="A26" s="9">
        <f>IF(ISBLANK($B26),"",COUNTA(B$15:$B26))</f>
        <v>8</v>
      </c>
      <c r="B26" s="102" t="s">
        <v>523</v>
      </c>
      <c r="C26" s="102" t="s">
        <v>532</v>
      </c>
      <c r="D26" s="55">
        <v>11365703</v>
      </c>
      <c r="E26" s="55">
        <v>11497037</v>
      </c>
      <c r="F26" s="55">
        <v>11529946</v>
      </c>
      <c r="G26" s="55"/>
    </row>
    <row r="27" spans="1:8" ht="15" x14ac:dyDescent="0.2">
      <c r="A27" s="9">
        <f>IF(ISBLANK($B27),"",COUNTA(B$15:$B27))</f>
        <v>9</v>
      </c>
      <c r="B27" s="102" t="s">
        <v>524</v>
      </c>
      <c r="C27" s="102" t="s">
        <v>532</v>
      </c>
      <c r="D27" s="281">
        <v>6702522</v>
      </c>
      <c r="E27" s="281">
        <v>7498811</v>
      </c>
      <c r="F27" s="281">
        <v>7828724</v>
      </c>
      <c r="G27" s="55"/>
    </row>
    <row r="28" spans="1:8" x14ac:dyDescent="0.2">
      <c r="A28" s="9" t="str">
        <f>IF(ISBLANK($B28),"",COUNTA(B$15:$B28))</f>
        <v/>
      </c>
      <c r="D28" s="55">
        <f>SUM(D26:D27)</f>
        <v>18068225</v>
      </c>
      <c r="E28" s="55">
        <f>SUM(E26:E27)</f>
        <v>18995848</v>
      </c>
      <c r="F28" s="55">
        <f>SUM(F26:F27)</f>
        <v>19358670</v>
      </c>
      <c r="G28" s="259">
        <f>+F28-D28</f>
        <v>1290445</v>
      </c>
      <c r="H28" s="330">
        <f>+G28/D28</f>
        <v>7.1420684654967495E-2</v>
      </c>
    </row>
    <row r="29" spans="1:8" x14ac:dyDescent="0.2">
      <c r="A29" s="9">
        <f>IF(ISBLANK($B29),"",COUNTA(B$15:$B29))</f>
        <v>10</v>
      </c>
      <c r="B29" s="102" t="s">
        <v>526</v>
      </c>
      <c r="C29" s="102" t="s">
        <v>533</v>
      </c>
      <c r="E29" s="256"/>
      <c r="F29" s="256"/>
      <c r="H29" s="330">
        <v>0.04</v>
      </c>
    </row>
    <row r="30" spans="1:8" x14ac:dyDescent="0.2">
      <c r="A30" s="9">
        <f>IF(ISBLANK($B30),"",COUNTA(B$15:$B30))</f>
        <v>11</v>
      </c>
      <c r="B30" s="102" t="s">
        <v>531</v>
      </c>
      <c r="C30" s="102" t="s">
        <v>533</v>
      </c>
      <c r="H30" s="331">
        <v>0.03</v>
      </c>
    </row>
    <row r="31" spans="1:8" x14ac:dyDescent="0.2">
      <c r="A31" s="9">
        <f>IF(ISBLANK($B31),"",COUNTA(B$15:$B31))</f>
        <v>12</v>
      </c>
      <c r="B31" s="102" t="s">
        <v>534</v>
      </c>
      <c r="H31" s="332">
        <f>+SUM(H28,-H29,-H30)</f>
        <v>1.4206846549674954E-3</v>
      </c>
    </row>
  </sheetData>
  <mergeCells count="7">
    <mergeCell ref="B24:H24"/>
    <mergeCell ref="B11:H11"/>
    <mergeCell ref="A1:H1"/>
    <mergeCell ref="A2:H2"/>
    <mergeCell ref="A3:H3"/>
    <mergeCell ref="A4:H4"/>
    <mergeCell ref="B13:H13"/>
  </mergeCells>
  <pageMargins left="0.7" right="0.7" top="0.75" bottom="0.75" header="0.3" footer="0.3"/>
  <pageSetup orientation="portrait" horizontalDpi="1200" verticalDpi="1200" r:id="rId1"/>
  <ignoredErrors>
    <ignoredError sqref="D2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B596-B559-442F-AF02-F25EE37595F7}">
  <dimension ref="A1:H38"/>
  <sheetViews>
    <sheetView topLeftCell="A4" workbookViewId="0">
      <selection activeCell="H38" sqref="H38"/>
    </sheetView>
  </sheetViews>
  <sheetFormatPr defaultColWidth="8.7109375" defaultRowHeight="12.75" x14ac:dyDescent="0.2"/>
  <cols>
    <col min="1" max="1" width="8.7109375" style="102"/>
    <col min="2" max="2" width="52.7109375" style="102" bestFit="1" customWidth="1"/>
    <col min="3" max="3" width="36.28515625" style="102" bestFit="1" customWidth="1"/>
    <col min="4" max="4" width="31.28515625" style="102" bestFit="1" customWidth="1"/>
    <col min="5" max="5" width="22.140625" style="102" bestFit="1" customWidth="1"/>
    <col min="6" max="6" width="22.140625" style="102" customWidth="1"/>
    <col min="7" max="7" width="2.28515625" style="102" customWidth="1"/>
    <col min="8" max="8" width="13.85546875" style="102" customWidth="1"/>
    <col min="9" max="16384" width="8.7109375" style="102"/>
  </cols>
  <sheetData>
    <row r="1" spans="1:8" x14ac:dyDescent="0.2">
      <c r="A1" s="364" t="s">
        <v>62</v>
      </c>
      <c r="B1" s="364"/>
      <c r="C1" s="364"/>
      <c r="D1" s="364"/>
      <c r="E1" s="364"/>
      <c r="F1" s="364"/>
      <c r="G1" s="364"/>
      <c r="H1" s="364"/>
    </row>
    <row r="2" spans="1:8" x14ac:dyDescent="0.2">
      <c r="A2" s="364" t="s">
        <v>63</v>
      </c>
      <c r="B2" s="364"/>
      <c r="C2" s="364"/>
      <c r="D2" s="364"/>
      <c r="E2" s="364"/>
      <c r="F2" s="364"/>
      <c r="G2" s="364"/>
      <c r="H2" s="364"/>
    </row>
    <row r="3" spans="1:8" x14ac:dyDescent="0.2">
      <c r="A3" s="364" t="s">
        <v>238</v>
      </c>
      <c r="B3" s="364"/>
      <c r="C3" s="364"/>
      <c r="D3" s="364"/>
      <c r="E3" s="364"/>
      <c r="F3" s="364"/>
      <c r="G3" s="364"/>
      <c r="H3" s="364"/>
    </row>
    <row r="4" spans="1:8" x14ac:dyDescent="0.2">
      <c r="A4" s="364" t="s">
        <v>64</v>
      </c>
      <c r="B4" s="364"/>
      <c r="C4" s="364"/>
      <c r="D4" s="364"/>
      <c r="E4" s="364"/>
      <c r="F4" s="364"/>
      <c r="G4" s="364"/>
      <c r="H4" s="364"/>
    </row>
    <row r="5" spans="1:8" x14ac:dyDescent="0.2">
      <c r="A5" s="47"/>
      <c r="B5" s="47"/>
      <c r="C5" s="47"/>
      <c r="D5" s="47"/>
      <c r="E5" s="47"/>
      <c r="F5" s="47"/>
      <c r="G5" s="47"/>
      <c r="H5" s="47"/>
    </row>
    <row r="6" spans="1:8" x14ac:dyDescent="0.2">
      <c r="A6" s="5"/>
      <c r="B6" s="2"/>
      <c r="C6" s="2"/>
      <c r="D6" s="2"/>
      <c r="E6" s="2"/>
      <c r="F6" s="2"/>
      <c r="G6" s="2"/>
      <c r="H6" s="75" t="s">
        <v>225</v>
      </c>
    </row>
    <row r="7" spans="1:8" ht="16.5" customHeight="1" x14ac:dyDescent="0.2">
      <c r="A7" s="2"/>
      <c r="B7" s="2"/>
      <c r="C7" s="2"/>
      <c r="D7" s="2"/>
      <c r="E7" s="2"/>
      <c r="F7" s="2"/>
      <c r="G7" s="2"/>
      <c r="H7" s="75" t="s">
        <v>427</v>
      </c>
    </row>
    <row r="8" spans="1:8" x14ac:dyDescent="0.2">
      <c r="A8" s="2"/>
      <c r="B8" s="2"/>
      <c r="C8" s="2"/>
      <c r="D8" s="2"/>
      <c r="E8" s="2"/>
      <c r="F8" s="2"/>
      <c r="G8" s="2"/>
      <c r="H8" s="50" t="s">
        <v>65</v>
      </c>
    </row>
    <row r="9" spans="1:8" x14ac:dyDescent="0.2">
      <c r="A9" s="69"/>
      <c r="B9" s="70"/>
      <c r="C9" s="70"/>
      <c r="D9" s="70"/>
      <c r="E9" s="70"/>
      <c r="F9" s="70"/>
      <c r="G9" s="70"/>
      <c r="H9" s="51"/>
    </row>
    <row r="10" spans="1:8" x14ac:dyDescent="0.2">
      <c r="A10" s="46" t="s">
        <v>6</v>
      </c>
      <c r="B10" s="47"/>
      <c r="C10" s="47"/>
      <c r="D10" s="47"/>
      <c r="E10" s="47"/>
      <c r="F10" s="47"/>
      <c r="G10" s="47"/>
      <c r="H10" s="44"/>
    </row>
    <row r="11" spans="1:8" ht="12.95" customHeight="1" x14ac:dyDescent="0.2">
      <c r="A11" s="77" t="s">
        <v>10</v>
      </c>
      <c r="B11" s="351" t="s">
        <v>11</v>
      </c>
      <c r="C11" s="351"/>
      <c r="D11" s="351"/>
      <c r="E11" s="351"/>
      <c r="F11" s="351"/>
      <c r="G11" s="351"/>
      <c r="H11" s="351"/>
    </row>
    <row r="13" spans="1:8" x14ac:dyDescent="0.2">
      <c r="B13" s="351" t="s">
        <v>545</v>
      </c>
      <c r="C13" s="351"/>
      <c r="D13" s="351"/>
      <c r="E13" s="351"/>
      <c r="F13" s="351"/>
      <c r="G13" s="351"/>
      <c r="H13" s="351"/>
    </row>
    <row r="14" spans="1:8" ht="25.5" x14ac:dyDescent="0.2">
      <c r="E14" s="283">
        <v>2023</v>
      </c>
      <c r="F14" s="284" t="s">
        <v>547</v>
      </c>
      <c r="G14" s="296"/>
      <c r="H14" s="283" t="s">
        <v>197</v>
      </c>
    </row>
    <row r="15" spans="1:8" x14ac:dyDescent="0.2">
      <c r="A15" s="9">
        <f>IF(ISBLANK($B15),"",COUNTA(B$15:$B15))</f>
        <v>1</v>
      </c>
      <c r="B15" s="102" t="s">
        <v>546</v>
      </c>
      <c r="E15" s="296">
        <v>65568.350000000006</v>
      </c>
      <c r="F15" s="296"/>
      <c r="G15" s="296"/>
      <c r="H15" s="298">
        <v>60188</v>
      </c>
    </row>
    <row r="16" spans="1:8" x14ac:dyDescent="0.2">
      <c r="A16" s="9" t="str">
        <f>IF(ISBLANK($B16),"",COUNTA(B$15:$B16))</f>
        <v/>
      </c>
      <c r="H16" s="299"/>
    </row>
    <row r="17" spans="1:8" x14ac:dyDescent="0.2">
      <c r="A17" s="9">
        <f>IF(ISBLANK($B17),"",COUNTA(B$15:$B17))</f>
        <v>2</v>
      </c>
      <c r="B17" s="266" t="s">
        <v>548</v>
      </c>
      <c r="C17" s="266" t="s">
        <v>564</v>
      </c>
      <c r="D17" s="266" t="s">
        <v>561</v>
      </c>
      <c r="H17" s="299"/>
    </row>
    <row r="18" spans="1:8" x14ac:dyDescent="0.2">
      <c r="A18" s="9">
        <f>IF(ISBLANK($B18),"",COUNTA(B$15:$B18))</f>
        <v>3</v>
      </c>
      <c r="B18" s="102" t="s">
        <v>562</v>
      </c>
      <c r="C18" s="102" t="s">
        <v>565</v>
      </c>
      <c r="D18" s="102" t="s">
        <v>549</v>
      </c>
      <c r="E18" s="296">
        <v>17614.75</v>
      </c>
      <c r="H18" s="299"/>
    </row>
    <row r="19" spans="1:8" x14ac:dyDescent="0.2">
      <c r="A19" s="9">
        <f>IF(ISBLANK($B19),"",COUNTA(B$15:$B19))</f>
        <v>4</v>
      </c>
      <c r="B19" s="102" t="s">
        <v>562</v>
      </c>
      <c r="C19" s="102" t="s">
        <v>565</v>
      </c>
      <c r="D19" s="102" t="s">
        <v>550</v>
      </c>
      <c r="E19" s="296">
        <v>2063.89</v>
      </c>
      <c r="H19" s="299"/>
    </row>
    <row r="20" spans="1:8" x14ac:dyDescent="0.2">
      <c r="A20" s="9">
        <f>IF(ISBLANK($B20),"",COUNTA(B$15:$B20))</f>
        <v>5</v>
      </c>
      <c r="B20" s="102" t="s">
        <v>562</v>
      </c>
      <c r="C20" s="102" t="s">
        <v>565</v>
      </c>
      <c r="D20" s="102" t="s">
        <v>551</v>
      </c>
      <c r="E20" s="296">
        <v>1682.64</v>
      </c>
      <c r="H20" s="299"/>
    </row>
    <row r="21" spans="1:8" x14ac:dyDescent="0.2">
      <c r="A21" s="9">
        <f>IF(ISBLANK($B21),"",COUNTA(B$15:$B21))</f>
        <v>6</v>
      </c>
      <c r="B21" s="102" t="s">
        <v>563</v>
      </c>
      <c r="C21" s="102" t="s">
        <v>566</v>
      </c>
      <c r="D21" s="102" t="s">
        <v>552</v>
      </c>
      <c r="E21" s="296">
        <v>4.21</v>
      </c>
      <c r="H21" s="299"/>
    </row>
    <row r="22" spans="1:8" x14ac:dyDescent="0.2">
      <c r="A22" s="9">
        <f>IF(ISBLANK($B22),"",COUNTA(B$15:$B22))</f>
        <v>7</v>
      </c>
      <c r="B22" s="102" t="s">
        <v>563</v>
      </c>
      <c r="C22" s="102" t="s">
        <v>569</v>
      </c>
      <c r="D22" s="102" t="s">
        <v>552</v>
      </c>
      <c r="E22" s="296">
        <v>4.21</v>
      </c>
      <c r="H22" s="299"/>
    </row>
    <row r="23" spans="1:8" x14ac:dyDescent="0.2">
      <c r="A23" s="9">
        <f>IF(ISBLANK($B23),"",COUNTA(B$15:$B23))</f>
        <v>8</v>
      </c>
      <c r="B23" s="102" t="s">
        <v>563</v>
      </c>
      <c r="C23" s="102" t="s">
        <v>566</v>
      </c>
      <c r="D23" s="102" t="s">
        <v>553</v>
      </c>
      <c r="E23" s="296">
        <v>5.57</v>
      </c>
      <c r="H23" s="299"/>
    </row>
    <row r="24" spans="1:8" x14ac:dyDescent="0.2">
      <c r="A24" s="9">
        <f>IF(ISBLANK($B24),"",COUNTA(B$15:$B24))</f>
        <v>9</v>
      </c>
      <c r="B24" s="102" t="s">
        <v>572</v>
      </c>
      <c r="C24" s="102" t="s">
        <v>565</v>
      </c>
      <c r="D24" s="102" t="s">
        <v>554</v>
      </c>
      <c r="E24" s="296">
        <f>14552.62*0.7</f>
        <v>10186.834000000001</v>
      </c>
      <c r="H24" s="299"/>
    </row>
    <row r="25" spans="1:8" x14ac:dyDescent="0.2">
      <c r="A25" s="9">
        <f>IF(ISBLANK($B25),"",COUNTA(B$15:$B25))</f>
        <v>10</v>
      </c>
      <c r="B25" s="102" t="s">
        <v>570</v>
      </c>
      <c r="C25" s="102" t="s">
        <v>567</v>
      </c>
      <c r="D25" s="102" t="s">
        <v>555</v>
      </c>
      <c r="E25" s="296">
        <v>272.55</v>
      </c>
      <c r="H25" s="299"/>
    </row>
    <row r="26" spans="1:8" x14ac:dyDescent="0.2">
      <c r="A26" s="9">
        <f>IF(ISBLANK($B26),"",COUNTA(B$15:$B26))</f>
        <v>11</v>
      </c>
      <c r="B26" s="102" t="s">
        <v>570</v>
      </c>
      <c r="C26" s="102" t="s">
        <v>568</v>
      </c>
      <c r="D26" s="102" t="s">
        <v>555</v>
      </c>
      <c r="E26" s="296">
        <v>513.55999999999995</v>
      </c>
      <c r="H26" s="299"/>
    </row>
    <row r="27" spans="1:8" x14ac:dyDescent="0.2">
      <c r="A27" s="9">
        <f>IF(ISBLANK($B27),"",COUNTA(B$15:$B27))</f>
        <v>12</v>
      </c>
      <c r="B27" s="102" t="s">
        <v>571</v>
      </c>
      <c r="C27" s="102" t="s">
        <v>567</v>
      </c>
      <c r="D27" s="102" t="s">
        <v>556</v>
      </c>
      <c r="E27" s="296">
        <v>1436.8200000000002</v>
      </c>
      <c r="H27" s="299"/>
    </row>
    <row r="28" spans="1:8" x14ac:dyDescent="0.2">
      <c r="A28" s="9">
        <f>IF(ISBLANK($B28),"",COUNTA(B$15:$B28))</f>
        <v>13</v>
      </c>
      <c r="B28" s="102" t="s">
        <v>570</v>
      </c>
      <c r="C28" s="102" t="s">
        <v>567</v>
      </c>
      <c r="D28" s="102" t="s">
        <v>557</v>
      </c>
      <c r="E28" s="296">
        <v>52.779999999999994</v>
      </c>
      <c r="H28" s="299"/>
    </row>
    <row r="29" spans="1:8" x14ac:dyDescent="0.2">
      <c r="A29" s="9">
        <f>IF(ISBLANK($B29),"",COUNTA(B$15:$B29))</f>
        <v>14</v>
      </c>
      <c r="B29" s="102" t="s">
        <v>570</v>
      </c>
      <c r="C29" s="102" t="s">
        <v>568</v>
      </c>
      <c r="D29" s="102" t="s">
        <v>557</v>
      </c>
      <c r="E29" s="296">
        <v>287.74</v>
      </c>
      <c r="H29" s="299"/>
    </row>
    <row r="30" spans="1:8" x14ac:dyDescent="0.2">
      <c r="A30" s="9">
        <f>IF(ISBLANK($B30),"",COUNTA(B$15:$B30))</f>
        <v>15</v>
      </c>
      <c r="B30" s="102" t="s">
        <v>573</v>
      </c>
      <c r="C30" s="102" t="s">
        <v>567</v>
      </c>
      <c r="D30" s="102" t="s">
        <v>558</v>
      </c>
      <c r="E30" s="296">
        <f>373.06*0.7</f>
        <v>261.142</v>
      </c>
      <c r="H30" s="299"/>
    </row>
    <row r="31" spans="1:8" x14ac:dyDescent="0.2">
      <c r="A31" s="9">
        <f>IF(ISBLANK($B31),"",COUNTA(B$15:$B31))</f>
        <v>16</v>
      </c>
      <c r="B31" s="102" t="s">
        <v>570</v>
      </c>
      <c r="C31" s="102" t="s">
        <v>567</v>
      </c>
      <c r="D31" s="102" t="s">
        <v>559</v>
      </c>
      <c r="E31" s="296">
        <v>2722.8300000000004</v>
      </c>
      <c r="H31" s="299"/>
    </row>
    <row r="32" spans="1:8" x14ac:dyDescent="0.2">
      <c r="A32" s="9">
        <f>IF(ISBLANK($B32),"",COUNTA(B$15:$B32))</f>
        <v>17</v>
      </c>
      <c r="B32" s="102" t="s">
        <v>570</v>
      </c>
      <c r="C32" s="102" t="s">
        <v>567</v>
      </c>
      <c r="D32" s="102" t="s">
        <v>560</v>
      </c>
      <c r="E32" s="296">
        <v>1.4700000000000002</v>
      </c>
      <c r="H32" s="299"/>
    </row>
    <row r="33" spans="1:8" x14ac:dyDescent="0.2">
      <c r="A33" s="9">
        <f>IF(ISBLANK($B33),"",COUNTA(B$15:$B33))</f>
        <v>18</v>
      </c>
      <c r="B33" s="102" t="s">
        <v>570</v>
      </c>
      <c r="C33" s="102" t="s">
        <v>568</v>
      </c>
      <c r="D33" s="102" t="s">
        <v>560</v>
      </c>
      <c r="E33" s="297">
        <v>11.1</v>
      </c>
      <c r="H33" s="299"/>
    </row>
    <row r="34" spans="1:8" x14ac:dyDescent="0.2">
      <c r="A34" s="9">
        <f>IF(ISBLANK($B34),"",COUNTA(B$15:$B34))</f>
        <v>19</v>
      </c>
      <c r="B34" s="102" t="s">
        <v>507</v>
      </c>
      <c r="E34" s="263">
        <f>SUM(E18:E33)</f>
        <v>37122.095999999998</v>
      </c>
      <c r="H34" s="299"/>
    </row>
    <row r="35" spans="1:8" x14ac:dyDescent="0.2">
      <c r="A35" s="9" t="str">
        <f>IF(ISBLANK($B35),"",COUNTA(B$15:$B35))</f>
        <v/>
      </c>
      <c r="H35" s="299"/>
    </row>
    <row r="36" spans="1:8" x14ac:dyDescent="0.2">
      <c r="A36" s="9">
        <f>IF(ISBLANK($B36),"",COUNTA(B$15:$B36))</f>
        <v>20</v>
      </c>
      <c r="B36" s="102" t="s">
        <v>574</v>
      </c>
      <c r="E36" s="263">
        <f>+E15-E34</f>
        <v>28446.254000000008</v>
      </c>
      <c r="F36" s="282">
        <f>+E36/E15</f>
        <v>0.43384123590116275</v>
      </c>
      <c r="H36" s="299"/>
    </row>
    <row r="37" spans="1:8" x14ac:dyDescent="0.2">
      <c r="A37" s="9">
        <f>IF(ISBLANK($B37),"",COUNTA(B$15:$B37))</f>
        <v>21</v>
      </c>
      <c r="B37" s="102" t="s">
        <v>574</v>
      </c>
      <c r="H37" s="300">
        <f>ROUND(H15*F36,0)</f>
        <v>26112</v>
      </c>
    </row>
    <row r="38" spans="1:8" x14ac:dyDescent="0.2">
      <c r="A38" s="9">
        <f>IF(ISBLANK($B38),"",COUNTA(B$15:$B38))</f>
        <v>22</v>
      </c>
      <c r="B38" s="102" t="s">
        <v>575</v>
      </c>
      <c r="H38" s="299">
        <f>+H15-H37</f>
        <v>34076</v>
      </c>
    </row>
  </sheetData>
  <sortState xmlns:xlrd2="http://schemas.microsoft.com/office/spreadsheetml/2017/richdata2" ref="B18:E33">
    <sortCondition ref="B18:B33"/>
  </sortState>
  <mergeCells count="6">
    <mergeCell ref="B13:H13"/>
    <mergeCell ref="A1:H1"/>
    <mergeCell ref="A2:H2"/>
    <mergeCell ref="A3:H3"/>
    <mergeCell ref="A4:H4"/>
    <mergeCell ref="B11:H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FEED-0C94-4E67-A898-CC85080DBE13}">
  <dimension ref="A1:K228"/>
  <sheetViews>
    <sheetView workbookViewId="0">
      <selection sqref="A1:J1"/>
    </sheetView>
  </sheetViews>
  <sheetFormatPr defaultColWidth="7.85546875" defaultRowHeight="12.75" x14ac:dyDescent="0.25"/>
  <cols>
    <col min="1" max="1" width="4.5703125" style="168" customWidth="1"/>
    <col min="2" max="2" width="54.85546875" style="169" bestFit="1" customWidth="1"/>
    <col min="3" max="3" width="19.5703125" style="169" customWidth="1"/>
    <col min="4" max="5" width="17.7109375" style="169" customWidth="1"/>
    <col min="6" max="6" width="19.85546875" style="169" bestFit="1" customWidth="1"/>
    <col min="7" max="7" width="3.85546875" style="169" customWidth="1"/>
    <col min="8" max="9" width="17.7109375" style="169" customWidth="1"/>
    <col min="10" max="10" width="19.85546875" style="169" bestFit="1" customWidth="1"/>
    <col min="11" max="11" width="3.85546875" style="169" customWidth="1"/>
    <col min="12" max="16384" width="7.85546875" style="169"/>
  </cols>
  <sheetData>
    <row r="1" spans="1:11" ht="12.75" customHeight="1" x14ac:dyDescent="0.25">
      <c r="A1" s="366" t="s">
        <v>62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1" ht="12.75" customHeight="1" x14ac:dyDescent="0.25">
      <c r="A2" s="366" t="s">
        <v>63</v>
      </c>
      <c r="B2" s="366"/>
      <c r="C2" s="366"/>
      <c r="D2" s="366"/>
      <c r="E2" s="366"/>
      <c r="F2" s="366"/>
      <c r="G2" s="366"/>
      <c r="H2" s="366"/>
      <c r="I2" s="366"/>
      <c r="J2" s="366"/>
    </row>
    <row r="3" spans="1:11" ht="12.75" customHeight="1" x14ac:dyDescent="0.25">
      <c r="A3" s="366" t="s">
        <v>440</v>
      </c>
      <c r="B3" s="366"/>
      <c r="C3" s="366"/>
      <c r="D3" s="366"/>
      <c r="E3" s="366"/>
      <c r="F3" s="366"/>
      <c r="G3" s="366"/>
      <c r="H3" s="366"/>
      <c r="I3" s="366"/>
      <c r="J3" s="366"/>
    </row>
    <row r="4" spans="1:11" ht="12.75" customHeight="1" x14ac:dyDescent="0.25">
      <c r="A4" s="366" t="s">
        <v>438</v>
      </c>
      <c r="B4" s="366"/>
      <c r="C4" s="366"/>
      <c r="D4" s="366"/>
      <c r="E4" s="366"/>
      <c r="F4" s="366"/>
      <c r="G4" s="366"/>
      <c r="H4" s="366"/>
      <c r="I4" s="366"/>
      <c r="J4" s="366"/>
    </row>
    <row r="5" spans="1:11" ht="12.75" customHeight="1" x14ac:dyDescent="0.25">
      <c r="A5" s="366" t="s">
        <v>64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1" ht="12.75" customHeight="1" x14ac:dyDescent="0.25">
      <c r="B6" s="168"/>
      <c r="C6" s="168"/>
      <c r="D6" s="168"/>
      <c r="E6" s="168"/>
      <c r="F6" s="168"/>
      <c r="H6" s="168"/>
      <c r="I6" s="168"/>
      <c r="J6" s="168"/>
    </row>
    <row r="7" spans="1:11" x14ac:dyDescent="0.25">
      <c r="A7" s="5" t="s">
        <v>176</v>
      </c>
      <c r="B7" s="2"/>
      <c r="E7" s="170"/>
      <c r="I7" s="170"/>
      <c r="J7" s="170" t="s">
        <v>289</v>
      </c>
    </row>
    <row r="8" spans="1:11" ht="14.45" customHeight="1" x14ac:dyDescent="0.25">
      <c r="A8" s="2" t="s">
        <v>645</v>
      </c>
      <c r="B8" s="2"/>
      <c r="E8" s="170"/>
      <c r="I8" s="170"/>
      <c r="J8" s="170" t="s">
        <v>290</v>
      </c>
    </row>
    <row r="9" spans="1:11" x14ac:dyDescent="0.25">
      <c r="A9" s="2" t="s">
        <v>2</v>
      </c>
      <c r="B9" s="2"/>
      <c r="C9" s="171"/>
      <c r="E9" s="172"/>
      <c r="G9" s="171"/>
      <c r="I9" s="172"/>
      <c r="J9" s="172" t="s">
        <v>439</v>
      </c>
      <c r="K9" s="171"/>
    </row>
    <row r="10" spans="1:11" x14ac:dyDescent="0.25">
      <c r="A10" s="69"/>
      <c r="B10" s="173"/>
      <c r="C10" s="173"/>
      <c r="D10" s="173"/>
      <c r="E10" s="174"/>
      <c r="F10" s="174"/>
      <c r="G10" s="171"/>
      <c r="H10" s="173"/>
      <c r="I10" s="174"/>
      <c r="J10" s="174"/>
      <c r="K10" s="171"/>
    </row>
    <row r="11" spans="1:11" ht="13.5" thickBot="1" x14ac:dyDescent="0.3">
      <c r="A11" s="175"/>
      <c r="B11" s="176"/>
      <c r="C11" s="176"/>
      <c r="D11" s="367" t="s">
        <v>177</v>
      </c>
      <c r="E11" s="367"/>
      <c r="F11" s="367"/>
      <c r="G11" s="171"/>
      <c r="H11" s="367" t="s">
        <v>179</v>
      </c>
      <c r="I11" s="367"/>
      <c r="J11" s="367"/>
      <c r="K11" s="171"/>
    </row>
    <row r="12" spans="1:11" s="168" customFormat="1" x14ac:dyDescent="0.25">
      <c r="A12" s="178"/>
      <c r="B12" s="178"/>
      <c r="C12" s="178"/>
      <c r="D12" s="44" t="s">
        <v>33</v>
      </c>
      <c r="E12" s="44" t="s">
        <v>33</v>
      </c>
      <c r="F12" s="44" t="s">
        <v>33</v>
      </c>
      <c r="H12" s="44" t="s">
        <v>33</v>
      </c>
      <c r="I12" s="44" t="s">
        <v>33</v>
      </c>
      <c r="J12" s="44" t="s">
        <v>33</v>
      </c>
    </row>
    <row r="13" spans="1:11" s="168" customFormat="1" x14ac:dyDescent="0.25">
      <c r="A13" s="178"/>
      <c r="B13" s="178"/>
      <c r="C13" s="178"/>
      <c r="D13" s="178" t="s">
        <v>131</v>
      </c>
      <c r="E13" s="178" t="s">
        <v>131</v>
      </c>
      <c r="F13" s="178" t="s">
        <v>131</v>
      </c>
      <c r="H13" s="178" t="s">
        <v>131</v>
      </c>
      <c r="I13" s="178" t="s">
        <v>131</v>
      </c>
      <c r="J13" s="178" t="s">
        <v>131</v>
      </c>
    </row>
    <row r="14" spans="1:11" s="168" customFormat="1" x14ac:dyDescent="0.25">
      <c r="A14" s="46" t="s">
        <v>6</v>
      </c>
      <c r="B14" s="178"/>
      <c r="C14" s="178"/>
      <c r="D14" s="178" t="s">
        <v>133</v>
      </c>
      <c r="E14" s="178" t="s">
        <v>133</v>
      </c>
      <c r="F14" s="178" t="s">
        <v>135</v>
      </c>
      <c r="H14" s="178" t="s">
        <v>133</v>
      </c>
      <c r="I14" s="178" t="s">
        <v>133</v>
      </c>
      <c r="J14" s="178" t="s">
        <v>135</v>
      </c>
    </row>
    <row r="15" spans="1:11" s="168" customFormat="1" x14ac:dyDescent="0.25">
      <c r="A15" s="179" t="s">
        <v>10</v>
      </c>
      <c r="B15" s="180" t="s">
        <v>11</v>
      </c>
      <c r="C15" s="181" t="s">
        <v>12</v>
      </c>
      <c r="D15" s="181" t="s">
        <v>31</v>
      </c>
      <c r="E15" s="181" t="s">
        <v>187</v>
      </c>
      <c r="F15" s="181" t="s">
        <v>5</v>
      </c>
      <c r="H15" s="181" t="s">
        <v>31</v>
      </c>
      <c r="I15" s="181" t="s">
        <v>187</v>
      </c>
      <c r="J15" s="181" t="s">
        <v>5</v>
      </c>
    </row>
    <row r="16" spans="1:11" s="168" customFormat="1" x14ac:dyDescent="0.25">
      <c r="D16" s="182" t="s">
        <v>85</v>
      </c>
      <c r="E16" s="182" t="s">
        <v>86</v>
      </c>
      <c r="F16" s="182" t="s">
        <v>444</v>
      </c>
      <c r="H16" s="182" t="s">
        <v>156</v>
      </c>
      <c r="I16" s="182" t="s">
        <v>89</v>
      </c>
      <c r="J16" s="182" t="s">
        <v>445</v>
      </c>
    </row>
    <row r="17" spans="1:10" s="168" customFormat="1" x14ac:dyDescent="0.25">
      <c r="D17" s="168" t="s">
        <v>36</v>
      </c>
      <c r="E17" s="168" t="s">
        <v>36</v>
      </c>
      <c r="F17" s="168" t="s">
        <v>36</v>
      </c>
      <c r="H17" s="168" t="s">
        <v>36</v>
      </c>
      <c r="I17" s="168" t="s">
        <v>36</v>
      </c>
      <c r="J17" s="168" t="s">
        <v>36</v>
      </c>
    </row>
    <row r="18" spans="1:10" x14ac:dyDescent="0.25">
      <c r="E18" s="171"/>
      <c r="F18" s="171"/>
      <c r="I18" s="171"/>
      <c r="J18" s="171"/>
    </row>
    <row r="19" spans="1:10" x14ac:dyDescent="0.25">
      <c r="A19" s="168">
        <v>1</v>
      </c>
      <c r="B19" s="169" t="s">
        <v>292</v>
      </c>
      <c r="C19" s="168" t="s">
        <v>293</v>
      </c>
      <c r="D19" s="169">
        <f>+'Sch C-1 (Op. Income)'!E27</f>
        <v>27016396.517134205</v>
      </c>
      <c r="E19" s="169">
        <f>+F19-D19</f>
        <v>23642933.522708282</v>
      </c>
      <c r="F19" s="169">
        <f>+'Sch C-1 (Op. Income)'!I27</f>
        <v>50659330.039842486</v>
      </c>
      <c r="H19" s="169">
        <f>+'Sch C-1 (Op. Income)'!Q27</f>
        <v>27016396.517134205</v>
      </c>
      <c r="I19" s="169">
        <f>+J19-H19</f>
        <v>23539168.055689961</v>
      </c>
      <c r="J19" s="169">
        <f>+'Sch C-1 (Op. Income)'!U27</f>
        <v>50555564.572824165</v>
      </c>
    </row>
    <row r="20" spans="1:10" x14ac:dyDescent="0.25">
      <c r="A20" s="168">
        <f>A19+1</f>
        <v>2</v>
      </c>
      <c r="B20" s="169" t="s">
        <v>294</v>
      </c>
      <c r="C20" s="168" t="s">
        <v>295</v>
      </c>
      <c r="D20" s="173">
        <f>D73</f>
        <v>12036793.632906139</v>
      </c>
      <c r="E20" s="173">
        <v>0</v>
      </c>
      <c r="F20" s="169">
        <f>SUM(D20,E20)</f>
        <v>12036793.632906139</v>
      </c>
      <c r="H20" s="173">
        <f>H73</f>
        <v>11933028.1705535</v>
      </c>
      <c r="I20" s="173">
        <v>0</v>
      </c>
      <c r="J20" s="169">
        <f>SUM(H20,I20)</f>
        <v>11933028.1705535</v>
      </c>
    </row>
    <row r="21" spans="1:10" x14ac:dyDescent="0.25">
      <c r="A21" s="168">
        <f t="shared" ref="A21:A73" si="0">A20+1</f>
        <v>3</v>
      </c>
      <c r="B21" s="169" t="s">
        <v>296</v>
      </c>
      <c r="C21" s="168" t="s">
        <v>297</v>
      </c>
      <c r="D21" s="176">
        <f>+D19-D20</f>
        <v>14979602.884228066</v>
      </c>
      <c r="E21" s="176">
        <f>+E19-E20</f>
        <v>23642933.522708282</v>
      </c>
      <c r="F21" s="176">
        <f>+F19-F20</f>
        <v>38622536.406936347</v>
      </c>
      <c r="H21" s="176">
        <f>+H19-H20</f>
        <v>15083368.346580705</v>
      </c>
      <c r="I21" s="176">
        <f>+I19-I20</f>
        <v>23539168.055689961</v>
      </c>
      <c r="J21" s="176">
        <f>+J19-J20</f>
        <v>38622536.402270667</v>
      </c>
    </row>
    <row r="22" spans="1:10" x14ac:dyDescent="0.25">
      <c r="A22" s="168">
        <f t="shared" si="0"/>
        <v>4</v>
      </c>
      <c r="C22" s="168"/>
    </row>
    <row r="23" spans="1:10" x14ac:dyDescent="0.25">
      <c r="A23" s="168">
        <f t="shared" si="0"/>
        <v>5</v>
      </c>
      <c r="B23" s="171" t="s">
        <v>298</v>
      </c>
      <c r="C23" s="168" t="s">
        <v>299</v>
      </c>
      <c r="D23" s="169">
        <f>D100</f>
        <v>161935.86366355082</v>
      </c>
      <c r="E23" s="169">
        <f>E100</f>
        <v>0</v>
      </c>
      <c r="F23" s="169">
        <f>F100</f>
        <v>161935.86366355082</v>
      </c>
      <c r="H23" s="169">
        <f>H100</f>
        <v>161935.86366355082</v>
      </c>
      <c r="I23" s="169">
        <f>I100</f>
        <v>0</v>
      </c>
      <c r="J23" s="169">
        <f>J100</f>
        <v>161935.86366355082</v>
      </c>
    </row>
    <row r="24" spans="1:10" s="171" customFormat="1" x14ac:dyDescent="0.25">
      <c r="A24" s="168">
        <f t="shared" si="0"/>
        <v>6</v>
      </c>
      <c r="B24" s="171" t="s">
        <v>300</v>
      </c>
      <c r="C24" s="178" t="s">
        <v>301</v>
      </c>
      <c r="D24" s="171">
        <f>D148</f>
        <v>-8824954.6483472325</v>
      </c>
      <c r="E24" s="171">
        <f>E148</f>
        <v>0</v>
      </c>
      <c r="F24" s="171">
        <f>F148</f>
        <v>-8824954.6483472325</v>
      </c>
      <c r="H24" s="171">
        <f>H148</f>
        <v>-8824954.6483472325</v>
      </c>
      <c r="I24" s="171">
        <f>I148</f>
        <v>0</v>
      </c>
      <c r="J24" s="171">
        <f>J148</f>
        <v>-8824954.6483472325</v>
      </c>
    </row>
    <row r="25" spans="1:10" x14ac:dyDescent="0.25">
      <c r="A25" s="168">
        <f t="shared" si="0"/>
        <v>7</v>
      </c>
      <c r="B25" s="171" t="s">
        <v>302</v>
      </c>
      <c r="C25" s="168" t="s">
        <v>303</v>
      </c>
      <c r="D25" s="171">
        <f>D151</f>
        <v>-3321725.8599999957</v>
      </c>
      <c r="E25" s="171">
        <f>E151</f>
        <v>0</v>
      </c>
      <c r="F25" s="171">
        <f>F151</f>
        <v>-3321725.8599999957</v>
      </c>
      <c r="H25" s="171">
        <f>H151</f>
        <v>-3321725.8599999957</v>
      </c>
      <c r="I25" s="171">
        <f>I151</f>
        <v>0</v>
      </c>
      <c r="J25" s="171">
        <f>J151</f>
        <v>-3321725.8599999957</v>
      </c>
    </row>
    <row r="26" spans="1:10" x14ac:dyDescent="0.25">
      <c r="A26" s="168">
        <f t="shared" si="0"/>
        <v>8</v>
      </c>
      <c r="C26" s="168"/>
    </row>
    <row r="27" spans="1:10" s="183" customFormat="1" x14ac:dyDescent="0.25">
      <c r="A27" s="168">
        <f t="shared" si="0"/>
        <v>9</v>
      </c>
      <c r="B27" s="169" t="s">
        <v>304</v>
      </c>
      <c r="C27" s="168" t="s">
        <v>305</v>
      </c>
      <c r="D27" s="169">
        <f>+D21+D23+D24+D25</f>
        <v>2994858.2395443879</v>
      </c>
      <c r="E27" s="169">
        <f>+E21+E23+E24+E25</f>
        <v>23642933.522708282</v>
      </c>
      <c r="F27" s="169">
        <f>+F21+F23+F24+F25</f>
        <v>26637791.762252674</v>
      </c>
      <c r="H27" s="169">
        <f>+H21+H23+H24+H25</f>
        <v>3098623.701897027</v>
      </c>
      <c r="I27" s="169">
        <f>+I21+I23+I24+I25</f>
        <v>23539168.055689961</v>
      </c>
      <c r="J27" s="169">
        <f>+J21+J23+J24+J25</f>
        <v>26637791.757586993</v>
      </c>
    </row>
    <row r="28" spans="1:10" x14ac:dyDescent="0.25">
      <c r="A28" s="168">
        <f t="shared" si="0"/>
        <v>10</v>
      </c>
      <c r="C28" s="168"/>
    </row>
    <row r="29" spans="1:10" x14ac:dyDescent="0.25">
      <c r="A29" s="168">
        <f t="shared" si="0"/>
        <v>11</v>
      </c>
      <c r="B29" s="169" t="s">
        <v>306</v>
      </c>
      <c r="C29" s="168" t="s">
        <v>307</v>
      </c>
      <c r="D29" s="169">
        <f>D27*0.05</f>
        <v>149742.9119772194</v>
      </c>
      <c r="E29" s="169">
        <f>E27*0.05</f>
        <v>1182146.676135414</v>
      </c>
      <c r="F29" s="169">
        <f>F27*0.05</f>
        <v>1331889.5881126337</v>
      </c>
      <c r="H29" s="169">
        <f>H27*0.05</f>
        <v>154931.18509485136</v>
      </c>
      <c r="I29" s="169">
        <f>I27*0.05</f>
        <v>1176958.4027844982</v>
      </c>
      <c r="J29" s="169">
        <f>J27*0.05</f>
        <v>1331889.5878793497</v>
      </c>
    </row>
    <row r="30" spans="1:10" x14ac:dyDescent="0.25">
      <c r="A30" s="168">
        <f t="shared" si="0"/>
        <v>12</v>
      </c>
      <c r="B30" s="169" t="s">
        <v>308</v>
      </c>
      <c r="C30" s="168" t="s">
        <v>309</v>
      </c>
      <c r="D30" s="169">
        <f t="shared" ref="D30:F31" si="1">D185</f>
        <v>0</v>
      </c>
      <c r="E30" s="169">
        <f t="shared" si="1"/>
        <v>0</v>
      </c>
      <c r="F30" s="169">
        <f t="shared" si="1"/>
        <v>0</v>
      </c>
      <c r="H30" s="169">
        <f t="shared" ref="H30:J30" si="2">H185</f>
        <v>0</v>
      </c>
      <c r="I30" s="169">
        <f t="shared" si="2"/>
        <v>0</v>
      </c>
      <c r="J30" s="169">
        <f t="shared" si="2"/>
        <v>0</v>
      </c>
    </row>
    <row r="31" spans="1:10" x14ac:dyDescent="0.25">
      <c r="A31" s="168">
        <f t="shared" si="0"/>
        <v>13</v>
      </c>
      <c r="B31" s="169" t="s">
        <v>310</v>
      </c>
      <c r="C31" s="168" t="s">
        <v>311</v>
      </c>
      <c r="D31" s="173">
        <f t="shared" si="1"/>
        <v>0</v>
      </c>
      <c r="E31" s="173">
        <f t="shared" si="1"/>
        <v>0</v>
      </c>
      <c r="F31" s="173">
        <f t="shared" si="1"/>
        <v>0</v>
      </c>
      <c r="H31" s="173">
        <f t="shared" ref="H31:J31" si="3">H186</f>
        <v>0</v>
      </c>
      <c r="I31" s="173">
        <f t="shared" si="3"/>
        <v>0</v>
      </c>
      <c r="J31" s="173">
        <f t="shared" si="3"/>
        <v>0</v>
      </c>
    </row>
    <row r="32" spans="1:10" x14ac:dyDescent="0.25">
      <c r="A32" s="168">
        <f t="shared" si="0"/>
        <v>14</v>
      </c>
      <c r="C32" s="168"/>
      <c r="D32" s="171"/>
      <c r="E32" s="171"/>
      <c r="F32" s="171"/>
      <c r="H32" s="171"/>
      <c r="I32" s="171"/>
      <c r="J32" s="171"/>
    </row>
    <row r="33" spans="1:10" x14ac:dyDescent="0.25">
      <c r="A33" s="168">
        <f t="shared" si="0"/>
        <v>15</v>
      </c>
      <c r="B33" s="169" t="s">
        <v>312</v>
      </c>
      <c r="C33" s="168" t="s">
        <v>313</v>
      </c>
      <c r="D33" s="169">
        <f>+D29+D31</f>
        <v>149742.9119772194</v>
      </c>
      <c r="E33" s="169">
        <f>E29+E30+E31</f>
        <v>1182146.676135414</v>
      </c>
      <c r="F33" s="169">
        <f>F29+F30+F31</f>
        <v>1331889.5881126337</v>
      </c>
      <c r="H33" s="169">
        <f>+H29+H31</f>
        <v>154931.18509485136</v>
      </c>
      <c r="I33" s="169">
        <f>I29+I30+I31</f>
        <v>1176958.4027844982</v>
      </c>
      <c r="J33" s="169">
        <f>J29+J30+J31</f>
        <v>1331889.5878793497</v>
      </c>
    </row>
    <row r="34" spans="1:10" x14ac:dyDescent="0.25">
      <c r="A34" s="168">
        <f t="shared" si="0"/>
        <v>16</v>
      </c>
      <c r="C34" s="168"/>
    </row>
    <row r="35" spans="1:10" s="183" customFormat="1" x14ac:dyDescent="0.25">
      <c r="A35" s="168">
        <f t="shared" si="0"/>
        <v>17</v>
      </c>
      <c r="B35" s="169" t="s">
        <v>314</v>
      </c>
      <c r="C35" s="168" t="s">
        <v>315</v>
      </c>
      <c r="D35" s="169">
        <f>D21+D23+D24-D29-D30</f>
        <v>6166841.1875671642</v>
      </c>
      <c r="E35" s="169">
        <f>E21+E23+E24-E29-E30</f>
        <v>22460786.846572869</v>
      </c>
      <c r="F35" s="169">
        <f>F21+F23+F24-F29-F30</f>
        <v>28627628.034140036</v>
      </c>
      <c r="H35" s="169">
        <f>H21+H23+H24-H29-H30</f>
        <v>6265418.3768021716</v>
      </c>
      <c r="I35" s="169">
        <f>I21+I23+I24-I29-I30</f>
        <v>22362209.652905464</v>
      </c>
      <c r="J35" s="169">
        <f>J21+J23+J24-J29-J30</f>
        <v>28627628.02970764</v>
      </c>
    </row>
    <row r="36" spans="1:10" x14ac:dyDescent="0.25">
      <c r="A36" s="168">
        <f t="shared" si="0"/>
        <v>18</v>
      </c>
      <c r="C36" s="168"/>
    </row>
    <row r="37" spans="1:10" x14ac:dyDescent="0.25">
      <c r="A37" s="168">
        <f t="shared" si="0"/>
        <v>19</v>
      </c>
      <c r="B37" s="169" t="s">
        <v>316</v>
      </c>
      <c r="C37" s="168"/>
      <c r="D37" s="169">
        <v>0</v>
      </c>
      <c r="E37" s="169">
        <v>0</v>
      </c>
      <c r="F37" s="169">
        <v>0</v>
      </c>
      <c r="H37" s="169">
        <v>0</v>
      </c>
      <c r="I37" s="169">
        <v>0</v>
      </c>
      <c r="J37" s="169">
        <v>0</v>
      </c>
    </row>
    <row r="38" spans="1:10" x14ac:dyDescent="0.25">
      <c r="A38" s="168">
        <f t="shared" si="0"/>
        <v>20</v>
      </c>
      <c r="C38" s="168"/>
    </row>
    <row r="39" spans="1:10" x14ac:dyDescent="0.25">
      <c r="A39" s="168">
        <f t="shared" si="0"/>
        <v>21</v>
      </c>
      <c r="B39" s="169" t="s">
        <v>317</v>
      </c>
      <c r="C39" s="168" t="s">
        <v>318</v>
      </c>
      <c r="D39" s="169">
        <f>(D35+D37)*0.21</f>
        <v>1295036.6493891045</v>
      </c>
      <c r="E39" s="169">
        <f>(E35+E37)*0.21</f>
        <v>4716765.2377803018</v>
      </c>
      <c r="F39" s="169">
        <f>(F35+F37)*0.21-4</f>
        <v>6011797.8871694077</v>
      </c>
      <c r="H39" s="169">
        <f>(H35+H37)*0.21</f>
        <v>1315737.8591284561</v>
      </c>
      <c r="I39" s="169">
        <f>(I35+I37)*0.21</f>
        <v>4696064.0271101473</v>
      </c>
      <c r="J39" s="169">
        <f>(J35+J37)*0.21-4</f>
        <v>6011797.8862386039</v>
      </c>
    </row>
    <row r="40" spans="1:10" x14ac:dyDescent="0.25">
      <c r="A40" s="168">
        <f t="shared" si="0"/>
        <v>22</v>
      </c>
      <c r="B40" s="169" t="s">
        <v>319</v>
      </c>
      <c r="C40" s="168" t="s">
        <v>320</v>
      </c>
      <c r="D40" s="169">
        <f>D175</f>
        <v>0</v>
      </c>
      <c r="E40" s="169">
        <f>E175</f>
        <v>0</v>
      </c>
      <c r="F40" s="169">
        <f>F175</f>
        <v>0</v>
      </c>
      <c r="H40" s="169">
        <f>H175</f>
        <v>0</v>
      </c>
      <c r="I40" s="169">
        <f>I175</f>
        <v>0</v>
      </c>
      <c r="J40" s="169">
        <f>J175</f>
        <v>0</v>
      </c>
    </row>
    <row r="41" spans="1:10" x14ac:dyDescent="0.25">
      <c r="A41" s="168">
        <f t="shared" si="0"/>
        <v>23</v>
      </c>
      <c r="B41" s="169" t="s">
        <v>321</v>
      </c>
      <c r="C41" s="168"/>
      <c r="D41" s="173">
        <v>0</v>
      </c>
      <c r="E41" s="173">
        <v>0</v>
      </c>
      <c r="F41" s="173">
        <v>0</v>
      </c>
      <c r="H41" s="173">
        <v>0</v>
      </c>
      <c r="I41" s="173">
        <v>0</v>
      </c>
      <c r="J41" s="173">
        <v>0</v>
      </c>
    </row>
    <row r="42" spans="1:10" x14ac:dyDescent="0.25">
      <c r="A42" s="168">
        <f t="shared" si="0"/>
        <v>24</v>
      </c>
      <c r="C42" s="168"/>
    </row>
    <row r="43" spans="1:10" s="183" customFormat="1" x14ac:dyDescent="0.25">
      <c r="A43" s="168">
        <f t="shared" si="0"/>
        <v>25</v>
      </c>
      <c r="B43" s="169" t="s">
        <v>322</v>
      </c>
      <c r="C43" s="168" t="s">
        <v>323</v>
      </c>
      <c r="D43" s="171">
        <f>D39+D40+D41</f>
        <v>1295036.6493891045</v>
      </c>
      <c r="E43" s="171">
        <f>E39+E40+E41</f>
        <v>4716765.2377803018</v>
      </c>
      <c r="F43" s="171">
        <f>F39+F40+F41</f>
        <v>6011797.8871694077</v>
      </c>
      <c r="H43" s="171">
        <f>H39+H40+H41</f>
        <v>1315737.8591284561</v>
      </c>
      <c r="I43" s="171">
        <f>I39+I40+I41</f>
        <v>4696064.0271101473</v>
      </c>
      <c r="J43" s="171">
        <f>J39+J40+J41</f>
        <v>6011797.8862386039</v>
      </c>
    </row>
    <row r="44" spans="1:10" s="183" customFormat="1" x14ac:dyDescent="0.25">
      <c r="A44" s="168">
        <f t="shared" si="0"/>
        <v>26</v>
      </c>
      <c r="B44" s="169" t="s">
        <v>324</v>
      </c>
      <c r="C44" s="168" t="s">
        <v>313</v>
      </c>
      <c r="D44" s="173">
        <f>+D33</f>
        <v>149742.9119772194</v>
      </c>
      <c r="E44" s="173">
        <f>SUM(E30:E31,E29)</f>
        <v>1182146.676135414</v>
      </c>
      <c r="F44" s="173">
        <f>SUM(F30:F31,F29)</f>
        <v>1331889.5881126337</v>
      </c>
      <c r="H44" s="173">
        <f>+H33</f>
        <v>154931.18509485136</v>
      </c>
      <c r="I44" s="173">
        <f>SUM(I30:I31,I29)</f>
        <v>1176958.4027844982</v>
      </c>
      <c r="J44" s="173">
        <f>SUM(J30:J31,J29)</f>
        <v>1331889.5878793497</v>
      </c>
    </row>
    <row r="45" spans="1:10" s="183" customFormat="1" x14ac:dyDescent="0.25">
      <c r="A45" s="168">
        <f t="shared" si="0"/>
        <v>27</v>
      </c>
      <c r="B45" s="169" t="s">
        <v>325</v>
      </c>
      <c r="C45" s="168" t="s">
        <v>326</v>
      </c>
      <c r="D45" s="169">
        <f>+D43+D44</f>
        <v>1444779.5613663238</v>
      </c>
      <c r="E45" s="169">
        <f>+E43+E44</f>
        <v>5898911.9139157161</v>
      </c>
      <c r="F45" s="169">
        <f>+F43+F44</f>
        <v>7343687.4752820414</v>
      </c>
      <c r="H45" s="169">
        <f>+H43+H44</f>
        <v>1470669.0442233074</v>
      </c>
      <c r="I45" s="169">
        <f>+I43+I44</f>
        <v>5873022.4298946457</v>
      </c>
      <c r="J45" s="169">
        <f>+J43+J44</f>
        <v>7343687.4741179533</v>
      </c>
    </row>
    <row r="46" spans="1:10" x14ac:dyDescent="0.25">
      <c r="A46" s="168">
        <f t="shared" si="0"/>
        <v>28</v>
      </c>
      <c r="C46" s="168"/>
    </row>
    <row r="47" spans="1:10" s="171" customFormat="1" x14ac:dyDescent="0.25">
      <c r="A47" s="168">
        <f t="shared" si="0"/>
        <v>29</v>
      </c>
      <c r="B47" s="171" t="s">
        <v>327</v>
      </c>
      <c r="C47" s="178" t="s">
        <v>328</v>
      </c>
      <c r="D47" s="171">
        <f>(-D24-D37)*21%</f>
        <v>1853240.4761529188</v>
      </c>
      <c r="E47" s="171">
        <f>(-E24-E37)*21%</f>
        <v>0</v>
      </c>
      <c r="F47" s="171">
        <f>(-F24-F37)*21%</f>
        <v>1853240.4761529188</v>
      </c>
      <c r="H47" s="171">
        <f>(-H24-H37)*21%</f>
        <v>1853240.4761529188</v>
      </c>
      <c r="I47" s="171">
        <f>(-I24-I37)*21%</f>
        <v>0</v>
      </c>
      <c r="J47" s="171">
        <f>(-J24-J37)*21%</f>
        <v>1853240.4761529188</v>
      </c>
    </row>
    <row r="48" spans="1:10" s="171" customFormat="1" x14ac:dyDescent="0.25">
      <c r="A48" s="168">
        <f t="shared" si="0"/>
        <v>30</v>
      </c>
      <c r="B48" s="171" t="s">
        <v>329</v>
      </c>
      <c r="C48" s="178" t="s">
        <v>330</v>
      </c>
      <c r="D48" s="171">
        <f>-D55*21%</f>
        <v>-127540.1453376459</v>
      </c>
      <c r="E48" s="171">
        <f>-E55*21%</f>
        <v>0</v>
      </c>
      <c r="F48" s="171">
        <f>-F55*21%</f>
        <v>-127540.1453376459</v>
      </c>
      <c r="H48" s="171">
        <f>-H55*21%</f>
        <v>-127540.1453376459</v>
      </c>
      <c r="I48" s="171">
        <f>-I55*21%</f>
        <v>0</v>
      </c>
      <c r="J48" s="171">
        <f>-J55*21%</f>
        <v>-127540.1453376459</v>
      </c>
    </row>
    <row r="49" spans="1:11" s="171" customFormat="1" x14ac:dyDescent="0.25">
      <c r="A49" s="168">
        <f t="shared" si="0"/>
        <v>31</v>
      </c>
      <c r="B49" s="171" t="s">
        <v>331</v>
      </c>
      <c r="C49" s="178" t="s">
        <v>332</v>
      </c>
      <c r="D49" s="171">
        <f>SUM(D172:D172)</f>
        <v>-461131.68458923075</v>
      </c>
      <c r="E49" s="171">
        <f>SUM(E172:E172)</f>
        <v>0</v>
      </c>
      <c r="F49" s="171">
        <f>SUM(F172:F172)</f>
        <v>-461131.68458923075</v>
      </c>
      <c r="H49" s="171">
        <f>SUM(H172:H172)</f>
        <v>-461131.68458923075</v>
      </c>
      <c r="I49" s="171">
        <f>SUM(I172:I172)</f>
        <v>0</v>
      </c>
      <c r="J49" s="171">
        <f>SUM(J172:J172)</f>
        <v>-461131.68458923075</v>
      </c>
    </row>
    <row r="50" spans="1:11" s="171" customFormat="1" x14ac:dyDescent="0.25">
      <c r="A50" s="168">
        <f t="shared" si="0"/>
        <v>32</v>
      </c>
      <c r="B50" s="171" t="s">
        <v>333</v>
      </c>
      <c r="C50" s="178" t="s">
        <v>334</v>
      </c>
      <c r="D50" s="171">
        <f>D171</f>
        <v>-71277</v>
      </c>
      <c r="E50" s="171">
        <f>E171</f>
        <v>0</v>
      </c>
      <c r="F50" s="171">
        <f>F171</f>
        <v>-71277</v>
      </c>
      <c r="H50" s="171">
        <f>H171</f>
        <v>-71277</v>
      </c>
      <c r="I50" s="171">
        <f>I171</f>
        <v>0</v>
      </c>
      <c r="J50" s="171">
        <f>J171</f>
        <v>-71277</v>
      </c>
    </row>
    <row r="51" spans="1:11" s="171" customFormat="1" ht="13.5" customHeight="1" x14ac:dyDescent="0.25">
      <c r="A51" s="168">
        <f t="shared" si="0"/>
        <v>33</v>
      </c>
      <c r="B51" s="171" t="s">
        <v>335</v>
      </c>
      <c r="C51" s="178" t="s">
        <v>336</v>
      </c>
      <c r="D51" s="171">
        <f>D170</f>
        <v>-1064</v>
      </c>
      <c r="E51" s="171">
        <f>E170</f>
        <v>0</v>
      </c>
      <c r="F51" s="171">
        <f>F170</f>
        <v>-1064</v>
      </c>
      <c r="H51" s="171">
        <f>H170</f>
        <v>-1064</v>
      </c>
      <c r="I51" s="171">
        <f>I170</f>
        <v>0</v>
      </c>
      <c r="J51" s="171">
        <f>J170</f>
        <v>-1064</v>
      </c>
    </row>
    <row r="52" spans="1:11" s="171" customFormat="1" x14ac:dyDescent="0.25">
      <c r="A52" s="168">
        <f t="shared" si="0"/>
        <v>34</v>
      </c>
      <c r="B52" s="171" t="s">
        <v>337</v>
      </c>
      <c r="C52" s="178" t="s">
        <v>338</v>
      </c>
      <c r="D52" s="171">
        <f>SUM(D176:D178)</f>
        <v>0</v>
      </c>
      <c r="E52" s="171">
        <f>SUM(E176:E178)</f>
        <v>0</v>
      </c>
      <c r="F52" s="171">
        <f>SUM(F176:F178)</f>
        <v>0</v>
      </c>
      <c r="H52" s="171">
        <f>SUM(H176:H178)</f>
        <v>0</v>
      </c>
      <c r="I52" s="171">
        <f>SUM(I176:I178)</f>
        <v>0</v>
      </c>
      <c r="J52" s="171">
        <f>SUM(J176:J178)</f>
        <v>0</v>
      </c>
    </row>
    <row r="53" spans="1:11" s="183" customFormat="1" x14ac:dyDescent="0.25">
      <c r="A53" s="168">
        <f t="shared" si="0"/>
        <v>35</v>
      </c>
      <c r="B53" s="169" t="s">
        <v>339</v>
      </c>
      <c r="C53" s="168" t="s">
        <v>340</v>
      </c>
      <c r="D53" s="169">
        <f>SUM(D47:D52)</f>
        <v>1192227.6462260422</v>
      </c>
      <c r="E53" s="169">
        <f>SUM(E47:E52)</f>
        <v>0</v>
      </c>
      <c r="F53" s="169">
        <f>SUM(F47:F52)</f>
        <v>1192227.6462260422</v>
      </c>
      <c r="H53" s="169">
        <f>SUM(H47:H52)</f>
        <v>1192227.6462260422</v>
      </c>
      <c r="I53" s="169">
        <f>SUM(I47:I52)</f>
        <v>0</v>
      </c>
      <c r="J53" s="169">
        <f>SUM(J47:J52)</f>
        <v>1192227.6462260422</v>
      </c>
    </row>
    <row r="54" spans="1:11" x14ac:dyDescent="0.25">
      <c r="A54" s="168">
        <f t="shared" si="0"/>
        <v>36</v>
      </c>
      <c r="C54" s="168"/>
    </row>
    <row r="55" spans="1:11" s="171" customFormat="1" x14ac:dyDescent="0.25">
      <c r="A55" s="168">
        <f t="shared" si="0"/>
        <v>37</v>
      </c>
      <c r="B55" s="171" t="s">
        <v>341</v>
      </c>
      <c r="C55" s="178" t="s">
        <v>342</v>
      </c>
      <c r="D55" s="171">
        <f>(-D24-D25)*5%</f>
        <v>607334.02541736141</v>
      </c>
      <c r="E55" s="171">
        <f>(-E24-E25)*5%</f>
        <v>0</v>
      </c>
      <c r="F55" s="171">
        <f>(-F24-F25)*5%</f>
        <v>607334.02541736141</v>
      </c>
      <c r="H55" s="171">
        <f>(-H24-H25)*5%</f>
        <v>607334.02541736141</v>
      </c>
      <c r="I55" s="171">
        <f>(-I24-I25)*5%</f>
        <v>0</v>
      </c>
      <c r="J55" s="171">
        <f>(-J24-J25)*5%</f>
        <v>607334.02541736141</v>
      </c>
    </row>
    <row r="56" spans="1:11" x14ac:dyDescent="0.25">
      <c r="A56" s="168">
        <f t="shared" si="0"/>
        <v>38</v>
      </c>
      <c r="B56" s="169" t="s">
        <v>343</v>
      </c>
      <c r="C56" s="178" t="s">
        <v>344</v>
      </c>
      <c r="D56" s="169">
        <f t="shared" ref="D56:F57" si="4">D181</f>
        <v>-24123.165380952385</v>
      </c>
      <c r="E56" s="169">
        <f t="shared" si="4"/>
        <v>0</v>
      </c>
      <c r="F56" s="169">
        <f t="shared" si="4"/>
        <v>-24123.165380952385</v>
      </c>
      <c r="H56" s="169">
        <f t="shared" ref="H56:J56" si="5">H181</f>
        <v>-24123.165380952385</v>
      </c>
      <c r="I56" s="169">
        <f t="shared" si="5"/>
        <v>0</v>
      </c>
      <c r="J56" s="169">
        <f t="shared" si="5"/>
        <v>-24123.165380952385</v>
      </c>
    </row>
    <row r="57" spans="1:11" x14ac:dyDescent="0.25">
      <c r="A57" s="168">
        <f t="shared" si="0"/>
        <v>39</v>
      </c>
      <c r="B57" s="171" t="s">
        <v>345</v>
      </c>
      <c r="C57" s="178" t="s">
        <v>346</v>
      </c>
      <c r="D57" s="169">
        <f t="shared" si="4"/>
        <v>-17863.91</v>
      </c>
      <c r="E57" s="169">
        <f t="shared" si="4"/>
        <v>0</v>
      </c>
      <c r="F57" s="169">
        <f t="shared" si="4"/>
        <v>-17863.91</v>
      </c>
      <c r="H57" s="169">
        <f t="shared" ref="H57:J57" si="6">H182</f>
        <v>-17863.91</v>
      </c>
      <c r="I57" s="169">
        <f t="shared" si="6"/>
        <v>0</v>
      </c>
      <c r="J57" s="169">
        <f t="shared" si="6"/>
        <v>-17863.91</v>
      </c>
    </row>
    <row r="58" spans="1:11" x14ac:dyDescent="0.25">
      <c r="A58" s="168">
        <f t="shared" si="0"/>
        <v>40</v>
      </c>
      <c r="B58" s="171" t="s">
        <v>347</v>
      </c>
      <c r="C58" s="178" t="s">
        <v>348</v>
      </c>
      <c r="D58" s="169">
        <f>SUM(D187:D188)</f>
        <v>0</v>
      </c>
      <c r="E58" s="169">
        <f>SUM(E187:E188)</f>
        <v>0</v>
      </c>
      <c r="F58" s="169">
        <f>SUM(F187:F188)</f>
        <v>0</v>
      </c>
      <c r="H58" s="169">
        <f>SUM(H187:H188)</f>
        <v>0</v>
      </c>
      <c r="I58" s="169">
        <f>SUM(I187:I188)</f>
        <v>0</v>
      </c>
      <c r="J58" s="169">
        <f>SUM(J187:J188)</f>
        <v>0</v>
      </c>
    </row>
    <row r="59" spans="1:11" s="183" customFormat="1" x14ac:dyDescent="0.25">
      <c r="A59" s="168">
        <f t="shared" si="0"/>
        <v>41</v>
      </c>
      <c r="B59" s="169" t="s">
        <v>349</v>
      </c>
      <c r="C59" s="168" t="s">
        <v>350</v>
      </c>
      <c r="D59" s="171">
        <f>SUM(D55:D58)</f>
        <v>565346.95003640896</v>
      </c>
      <c r="E59" s="171">
        <f>SUM(E55:E58)</f>
        <v>0</v>
      </c>
      <c r="F59" s="171">
        <f>SUM(F55:F58)</f>
        <v>565346.95003640896</v>
      </c>
      <c r="H59" s="171">
        <f>SUM(H55:H58)</f>
        <v>565346.95003640896</v>
      </c>
      <c r="I59" s="171">
        <f>SUM(I55:I58)</f>
        <v>0</v>
      </c>
      <c r="J59" s="171">
        <f>SUM(J55:J58)</f>
        <v>565346.95003640896</v>
      </c>
    </row>
    <row r="60" spans="1:11" x14ac:dyDescent="0.25">
      <c r="A60" s="168">
        <f t="shared" si="0"/>
        <v>42</v>
      </c>
      <c r="C60" s="168"/>
      <c r="D60" s="171"/>
      <c r="E60" s="171"/>
      <c r="F60" s="171"/>
      <c r="H60" s="171"/>
      <c r="I60" s="171"/>
      <c r="J60" s="171"/>
    </row>
    <row r="61" spans="1:11" s="183" customFormat="1" x14ac:dyDescent="0.25">
      <c r="A61" s="168">
        <f t="shared" si="0"/>
        <v>43</v>
      </c>
      <c r="B61" s="169" t="s">
        <v>351</v>
      </c>
      <c r="C61" s="168" t="s">
        <v>352</v>
      </c>
      <c r="D61" s="169">
        <f>D53+D59</f>
        <v>1757574.5962624513</v>
      </c>
      <c r="E61" s="169">
        <f>E53+E59</f>
        <v>0</v>
      </c>
      <c r="F61" s="169">
        <f>F53+F59</f>
        <v>1757574.5962624513</v>
      </c>
      <c r="H61" s="169">
        <f>H53+H59</f>
        <v>1757574.5962624513</v>
      </c>
      <c r="I61" s="169">
        <f>I53+I59</f>
        <v>0</v>
      </c>
      <c r="J61" s="169">
        <f>J53+J59</f>
        <v>1757574.5962624513</v>
      </c>
    </row>
    <row r="62" spans="1:11" x14ac:dyDescent="0.25">
      <c r="A62" s="168">
        <f t="shared" si="0"/>
        <v>44</v>
      </c>
      <c r="C62" s="168"/>
    </row>
    <row r="63" spans="1:11" s="183" customFormat="1" x14ac:dyDescent="0.25">
      <c r="A63" s="168">
        <f t="shared" si="0"/>
        <v>45</v>
      </c>
      <c r="B63" s="169" t="s">
        <v>353</v>
      </c>
      <c r="C63" s="168" t="s">
        <v>354</v>
      </c>
      <c r="D63" s="169">
        <f>D43+D53</f>
        <v>2487264.2956151469</v>
      </c>
      <c r="E63" s="169">
        <f>E43+E53</f>
        <v>4716765.2377803018</v>
      </c>
      <c r="F63" s="169">
        <f>F43+F53</f>
        <v>7204025.5333954496</v>
      </c>
      <c r="G63" s="184"/>
      <c r="H63" s="169">
        <f>H43+H53</f>
        <v>2507965.5053544985</v>
      </c>
      <c r="I63" s="169">
        <f>I43+I53</f>
        <v>4696064.0271101473</v>
      </c>
      <c r="J63" s="169">
        <f>J43+J53</f>
        <v>7204025.5324646458</v>
      </c>
      <c r="K63" s="184"/>
    </row>
    <row r="64" spans="1:11" x14ac:dyDescent="0.25">
      <c r="A64" s="168">
        <f t="shared" si="0"/>
        <v>46</v>
      </c>
      <c r="C64" s="168"/>
    </row>
    <row r="65" spans="1:11" s="183" customFormat="1" x14ac:dyDescent="0.25">
      <c r="A65" s="168">
        <f t="shared" si="0"/>
        <v>47</v>
      </c>
      <c r="B65" s="169" t="s">
        <v>355</v>
      </c>
      <c r="C65" s="168" t="s">
        <v>356</v>
      </c>
      <c r="D65" s="173">
        <f>+D44+D59</f>
        <v>715089.86201362836</v>
      </c>
      <c r="E65" s="173">
        <f>+E44+E59</f>
        <v>1182146.676135414</v>
      </c>
      <c r="F65" s="173">
        <f>+F44+F59</f>
        <v>1897236.5381490425</v>
      </c>
      <c r="G65" s="184"/>
      <c r="H65" s="173">
        <f>+H44+H59</f>
        <v>720278.13513126038</v>
      </c>
      <c r="I65" s="173">
        <f>+I44+I59</f>
        <v>1176958.4027844982</v>
      </c>
      <c r="J65" s="173">
        <f>+J44+J59</f>
        <v>1897236.5379157588</v>
      </c>
      <c r="K65" s="184"/>
    </row>
    <row r="66" spans="1:11" x14ac:dyDescent="0.25">
      <c r="A66" s="168">
        <f t="shared" si="0"/>
        <v>48</v>
      </c>
      <c r="C66" s="168"/>
    </row>
    <row r="67" spans="1:11" s="183" customFormat="1" x14ac:dyDescent="0.25">
      <c r="A67" s="168">
        <f t="shared" si="0"/>
        <v>49</v>
      </c>
      <c r="B67" s="169" t="s">
        <v>357</v>
      </c>
      <c r="C67" s="168" t="s">
        <v>358</v>
      </c>
      <c r="D67" s="169">
        <f>+D65+D63</f>
        <v>3202354.1576287751</v>
      </c>
      <c r="E67" s="169">
        <f>+E65+E63</f>
        <v>5898911.9139157161</v>
      </c>
      <c r="F67" s="169">
        <f>+F65+F63</f>
        <v>9101262.0715444926</v>
      </c>
      <c r="G67" s="184"/>
      <c r="H67" s="169">
        <f>+H65+H63</f>
        <v>3228243.6404857589</v>
      </c>
      <c r="I67" s="169">
        <f>+I65+I63</f>
        <v>5873022.4298946457</v>
      </c>
      <c r="J67" s="169">
        <f>+J65+J63</f>
        <v>9101262.0703804046</v>
      </c>
      <c r="K67" s="184"/>
    </row>
    <row r="68" spans="1:11" x14ac:dyDescent="0.25">
      <c r="A68" s="168">
        <f t="shared" si="0"/>
        <v>50</v>
      </c>
      <c r="C68" s="168"/>
      <c r="F68" s="163"/>
      <c r="J68" s="163"/>
    </row>
    <row r="69" spans="1:11" x14ac:dyDescent="0.25">
      <c r="A69" s="168">
        <f t="shared" si="0"/>
        <v>51</v>
      </c>
      <c r="B69" s="169" t="s">
        <v>359</v>
      </c>
      <c r="C69" s="168"/>
      <c r="D69" s="163">
        <f>D67/D21</f>
        <v>0.21378097819939637</v>
      </c>
      <c r="E69" s="163">
        <f>E67/E21</f>
        <v>0.2495</v>
      </c>
      <c r="F69" s="163">
        <f>F67/F21</f>
        <v>0.23564641057364547</v>
      </c>
      <c r="H69" s="163">
        <f>H67/H21</f>
        <v>0.21402670585960856</v>
      </c>
      <c r="I69" s="163">
        <f>I67/I21</f>
        <v>0.24950000000000003</v>
      </c>
      <c r="J69" s="163">
        <f>J67/J21</f>
        <v>0.23564641057197191</v>
      </c>
    </row>
    <row r="70" spans="1:11" x14ac:dyDescent="0.25">
      <c r="A70" s="168">
        <f t="shared" si="0"/>
        <v>52</v>
      </c>
      <c r="B70" s="169" t="s">
        <v>360</v>
      </c>
      <c r="C70" s="168"/>
    </row>
    <row r="71" spans="1:11" x14ac:dyDescent="0.25">
      <c r="A71" s="168">
        <f t="shared" si="0"/>
        <v>53</v>
      </c>
      <c r="B71" s="169" t="s">
        <v>361</v>
      </c>
      <c r="C71" s="168" t="s">
        <v>362</v>
      </c>
      <c r="D71" s="169">
        <f>+'Sch B-1 (FTP RB)'!D41</f>
        <v>518827311.76319563</v>
      </c>
      <c r="H71" s="169">
        <f>+'Sch B-1 (FTP RB)'!H41</f>
        <v>518827311.76319563</v>
      </c>
    </row>
    <row r="72" spans="1:11" x14ac:dyDescent="0.25">
      <c r="A72" s="168">
        <f t="shared" si="0"/>
        <v>54</v>
      </c>
      <c r="B72" s="169" t="s">
        <v>363</v>
      </c>
      <c r="C72" s="168" t="s">
        <v>364</v>
      </c>
      <c r="D72" s="163">
        <f>+SUM('J-1.1,J-1.2 (FTP 13MO AVG WACC)'!M19:M21)</f>
        <v>2.3200000000000002E-2</v>
      </c>
      <c r="E72" s="163"/>
      <c r="H72" s="163">
        <f>+SUM('J-1.1,J-1.2 (FTP 13MO AVG WACC)'!W19:W21)</f>
        <v>2.3E-2</v>
      </c>
      <c r="I72" s="163"/>
    </row>
    <row r="73" spans="1:11" ht="13.5" thickBot="1" x14ac:dyDescent="0.3">
      <c r="A73" s="168">
        <f t="shared" si="0"/>
        <v>55</v>
      </c>
      <c r="B73" s="169" t="s">
        <v>365</v>
      </c>
      <c r="C73" s="168" t="s">
        <v>366</v>
      </c>
      <c r="D73" s="185">
        <f>D71*D72</f>
        <v>12036793.632906139</v>
      </c>
      <c r="H73" s="185">
        <f>H71*H72</f>
        <v>11933028.1705535</v>
      </c>
    </row>
    <row r="74" spans="1:11" ht="13.5" thickTop="1" x14ac:dyDescent="0.25"/>
    <row r="75" spans="1:11" x14ac:dyDescent="0.25">
      <c r="A75" s="366" t="s">
        <v>62</v>
      </c>
      <c r="B75" s="366"/>
      <c r="C75" s="366"/>
      <c r="D75" s="366"/>
      <c r="E75" s="366"/>
      <c r="F75" s="366"/>
    </row>
    <row r="76" spans="1:11" x14ac:dyDescent="0.25">
      <c r="A76" s="366" t="s">
        <v>63</v>
      </c>
      <c r="B76" s="366"/>
      <c r="C76" s="366"/>
      <c r="D76" s="366"/>
      <c r="E76" s="366"/>
      <c r="F76" s="366"/>
    </row>
    <row r="77" spans="1:11" x14ac:dyDescent="0.25">
      <c r="A77" s="366" t="str">
        <f>$A$3</f>
        <v>COMPUTATION OF FEDERAL AND STATE INCOME TAX</v>
      </c>
      <c r="B77" s="366"/>
      <c r="C77" s="366"/>
      <c r="D77" s="366"/>
      <c r="E77" s="366"/>
      <c r="F77" s="366"/>
    </row>
    <row r="78" spans="1:11" x14ac:dyDescent="0.25">
      <c r="A78" s="366" t="s">
        <v>438</v>
      </c>
      <c r="B78" s="366"/>
      <c r="C78" s="366"/>
      <c r="D78" s="366"/>
      <c r="E78" s="366"/>
      <c r="F78" s="366"/>
      <c r="G78" s="171"/>
      <c r="H78" s="171"/>
      <c r="I78" s="171"/>
      <c r="J78" s="171"/>
      <c r="K78" s="171"/>
    </row>
    <row r="79" spans="1:11" x14ac:dyDescent="0.25">
      <c r="A79" s="366" t="s">
        <v>64</v>
      </c>
      <c r="B79" s="366"/>
      <c r="C79" s="366"/>
      <c r="D79" s="366"/>
      <c r="E79" s="366"/>
      <c r="F79" s="366"/>
      <c r="G79" s="171"/>
      <c r="H79" s="171"/>
      <c r="I79" s="171"/>
      <c r="J79" s="171"/>
      <c r="K79" s="171"/>
    </row>
    <row r="80" spans="1:11" x14ac:dyDescent="0.25">
      <c r="B80" s="168"/>
      <c r="C80" s="168"/>
      <c r="D80" s="168"/>
      <c r="E80" s="168"/>
      <c r="F80" s="168"/>
      <c r="G80" s="171"/>
      <c r="H80" s="168"/>
      <c r="I80" s="168"/>
      <c r="J80" s="168"/>
      <c r="K80" s="171"/>
    </row>
    <row r="81" spans="1:10" s="168" customFormat="1" x14ac:dyDescent="0.25">
      <c r="A81" s="48" t="s">
        <v>288</v>
      </c>
      <c r="B81" s="169"/>
      <c r="C81" s="169"/>
      <c r="E81" s="170"/>
      <c r="F81" s="170" t="str">
        <f>+J7</f>
        <v>SCHEDULE E-1.1</v>
      </c>
      <c r="I81" s="170"/>
      <c r="J81" s="170">
        <f>+R7</f>
        <v>0</v>
      </c>
    </row>
    <row r="82" spans="1:10" s="168" customFormat="1" x14ac:dyDescent="0.25">
      <c r="A82" s="48" t="s">
        <v>241</v>
      </c>
      <c r="B82" s="169"/>
      <c r="C82" s="169"/>
      <c r="E82" s="170"/>
      <c r="F82" s="170" t="s">
        <v>367</v>
      </c>
      <c r="I82" s="170"/>
      <c r="J82" s="170" t="s">
        <v>367</v>
      </c>
    </row>
    <row r="83" spans="1:10" s="178" customFormat="1" x14ac:dyDescent="0.25">
      <c r="A83" s="48" t="s">
        <v>2</v>
      </c>
      <c r="B83" s="171"/>
      <c r="C83" s="171"/>
      <c r="E83" s="172"/>
      <c r="F83" s="172" t="s">
        <v>439</v>
      </c>
      <c r="I83" s="172"/>
      <c r="J83" s="172" t="s">
        <v>439</v>
      </c>
    </row>
    <row r="84" spans="1:10" s="168" customFormat="1" x14ac:dyDescent="0.25">
      <c r="A84" s="48"/>
      <c r="B84" s="171"/>
      <c r="C84" s="171"/>
      <c r="E84" s="172"/>
      <c r="F84" s="172"/>
      <c r="I84" s="172"/>
      <c r="J84" s="172"/>
    </row>
    <row r="85" spans="1:10" s="168" customFormat="1" x14ac:dyDescent="0.25">
      <c r="A85" s="177"/>
      <c r="B85" s="177"/>
      <c r="C85" s="177"/>
      <c r="D85" s="186" t="s">
        <v>33</v>
      </c>
      <c r="E85" s="186" t="s">
        <v>33</v>
      </c>
      <c r="F85" s="186" t="s">
        <v>33</v>
      </c>
      <c r="H85" s="186" t="s">
        <v>33</v>
      </c>
      <c r="I85" s="186" t="s">
        <v>33</v>
      </c>
      <c r="J85" s="186" t="s">
        <v>33</v>
      </c>
    </row>
    <row r="86" spans="1:10" s="168" customFormat="1" x14ac:dyDescent="0.25">
      <c r="A86" s="178"/>
      <c r="B86" s="178"/>
      <c r="C86" s="178"/>
      <c r="D86" s="178" t="s">
        <v>131</v>
      </c>
      <c r="E86" s="178" t="s">
        <v>131</v>
      </c>
      <c r="F86" s="178" t="s">
        <v>131</v>
      </c>
      <c r="H86" s="178" t="s">
        <v>131</v>
      </c>
      <c r="I86" s="178" t="s">
        <v>131</v>
      </c>
      <c r="J86" s="178" t="s">
        <v>131</v>
      </c>
    </row>
    <row r="87" spans="1:10" s="168" customFormat="1" x14ac:dyDescent="0.25">
      <c r="A87" s="46" t="s">
        <v>6</v>
      </c>
      <c r="B87" s="178"/>
      <c r="C87" s="178"/>
      <c r="D87" s="178" t="s">
        <v>133</v>
      </c>
      <c r="E87" s="178" t="s">
        <v>133</v>
      </c>
      <c r="F87" s="178" t="s">
        <v>135</v>
      </c>
      <c r="H87" s="178" t="s">
        <v>133</v>
      </c>
      <c r="I87" s="178" t="s">
        <v>133</v>
      </c>
      <c r="J87" s="178" t="s">
        <v>135</v>
      </c>
    </row>
    <row r="88" spans="1:10" s="168" customFormat="1" x14ac:dyDescent="0.25">
      <c r="A88" s="179" t="s">
        <v>10</v>
      </c>
      <c r="B88" s="180" t="s">
        <v>11</v>
      </c>
      <c r="C88" s="181" t="s">
        <v>12</v>
      </c>
      <c r="D88" s="181" t="s">
        <v>31</v>
      </c>
      <c r="E88" s="181" t="s">
        <v>187</v>
      </c>
      <c r="F88" s="181" t="s">
        <v>368</v>
      </c>
      <c r="H88" s="181" t="s">
        <v>31</v>
      </c>
      <c r="I88" s="181" t="s">
        <v>187</v>
      </c>
      <c r="J88" s="181" t="s">
        <v>368</v>
      </c>
    </row>
    <row r="89" spans="1:10" x14ac:dyDescent="0.25">
      <c r="B89" s="168"/>
      <c r="C89" s="168"/>
      <c r="D89" s="182" t="s">
        <v>89</v>
      </c>
      <c r="E89" s="182" t="s">
        <v>90</v>
      </c>
      <c r="F89" s="182" t="s">
        <v>291</v>
      </c>
      <c r="H89" s="182" t="s">
        <v>89</v>
      </c>
      <c r="I89" s="182" t="s">
        <v>90</v>
      </c>
      <c r="J89" s="182" t="s">
        <v>291</v>
      </c>
    </row>
    <row r="90" spans="1:10" x14ac:dyDescent="0.25">
      <c r="B90" s="168"/>
      <c r="C90" s="168"/>
      <c r="D90" s="168" t="s">
        <v>36</v>
      </c>
      <c r="E90" s="168" t="s">
        <v>36</v>
      </c>
      <c r="F90" s="168" t="s">
        <v>36</v>
      </c>
      <c r="H90" s="168" t="s">
        <v>36</v>
      </c>
      <c r="I90" s="168" t="s">
        <v>36</v>
      </c>
      <c r="J90" s="168" t="s">
        <v>36</v>
      </c>
    </row>
    <row r="91" spans="1:10" x14ac:dyDescent="0.25">
      <c r="A91" s="168">
        <v>1</v>
      </c>
      <c r="B91" s="169" t="s">
        <v>369</v>
      </c>
      <c r="C91" s="168"/>
    </row>
    <row r="92" spans="1:10" x14ac:dyDescent="0.25">
      <c r="A92" s="168">
        <f>A91+1</f>
        <v>2</v>
      </c>
      <c r="B92" s="169" t="s">
        <v>370</v>
      </c>
      <c r="D92" s="169">
        <v>0</v>
      </c>
      <c r="E92" s="169">
        <f>-D92</f>
        <v>0</v>
      </c>
      <c r="F92" s="169">
        <f t="shared" ref="F92:F98" si="7">SUM(D92,E92)</f>
        <v>0</v>
      </c>
      <c r="H92" s="169">
        <v>0</v>
      </c>
      <c r="I92" s="169">
        <f>-H92</f>
        <v>0</v>
      </c>
      <c r="J92" s="169">
        <f t="shared" ref="J92:J98" si="8">SUM(H92,I92)</f>
        <v>0</v>
      </c>
    </row>
    <row r="93" spans="1:10" x14ac:dyDescent="0.25">
      <c r="A93" s="168">
        <f t="shared" ref="A93:A151" si="9">A92+1</f>
        <v>3</v>
      </c>
      <c r="B93" s="169" t="s">
        <v>371</v>
      </c>
      <c r="D93" s="169">
        <v>148280.98366355081</v>
      </c>
      <c r="E93" s="169">
        <v>0</v>
      </c>
      <c r="F93" s="169">
        <f t="shared" si="7"/>
        <v>148280.98366355081</v>
      </c>
      <c r="H93" s="169">
        <v>148280.98366355081</v>
      </c>
      <c r="I93" s="169">
        <v>0</v>
      </c>
      <c r="J93" s="169">
        <f t="shared" si="8"/>
        <v>148280.98366355081</v>
      </c>
    </row>
    <row r="94" spans="1:10" x14ac:dyDescent="0.25">
      <c r="A94" s="168">
        <f t="shared" si="9"/>
        <v>4</v>
      </c>
      <c r="B94" s="169" t="s">
        <v>372</v>
      </c>
      <c r="D94" s="169">
        <v>0</v>
      </c>
      <c r="E94" s="169">
        <f>-D94</f>
        <v>0</v>
      </c>
      <c r="F94" s="169">
        <f t="shared" si="7"/>
        <v>0</v>
      </c>
      <c r="H94" s="169">
        <v>0</v>
      </c>
      <c r="I94" s="169">
        <f>-H94</f>
        <v>0</v>
      </c>
      <c r="J94" s="169">
        <f t="shared" si="8"/>
        <v>0</v>
      </c>
    </row>
    <row r="95" spans="1:10" x14ac:dyDescent="0.25">
      <c r="A95" s="168">
        <f t="shared" si="9"/>
        <v>5</v>
      </c>
      <c r="B95" s="169" t="s">
        <v>373</v>
      </c>
      <c r="D95" s="169">
        <v>13393.880000000001</v>
      </c>
      <c r="E95" s="169">
        <v>0</v>
      </c>
      <c r="F95" s="169">
        <f t="shared" si="7"/>
        <v>13393.880000000001</v>
      </c>
      <c r="H95" s="169">
        <v>13393.880000000001</v>
      </c>
      <c r="I95" s="169">
        <v>0</v>
      </c>
      <c r="J95" s="169">
        <f t="shared" si="8"/>
        <v>13393.880000000001</v>
      </c>
    </row>
    <row r="96" spans="1:10" x14ac:dyDescent="0.25">
      <c r="A96" s="168">
        <f t="shared" si="9"/>
        <v>6</v>
      </c>
      <c r="B96" s="169" t="s">
        <v>374</v>
      </c>
      <c r="D96" s="169">
        <v>261</v>
      </c>
      <c r="E96" s="169">
        <v>0</v>
      </c>
      <c r="F96" s="169">
        <f t="shared" si="7"/>
        <v>261</v>
      </c>
      <c r="H96" s="169">
        <v>261</v>
      </c>
      <c r="I96" s="169">
        <v>0</v>
      </c>
      <c r="J96" s="169">
        <f t="shared" si="8"/>
        <v>261</v>
      </c>
    </row>
    <row r="97" spans="1:10" x14ac:dyDescent="0.25">
      <c r="A97" s="168">
        <f t="shared" si="9"/>
        <v>7</v>
      </c>
      <c r="B97" s="169" t="s">
        <v>375</v>
      </c>
      <c r="D97" s="169">
        <v>0</v>
      </c>
      <c r="E97" s="169">
        <f>-D97</f>
        <v>0</v>
      </c>
      <c r="F97" s="169">
        <f t="shared" si="7"/>
        <v>0</v>
      </c>
      <c r="H97" s="169">
        <v>0</v>
      </c>
      <c r="I97" s="169">
        <f>-H97</f>
        <v>0</v>
      </c>
      <c r="J97" s="169">
        <f t="shared" si="8"/>
        <v>0</v>
      </c>
    </row>
    <row r="98" spans="1:10" x14ac:dyDescent="0.25">
      <c r="A98" s="168">
        <f t="shared" si="9"/>
        <v>8</v>
      </c>
      <c r="B98" s="169" t="s">
        <v>376</v>
      </c>
      <c r="D98" s="169">
        <v>0</v>
      </c>
      <c r="E98" s="169">
        <f>-D98</f>
        <v>0</v>
      </c>
      <c r="F98" s="169">
        <f t="shared" si="7"/>
        <v>0</v>
      </c>
      <c r="H98" s="169">
        <v>0</v>
      </c>
      <c r="I98" s="169">
        <f>-H98</f>
        <v>0</v>
      </c>
      <c r="J98" s="169">
        <f t="shared" si="8"/>
        <v>0</v>
      </c>
    </row>
    <row r="99" spans="1:10" x14ac:dyDescent="0.25">
      <c r="A99" s="168">
        <f t="shared" si="9"/>
        <v>9</v>
      </c>
      <c r="B99" s="169" t="s">
        <v>377</v>
      </c>
      <c r="D99" s="169">
        <v>0</v>
      </c>
      <c r="E99" s="169">
        <f>-D99</f>
        <v>0</v>
      </c>
      <c r="H99" s="169">
        <v>0</v>
      </c>
      <c r="I99" s="169">
        <f>-H99</f>
        <v>0</v>
      </c>
    </row>
    <row r="100" spans="1:10" x14ac:dyDescent="0.25">
      <c r="A100" s="168">
        <f t="shared" si="9"/>
        <v>10</v>
      </c>
      <c r="B100" s="187" t="s">
        <v>378</v>
      </c>
      <c r="D100" s="176">
        <f>SUM(D92:D98)</f>
        <v>161935.86366355082</v>
      </c>
      <c r="E100" s="176">
        <f>SUM(E92:E98)</f>
        <v>0</v>
      </c>
      <c r="F100" s="176">
        <f>SUM(F92:F98)</f>
        <v>161935.86366355082</v>
      </c>
      <c r="H100" s="176">
        <f>SUM(H92:H98)</f>
        <v>161935.86366355082</v>
      </c>
      <c r="I100" s="176">
        <f>SUM(I92:I98)</f>
        <v>0</v>
      </c>
      <c r="J100" s="176">
        <f>SUM(J92:J98)</f>
        <v>161935.86366355082</v>
      </c>
    </row>
    <row r="101" spans="1:10" x14ac:dyDescent="0.25">
      <c r="B101" s="187"/>
      <c r="D101" s="171"/>
      <c r="E101" s="171"/>
      <c r="F101" s="171"/>
      <c r="H101" s="171"/>
      <c r="I101" s="171"/>
      <c r="J101" s="171"/>
    </row>
    <row r="102" spans="1:10" x14ac:dyDescent="0.25">
      <c r="A102" s="168">
        <f>A100+1</f>
        <v>11</v>
      </c>
      <c r="B102" s="169" t="s">
        <v>379</v>
      </c>
    </row>
    <row r="103" spans="1:10" x14ac:dyDescent="0.25">
      <c r="A103" s="168">
        <f t="shared" si="9"/>
        <v>12</v>
      </c>
      <c r="B103" s="169" t="s">
        <v>380</v>
      </c>
      <c r="D103" s="169">
        <v>0</v>
      </c>
      <c r="E103" s="169">
        <v>0</v>
      </c>
      <c r="F103" s="169">
        <f t="shared" ref="F103:F147" si="10">SUM(D103,E103)</f>
        <v>0</v>
      </c>
      <c r="H103" s="169">
        <v>0</v>
      </c>
      <c r="I103" s="169">
        <v>0</v>
      </c>
      <c r="J103" s="169">
        <f t="shared" ref="J103:J147" si="11">SUM(H103,I103)</f>
        <v>0</v>
      </c>
    </row>
    <row r="104" spans="1:10" x14ac:dyDescent="0.25">
      <c r="A104" s="168">
        <f t="shared" si="9"/>
        <v>13</v>
      </c>
      <c r="B104" s="169" t="s">
        <v>381</v>
      </c>
      <c r="D104" s="169">
        <v>0</v>
      </c>
      <c r="E104" s="169">
        <v>0</v>
      </c>
      <c r="F104" s="169">
        <f t="shared" si="10"/>
        <v>0</v>
      </c>
      <c r="H104" s="169">
        <v>0</v>
      </c>
      <c r="I104" s="169">
        <v>0</v>
      </c>
      <c r="J104" s="169">
        <f t="shared" si="11"/>
        <v>0</v>
      </c>
    </row>
    <row r="105" spans="1:10" x14ac:dyDescent="0.25">
      <c r="A105" s="168">
        <f t="shared" si="9"/>
        <v>14</v>
      </c>
      <c r="B105" s="169" t="s">
        <v>382</v>
      </c>
      <c r="D105" s="169">
        <v>0</v>
      </c>
      <c r="E105" s="169">
        <v>0</v>
      </c>
      <c r="F105" s="169">
        <f t="shared" si="10"/>
        <v>0</v>
      </c>
      <c r="H105" s="169">
        <v>0</v>
      </c>
      <c r="I105" s="169">
        <v>0</v>
      </c>
      <c r="J105" s="169">
        <f t="shared" si="11"/>
        <v>0</v>
      </c>
    </row>
    <row r="106" spans="1:10" x14ac:dyDescent="0.25">
      <c r="A106" s="168">
        <f t="shared" si="9"/>
        <v>15</v>
      </c>
      <c r="B106" s="169" t="s">
        <v>383</v>
      </c>
      <c r="D106" s="169">
        <v>0</v>
      </c>
      <c r="E106" s="169">
        <v>0</v>
      </c>
      <c r="F106" s="169">
        <f t="shared" si="10"/>
        <v>0</v>
      </c>
      <c r="H106" s="169">
        <v>0</v>
      </c>
      <c r="I106" s="169">
        <v>0</v>
      </c>
      <c r="J106" s="169">
        <f t="shared" si="11"/>
        <v>0</v>
      </c>
    </row>
    <row r="107" spans="1:10" x14ac:dyDescent="0.25">
      <c r="A107" s="168">
        <f t="shared" si="9"/>
        <v>16</v>
      </c>
      <c r="B107" s="169" t="s">
        <v>384</v>
      </c>
      <c r="D107" s="169">
        <v>0</v>
      </c>
      <c r="E107" s="169">
        <v>0</v>
      </c>
      <c r="F107" s="169">
        <f t="shared" si="10"/>
        <v>0</v>
      </c>
      <c r="H107" s="169">
        <v>0</v>
      </c>
      <c r="I107" s="169">
        <v>0</v>
      </c>
      <c r="J107" s="169">
        <f t="shared" si="11"/>
        <v>0</v>
      </c>
    </row>
    <row r="108" spans="1:10" x14ac:dyDescent="0.25">
      <c r="A108" s="168">
        <f t="shared" si="9"/>
        <v>17</v>
      </c>
      <c r="B108" s="169" t="s">
        <v>385</v>
      </c>
      <c r="D108" s="169">
        <v>0</v>
      </c>
      <c r="E108" s="169">
        <v>0</v>
      </c>
      <c r="F108" s="169">
        <f t="shared" si="10"/>
        <v>0</v>
      </c>
      <c r="H108" s="169">
        <v>0</v>
      </c>
      <c r="I108" s="169">
        <v>0</v>
      </c>
      <c r="J108" s="169">
        <f t="shared" si="11"/>
        <v>0</v>
      </c>
    </row>
    <row r="109" spans="1:10" x14ac:dyDescent="0.25">
      <c r="A109" s="168">
        <f t="shared" si="9"/>
        <v>18</v>
      </c>
      <c r="B109" s="169" t="s">
        <v>386</v>
      </c>
      <c r="D109" s="169">
        <v>0</v>
      </c>
      <c r="E109" s="169">
        <v>0</v>
      </c>
      <c r="F109" s="169">
        <f t="shared" si="10"/>
        <v>0</v>
      </c>
      <c r="H109" s="169">
        <v>0</v>
      </c>
      <c r="I109" s="169">
        <v>0</v>
      </c>
      <c r="J109" s="169">
        <f t="shared" si="11"/>
        <v>0</v>
      </c>
    </row>
    <row r="110" spans="1:10" x14ac:dyDescent="0.25">
      <c r="A110" s="168">
        <f t="shared" si="9"/>
        <v>19</v>
      </c>
      <c r="B110" s="169" t="s">
        <v>387</v>
      </c>
      <c r="D110" s="169">
        <v>0</v>
      </c>
      <c r="E110" s="169">
        <v>0</v>
      </c>
      <c r="F110" s="169">
        <f t="shared" si="10"/>
        <v>0</v>
      </c>
      <c r="H110" s="169">
        <v>0</v>
      </c>
      <c r="I110" s="169">
        <v>0</v>
      </c>
      <c r="J110" s="169">
        <f t="shared" si="11"/>
        <v>0</v>
      </c>
    </row>
    <row r="111" spans="1:10" x14ac:dyDescent="0.25">
      <c r="A111" s="168">
        <f t="shared" si="9"/>
        <v>20</v>
      </c>
      <c r="B111" s="169" t="s">
        <v>388</v>
      </c>
      <c r="D111" s="169">
        <v>0</v>
      </c>
      <c r="E111" s="169">
        <v>0</v>
      </c>
      <c r="F111" s="169">
        <f t="shared" si="10"/>
        <v>0</v>
      </c>
      <c r="H111" s="169">
        <v>0</v>
      </c>
      <c r="I111" s="169">
        <v>0</v>
      </c>
      <c r="J111" s="169">
        <f t="shared" si="11"/>
        <v>0</v>
      </c>
    </row>
    <row r="112" spans="1:10" x14ac:dyDescent="0.25">
      <c r="A112" s="168">
        <f t="shared" si="9"/>
        <v>21</v>
      </c>
      <c r="B112" s="169" t="s">
        <v>389</v>
      </c>
      <c r="D112" s="169">
        <v>0</v>
      </c>
      <c r="E112" s="169">
        <v>0</v>
      </c>
      <c r="F112" s="169">
        <f t="shared" si="10"/>
        <v>0</v>
      </c>
      <c r="H112" s="169">
        <v>0</v>
      </c>
      <c r="I112" s="169">
        <v>0</v>
      </c>
      <c r="J112" s="169">
        <f t="shared" si="11"/>
        <v>0</v>
      </c>
    </row>
    <row r="113" spans="1:10" x14ac:dyDescent="0.25">
      <c r="A113" s="168">
        <f t="shared" si="9"/>
        <v>22</v>
      </c>
      <c r="B113" s="169" t="s">
        <v>390</v>
      </c>
      <c r="D113" s="169">
        <v>0</v>
      </c>
      <c r="E113" s="169">
        <v>0</v>
      </c>
      <c r="F113" s="169">
        <f t="shared" si="10"/>
        <v>0</v>
      </c>
      <c r="H113" s="169">
        <v>0</v>
      </c>
      <c r="I113" s="169">
        <v>0</v>
      </c>
      <c r="J113" s="169">
        <f t="shared" si="11"/>
        <v>0</v>
      </c>
    </row>
    <row r="114" spans="1:10" x14ac:dyDescent="0.25">
      <c r="A114" s="168">
        <f t="shared" si="9"/>
        <v>23</v>
      </c>
      <c r="B114" s="169" t="s">
        <v>391</v>
      </c>
      <c r="D114" s="169">
        <v>0</v>
      </c>
      <c r="E114" s="169">
        <v>0</v>
      </c>
      <c r="F114" s="169">
        <f t="shared" si="10"/>
        <v>0</v>
      </c>
      <c r="H114" s="169">
        <v>0</v>
      </c>
      <c r="I114" s="169">
        <v>0</v>
      </c>
      <c r="J114" s="169">
        <f t="shared" si="11"/>
        <v>0</v>
      </c>
    </row>
    <row r="115" spans="1:10" x14ac:dyDescent="0.25">
      <c r="A115" s="168">
        <f t="shared" si="9"/>
        <v>24</v>
      </c>
      <c r="B115" s="169" t="s">
        <v>392</v>
      </c>
      <c r="D115" s="169">
        <v>0</v>
      </c>
      <c r="E115" s="169">
        <v>0</v>
      </c>
      <c r="F115" s="169">
        <f t="shared" si="10"/>
        <v>0</v>
      </c>
      <c r="H115" s="169">
        <v>0</v>
      </c>
      <c r="I115" s="169">
        <v>0</v>
      </c>
      <c r="J115" s="169">
        <f t="shared" si="11"/>
        <v>0</v>
      </c>
    </row>
    <row r="116" spans="1:10" x14ac:dyDescent="0.25">
      <c r="A116" s="168">
        <f t="shared" si="9"/>
        <v>25</v>
      </c>
      <c r="B116" s="169" t="s">
        <v>393</v>
      </c>
      <c r="D116" s="169">
        <v>0</v>
      </c>
      <c r="E116" s="169">
        <v>0</v>
      </c>
      <c r="F116" s="169">
        <f t="shared" si="10"/>
        <v>0</v>
      </c>
      <c r="H116" s="169">
        <v>0</v>
      </c>
      <c r="I116" s="169">
        <v>0</v>
      </c>
      <c r="J116" s="169">
        <f t="shared" si="11"/>
        <v>0</v>
      </c>
    </row>
    <row r="117" spans="1:10" x14ac:dyDescent="0.25">
      <c r="A117" s="168">
        <f t="shared" si="9"/>
        <v>26</v>
      </c>
      <c r="B117" s="169" t="s">
        <v>394</v>
      </c>
      <c r="D117" s="169">
        <v>0</v>
      </c>
      <c r="E117" s="169">
        <v>0</v>
      </c>
      <c r="F117" s="169">
        <f t="shared" si="10"/>
        <v>0</v>
      </c>
      <c r="H117" s="169">
        <v>0</v>
      </c>
      <c r="I117" s="169">
        <v>0</v>
      </c>
      <c r="J117" s="169">
        <f t="shared" si="11"/>
        <v>0</v>
      </c>
    </row>
    <row r="118" spans="1:10" x14ac:dyDescent="0.25">
      <c r="A118" s="168">
        <f t="shared" si="9"/>
        <v>27</v>
      </c>
      <c r="B118" s="169" t="s">
        <v>395</v>
      </c>
      <c r="D118" s="169">
        <v>0</v>
      </c>
      <c r="E118" s="169">
        <v>0</v>
      </c>
      <c r="F118" s="169">
        <f t="shared" si="10"/>
        <v>0</v>
      </c>
      <c r="H118" s="169">
        <v>0</v>
      </c>
      <c r="I118" s="169">
        <v>0</v>
      </c>
      <c r="J118" s="169">
        <f t="shared" si="11"/>
        <v>0</v>
      </c>
    </row>
    <row r="119" spans="1:10" x14ac:dyDescent="0.25">
      <c r="A119" s="168">
        <f t="shared" si="9"/>
        <v>28</v>
      </c>
      <c r="B119" s="169" t="s">
        <v>396</v>
      </c>
      <c r="D119" s="169">
        <v>0</v>
      </c>
      <c r="E119" s="169">
        <v>0</v>
      </c>
      <c r="F119" s="169">
        <f t="shared" si="10"/>
        <v>0</v>
      </c>
      <c r="H119" s="169">
        <v>0</v>
      </c>
      <c r="I119" s="169">
        <v>0</v>
      </c>
      <c r="J119" s="169">
        <f t="shared" si="11"/>
        <v>0</v>
      </c>
    </row>
    <row r="120" spans="1:10" x14ac:dyDescent="0.25">
      <c r="A120" s="168">
        <f t="shared" si="9"/>
        <v>29</v>
      </c>
      <c r="B120" s="169" t="s">
        <v>397</v>
      </c>
      <c r="D120" s="169">
        <v>0</v>
      </c>
      <c r="E120" s="169">
        <v>0</v>
      </c>
      <c r="F120" s="169">
        <f t="shared" si="10"/>
        <v>0</v>
      </c>
      <c r="H120" s="169">
        <v>0</v>
      </c>
      <c r="I120" s="169">
        <v>0</v>
      </c>
      <c r="J120" s="169">
        <f t="shared" si="11"/>
        <v>0</v>
      </c>
    </row>
    <row r="121" spans="1:10" x14ac:dyDescent="0.25">
      <c r="A121" s="168">
        <f t="shared" si="9"/>
        <v>30</v>
      </c>
      <c r="B121" s="169" t="s">
        <v>398</v>
      </c>
      <c r="D121" s="169">
        <v>0</v>
      </c>
      <c r="E121" s="169">
        <v>0</v>
      </c>
      <c r="F121" s="169">
        <f t="shared" si="10"/>
        <v>0</v>
      </c>
      <c r="H121" s="169">
        <v>0</v>
      </c>
      <c r="I121" s="169">
        <v>0</v>
      </c>
      <c r="J121" s="169">
        <f t="shared" si="11"/>
        <v>0</v>
      </c>
    </row>
    <row r="122" spans="1:10" x14ac:dyDescent="0.25">
      <c r="A122" s="168">
        <f t="shared" si="9"/>
        <v>31</v>
      </c>
      <c r="B122" s="169" t="s">
        <v>399</v>
      </c>
      <c r="D122" s="169">
        <v>0</v>
      </c>
      <c r="E122" s="169">
        <v>0</v>
      </c>
      <c r="F122" s="169">
        <f t="shared" si="10"/>
        <v>0</v>
      </c>
      <c r="H122" s="169">
        <v>0</v>
      </c>
      <c r="I122" s="169">
        <v>0</v>
      </c>
      <c r="J122" s="169">
        <f t="shared" si="11"/>
        <v>0</v>
      </c>
    </row>
    <row r="123" spans="1:10" x14ac:dyDescent="0.25">
      <c r="A123" s="168">
        <f t="shared" si="9"/>
        <v>32</v>
      </c>
      <c r="B123" s="169" t="s">
        <v>400</v>
      </c>
      <c r="D123" s="169">
        <v>0</v>
      </c>
      <c r="E123" s="169">
        <v>0</v>
      </c>
      <c r="F123" s="169">
        <f t="shared" si="10"/>
        <v>0</v>
      </c>
      <c r="H123" s="169">
        <v>0</v>
      </c>
      <c r="I123" s="169">
        <v>0</v>
      </c>
      <c r="J123" s="169">
        <f t="shared" si="11"/>
        <v>0</v>
      </c>
    </row>
    <row r="124" spans="1:10" x14ac:dyDescent="0.25">
      <c r="A124" s="168">
        <f t="shared" si="9"/>
        <v>33</v>
      </c>
      <c r="B124" s="169" t="s">
        <v>401</v>
      </c>
      <c r="D124" s="169">
        <v>0</v>
      </c>
      <c r="E124" s="169">
        <v>0</v>
      </c>
      <c r="F124" s="169">
        <f t="shared" si="10"/>
        <v>0</v>
      </c>
      <c r="H124" s="169">
        <v>0</v>
      </c>
      <c r="I124" s="169">
        <v>0</v>
      </c>
      <c r="J124" s="169">
        <f t="shared" si="11"/>
        <v>0</v>
      </c>
    </row>
    <row r="125" spans="1:10" x14ac:dyDescent="0.25">
      <c r="A125" s="168">
        <f t="shared" si="9"/>
        <v>34</v>
      </c>
      <c r="B125" s="169" t="s">
        <v>402</v>
      </c>
      <c r="D125" s="169">
        <v>-6566255.7783472296</v>
      </c>
      <c r="E125" s="169">
        <v>0</v>
      </c>
      <c r="F125" s="169">
        <f t="shared" si="10"/>
        <v>-6566255.7783472296</v>
      </c>
      <c r="H125" s="169">
        <v>-6566255.7783472296</v>
      </c>
      <c r="I125" s="169">
        <v>0</v>
      </c>
      <c r="J125" s="169">
        <f t="shared" si="11"/>
        <v>-6566255.7783472296</v>
      </c>
    </row>
    <row r="126" spans="1:10" x14ac:dyDescent="0.25">
      <c r="A126" s="168">
        <f t="shared" si="9"/>
        <v>35</v>
      </c>
      <c r="B126" s="169" t="s">
        <v>403</v>
      </c>
      <c r="D126" s="169">
        <v>0</v>
      </c>
      <c r="E126" s="169">
        <v>0</v>
      </c>
      <c r="F126" s="169">
        <f t="shared" si="10"/>
        <v>0</v>
      </c>
      <c r="H126" s="169">
        <v>0</v>
      </c>
      <c r="I126" s="169">
        <v>0</v>
      </c>
      <c r="J126" s="169">
        <f t="shared" si="11"/>
        <v>0</v>
      </c>
    </row>
    <row r="127" spans="1:10" x14ac:dyDescent="0.25">
      <c r="A127" s="168">
        <f t="shared" si="9"/>
        <v>36</v>
      </c>
      <c r="B127" s="169" t="s">
        <v>404</v>
      </c>
      <c r="D127" s="169">
        <v>-17080318</v>
      </c>
      <c r="E127" s="169">
        <v>0</v>
      </c>
      <c r="F127" s="169">
        <f t="shared" si="10"/>
        <v>-17080318</v>
      </c>
      <c r="H127" s="169">
        <v>-17080318</v>
      </c>
      <c r="I127" s="169">
        <v>0</v>
      </c>
      <c r="J127" s="169">
        <f t="shared" si="11"/>
        <v>-17080318</v>
      </c>
    </row>
    <row r="128" spans="1:10" x14ac:dyDescent="0.25">
      <c r="A128" s="168">
        <f t="shared" si="9"/>
        <v>37</v>
      </c>
      <c r="B128" s="169" t="s">
        <v>405</v>
      </c>
      <c r="D128" s="169">
        <v>-2372032.87</v>
      </c>
      <c r="E128" s="169">
        <v>0</v>
      </c>
      <c r="F128" s="169">
        <f t="shared" si="10"/>
        <v>-2372032.87</v>
      </c>
      <c r="H128" s="169">
        <v>-2372032.87</v>
      </c>
      <c r="I128" s="169">
        <v>0</v>
      </c>
      <c r="J128" s="169">
        <f t="shared" si="11"/>
        <v>-2372032.87</v>
      </c>
    </row>
    <row r="129" spans="1:10" x14ac:dyDescent="0.25">
      <c r="A129" s="168">
        <f t="shared" si="9"/>
        <v>38</v>
      </c>
      <c r="B129" s="169" t="s">
        <v>406</v>
      </c>
      <c r="D129" s="169">
        <v>17193652</v>
      </c>
      <c r="E129" s="169">
        <v>0</v>
      </c>
      <c r="F129" s="169">
        <f t="shared" si="10"/>
        <v>17193652</v>
      </c>
      <c r="H129" s="169">
        <v>17193652</v>
      </c>
      <c r="I129" s="169">
        <v>0</v>
      </c>
      <c r="J129" s="169">
        <f t="shared" si="11"/>
        <v>17193652</v>
      </c>
    </row>
    <row r="130" spans="1:10" x14ac:dyDescent="0.25">
      <c r="A130" s="168">
        <f t="shared" si="9"/>
        <v>39</v>
      </c>
      <c r="B130" s="169" t="s">
        <v>407</v>
      </c>
      <c r="D130" s="169">
        <v>0</v>
      </c>
      <c r="E130" s="169">
        <v>0</v>
      </c>
      <c r="F130" s="169">
        <f t="shared" si="10"/>
        <v>0</v>
      </c>
      <c r="H130" s="169">
        <v>0</v>
      </c>
      <c r="I130" s="169">
        <v>0</v>
      </c>
      <c r="J130" s="169">
        <f t="shared" si="11"/>
        <v>0</v>
      </c>
    </row>
    <row r="131" spans="1:10" x14ac:dyDescent="0.25">
      <c r="A131" s="168">
        <f t="shared" si="9"/>
        <v>40</v>
      </c>
      <c r="B131" s="169" t="s">
        <v>408</v>
      </c>
      <c r="D131" s="169">
        <v>0</v>
      </c>
      <c r="E131" s="169">
        <v>0</v>
      </c>
      <c r="F131" s="169">
        <f t="shared" si="10"/>
        <v>0</v>
      </c>
      <c r="H131" s="169">
        <v>0</v>
      </c>
      <c r="I131" s="169">
        <v>0</v>
      </c>
      <c r="J131" s="169">
        <f t="shared" si="11"/>
        <v>0</v>
      </c>
    </row>
    <row r="132" spans="1:10" x14ac:dyDescent="0.25">
      <c r="A132" s="168">
        <f t="shared" si="9"/>
        <v>41</v>
      </c>
      <c r="B132" s="169" t="s">
        <v>409</v>
      </c>
      <c r="D132" s="169">
        <v>0</v>
      </c>
      <c r="E132" s="169">
        <v>0</v>
      </c>
      <c r="F132" s="169">
        <f t="shared" si="10"/>
        <v>0</v>
      </c>
      <c r="H132" s="169">
        <v>0</v>
      </c>
      <c r="I132" s="169">
        <v>0</v>
      </c>
      <c r="J132" s="169">
        <f t="shared" si="11"/>
        <v>0</v>
      </c>
    </row>
    <row r="133" spans="1:10" x14ac:dyDescent="0.25">
      <c r="A133" s="168">
        <f t="shared" si="9"/>
        <v>42</v>
      </c>
      <c r="B133" s="169" t="s">
        <v>410</v>
      </c>
      <c r="D133" s="169">
        <v>0</v>
      </c>
      <c r="E133" s="169">
        <v>0</v>
      </c>
      <c r="F133" s="169">
        <f t="shared" si="10"/>
        <v>0</v>
      </c>
      <c r="H133" s="169">
        <v>0</v>
      </c>
      <c r="I133" s="169">
        <v>0</v>
      </c>
      <c r="J133" s="169">
        <f t="shared" si="11"/>
        <v>0</v>
      </c>
    </row>
    <row r="134" spans="1:10" x14ac:dyDescent="0.25">
      <c r="A134" s="168">
        <f t="shared" si="9"/>
        <v>43</v>
      </c>
      <c r="B134" s="169" t="s">
        <v>411</v>
      </c>
      <c r="D134" s="169">
        <v>0</v>
      </c>
      <c r="E134" s="169">
        <v>0</v>
      </c>
      <c r="F134" s="169">
        <f t="shared" si="10"/>
        <v>0</v>
      </c>
      <c r="H134" s="169">
        <v>0</v>
      </c>
      <c r="I134" s="169">
        <v>0</v>
      </c>
      <c r="J134" s="169">
        <f t="shared" si="11"/>
        <v>0</v>
      </c>
    </row>
    <row r="135" spans="1:10" x14ac:dyDescent="0.25">
      <c r="A135" s="168">
        <f t="shared" si="9"/>
        <v>44</v>
      </c>
      <c r="B135" s="169" t="s">
        <v>412</v>
      </c>
      <c r="D135" s="169">
        <v>0</v>
      </c>
      <c r="E135" s="169">
        <v>0</v>
      </c>
      <c r="F135" s="169">
        <f t="shared" si="10"/>
        <v>0</v>
      </c>
      <c r="H135" s="169">
        <v>0</v>
      </c>
      <c r="I135" s="169">
        <v>0</v>
      </c>
      <c r="J135" s="169">
        <f t="shared" si="11"/>
        <v>0</v>
      </c>
    </row>
    <row r="136" spans="1:10" x14ac:dyDescent="0.25">
      <c r="A136" s="168">
        <f t="shared" si="9"/>
        <v>45</v>
      </c>
      <c r="B136" s="169" t="s">
        <v>413</v>
      </c>
      <c r="D136" s="169">
        <v>0</v>
      </c>
      <c r="E136" s="169">
        <v>0</v>
      </c>
      <c r="F136" s="169">
        <f t="shared" si="10"/>
        <v>0</v>
      </c>
      <c r="H136" s="169">
        <v>0</v>
      </c>
      <c r="I136" s="169">
        <v>0</v>
      </c>
      <c r="J136" s="169">
        <f t="shared" si="11"/>
        <v>0</v>
      </c>
    </row>
    <row r="137" spans="1:10" x14ac:dyDescent="0.25">
      <c r="A137" s="168">
        <f t="shared" si="9"/>
        <v>46</v>
      </c>
      <c r="B137" s="169" t="s">
        <v>414</v>
      </c>
      <c r="D137" s="169">
        <v>0</v>
      </c>
      <c r="E137" s="169">
        <v>0</v>
      </c>
      <c r="F137" s="169">
        <f t="shared" si="10"/>
        <v>0</v>
      </c>
      <c r="H137" s="169">
        <v>0</v>
      </c>
      <c r="I137" s="169">
        <v>0</v>
      </c>
      <c r="J137" s="169">
        <f t="shared" si="11"/>
        <v>0</v>
      </c>
    </row>
    <row r="138" spans="1:10" x14ac:dyDescent="0.25">
      <c r="A138" s="168">
        <f t="shared" si="9"/>
        <v>47</v>
      </c>
      <c r="B138" s="169" t="s">
        <v>415</v>
      </c>
      <c r="D138" s="169">
        <v>0</v>
      </c>
      <c r="E138" s="169">
        <v>0</v>
      </c>
      <c r="F138" s="169">
        <f t="shared" si="10"/>
        <v>0</v>
      </c>
      <c r="H138" s="169">
        <v>0</v>
      </c>
      <c r="I138" s="169">
        <v>0</v>
      </c>
      <c r="J138" s="169">
        <f t="shared" si="11"/>
        <v>0</v>
      </c>
    </row>
    <row r="139" spans="1:10" x14ac:dyDescent="0.25">
      <c r="A139" s="168">
        <f t="shared" si="9"/>
        <v>48</v>
      </c>
      <c r="B139" s="169" t="s">
        <v>416</v>
      </c>
      <c r="D139" s="169">
        <v>0</v>
      </c>
      <c r="E139" s="169">
        <v>0</v>
      </c>
      <c r="F139" s="169">
        <f t="shared" si="10"/>
        <v>0</v>
      </c>
      <c r="H139" s="169">
        <v>0</v>
      </c>
      <c r="I139" s="169">
        <v>0</v>
      </c>
      <c r="J139" s="169">
        <f t="shared" si="11"/>
        <v>0</v>
      </c>
    </row>
    <row r="140" spans="1:10" x14ac:dyDescent="0.25">
      <c r="A140" s="168">
        <f t="shared" si="9"/>
        <v>49</v>
      </c>
      <c r="B140" s="169" t="s">
        <v>417</v>
      </c>
      <c r="D140" s="169">
        <v>0</v>
      </c>
      <c r="E140" s="169">
        <v>0</v>
      </c>
      <c r="F140" s="169">
        <f t="shared" si="10"/>
        <v>0</v>
      </c>
      <c r="H140" s="169">
        <v>0</v>
      </c>
      <c r="I140" s="169">
        <v>0</v>
      </c>
      <c r="J140" s="169">
        <f t="shared" si="11"/>
        <v>0</v>
      </c>
    </row>
    <row r="141" spans="1:10" x14ac:dyDescent="0.25">
      <c r="A141" s="168">
        <f t="shared" si="9"/>
        <v>50</v>
      </c>
      <c r="B141" s="169" t="s">
        <v>418</v>
      </c>
      <c r="D141" s="169">
        <v>0</v>
      </c>
      <c r="E141" s="169">
        <v>0</v>
      </c>
      <c r="F141" s="169">
        <f t="shared" si="10"/>
        <v>0</v>
      </c>
      <c r="H141" s="169">
        <v>0</v>
      </c>
      <c r="I141" s="169">
        <v>0</v>
      </c>
      <c r="J141" s="169">
        <f t="shared" si="11"/>
        <v>0</v>
      </c>
    </row>
    <row r="142" spans="1:10" x14ac:dyDescent="0.25">
      <c r="A142" s="168">
        <f t="shared" si="9"/>
        <v>51</v>
      </c>
      <c r="B142" s="169" t="s">
        <v>419</v>
      </c>
      <c r="D142" s="169">
        <v>0</v>
      </c>
      <c r="E142" s="169">
        <v>0</v>
      </c>
      <c r="F142" s="169">
        <f t="shared" si="10"/>
        <v>0</v>
      </c>
      <c r="H142" s="169">
        <v>0</v>
      </c>
      <c r="I142" s="169">
        <v>0</v>
      </c>
      <c r="J142" s="169">
        <f t="shared" si="11"/>
        <v>0</v>
      </c>
    </row>
    <row r="143" spans="1:10" x14ac:dyDescent="0.25">
      <c r="A143" s="168">
        <f t="shared" si="9"/>
        <v>52</v>
      </c>
      <c r="B143" s="169" t="s">
        <v>420</v>
      </c>
      <c r="D143" s="169">
        <v>0</v>
      </c>
      <c r="E143" s="169">
        <v>0</v>
      </c>
      <c r="F143" s="169">
        <f t="shared" si="10"/>
        <v>0</v>
      </c>
      <c r="H143" s="169">
        <v>0</v>
      </c>
      <c r="I143" s="169">
        <v>0</v>
      </c>
      <c r="J143" s="169">
        <f t="shared" si="11"/>
        <v>0</v>
      </c>
    </row>
    <row r="144" spans="1:10" x14ac:dyDescent="0.25">
      <c r="A144" s="168">
        <f t="shared" si="9"/>
        <v>53</v>
      </c>
      <c r="B144" s="169" t="s">
        <v>421</v>
      </c>
      <c r="D144" s="169">
        <v>0</v>
      </c>
      <c r="E144" s="169">
        <v>0</v>
      </c>
      <c r="F144" s="169">
        <f t="shared" si="10"/>
        <v>0</v>
      </c>
      <c r="H144" s="169">
        <v>0</v>
      </c>
      <c r="I144" s="169">
        <v>0</v>
      </c>
      <c r="J144" s="169">
        <f t="shared" si="11"/>
        <v>0</v>
      </c>
    </row>
    <row r="145" spans="1:11" x14ac:dyDescent="0.25">
      <c r="A145" s="168">
        <f t="shared" si="9"/>
        <v>54</v>
      </c>
      <c r="B145" s="169" t="s">
        <v>422</v>
      </c>
      <c r="D145" s="169">
        <v>0</v>
      </c>
      <c r="E145" s="169">
        <v>0</v>
      </c>
      <c r="F145" s="169">
        <f t="shared" si="10"/>
        <v>0</v>
      </c>
      <c r="H145" s="169">
        <v>0</v>
      </c>
      <c r="I145" s="169">
        <v>0</v>
      </c>
      <c r="J145" s="169">
        <f t="shared" si="11"/>
        <v>0</v>
      </c>
    </row>
    <row r="146" spans="1:11" x14ac:dyDescent="0.25">
      <c r="A146" s="168">
        <f t="shared" si="9"/>
        <v>55</v>
      </c>
      <c r="B146" s="169" t="s">
        <v>423</v>
      </c>
      <c r="D146" s="169">
        <v>0</v>
      </c>
      <c r="E146" s="169">
        <v>0</v>
      </c>
      <c r="F146" s="169">
        <f t="shared" si="10"/>
        <v>0</v>
      </c>
      <c r="H146" s="169">
        <v>0</v>
      </c>
      <c r="I146" s="169">
        <v>0</v>
      </c>
      <c r="J146" s="169">
        <f t="shared" si="11"/>
        <v>0</v>
      </c>
    </row>
    <row r="147" spans="1:11" x14ac:dyDescent="0.25">
      <c r="A147" s="168">
        <f t="shared" si="9"/>
        <v>56</v>
      </c>
      <c r="B147" s="169" t="s">
        <v>424</v>
      </c>
      <c r="D147" s="169">
        <v>0</v>
      </c>
      <c r="E147" s="169">
        <v>0</v>
      </c>
      <c r="F147" s="169">
        <f t="shared" si="10"/>
        <v>0</v>
      </c>
      <c r="H147" s="169">
        <v>0</v>
      </c>
      <c r="I147" s="169">
        <v>0</v>
      </c>
      <c r="J147" s="169">
        <f t="shared" si="11"/>
        <v>0</v>
      </c>
    </row>
    <row r="148" spans="1:11" s="171" customFormat="1" ht="14.45" customHeight="1" x14ac:dyDescent="0.25">
      <c r="A148" s="168">
        <f t="shared" si="9"/>
        <v>57</v>
      </c>
      <c r="B148" s="171" t="s">
        <v>425</v>
      </c>
      <c r="D148" s="176">
        <f>SUM(D103:D147)</f>
        <v>-8824954.6483472325</v>
      </c>
      <c r="E148" s="176">
        <f>SUM(E103:E147)</f>
        <v>0</v>
      </c>
      <c r="F148" s="176">
        <f>SUM(F103:F147)</f>
        <v>-8824954.6483472325</v>
      </c>
      <c r="H148" s="176">
        <f>SUM(H103:H147)</f>
        <v>-8824954.6483472325</v>
      </c>
      <c r="I148" s="176">
        <f>SUM(I103:I147)</f>
        <v>0</v>
      </c>
      <c r="J148" s="176">
        <f>SUM(J103:J147)</f>
        <v>-8824954.6483472325</v>
      </c>
    </row>
    <row r="149" spans="1:11" ht="14.45" customHeight="1" x14ac:dyDescent="0.25">
      <c r="A149" s="168">
        <f t="shared" si="9"/>
        <v>58</v>
      </c>
    </row>
    <row r="150" spans="1:11" x14ac:dyDescent="0.25">
      <c r="A150" s="168">
        <f t="shared" si="9"/>
        <v>59</v>
      </c>
      <c r="B150" s="169" t="s">
        <v>426</v>
      </c>
      <c r="D150" s="169">
        <v>-26059977.191075195</v>
      </c>
      <c r="E150" s="169">
        <f>E100+E148</f>
        <v>0</v>
      </c>
      <c r="F150" s="169">
        <f>SUM(D150,E150)</f>
        <v>-26059977.191075195</v>
      </c>
      <c r="H150" s="169">
        <v>-26059977.191075195</v>
      </c>
      <c r="I150" s="169">
        <f>I100+I148</f>
        <v>0</v>
      </c>
      <c r="J150" s="169">
        <f>SUM(H150,I150)</f>
        <v>-26059977.191075195</v>
      </c>
    </row>
    <row r="151" spans="1:11" x14ac:dyDescent="0.25">
      <c r="A151" s="168">
        <f t="shared" si="9"/>
        <v>60</v>
      </c>
      <c r="B151" s="171" t="s">
        <v>302</v>
      </c>
      <c r="C151" s="171"/>
      <c r="D151" s="169">
        <v>-3321725.8599999957</v>
      </c>
      <c r="E151" s="169">
        <v>0</v>
      </c>
      <c r="F151" s="169">
        <f>SUM(D151,E151)</f>
        <v>-3321725.8599999957</v>
      </c>
      <c r="H151" s="169">
        <v>-3321725.8599999957</v>
      </c>
      <c r="I151" s="169">
        <v>0</v>
      </c>
      <c r="J151" s="169">
        <f>SUM(H151,I151)</f>
        <v>-3321725.8599999957</v>
      </c>
    </row>
    <row r="152" spans="1:11" x14ac:dyDescent="0.25">
      <c r="A152" s="178"/>
      <c r="B152" s="171"/>
      <c r="C152" s="171"/>
      <c r="D152" s="171"/>
      <c r="E152" s="171"/>
      <c r="F152" s="171"/>
      <c r="H152" s="171"/>
      <c r="I152" s="171"/>
      <c r="J152" s="171"/>
    </row>
    <row r="153" spans="1:11" x14ac:dyDescent="0.25">
      <c r="A153" s="366" t="s">
        <v>62</v>
      </c>
      <c r="B153" s="366"/>
      <c r="C153" s="366"/>
      <c r="D153" s="366"/>
      <c r="E153" s="366"/>
      <c r="F153" s="366"/>
    </row>
    <row r="154" spans="1:11" x14ac:dyDescent="0.25">
      <c r="A154" s="366" t="s">
        <v>63</v>
      </c>
      <c r="B154" s="366"/>
      <c r="C154" s="366"/>
      <c r="D154" s="366"/>
      <c r="E154" s="366"/>
      <c r="F154" s="366"/>
    </row>
    <row r="155" spans="1:11" x14ac:dyDescent="0.25">
      <c r="A155" s="366" t="str">
        <f>$A$3</f>
        <v>COMPUTATION OF FEDERAL AND STATE INCOME TAX</v>
      </c>
      <c r="B155" s="366"/>
      <c r="C155" s="366"/>
      <c r="D155" s="366"/>
      <c r="E155" s="366"/>
      <c r="F155" s="366"/>
    </row>
    <row r="156" spans="1:11" x14ac:dyDescent="0.25">
      <c r="A156" s="366" t="s">
        <v>438</v>
      </c>
      <c r="B156" s="366"/>
      <c r="C156" s="366"/>
      <c r="D156" s="366"/>
      <c r="E156" s="366"/>
      <c r="F156" s="366"/>
      <c r="G156" s="171"/>
      <c r="H156" s="171"/>
      <c r="I156" s="171"/>
      <c r="J156" s="171"/>
      <c r="K156" s="171"/>
    </row>
    <row r="157" spans="1:11" x14ac:dyDescent="0.25">
      <c r="A157" s="366" t="s">
        <v>64</v>
      </c>
      <c r="B157" s="366"/>
      <c r="C157" s="366"/>
      <c r="D157" s="366"/>
      <c r="E157" s="366"/>
      <c r="F157" s="366"/>
      <c r="G157" s="171"/>
      <c r="H157" s="171"/>
      <c r="I157" s="171"/>
      <c r="J157" s="171"/>
      <c r="K157" s="171"/>
    </row>
    <row r="158" spans="1:11" x14ac:dyDescent="0.25">
      <c r="B158" s="168"/>
      <c r="C158" s="168"/>
      <c r="D158" s="168"/>
      <c r="E158" s="168"/>
      <c r="F158" s="168"/>
      <c r="G158" s="171"/>
      <c r="H158" s="168"/>
      <c r="I158" s="168"/>
      <c r="J158" s="168"/>
      <c r="K158" s="171"/>
    </row>
    <row r="159" spans="1:11" s="168" customFormat="1" x14ac:dyDescent="0.25">
      <c r="A159" s="48" t="s">
        <v>288</v>
      </c>
      <c r="B159" s="169"/>
      <c r="C159" s="169"/>
      <c r="E159" s="170"/>
      <c r="F159" s="170" t="str">
        <f>+J7</f>
        <v>SCHEDULE E-1.1</v>
      </c>
      <c r="I159" s="170"/>
      <c r="J159" s="170">
        <f>+R7</f>
        <v>0</v>
      </c>
    </row>
    <row r="160" spans="1:11" s="168" customFormat="1" x14ac:dyDescent="0.25">
      <c r="A160" s="48" t="s">
        <v>241</v>
      </c>
      <c r="B160" s="169"/>
      <c r="C160" s="169"/>
      <c r="E160" s="170"/>
      <c r="F160" s="170" t="s">
        <v>427</v>
      </c>
      <c r="I160" s="170"/>
      <c r="J160" s="170" t="s">
        <v>427</v>
      </c>
    </row>
    <row r="161" spans="1:10" s="178" customFormat="1" x14ac:dyDescent="0.25">
      <c r="A161" s="48" t="s">
        <v>2</v>
      </c>
      <c r="B161" s="171"/>
      <c r="C161" s="171"/>
      <c r="E161" s="172"/>
      <c r="F161" s="172" t="s">
        <v>439</v>
      </c>
      <c r="I161" s="172"/>
      <c r="J161" s="172" t="s">
        <v>439</v>
      </c>
    </row>
    <row r="162" spans="1:10" s="168" customFormat="1" x14ac:dyDescent="0.25">
      <c r="A162" s="48"/>
      <c r="B162" s="171"/>
      <c r="C162" s="171"/>
      <c r="E162" s="172"/>
      <c r="F162" s="172"/>
      <c r="I162" s="172"/>
      <c r="J162" s="172"/>
    </row>
    <row r="163" spans="1:10" s="168" customFormat="1" x14ac:dyDescent="0.25">
      <c r="A163" s="177"/>
      <c r="B163" s="177"/>
      <c r="C163" s="177"/>
      <c r="D163" s="186" t="s">
        <v>33</v>
      </c>
      <c r="E163" s="186" t="s">
        <v>33</v>
      </c>
      <c r="F163" s="186" t="s">
        <v>33</v>
      </c>
      <c r="H163" s="186" t="s">
        <v>33</v>
      </c>
      <c r="I163" s="186" t="s">
        <v>33</v>
      </c>
      <c r="J163" s="186" t="s">
        <v>33</v>
      </c>
    </row>
    <row r="164" spans="1:10" s="168" customFormat="1" x14ac:dyDescent="0.25">
      <c r="A164" s="178"/>
      <c r="B164" s="178"/>
      <c r="C164" s="178"/>
      <c r="D164" s="178" t="s">
        <v>131</v>
      </c>
      <c r="E164" s="178" t="s">
        <v>131</v>
      </c>
      <c r="F164" s="178" t="s">
        <v>131</v>
      </c>
      <c r="H164" s="178" t="s">
        <v>131</v>
      </c>
      <c r="I164" s="178" t="s">
        <v>131</v>
      </c>
      <c r="J164" s="178" t="s">
        <v>131</v>
      </c>
    </row>
    <row r="165" spans="1:10" s="168" customFormat="1" x14ac:dyDescent="0.25">
      <c r="A165" s="46" t="s">
        <v>6</v>
      </c>
      <c r="B165" s="178"/>
      <c r="C165" s="178"/>
      <c r="D165" s="178" t="s">
        <v>133</v>
      </c>
      <c r="E165" s="178" t="s">
        <v>133</v>
      </c>
      <c r="F165" s="178" t="s">
        <v>135</v>
      </c>
      <c r="H165" s="178" t="s">
        <v>133</v>
      </c>
      <c r="I165" s="178" t="s">
        <v>133</v>
      </c>
      <c r="J165" s="178" t="s">
        <v>135</v>
      </c>
    </row>
    <row r="166" spans="1:10" s="168" customFormat="1" x14ac:dyDescent="0.25">
      <c r="A166" s="179" t="s">
        <v>10</v>
      </c>
      <c r="B166" s="180" t="s">
        <v>11</v>
      </c>
      <c r="C166" s="181" t="s">
        <v>12</v>
      </c>
      <c r="D166" s="181" t="s">
        <v>31</v>
      </c>
      <c r="E166" s="181" t="s">
        <v>187</v>
      </c>
      <c r="F166" s="181" t="s">
        <v>368</v>
      </c>
      <c r="H166" s="181" t="s">
        <v>31</v>
      </c>
      <c r="I166" s="181" t="s">
        <v>187</v>
      </c>
      <c r="J166" s="181" t="s">
        <v>368</v>
      </c>
    </row>
    <row r="167" spans="1:10" x14ac:dyDescent="0.25">
      <c r="B167" s="168"/>
      <c r="C167" s="168"/>
      <c r="D167" s="182" t="s">
        <v>89</v>
      </c>
      <c r="E167" s="182" t="s">
        <v>90</v>
      </c>
      <c r="F167" s="182" t="s">
        <v>291</v>
      </c>
      <c r="H167" s="182" t="s">
        <v>89</v>
      </c>
      <c r="I167" s="182" t="s">
        <v>90</v>
      </c>
      <c r="J167" s="182" t="s">
        <v>291</v>
      </c>
    </row>
    <row r="168" spans="1:10" x14ac:dyDescent="0.25">
      <c r="B168" s="168"/>
      <c r="C168" s="168"/>
      <c r="D168" s="168" t="s">
        <v>36</v>
      </c>
      <c r="E168" s="168" t="s">
        <v>36</v>
      </c>
      <c r="F168" s="168" t="s">
        <v>36</v>
      </c>
      <c r="H168" s="168" t="s">
        <v>36</v>
      </c>
      <c r="I168" s="168" t="s">
        <v>36</v>
      </c>
      <c r="J168" s="168" t="s">
        <v>36</v>
      </c>
    </row>
    <row r="169" spans="1:10" x14ac:dyDescent="0.25">
      <c r="A169" s="168">
        <v>1</v>
      </c>
      <c r="B169" s="181" t="s">
        <v>428</v>
      </c>
      <c r="C169" s="171"/>
      <c r="D169" s="171"/>
      <c r="E169" s="171"/>
      <c r="F169" s="171"/>
      <c r="H169" s="171"/>
      <c r="I169" s="171"/>
      <c r="J169" s="171"/>
    </row>
    <row r="170" spans="1:10" x14ac:dyDescent="0.25">
      <c r="A170" s="168">
        <f t="shared" ref="A170:A188" si="12">A169+1</f>
        <v>2</v>
      </c>
      <c r="B170" s="187" t="s">
        <v>335</v>
      </c>
      <c r="C170" s="187"/>
      <c r="D170" s="169">
        <v>-1064</v>
      </c>
      <c r="E170" s="169">
        <v>0</v>
      </c>
      <c r="F170" s="169">
        <f>SUM(D170,E170)</f>
        <v>-1064</v>
      </c>
      <c r="H170" s="169">
        <v>-1064</v>
      </c>
      <c r="I170" s="169">
        <v>0</v>
      </c>
      <c r="J170" s="169">
        <f>SUM(H170,I170)</f>
        <v>-1064</v>
      </c>
    </row>
    <row r="171" spans="1:10" x14ac:dyDescent="0.25">
      <c r="A171" s="168">
        <f t="shared" si="12"/>
        <v>3</v>
      </c>
      <c r="B171" s="187" t="s">
        <v>429</v>
      </c>
      <c r="C171" s="187"/>
      <c r="D171" s="169">
        <v>-71277</v>
      </c>
      <c r="E171" s="169">
        <v>0</v>
      </c>
      <c r="F171" s="169">
        <f>SUM(D171,E171)</f>
        <v>-71277</v>
      </c>
      <c r="H171" s="169">
        <v>-71277</v>
      </c>
      <c r="I171" s="169">
        <v>0</v>
      </c>
      <c r="J171" s="169">
        <f>SUM(H171,I171)</f>
        <v>-71277</v>
      </c>
    </row>
    <row r="172" spans="1:10" x14ac:dyDescent="0.25">
      <c r="A172" s="168">
        <f t="shared" si="12"/>
        <v>4</v>
      </c>
      <c r="B172" s="187" t="s">
        <v>331</v>
      </c>
      <c r="C172" s="187"/>
      <c r="D172" s="169">
        <v>-461131.68458923075</v>
      </c>
      <c r="E172" s="169">
        <v>0</v>
      </c>
      <c r="F172" s="169">
        <f>SUM(D172,E172)</f>
        <v>-461131.68458923075</v>
      </c>
      <c r="H172" s="169">
        <v>-461131.68458923075</v>
      </c>
      <c r="I172" s="169">
        <v>0</v>
      </c>
      <c r="J172" s="169">
        <f>SUM(H172,I172)</f>
        <v>-461131.68458923075</v>
      </c>
    </row>
    <row r="173" spans="1:10" x14ac:dyDescent="0.25">
      <c r="A173" s="168">
        <f t="shared" si="12"/>
        <v>5</v>
      </c>
      <c r="B173" s="187"/>
      <c r="C173" s="187"/>
    </row>
    <row r="174" spans="1:10" x14ac:dyDescent="0.25">
      <c r="A174" s="168">
        <f t="shared" si="12"/>
        <v>6</v>
      </c>
      <c r="B174" s="181" t="s">
        <v>319</v>
      </c>
      <c r="C174" s="171"/>
      <c r="D174" s="171"/>
      <c r="E174" s="171"/>
      <c r="F174" s="171"/>
      <c r="H174" s="171"/>
      <c r="I174" s="171"/>
      <c r="J174" s="171"/>
    </row>
    <row r="175" spans="1:10" x14ac:dyDescent="0.25">
      <c r="A175" s="168">
        <f t="shared" si="12"/>
        <v>7</v>
      </c>
      <c r="B175" s="169" t="s">
        <v>430</v>
      </c>
      <c r="C175" s="171"/>
      <c r="D175" s="169">
        <v>0</v>
      </c>
      <c r="E175" s="169">
        <f>-D175</f>
        <v>0</v>
      </c>
      <c r="F175" s="169">
        <f>SUM(D175:E175)</f>
        <v>0</v>
      </c>
      <c r="H175" s="169">
        <v>0</v>
      </c>
      <c r="I175" s="169">
        <f>-H175</f>
        <v>0</v>
      </c>
      <c r="J175" s="169">
        <f>SUM(H175:I175)</f>
        <v>0</v>
      </c>
    </row>
    <row r="176" spans="1:10" x14ac:dyDescent="0.25">
      <c r="A176" s="168">
        <f t="shared" si="12"/>
        <v>8</v>
      </c>
      <c r="B176" s="169" t="s">
        <v>431</v>
      </c>
      <c r="C176" s="171"/>
      <c r="D176" s="169">
        <v>0</v>
      </c>
      <c r="E176" s="169">
        <f>-D176</f>
        <v>0</v>
      </c>
      <c r="F176" s="169">
        <f>SUM(D176:E176)</f>
        <v>0</v>
      </c>
      <c r="H176" s="169">
        <v>0</v>
      </c>
      <c r="I176" s="169">
        <f>-H176</f>
        <v>0</v>
      </c>
      <c r="J176" s="169">
        <f>SUM(H176:I176)</f>
        <v>0</v>
      </c>
    </row>
    <row r="177" spans="1:10" x14ac:dyDescent="0.25">
      <c r="A177" s="168">
        <f t="shared" si="12"/>
        <v>9</v>
      </c>
      <c r="B177" s="169" t="s">
        <v>432</v>
      </c>
      <c r="C177" s="171"/>
      <c r="D177" s="169">
        <v>0</v>
      </c>
      <c r="E177" s="169">
        <f>-D177</f>
        <v>0</v>
      </c>
      <c r="F177" s="169">
        <f>SUM(D177:E177)</f>
        <v>0</v>
      </c>
      <c r="H177" s="169">
        <v>0</v>
      </c>
      <c r="I177" s="169">
        <f>-H177</f>
        <v>0</v>
      </c>
      <c r="J177" s="169">
        <f>SUM(H177:I177)</f>
        <v>0</v>
      </c>
    </row>
    <row r="178" spans="1:10" x14ac:dyDescent="0.25">
      <c r="A178" s="168">
        <f t="shared" si="12"/>
        <v>10</v>
      </c>
      <c r="B178" s="169" t="s">
        <v>433</v>
      </c>
      <c r="C178" s="171"/>
      <c r="D178" s="169">
        <v>0</v>
      </c>
      <c r="E178" s="169">
        <f>-D178</f>
        <v>0</v>
      </c>
      <c r="F178" s="169">
        <f>SUM(D178:E178)</f>
        <v>0</v>
      </c>
      <c r="H178" s="169">
        <v>0</v>
      </c>
      <c r="I178" s="169">
        <f>-H178</f>
        <v>0</v>
      </c>
      <c r="J178" s="169">
        <f>SUM(H178:I178)</f>
        <v>0</v>
      </c>
    </row>
    <row r="179" spans="1:10" x14ac:dyDescent="0.25">
      <c r="A179" s="168">
        <f t="shared" si="12"/>
        <v>11</v>
      </c>
      <c r="C179" s="171"/>
    </row>
    <row r="180" spans="1:10" x14ac:dyDescent="0.25">
      <c r="A180" s="168">
        <f t="shared" si="12"/>
        <v>12</v>
      </c>
      <c r="B180" s="181" t="s">
        <v>434</v>
      </c>
      <c r="C180" s="171"/>
      <c r="D180" s="171"/>
      <c r="E180" s="171"/>
      <c r="F180" s="171"/>
      <c r="H180" s="171"/>
      <c r="I180" s="171"/>
      <c r="J180" s="171"/>
    </row>
    <row r="181" spans="1:10" x14ac:dyDescent="0.25">
      <c r="A181" s="168">
        <f t="shared" si="12"/>
        <v>13</v>
      </c>
      <c r="B181" s="187" t="s">
        <v>343</v>
      </c>
      <c r="C181" s="187"/>
      <c r="D181" s="169">
        <v>-24123.165380952385</v>
      </c>
      <c r="E181" s="169">
        <v>0</v>
      </c>
      <c r="F181" s="169">
        <f>SUM(D181:E181)</f>
        <v>-24123.165380952385</v>
      </c>
      <c r="H181" s="169">
        <v>-24123.165380952385</v>
      </c>
      <c r="I181" s="169">
        <v>0</v>
      </c>
      <c r="J181" s="169">
        <f>SUM(H181:I181)</f>
        <v>-24123.165380952385</v>
      </c>
    </row>
    <row r="182" spans="1:10" x14ac:dyDescent="0.25">
      <c r="A182" s="168">
        <f t="shared" si="12"/>
        <v>14</v>
      </c>
      <c r="B182" s="187" t="s">
        <v>429</v>
      </c>
      <c r="C182" s="187"/>
      <c r="D182" s="169">
        <v>-17863.91</v>
      </c>
      <c r="E182" s="169">
        <v>0</v>
      </c>
      <c r="F182" s="169">
        <f>SUM(D182:E182)</f>
        <v>-17863.91</v>
      </c>
      <c r="H182" s="169">
        <v>-17863.91</v>
      </c>
      <c r="I182" s="169">
        <v>0</v>
      </c>
      <c r="J182" s="169">
        <f>SUM(H182:I182)</f>
        <v>-17863.91</v>
      </c>
    </row>
    <row r="183" spans="1:10" x14ac:dyDescent="0.25">
      <c r="A183" s="168">
        <f t="shared" si="12"/>
        <v>15</v>
      </c>
      <c r="B183" s="187"/>
      <c r="C183" s="187"/>
    </row>
    <row r="184" spans="1:10" x14ac:dyDescent="0.25">
      <c r="A184" s="168">
        <f t="shared" si="12"/>
        <v>16</v>
      </c>
      <c r="B184" s="181" t="s">
        <v>308</v>
      </c>
      <c r="C184" s="171"/>
      <c r="D184" s="171"/>
      <c r="E184" s="171"/>
      <c r="F184" s="171"/>
      <c r="H184" s="171"/>
      <c r="I184" s="171"/>
      <c r="J184" s="171"/>
    </row>
    <row r="185" spans="1:10" x14ac:dyDescent="0.25">
      <c r="A185" s="168">
        <f t="shared" si="12"/>
        <v>17</v>
      </c>
      <c r="B185" s="169" t="s">
        <v>435</v>
      </c>
      <c r="C185" s="171"/>
      <c r="D185" s="169">
        <v>0</v>
      </c>
      <c r="E185" s="169">
        <f>-D185</f>
        <v>0</v>
      </c>
      <c r="F185" s="169">
        <f>SUM(D185:E185)</f>
        <v>0</v>
      </c>
      <c r="H185" s="169">
        <v>0</v>
      </c>
      <c r="I185" s="169">
        <f>-H185</f>
        <v>0</v>
      </c>
      <c r="J185" s="169">
        <f>SUM(H185:I185)</f>
        <v>0</v>
      </c>
    </row>
    <row r="186" spans="1:10" x14ac:dyDescent="0.25">
      <c r="A186" s="168">
        <f t="shared" si="12"/>
        <v>18</v>
      </c>
      <c r="B186" s="169" t="s">
        <v>436</v>
      </c>
      <c r="C186" s="171"/>
      <c r="D186" s="169">
        <v>0</v>
      </c>
      <c r="E186" s="169">
        <f>-D186</f>
        <v>0</v>
      </c>
      <c r="F186" s="169">
        <f>SUM(D186:E186)</f>
        <v>0</v>
      </c>
      <c r="H186" s="169">
        <v>0</v>
      </c>
      <c r="I186" s="169">
        <f>-H186</f>
        <v>0</v>
      </c>
      <c r="J186" s="169">
        <f>SUM(H186:I186)</f>
        <v>0</v>
      </c>
    </row>
    <row r="187" spans="1:10" x14ac:dyDescent="0.25">
      <c r="A187" s="168">
        <f t="shared" si="12"/>
        <v>19</v>
      </c>
      <c r="B187" s="169" t="s">
        <v>437</v>
      </c>
      <c r="C187" s="171"/>
      <c r="D187" s="169">
        <v>0</v>
      </c>
      <c r="E187" s="169">
        <f>-D187</f>
        <v>0</v>
      </c>
      <c r="F187" s="169">
        <f>SUM(D187:E187)</f>
        <v>0</v>
      </c>
      <c r="H187" s="169">
        <v>0</v>
      </c>
      <c r="I187" s="169">
        <f>-H187</f>
        <v>0</v>
      </c>
      <c r="J187" s="169">
        <f>SUM(H187:I187)</f>
        <v>0</v>
      </c>
    </row>
    <row r="188" spans="1:10" x14ac:dyDescent="0.25">
      <c r="A188" s="168">
        <f t="shared" si="12"/>
        <v>20</v>
      </c>
      <c r="B188" s="169" t="s">
        <v>432</v>
      </c>
      <c r="C188" s="171"/>
      <c r="D188" s="169">
        <v>0</v>
      </c>
      <c r="E188" s="169">
        <f>-D188</f>
        <v>0</v>
      </c>
      <c r="F188" s="169">
        <f>SUM(D188:E188)</f>
        <v>0</v>
      </c>
      <c r="H188" s="169">
        <v>0</v>
      </c>
      <c r="I188" s="169">
        <f>-H188</f>
        <v>0</v>
      </c>
      <c r="J188" s="169">
        <f>SUM(H188:I188)</f>
        <v>0</v>
      </c>
    </row>
    <row r="189" spans="1:10" x14ac:dyDescent="0.25">
      <c r="A189" s="178"/>
      <c r="B189" s="171"/>
      <c r="C189" s="171"/>
      <c r="D189" s="171"/>
      <c r="E189" s="171"/>
      <c r="F189" s="171"/>
      <c r="H189" s="171"/>
      <c r="I189" s="171"/>
      <c r="J189" s="171"/>
    </row>
    <row r="190" spans="1:10" x14ac:dyDescent="0.25">
      <c r="A190" s="178"/>
      <c r="B190" s="171"/>
      <c r="C190" s="171"/>
      <c r="D190" s="171"/>
      <c r="E190" s="171"/>
      <c r="F190" s="171"/>
      <c r="H190" s="171"/>
      <c r="I190" s="171"/>
      <c r="J190" s="171"/>
    </row>
    <row r="191" spans="1:10" x14ac:dyDescent="0.25">
      <c r="A191" s="178"/>
      <c r="B191" s="171"/>
      <c r="C191" s="171"/>
      <c r="D191" s="171"/>
      <c r="E191" s="171"/>
      <c r="F191" s="171"/>
      <c r="H191" s="171"/>
      <c r="I191" s="171"/>
      <c r="J191" s="171"/>
    </row>
    <row r="192" spans="1:10" x14ac:dyDescent="0.25">
      <c r="A192" s="178"/>
      <c r="B192" s="171"/>
      <c r="C192" s="171"/>
      <c r="D192" s="171"/>
      <c r="E192" s="171"/>
      <c r="F192" s="171"/>
      <c r="H192" s="171"/>
      <c r="I192" s="171"/>
      <c r="J192" s="171"/>
    </row>
    <row r="193" spans="1:10" x14ac:dyDescent="0.25">
      <c r="A193" s="178"/>
      <c r="B193" s="171"/>
      <c r="C193" s="171"/>
      <c r="D193" s="171"/>
      <c r="E193" s="171"/>
      <c r="F193" s="171"/>
      <c r="H193" s="171"/>
      <c r="I193" s="171"/>
      <c r="J193" s="171"/>
    </row>
    <row r="194" spans="1:10" x14ac:dyDescent="0.25">
      <c r="A194" s="178"/>
      <c r="B194" s="171"/>
      <c r="C194" s="171"/>
      <c r="D194" s="171"/>
      <c r="E194" s="171"/>
      <c r="F194" s="171"/>
      <c r="H194" s="171"/>
      <c r="I194" s="171"/>
      <c r="J194" s="171"/>
    </row>
    <row r="195" spans="1:10" x14ac:dyDescent="0.25">
      <c r="A195" s="178"/>
      <c r="B195" s="171"/>
      <c r="C195" s="171"/>
      <c r="D195" s="171"/>
      <c r="E195" s="171"/>
      <c r="F195" s="171"/>
      <c r="H195" s="171"/>
      <c r="I195" s="171"/>
      <c r="J195" s="171"/>
    </row>
    <row r="196" spans="1:10" x14ac:dyDescent="0.25">
      <c r="A196" s="178"/>
      <c r="B196" s="171"/>
      <c r="C196" s="171"/>
      <c r="D196" s="171"/>
      <c r="E196" s="171"/>
      <c r="F196" s="171"/>
      <c r="H196" s="171"/>
      <c r="I196" s="171"/>
      <c r="J196" s="171"/>
    </row>
    <row r="197" spans="1:10" x14ac:dyDescent="0.25">
      <c r="A197" s="178"/>
      <c r="B197" s="171"/>
      <c r="C197" s="171"/>
      <c r="D197" s="171"/>
      <c r="E197" s="171"/>
      <c r="F197" s="171"/>
      <c r="H197" s="171"/>
      <c r="I197" s="171"/>
      <c r="J197" s="171"/>
    </row>
    <row r="198" spans="1:10" x14ac:dyDescent="0.25">
      <c r="A198" s="178"/>
      <c r="B198" s="171"/>
      <c r="C198" s="171"/>
      <c r="D198" s="171"/>
      <c r="E198" s="171"/>
      <c r="F198" s="171"/>
      <c r="H198" s="171"/>
      <c r="I198" s="171"/>
      <c r="J198" s="171"/>
    </row>
    <row r="199" spans="1:10" x14ac:dyDescent="0.25">
      <c r="A199" s="178"/>
      <c r="B199" s="171"/>
      <c r="C199" s="171"/>
      <c r="D199" s="171"/>
      <c r="E199" s="171"/>
      <c r="F199" s="171"/>
      <c r="H199" s="171"/>
      <c r="I199" s="171"/>
      <c r="J199" s="171"/>
    </row>
    <row r="200" spans="1:10" x14ac:dyDescent="0.25">
      <c r="A200" s="178"/>
      <c r="B200" s="171"/>
      <c r="C200" s="171"/>
      <c r="D200" s="171"/>
      <c r="E200" s="171"/>
      <c r="F200" s="171"/>
      <c r="H200" s="171"/>
      <c r="I200" s="171"/>
      <c r="J200" s="171"/>
    </row>
    <row r="201" spans="1:10" x14ac:dyDescent="0.25">
      <c r="A201" s="178"/>
      <c r="B201" s="171"/>
      <c r="C201" s="171"/>
      <c r="D201" s="171"/>
      <c r="E201" s="171"/>
      <c r="F201" s="171"/>
      <c r="H201" s="171"/>
      <c r="I201" s="171"/>
      <c r="J201" s="171"/>
    </row>
    <row r="202" spans="1:10" x14ac:dyDescent="0.25">
      <c r="A202" s="178"/>
      <c r="B202" s="171"/>
      <c r="C202" s="171"/>
      <c r="D202" s="171"/>
      <c r="E202" s="171"/>
      <c r="F202" s="171"/>
      <c r="H202" s="171"/>
      <c r="I202" s="171"/>
      <c r="J202" s="171"/>
    </row>
    <row r="203" spans="1:10" x14ac:dyDescent="0.25">
      <c r="A203" s="178"/>
      <c r="B203" s="171"/>
      <c r="C203" s="171"/>
      <c r="D203" s="171"/>
      <c r="E203" s="171"/>
      <c r="F203" s="171"/>
      <c r="H203" s="171"/>
      <c r="I203" s="171"/>
      <c r="J203" s="171"/>
    </row>
    <row r="204" spans="1:10" x14ac:dyDescent="0.25">
      <c r="A204" s="178"/>
      <c r="B204" s="171"/>
      <c r="C204" s="171"/>
      <c r="D204" s="171"/>
      <c r="E204" s="171"/>
      <c r="F204" s="171"/>
      <c r="H204" s="171"/>
      <c r="I204" s="171"/>
      <c r="J204" s="171"/>
    </row>
    <row r="205" spans="1:10" x14ac:dyDescent="0.25">
      <c r="A205" s="178"/>
      <c r="B205" s="171"/>
      <c r="C205" s="171"/>
      <c r="D205" s="171"/>
      <c r="E205" s="171"/>
      <c r="F205" s="171"/>
      <c r="H205" s="171"/>
      <c r="I205" s="171"/>
      <c r="J205" s="171"/>
    </row>
    <row r="206" spans="1:10" x14ac:dyDescent="0.25">
      <c r="A206" s="178"/>
      <c r="B206" s="171"/>
      <c r="C206" s="171"/>
      <c r="D206" s="171"/>
      <c r="E206" s="171"/>
      <c r="F206" s="171"/>
      <c r="H206" s="171"/>
      <c r="I206" s="171"/>
      <c r="J206" s="171"/>
    </row>
    <row r="207" spans="1:10" x14ac:dyDescent="0.25">
      <c r="A207" s="178"/>
      <c r="B207" s="171"/>
      <c r="C207" s="171"/>
      <c r="D207" s="171"/>
      <c r="E207" s="171"/>
      <c r="F207" s="171"/>
      <c r="H207" s="171"/>
      <c r="I207" s="171"/>
      <c r="J207" s="171"/>
    </row>
    <row r="208" spans="1:10" x14ac:dyDescent="0.25">
      <c r="A208" s="178"/>
      <c r="B208" s="171"/>
      <c r="C208" s="171"/>
      <c r="D208" s="171"/>
      <c r="E208" s="171"/>
      <c r="F208" s="171"/>
      <c r="H208" s="171"/>
      <c r="I208" s="171"/>
      <c r="J208" s="171"/>
    </row>
    <row r="209" spans="1:10" x14ac:dyDescent="0.25">
      <c r="A209" s="178"/>
      <c r="B209" s="171"/>
      <c r="C209" s="171"/>
      <c r="D209" s="171"/>
      <c r="E209" s="171"/>
      <c r="F209" s="171"/>
      <c r="H209" s="171"/>
      <c r="I209" s="171"/>
      <c r="J209" s="171"/>
    </row>
    <row r="210" spans="1:10" x14ac:dyDescent="0.25">
      <c r="A210" s="178"/>
      <c r="B210" s="171"/>
      <c r="C210" s="171"/>
      <c r="D210" s="171"/>
      <c r="E210" s="171"/>
      <c r="F210" s="171"/>
      <c r="H210" s="171"/>
      <c r="I210" s="171"/>
      <c r="J210" s="171"/>
    </row>
    <row r="211" spans="1:10" x14ac:dyDescent="0.25">
      <c r="A211" s="178"/>
      <c r="B211" s="171"/>
      <c r="C211" s="171"/>
      <c r="D211" s="171"/>
      <c r="E211" s="171"/>
      <c r="F211" s="171"/>
      <c r="H211" s="171"/>
      <c r="I211" s="171"/>
      <c r="J211" s="171"/>
    </row>
    <row r="212" spans="1:10" x14ac:dyDescent="0.25">
      <c r="A212" s="178"/>
      <c r="B212" s="171"/>
      <c r="C212" s="171"/>
      <c r="D212" s="171"/>
      <c r="E212" s="171"/>
      <c r="F212" s="171"/>
      <c r="H212" s="171"/>
      <c r="I212" s="171"/>
      <c r="J212" s="171"/>
    </row>
    <row r="213" spans="1:10" x14ac:dyDescent="0.25">
      <c r="A213" s="178"/>
      <c r="B213" s="171"/>
      <c r="C213" s="171"/>
      <c r="D213" s="171"/>
      <c r="E213" s="171"/>
      <c r="F213" s="171"/>
      <c r="H213" s="171"/>
      <c r="I213" s="171"/>
      <c r="J213" s="171"/>
    </row>
    <row r="214" spans="1:10" x14ac:dyDescent="0.25">
      <c r="A214" s="178"/>
      <c r="B214" s="171"/>
      <c r="C214" s="171"/>
      <c r="D214" s="171"/>
      <c r="E214" s="171"/>
      <c r="F214" s="171"/>
      <c r="H214" s="171"/>
      <c r="I214" s="171"/>
      <c r="J214" s="171"/>
    </row>
    <row r="215" spans="1:10" x14ac:dyDescent="0.25">
      <c r="A215" s="178"/>
      <c r="B215" s="171"/>
      <c r="C215" s="171"/>
      <c r="D215" s="171"/>
      <c r="E215" s="171"/>
      <c r="F215" s="171"/>
      <c r="H215" s="171"/>
      <c r="I215" s="171"/>
      <c r="J215" s="171"/>
    </row>
    <row r="216" spans="1:10" x14ac:dyDescent="0.25">
      <c r="A216" s="178"/>
      <c r="B216" s="171"/>
      <c r="C216" s="171"/>
      <c r="D216" s="171"/>
      <c r="E216" s="171"/>
      <c r="F216" s="171"/>
      <c r="H216" s="171"/>
      <c r="I216" s="171"/>
      <c r="J216" s="171"/>
    </row>
    <row r="217" spans="1:10" x14ac:dyDescent="0.25">
      <c r="A217" s="178"/>
      <c r="B217" s="171"/>
      <c r="C217" s="171"/>
      <c r="D217" s="171"/>
      <c r="E217" s="171"/>
      <c r="F217" s="171"/>
      <c r="H217" s="171"/>
      <c r="I217" s="171"/>
      <c r="J217" s="171"/>
    </row>
    <row r="218" spans="1:10" x14ac:dyDescent="0.25">
      <c r="A218" s="178"/>
      <c r="B218" s="171"/>
      <c r="C218" s="171"/>
      <c r="D218" s="171"/>
      <c r="E218" s="171"/>
      <c r="F218" s="171"/>
      <c r="H218" s="171"/>
      <c r="I218" s="171"/>
      <c r="J218" s="171"/>
    </row>
    <row r="219" spans="1:10" x14ac:dyDescent="0.25">
      <c r="A219" s="178"/>
      <c r="B219" s="171"/>
      <c r="C219" s="171"/>
      <c r="D219" s="171"/>
      <c r="E219" s="171"/>
      <c r="F219" s="171"/>
      <c r="H219" s="171"/>
      <c r="I219" s="171"/>
      <c r="J219" s="171"/>
    </row>
    <row r="220" spans="1:10" x14ac:dyDescent="0.25">
      <c r="A220" s="178"/>
      <c r="B220" s="171"/>
      <c r="C220" s="171"/>
      <c r="D220" s="171"/>
      <c r="E220" s="171"/>
      <c r="F220" s="171"/>
      <c r="H220" s="171"/>
      <c r="I220" s="171"/>
      <c r="J220" s="171"/>
    </row>
    <row r="221" spans="1:10" x14ac:dyDescent="0.25">
      <c r="A221" s="178"/>
      <c r="B221" s="171"/>
      <c r="C221" s="171"/>
      <c r="D221" s="171"/>
      <c r="E221" s="171"/>
      <c r="F221" s="171"/>
      <c r="H221" s="171"/>
      <c r="I221" s="171"/>
      <c r="J221" s="171"/>
    </row>
    <row r="222" spans="1:10" x14ac:dyDescent="0.25">
      <c r="A222" s="178"/>
      <c r="B222" s="171"/>
      <c r="C222" s="171"/>
      <c r="D222" s="171"/>
      <c r="E222" s="171"/>
      <c r="F222" s="171"/>
      <c r="H222" s="171"/>
      <c r="I222" s="171"/>
      <c r="J222" s="171"/>
    </row>
    <row r="223" spans="1:10" x14ac:dyDescent="0.25">
      <c r="A223" s="178"/>
      <c r="B223" s="171"/>
      <c r="C223" s="171"/>
      <c r="D223" s="171"/>
      <c r="E223" s="171"/>
      <c r="F223" s="171"/>
      <c r="H223" s="171"/>
      <c r="I223" s="171"/>
      <c r="J223" s="171"/>
    </row>
    <row r="224" spans="1:10" x14ac:dyDescent="0.25">
      <c r="A224" s="178"/>
      <c r="B224" s="171"/>
      <c r="C224" s="171"/>
      <c r="D224" s="171"/>
      <c r="E224" s="171"/>
      <c r="F224" s="171"/>
      <c r="H224" s="171"/>
      <c r="I224" s="171"/>
      <c r="J224" s="171"/>
    </row>
    <row r="225" spans="1:10" x14ac:dyDescent="0.25">
      <c r="A225" s="178"/>
      <c r="B225" s="171"/>
      <c r="C225" s="171"/>
      <c r="D225" s="171"/>
      <c r="E225" s="171"/>
      <c r="F225" s="171"/>
      <c r="H225" s="171"/>
      <c r="I225" s="171"/>
      <c r="J225" s="171"/>
    </row>
    <row r="226" spans="1:10" x14ac:dyDescent="0.25">
      <c r="A226" s="178"/>
      <c r="B226" s="171"/>
      <c r="C226" s="171"/>
      <c r="D226" s="171"/>
      <c r="E226" s="171"/>
      <c r="F226" s="171"/>
      <c r="H226" s="171"/>
      <c r="I226" s="171"/>
      <c r="J226" s="171"/>
    </row>
    <row r="227" spans="1:10" x14ac:dyDescent="0.25">
      <c r="A227" s="178"/>
      <c r="B227" s="171"/>
      <c r="C227" s="171"/>
      <c r="D227" s="171"/>
      <c r="E227" s="171"/>
      <c r="F227" s="171"/>
      <c r="H227" s="171"/>
      <c r="I227" s="171"/>
      <c r="J227" s="171"/>
    </row>
    <row r="228" spans="1:10" x14ac:dyDescent="0.25">
      <c r="A228" s="178"/>
      <c r="B228" s="171"/>
      <c r="C228" s="171"/>
      <c r="D228" s="171"/>
      <c r="E228" s="171"/>
      <c r="F228" s="171"/>
      <c r="H228" s="171"/>
      <c r="I228" s="171"/>
      <c r="J228" s="171"/>
    </row>
  </sheetData>
  <mergeCells count="17">
    <mergeCell ref="A155:F155"/>
    <mergeCell ref="A156:F156"/>
    <mergeCell ref="A157:F157"/>
    <mergeCell ref="D11:F11"/>
    <mergeCell ref="H11:J11"/>
    <mergeCell ref="A76:F76"/>
    <mergeCell ref="A77:F77"/>
    <mergeCell ref="A78:F78"/>
    <mergeCell ref="A79:F79"/>
    <mergeCell ref="A153:F153"/>
    <mergeCell ref="A154:F154"/>
    <mergeCell ref="A75:F75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AC28-95E6-41F6-9384-7BED73650AD7}">
  <dimension ref="A1:K86"/>
  <sheetViews>
    <sheetView workbookViewId="0">
      <selection activeCell="O17" sqref="O17"/>
    </sheetView>
  </sheetViews>
  <sheetFormatPr defaultColWidth="9.28515625" defaultRowHeight="10.5" x14ac:dyDescent="0.25"/>
  <cols>
    <col min="1" max="1" width="5.42578125" style="149" customWidth="1"/>
    <col min="2" max="2" width="1.42578125" style="149" customWidth="1"/>
    <col min="3" max="3" width="43.5703125" style="149" customWidth="1"/>
    <col min="4" max="4" width="1.42578125" style="149" customWidth="1"/>
    <col min="5" max="5" width="20.85546875" style="149" bestFit="1" customWidth="1"/>
    <col min="6" max="6" width="1.42578125" style="149" customWidth="1"/>
    <col min="7" max="7" width="23.5703125" style="149" bestFit="1" customWidth="1"/>
    <col min="8" max="8" width="2.140625" style="149" customWidth="1"/>
    <col min="9" max="9" width="18.140625" style="149" bestFit="1" customWidth="1"/>
    <col min="10" max="10" width="27" style="149" bestFit="1" customWidth="1"/>
    <col min="11" max="11" width="13.140625" style="149" customWidth="1"/>
    <col min="12" max="16384" width="9.28515625" style="149"/>
  </cols>
  <sheetData>
    <row r="1" spans="1:10" ht="12.75" x14ac:dyDescent="0.25">
      <c r="A1" s="369" t="s">
        <v>62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0" ht="12.75" x14ac:dyDescent="0.25">
      <c r="A2" s="369" t="s">
        <v>63</v>
      </c>
      <c r="B2" s="369"/>
      <c r="C2" s="369"/>
      <c r="D2" s="369"/>
      <c r="E2" s="369"/>
      <c r="F2" s="369"/>
      <c r="G2" s="369"/>
      <c r="H2" s="369"/>
      <c r="I2" s="369"/>
      <c r="J2" s="369"/>
    </row>
    <row r="3" spans="1:10" ht="12.75" x14ac:dyDescent="0.25">
      <c r="A3" s="369" t="s">
        <v>23</v>
      </c>
      <c r="B3" s="369"/>
      <c r="C3" s="369"/>
      <c r="D3" s="369"/>
      <c r="E3" s="369"/>
      <c r="F3" s="369"/>
      <c r="G3" s="369"/>
      <c r="H3" s="369"/>
      <c r="I3" s="369"/>
      <c r="J3" s="369"/>
    </row>
    <row r="4" spans="1:10" ht="12.75" x14ac:dyDescent="0.25">
      <c r="A4" s="369" t="s">
        <v>285</v>
      </c>
      <c r="B4" s="369"/>
      <c r="C4" s="369"/>
      <c r="D4" s="369"/>
      <c r="E4" s="369"/>
      <c r="F4" s="369"/>
      <c r="G4" s="369"/>
      <c r="H4" s="369"/>
      <c r="I4" s="369"/>
      <c r="J4" s="369"/>
    </row>
    <row r="5" spans="1:10" ht="12.75" x14ac:dyDescent="0.25">
      <c r="A5" s="150"/>
      <c r="B5" s="150"/>
      <c r="C5" s="150"/>
      <c r="D5" s="150"/>
      <c r="E5" s="150"/>
      <c r="F5" s="150"/>
      <c r="G5" s="150"/>
      <c r="H5" s="150"/>
      <c r="I5" s="148"/>
    </row>
    <row r="6" spans="1:10" ht="12.75" x14ac:dyDescent="0.25">
      <c r="A6" s="150"/>
      <c r="B6" s="150"/>
      <c r="C6" s="150"/>
      <c r="D6" s="150"/>
      <c r="E6" s="150"/>
      <c r="F6" s="150"/>
      <c r="G6" s="150"/>
      <c r="H6" s="150"/>
      <c r="I6" s="148"/>
    </row>
    <row r="7" spans="1:10" ht="12.75" x14ac:dyDescent="0.25">
      <c r="A7" s="151" t="s">
        <v>264</v>
      </c>
      <c r="B7" s="151"/>
      <c r="C7" s="150"/>
      <c r="D7" s="150"/>
      <c r="E7" s="150"/>
      <c r="F7" s="150"/>
      <c r="I7" s="148"/>
      <c r="J7" s="152" t="s">
        <v>265</v>
      </c>
    </row>
    <row r="8" spans="1:10" ht="12.75" x14ac:dyDescent="0.25">
      <c r="A8" s="151" t="s">
        <v>286</v>
      </c>
      <c r="B8" s="151"/>
      <c r="C8" s="150"/>
      <c r="D8" s="150"/>
      <c r="E8" s="150"/>
      <c r="F8" s="150"/>
      <c r="I8" s="148"/>
      <c r="J8" s="152" t="s">
        <v>128</v>
      </c>
    </row>
    <row r="9" spans="1:10" ht="12.75" x14ac:dyDescent="0.25">
      <c r="A9" s="151" t="s">
        <v>266</v>
      </c>
      <c r="B9" s="151"/>
      <c r="C9" s="150"/>
      <c r="D9" s="150"/>
      <c r="E9" s="150"/>
      <c r="F9" s="150"/>
      <c r="I9" s="148"/>
      <c r="J9" s="152" t="s">
        <v>65</v>
      </c>
    </row>
    <row r="10" spans="1:10" ht="12.75" x14ac:dyDescent="0.25">
      <c r="A10" s="151"/>
      <c r="B10" s="151"/>
      <c r="C10" s="150"/>
      <c r="D10" s="150"/>
      <c r="E10" s="150"/>
      <c r="F10" s="150"/>
      <c r="G10" s="167"/>
      <c r="H10" s="201"/>
      <c r="I10" s="167"/>
      <c r="J10" s="167"/>
    </row>
    <row r="11" spans="1:10" ht="13.5" thickBot="1" x14ac:dyDescent="0.3">
      <c r="A11" s="166"/>
      <c r="B11" s="166"/>
      <c r="C11" s="166"/>
      <c r="D11" s="166"/>
      <c r="E11" s="166"/>
      <c r="F11" s="166"/>
      <c r="G11" s="368" t="s">
        <v>177</v>
      </c>
      <c r="H11" s="368"/>
      <c r="I11" s="368"/>
      <c r="J11" s="368"/>
    </row>
    <row r="12" spans="1:10" ht="25.5" x14ac:dyDescent="0.2">
      <c r="G12" s="203" t="s">
        <v>490</v>
      </c>
      <c r="H12" s="203"/>
      <c r="I12" s="204" t="s">
        <v>491</v>
      </c>
      <c r="J12" s="200" t="s">
        <v>492</v>
      </c>
    </row>
    <row r="13" spans="1:10" ht="12.75" x14ac:dyDescent="0.25">
      <c r="A13" s="151"/>
      <c r="B13" s="151"/>
      <c r="C13" s="150"/>
      <c r="D13" s="150"/>
      <c r="E13" s="150"/>
      <c r="F13" s="150"/>
      <c r="G13" s="147" t="s">
        <v>267</v>
      </c>
      <c r="H13" s="147"/>
      <c r="I13" s="147" t="s">
        <v>267</v>
      </c>
      <c r="J13" s="147" t="s">
        <v>267</v>
      </c>
    </row>
    <row r="14" spans="1:10" s="153" customFormat="1" ht="12.75" x14ac:dyDescent="0.25">
      <c r="A14" s="147"/>
      <c r="B14" s="147"/>
      <c r="C14" s="147"/>
      <c r="D14" s="147"/>
      <c r="F14" s="147"/>
      <c r="G14" s="147" t="s">
        <v>268</v>
      </c>
      <c r="H14" s="147"/>
      <c r="I14" s="147" t="s">
        <v>268</v>
      </c>
      <c r="J14" s="147" t="s">
        <v>268</v>
      </c>
    </row>
    <row r="15" spans="1:10" s="153" customFormat="1" ht="12.75" x14ac:dyDescent="0.25">
      <c r="A15" s="147" t="s">
        <v>6</v>
      </c>
      <c r="B15" s="147"/>
      <c r="C15" s="147"/>
      <c r="D15" s="147"/>
      <c r="E15" s="147"/>
      <c r="F15" s="147"/>
      <c r="G15" s="147" t="s">
        <v>269</v>
      </c>
      <c r="H15" s="147"/>
      <c r="I15" s="147" t="s">
        <v>269</v>
      </c>
      <c r="J15" s="147" t="s">
        <v>269</v>
      </c>
    </row>
    <row r="16" spans="1:10" s="153" customFormat="1" ht="12.75" x14ac:dyDescent="0.25">
      <c r="A16" s="155" t="s">
        <v>10</v>
      </c>
      <c r="B16" s="155"/>
      <c r="C16" s="156" t="s">
        <v>11</v>
      </c>
      <c r="D16" s="155"/>
      <c r="E16" s="155" t="s">
        <v>12</v>
      </c>
      <c r="F16" s="157"/>
      <c r="G16" s="155" t="s">
        <v>270</v>
      </c>
      <c r="H16" s="202"/>
      <c r="I16" s="155" t="s">
        <v>270</v>
      </c>
      <c r="J16" s="155" t="s">
        <v>270</v>
      </c>
    </row>
    <row r="17" spans="1:11" s="153" customFormat="1" ht="12.75" x14ac:dyDescent="0.25">
      <c r="A17" s="158"/>
      <c r="B17" s="158"/>
      <c r="C17" s="158"/>
      <c r="D17" s="158"/>
      <c r="E17" s="158"/>
      <c r="F17" s="158"/>
      <c r="G17" s="158" t="s">
        <v>85</v>
      </c>
      <c r="H17" s="158"/>
      <c r="I17" s="158" t="s">
        <v>86</v>
      </c>
      <c r="J17" s="158" t="s">
        <v>136</v>
      </c>
    </row>
    <row r="18" spans="1:11" ht="12.75" x14ac:dyDescent="0.25">
      <c r="A18" s="152"/>
      <c r="B18" s="150"/>
      <c r="C18" s="150"/>
      <c r="D18" s="150"/>
      <c r="E18" s="150"/>
      <c r="F18" s="150"/>
      <c r="G18" s="150"/>
      <c r="H18" s="150"/>
    </row>
    <row r="19" spans="1:11" ht="12.75" x14ac:dyDescent="0.25">
      <c r="A19" s="147" t="s">
        <v>137</v>
      </c>
      <c r="B19" s="147"/>
      <c r="C19" s="151" t="s">
        <v>158</v>
      </c>
      <c r="D19" s="150"/>
      <c r="E19" s="150"/>
      <c r="F19" s="150"/>
      <c r="G19" s="159">
        <v>1</v>
      </c>
      <c r="H19" s="159"/>
      <c r="I19" s="159">
        <v>1</v>
      </c>
      <c r="J19" s="159">
        <v>1</v>
      </c>
      <c r="K19" s="154"/>
    </row>
    <row r="20" spans="1:11" ht="12.75" x14ac:dyDescent="0.25">
      <c r="A20" s="147"/>
      <c r="B20" s="150"/>
      <c r="C20" s="150"/>
      <c r="D20" s="150"/>
      <c r="E20" s="150"/>
      <c r="F20" s="150"/>
      <c r="G20" s="150"/>
      <c r="H20" s="150"/>
      <c r="I20" s="150"/>
      <c r="J20" s="150"/>
      <c r="K20" s="154"/>
    </row>
    <row r="21" spans="1:11" ht="12.75" x14ac:dyDescent="0.25">
      <c r="A21" s="147" t="s">
        <v>252</v>
      </c>
      <c r="B21" s="147"/>
      <c r="C21" s="151" t="s">
        <v>271</v>
      </c>
      <c r="D21" s="150"/>
      <c r="E21" s="150" t="s">
        <v>287</v>
      </c>
      <c r="F21" s="150"/>
      <c r="G21" s="159">
        <v>4.1700000000000001E-3</v>
      </c>
      <c r="H21" s="159"/>
      <c r="I21" s="159"/>
      <c r="J21" s="159">
        <f>+G21</f>
        <v>4.1700000000000001E-3</v>
      </c>
      <c r="K21" s="154"/>
    </row>
    <row r="22" spans="1:11" ht="12.75" x14ac:dyDescent="0.25">
      <c r="A22" s="147"/>
      <c r="B22" s="150"/>
      <c r="C22" s="150"/>
      <c r="D22" s="150"/>
      <c r="E22" s="150"/>
      <c r="F22" s="150"/>
      <c r="G22" s="150"/>
      <c r="H22" s="150"/>
      <c r="I22" s="150"/>
      <c r="J22" s="150"/>
      <c r="K22" s="154"/>
    </row>
    <row r="23" spans="1:11" ht="12.75" x14ac:dyDescent="0.25">
      <c r="A23" s="147" t="s">
        <v>255</v>
      </c>
      <c r="B23" s="147"/>
      <c r="C23" s="151" t="s">
        <v>272</v>
      </c>
      <c r="D23" s="150"/>
      <c r="E23" s="150"/>
      <c r="F23" s="150"/>
      <c r="G23" s="160">
        <v>1.302E-3</v>
      </c>
      <c r="H23" s="160"/>
      <c r="I23" s="160"/>
      <c r="J23" s="160">
        <f>+G23</f>
        <v>1.302E-3</v>
      </c>
      <c r="K23" s="161"/>
    </row>
    <row r="24" spans="1:11" ht="12.75" x14ac:dyDescent="0.25">
      <c r="A24" s="147"/>
      <c r="B24" s="150"/>
      <c r="C24" s="150"/>
      <c r="D24" s="150"/>
      <c r="E24" s="150"/>
      <c r="F24" s="150"/>
      <c r="G24" s="150"/>
      <c r="H24" s="150"/>
      <c r="I24" s="150"/>
      <c r="J24" s="150"/>
    </row>
    <row r="25" spans="1:11" ht="12.75" x14ac:dyDescent="0.25">
      <c r="A25" s="147" t="s">
        <v>258</v>
      </c>
      <c r="B25" s="147"/>
      <c r="C25" s="151" t="s">
        <v>273</v>
      </c>
      <c r="D25" s="150"/>
      <c r="E25" s="150"/>
      <c r="F25" s="150"/>
      <c r="G25" s="159">
        <f>G19-G21-G23</f>
        <v>0.99452799999999997</v>
      </c>
      <c r="H25" s="159"/>
      <c r="I25" s="159">
        <f t="shared" ref="I25:J25" si="0">I19-I21-I23</f>
        <v>1</v>
      </c>
      <c r="J25" s="159">
        <f t="shared" si="0"/>
        <v>0.99452799999999997</v>
      </c>
    </row>
    <row r="26" spans="1:11" ht="12.75" x14ac:dyDescent="0.25">
      <c r="A26" s="147"/>
      <c r="B26" s="150"/>
      <c r="C26" s="150"/>
      <c r="D26" s="150"/>
      <c r="E26" s="150"/>
      <c r="F26" s="150"/>
      <c r="G26" s="150"/>
      <c r="H26" s="150"/>
      <c r="I26" s="150"/>
      <c r="J26" s="150"/>
    </row>
    <row r="27" spans="1:11" ht="12.75" x14ac:dyDescent="0.25">
      <c r="A27" s="147" t="s">
        <v>260</v>
      </c>
      <c r="B27" s="147"/>
      <c r="C27" s="151" t="s">
        <v>274</v>
      </c>
      <c r="D27" s="150"/>
      <c r="E27" s="162">
        <v>0.05</v>
      </c>
      <c r="F27" s="150"/>
      <c r="G27" s="160">
        <f>ROUND(G25*E27,8)</f>
        <v>4.9726399999999997E-2</v>
      </c>
      <c r="H27" s="160"/>
      <c r="I27" s="160">
        <f>ROUND(I25*E27,8)</f>
        <v>0.05</v>
      </c>
      <c r="J27" s="160">
        <f>ROUND(J25*0,8)</f>
        <v>0</v>
      </c>
    </row>
    <row r="28" spans="1:11" ht="12.75" x14ac:dyDescent="0.25">
      <c r="A28" s="147"/>
      <c r="B28" s="150"/>
      <c r="C28" s="150"/>
      <c r="D28" s="150"/>
      <c r="E28" s="150"/>
      <c r="F28" s="150"/>
      <c r="G28" s="150"/>
      <c r="H28" s="150"/>
      <c r="I28" s="150"/>
      <c r="J28" s="150"/>
    </row>
    <row r="29" spans="1:11" ht="12.75" x14ac:dyDescent="0.25">
      <c r="A29" s="147" t="s">
        <v>275</v>
      </c>
      <c r="B29" s="147"/>
      <c r="C29" s="151" t="s">
        <v>276</v>
      </c>
      <c r="D29" s="150"/>
      <c r="E29" s="150"/>
      <c r="F29" s="150"/>
      <c r="G29" s="159">
        <f>(G25-G27)</f>
        <v>0.94480160000000002</v>
      </c>
      <c r="H29" s="159"/>
      <c r="I29" s="159">
        <f t="shared" ref="I29" si="1">(I25-I27)</f>
        <v>0.95</v>
      </c>
      <c r="J29" s="159">
        <f>(J25-J27)</f>
        <v>0.99452799999999997</v>
      </c>
    </row>
    <row r="30" spans="1:11" ht="12.75" x14ac:dyDescent="0.25">
      <c r="A30" s="147"/>
      <c r="B30" s="150"/>
      <c r="C30" s="150"/>
      <c r="D30" s="150"/>
      <c r="E30" s="150"/>
      <c r="F30" s="150"/>
      <c r="G30" s="150"/>
      <c r="H30" s="150"/>
      <c r="I30" s="150"/>
      <c r="J30" s="150"/>
    </row>
    <row r="31" spans="1:11" ht="12.75" x14ac:dyDescent="0.25">
      <c r="A31" s="147" t="s">
        <v>277</v>
      </c>
      <c r="B31" s="147"/>
      <c r="C31" s="151" t="s">
        <v>278</v>
      </c>
      <c r="D31" s="150"/>
      <c r="E31" s="163">
        <v>0.21</v>
      </c>
      <c r="F31" s="150"/>
      <c r="G31" s="160">
        <f>ROUND(G29*E31,8)</f>
        <v>0.19840833999999999</v>
      </c>
      <c r="H31" s="160"/>
      <c r="I31" s="160">
        <f>ROUND(I29*E31,8)</f>
        <v>0.19950000000000001</v>
      </c>
      <c r="J31" s="160">
        <f>ROUND(J29*0,8)</f>
        <v>0</v>
      </c>
    </row>
    <row r="32" spans="1:11" ht="12.75" x14ac:dyDescent="0.25">
      <c r="A32" s="147"/>
      <c r="B32" s="150"/>
      <c r="C32" s="150"/>
      <c r="D32" s="150"/>
      <c r="E32" s="150"/>
      <c r="F32" s="150"/>
      <c r="G32" s="150"/>
      <c r="H32" s="150"/>
      <c r="I32" s="150"/>
      <c r="J32" s="150"/>
    </row>
    <row r="33" spans="1:10" ht="12.75" x14ac:dyDescent="0.25">
      <c r="A33" s="147" t="s">
        <v>279</v>
      </c>
      <c r="B33" s="147"/>
      <c r="C33" s="151" t="s">
        <v>280</v>
      </c>
      <c r="D33" s="150"/>
      <c r="E33" s="150"/>
      <c r="F33" s="150"/>
      <c r="G33" s="159">
        <f>G29-G31</f>
        <v>0.74639326000000006</v>
      </c>
      <c r="H33" s="159"/>
      <c r="I33" s="159">
        <f t="shared" ref="I33:J33" si="2">I29-I31</f>
        <v>0.75049999999999994</v>
      </c>
      <c r="J33" s="159">
        <f t="shared" si="2"/>
        <v>0.99452799999999997</v>
      </c>
    </row>
    <row r="34" spans="1:10" ht="12.75" x14ac:dyDescent="0.25">
      <c r="A34" s="147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12.75" x14ac:dyDescent="0.25">
      <c r="A35" s="147" t="s">
        <v>281</v>
      </c>
      <c r="B35" s="147"/>
      <c r="C35" s="151" t="s">
        <v>23</v>
      </c>
      <c r="D35" s="150"/>
      <c r="E35" s="150"/>
      <c r="F35" s="150"/>
      <c r="G35" s="150"/>
      <c r="H35" s="150"/>
      <c r="I35" s="150"/>
      <c r="J35" s="150"/>
    </row>
    <row r="36" spans="1:10" ht="12.75" x14ac:dyDescent="0.25">
      <c r="A36" s="147" t="s">
        <v>282</v>
      </c>
      <c r="B36" s="147"/>
      <c r="C36" s="151" t="s">
        <v>283</v>
      </c>
      <c r="D36" s="150"/>
      <c r="E36" s="150"/>
      <c r="F36" s="150"/>
      <c r="G36" s="164">
        <f>ROUND(1/$G$33,6)</f>
        <v>1.3397760000000001</v>
      </c>
      <c r="H36" s="164"/>
      <c r="I36" s="164">
        <f>ROUND(1/$I$33,6)</f>
        <v>1.3324450000000001</v>
      </c>
      <c r="J36" s="164">
        <f>ROUND(1/$J$33,6)</f>
        <v>1.0055019999999999</v>
      </c>
    </row>
    <row r="37" spans="1:10" ht="12.75" x14ac:dyDescent="0.25">
      <c r="A37" s="150"/>
      <c r="B37" s="150"/>
      <c r="C37" s="150"/>
      <c r="D37" s="150"/>
      <c r="E37" s="150"/>
      <c r="F37" s="150"/>
      <c r="G37" s="150"/>
      <c r="H37" s="150"/>
      <c r="I37" s="148"/>
    </row>
    <row r="38" spans="1:10" ht="12" x14ac:dyDescent="0.25">
      <c r="A38" s="148"/>
      <c r="B38" s="148"/>
      <c r="C38" s="148"/>
      <c r="D38" s="148"/>
      <c r="E38" s="148"/>
      <c r="F38" s="148"/>
      <c r="G38" s="148"/>
      <c r="H38" s="148"/>
      <c r="I38" s="148"/>
    </row>
    <row r="39" spans="1:10" ht="12" x14ac:dyDescent="0.25">
      <c r="A39" s="148"/>
      <c r="B39" s="148"/>
      <c r="C39" s="165"/>
      <c r="D39" s="165"/>
      <c r="E39" s="165"/>
      <c r="F39" s="148"/>
      <c r="G39" s="148"/>
      <c r="H39" s="148"/>
      <c r="I39" s="148"/>
    </row>
    <row r="40" spans="1:10" ht="12" x14ac:dyDescent="0.25">
      <c r="A40" s="148"/>
      <c r="B40" s="148"/>
      <c r="C40" s="148"/>
      <c r="D40" s="165"/>
      <c r="E40" s="165"/>
      <c r="F40" s="148"/>
      <c r="G40" s="148"/>
      <c r="H40" s="148"/>
      <c r="I40" s="148"/>
    </row>
    <row r="41" spans="1:10" ht="12" x14ac:dyDescent="0.25">
      <c r="A41" s="148"/>
      <c r="B41" s="148"/>
      <c r="C41" s="148"/>
      <c r="D41" s="165"/>
      <c r="E41" s="165"/>
      <c r="F41" s="148"/>
      <c r="G41" s="148"/>
      <c r="H41" s="148"/>
      <c r="I41" s="148"/>
    </row>
    <row r="42" spans="1:10" ht="12" x14ac:dyDescent="0.25">
      <c r="A42" s="148"/>
      <c r="B42" s="148"/>
      <c r="C42" s="148"/>
      <c r="D42" s="148"/>
      <c r="E42" s="148"/>
      <c r="F42" s="148"/>
      <c r="G42" s="148"/>
      <c r="H42" s="148"/>
      <c r="I42" s="148"/>
    </row>
    <row r="43" spans="1:10" ht="12" x14ac:dyDescent="0.25">
      <c r="A43" s="148"/>
      <c r="B43" s="148"/>
      <c r="C43" s="148"/>
      <c r="D43" s="148"/>
      <c r="E43" s="148"/>
      <c r="F43" s="148"/>
      <c r="G43" s="148"/>
      <c r="H43" s="148"/>
      <c r="I43" s="148"/>
    </row>
    <row r="44" spans="1:10" ht="12" x14ac:dyDescent="0.25">
      <c r="A44" s="148"/>
      <c r="B44" s="148"/>
      <c r="C44" s="148"/>
      <c r="D44" s="148"/>
      <c r="E44" s="148"/>
      <c r="F44" s="148"/>
      <c r="G44" s="148"/>
      <c r="H44" s="148"/>
      <c r="I44" s="148"/>
    </row>
    <row r="45" spans="1:10" ht="12" x14ac:dyDescent="0.25">
      <c r="A45" s="148"/>
      <c r="B45" s="148"/>
      <c r="C45" s="148"/>
      <c r="D45" s="148"/>
      <c r="E45" s="148"/>
      <c r="F45" s="148"/>
      <c r="G45" s="148"/>
      <c r="H45" s="148"/>
      <c r="I45" s="148"/>
    </row>
    <row r="46" spans="1:10" ht="12" x14ac:dyDescent="0.25">
      <c r="A46" s="165" t="s">
        <v>284</v>
      </c>
      <c r="B46" s="165"/>
      <c r="C46" s="148"/>
      <c r="D46" s="148"/>
      <c r="E46" s="148"/>
      <c r="F46" s="148"/>
      <c r="G46" s="148"/>
      <c r="H46" s="148"/>
      <c r="I46" s="148"/>
    </row>
    <row r="47" spans="1:10" ht="12" x14ac:dyDescent="0.25">
      <c r="A47" s="148"/>
      <c r="B47" s="148"/>
      <c r="C47" s="148"/>
      <c r="D47" s="148"/>
      <c r="E47" s="148"/>
      <c r="F47" s="148"/>
      <c r="G47" s="148"/>
      <c r="H47" s="148"/>
      <c r="I47" s="148"/>
    </row>
    <row r="48" spans="1:10" ht="12" x14ac:dyDescent="0.25">
      <c r="A48" s="148"/>
      <c r="B48" s="148"/>
      <c r="C48" s="148"/>
      <c r="D48" s="148"/>
      <c r="E48" s="148"/>
      <c r="F48" s="148"/>
      <c r="G48" s="148"/>
      <c r="H48" s="148"/>
      <c r="I48" s="148"/>
    </row>
    <row r="49" spans="1:9" ht="12" x14ac:dyDescent="0.25">
      <c r="A49" s="148"/>
      <c r="B49" s="148"/>
      <c r="C49" s="148"/>
      <c r="D49" s="148"/>
      <c r="E49" s="148"/>
      <c r="F49" s="148"/>
      <c r="G49" s="148"/>
      <c r="H49" s="148"/>
      <c r="I49" s="148"/>
    </row>
    <row r="50" spans="1:9" ht="12" x14ac:dyDescent="0.25">
      <c r="A50" s="148"/>
      <c r="B50" s="148"/>
      <c r="C50" s="148"/>
      <c r="D50" s="148"/>
      <c r="E50" s="148"/>
      <c r="F50" s="148"/>
      <c r="G50" s="148"/>
      <c r="H50" s="148"/>
      <c r="I50" s="148"/>
    </row>
    <row r="51" spans="1:9" ht="12" x14ac:dyDescent="0.25">
      <c r="A51" s="148"/>
      <c r="B51" s="148"/>
      <c r="C51" s="148"/>
      <c r="D51" s="148"/>
      <c r="E51" s="148"/>
      <c r="F51" s="148"/>
      <c r="G51" s="148"/>
      <c r="H51" s="148"/>
      <c r="I51" s="148"/>
    </row>
    <row r="52" spans="1:9" ht="12" x14ac:dyDescent="0.25">
      <c r="A52" s="148"/>
      <c r="B52" s="148"/>
      <c r="C52" s="148"/>
      <c r="D52" s="148"/>
      <c r="E52" s="148"/>
      <c r="F52" s="148"/>
      <c r="G52" s="148"/>
      <c r="H52" s="148"/>
      <c r="I52" s="148"/>
    </row>
    <row r="53" spans="1:9" ht="12" x14ac:dyDescent="0.25">
      <c r="A53" s="148"/>
      <c r="B53" s="148"/>
      <c r="C53" s="148"/>
      <c r="D53" s="148"/>
      <c r="E53" s="148"/>
      <c r="F53" s="148"/>
      <c r="G53" s="148"/>
      <c r="H53" s="148"/>
      <c r="I53" s="148"/>
    </row>
    <row r="54" spans="1:9" ht="12" x14ac:dyDescent="0.25">
      <c r="A54" s="148"/>
      <c r="B54" s="148"/>
      <c r="C54" s="148"/>
      <c r="D54" s="148"/>
      <c r="E54" s="148"/>
      <c r="F54" s="148"/>
      <c r="G54" s="148"/>
      <c r="H54" s="148"/>
      <c r="I54" s="148"/>
    </row>
    <row r="55" spans="1:9" ht="12" x14ac:dyDescent="0.25">
      <c r="A55" s="148"/>
      <c r="B55" s="148"/>
      <c r="C55" s="148"/>
      <c r="D55" s="148"/>
      <c r="E55" s="148"/>
      <c r="F55" s="148"/>
      <c r="G55" s="148"/>
      <c r="H55" s="148"/>
      <c r="I55" s="148"/>
    </row>
    <row r="56" spans="1:9" ht="12" x14ac:dyDescent="0.25">
      <c r="A56" s="148"/>
      <c r="B56" s="148"/>
      <c r="C56" s="148"/>
      <c r="D56" s="148"/>
      <c r="E56" s="148"/>
      <c r="F56" s="148"/>
      <c r="G56" s="148"/>
      <c r="H56" s="148"/>
      <c r="I56" s="148"/>
    </row>
    <row r="57" spans="1:9" ht="12" x14ac:dyDescent="0.25">
      <c r="A57" s="148"/>
      <c r="B57" s="148"/>
      <c r="C57" s="148"/>
      <c r="D57" s="148"/>
      <c r="E57" s="148"/>
      <c r="F57" s="148"/>
      <c r="G57" s="148"/>
      <c r="H57" s="148"/>
      <c r="I57" s="148"/>
    </row>
    <row r="58" spans="1:9" ht="12" x14ac:dyDescent="0.25">
      <c r="A58" s="148"/>
      <c r="B58" s="148"/>
      <c r="C58" s="148"/>
      <c r="D58" s="148"/>
      <c r="E58" s="148"/>
      <c r="F58" s="148"/>
      <c r="G58" s="148"/>
      <c r="H58" s="148"/>
      <c r="I58" s="148"/>
    </row>
    <row r="59" spans="1:9" ht="12" x14ac:dyDescent="0.25">
      <c r="A59" s="148"/>
      <c r="B59" s="148"/>
      <c r="C59" s="148"/>
      <c r="D59" s="148"/>
      <c r="E59" s="148"/>
      <c r="F59" s="148"/>
      <c r="G59" s="148"/>
      <c r="H59" s="148"/>
      <c r="I59" s="148"/>
    </row>
    <row r="60" spans="1:9" ht="12" x14ac:dyDescent="0.25">
      <c r="A60" s="148"/>
      <c r="B60" s="148"/>
      <c r="C60" s="148"/>
      <c r="D60" s="148"/>
      <c r="E60" s="148"/>
      <c r="F60" s="148"/>
      <c r="G60" s="148"/>
      <c r="H60" s="148"/>
      <c r="I60" s="148"/>
    </row>
    <row r="61" spans="1:9" ht="12" x14ac:dyDescent="0.25">
      <c r="A61" s="148"/>
      <c r="B61" s="148"/>
      <c r="C61" s="148"/>
      <c r="D61" s="148"/>
      <c r="E61" s="148"/>
      <c r="F61" s="148"/>
      <c r="G61" s="148"/>
      <c r="H61" s="148"/>
      <c r="I61" s="148"/>
    </row>
    <row r="62" spans="1:9" ht="12" x14ac:dyDescent="0.25">
      <c r="A62" s="148"/>
      <c r="B62" s="148"/>
      <c r="C62" s="148"/>
      <c r="D62" s="148"/>
      <c r="E62" s="148"/>
      <c r="F62" s="148"/>
      <c r="G62" s="148"/>
      <c r="H62" s="148"/>
      <c r="I62" s="148"/>
    </row>
    <row r="63" spans="1:9" ht="12" x14ac:dyDescent="0.25">
      <c r="A63" s="148"/>
      <c r="B63" s="148"/>
      <c r="C63" s="148"/>
      <c r="D63" s="148"/>
      <c r="E63" s="148"/>
      <c r="F63" s="148"/>
      <c r="G63" s="148"/>
      <c r="H63" s="148"/>
      <c r="I63" s="148"/>
    </row>
    <row r="64" spans="1:9" ht="12" x14ac:dyDescent="0.25">
      <c r="A64" s="148"/>
      <c r="B64" s="148"/>
      <c r="C64" s="148"/>
      <c r="D64" s="148"/>
      <c r="E64" s="148"/>
      <c r="F64" s="148"/>
      <c r="G64" s="148"/>
      <c r="H64" s="148"/>
      <c r="I64" s="148"/>
    </row>
    <row r="65" spans="1:9" ht="12" x14ac:dyDescent="0.25">
      <c r="A65" s="148"/>
      <c r="B65" s="148"/>
      <c r="C65" s="148"/>
      <c r="D65" s="148"/>
      <c r="E65" s="148"/>
      <c r="F65" s="148"/>
      <c r="G65" s="148"/>
      <c r="H65" s="148"/>
      <c r="I65" s="148"/>
    </row>
    <row r="66" spans="1:9" ht="12" x14ac:dyDescent="0.25">
      <c r="A66" s="148"/>
      <c r="B66" s="148"/>
      <c r="C66" s="148"/>
      <c r="D66" s="148"/>
      <c r="E66" s="148"/>
      <c r="F66" s="148"/>
      <c r="G66" s="148"/>
      <c r="H66" s="148"/>
      <c r="I66" s="148"/>
    </row>
    <row r="67" spans="1:9" ht="12" x14ac:dyDescent="0.25">
      <c r="A67" s="148"/>
      <c r="B67" s="148"/>
      <c r="C67" s="148"/>
      <c r="D67" s="148"/>
      <c r="E67" s="148"/>
      <c r="F67" s="148"/>
      <c r="G67" s="148"/>
      <c r="H67" s="148"/>
      <c r="I67" s="148"/>
    </row>
    <row r="68" spans="1:9" ht="12" x14ac:dyDescent="0.25">
      <c r="A68" s="148"/>
      <c r="B68" s="148"/>
      <c r="C68" s="148"/>
      <c r="D68" s="148"/>
      <c r="E68" s="148"/>
      <c r="F68" s="148"/>
      <c r="G68" s="148"/>
      <c r="H68" s="148"/>
      <c r="I68" s="148"/>
    </row>
    <row r="69" spans="1:9" ht="12" x14ac:dyDescent="0.25">
      <c r="A69" s="148"/>
      <c r="B69" s="148"/>
      <c r="C69" s="148"/>
      <c r="D69" s="148"/>
      <c r="E69" s="148"/>
      <c r="F69" s="148"/>
      <c r="G69" s="148"/>
      <c r="H69" s="148"/>
      <c r="I69" s="148"/>
    </row>
    <row r="70" spans="1:9" ht="12" x14ac:dyDescent="0.25">
      <c r="A70" s="148"/>
      <c r="B70" s="148"/>
      <c r="C70" s="148"/>
      <c r="D70" s="148"/>
      <c r="E70" s="148"/>
      <c r="F70" s="148"/>
      <c r="G70" s="148"/>
      <c r="H70" s="148"/>
      <c r="I70" s="148"/>
    </row>
    <row r="71" spans="1:9" ht="12" x14ac:dyDescent="0.25">
      <c r="A71" s="148"/>
      <c r="B71" s="148"/>
      <c r="C71" s="148"/>
      <c r="D71" s="148"/>
      <c r="E71" s="148"/>
      <c r="F71" s="148"/>
      <c r="G71" s="148"/>
      <c r="H71" s="148"/>
      <c r="I71" s="148"/>
    </row>
    <row r="72" spans="1:9" ht="12" x14ac:dyDescent="0.25">
      <c r="A72" s="148"/>
      <c r="B72" s="148"/>
      <c r="C72" s="148"/>
      <c r="D72" s="148"/>
      <c r="E72" s="148"/>
      <c r="F72" s="148"/>
      <c r="G72" s="148"/>
      <c r="H72" s="148"/>
      <c r="I72" s="148"/>
    </row>
    <row r="73" spans="1:9" ht="12" x14ac:dyDescent="0.25">
      <c r="A73" s="148"/>
      <c r="B73" s="148"/>
      <c r="C73" s="148"/>
      <c r="D73" s="148"/>
      <c r="E73" s="148"/>
      <c r="F73" s="148"/>
      <c r="G73" s="148"/>
      <c r="H73" s="148"/>
      <c r="I73" s="148"/>
    </row>
    <row r="74" spans="1:9" ht="12" x14ac:dyDescent="0.25">
      <c r="A74" s="148"/>
      <c r="B74" s="148"/>
      <c r="C74" s="148"/>
      <c r="D74" s="148"/>
      <c r="E74" s="148"/>
      <c r="F74" s="148"/>
      <c r="G74" s="148"/>
      <c r="H74" s="148"/>
      <c r="I74" s="148"/>
    </row>
    <row r="75" spans="1:9" ht="12" x14ac:dyDescent="0.25">
      <c r="A75" s="148"/>
      <c r="B75" s="148"/>
      <c r="C75" s="148"/>
      <c r="D75" s="148"/>
      <c r="E75" s="148"/>
      <c r="F75" s="148"/>
      <c r="G75" s="148"/>
      <c r="H75" s="148"/>
      <c r="I75" s="148"/>
    </row>
    <row r="76" spans="1:9" ht="12" x14ac:dyDescent="0.25">
      <c r="A76" s="148"/>
      <c r="B76" s="148"/>
      <c r="C76" s="148"/>
      <c r="D76" s="148"/>
      <c r="E76" s="148"/>
      <c r="F76" s="148"/>
      <c r="G76" s="148"/>
      <c r="H76" s="148"/>
      <c r="I76" s="148"/>
    </row>
    <row r="77" spans="1:9" ht="12" x14ac:dyDescent="0.25">
      <c r="A77" s="148"/>
      <c r="B77" s="148"/>
      <c r="C77" s="148"/>
      <c r="D77" s="148"/>
      <c r="E77" s="148"/>
      <c r="F77" s="148"/>
      <c r="G77" s="148"/>
      <c r="H77" s="148"/>
      <c r="I77" s="148"/>
    </row>
    <row r="78" spans="1:9" ht="12" x14ac:dyDescent="0.25">
      <c r="A78" s="148"/>
      <c r="B78" s="148"/>
      <c r="C78" s="148"/>
      <c r="D78" s="148"/>
      <c r="E78" s="148"/>
      <c r="F78" s="148"/>
      <c r="G78" s="148"/>
      <c r="H78" s="148"/>
      <c r="I78" s="148"/>
    </row>
    <row r="79" spans="1:9" ht="12" x14ac:dyDescent="0.25">
      <c r="A79" s="148"/>
      <c r="B79" s="148"/>
      <c r="C79" s="148"/>
      <c r="D79" s="148"/>
      <c r="E79" s="148"/>
      <c r="F79" s="148"/>
      <c r="G79" s="148"/>
      <c r="H79" s="148"/>
      <c r="I79" s="148"/>
    </row>
    <row r="80" spans="1:9" ht="12" x14ac:dyDescent="0.25">
      <c r="A80" s="148"/>
      <c r="B80" s="148"/>
      <c r="C80" s="148"/>
      <c r="D80" s="148"/>
      <c r="E80" s="148"/>
      <c r="F80" s="148"/>
      <c r="G80" s="148"/>
      <c r="H80" s="148"/>
      <c r="I80" s="148"/>
    </row>
    <row r="81" spans="1:9" ht="12" x14ac:dyDescent="0.25">
      <c r="A81" s="148"/>
      <c r="B81" s="148"/>
      <c r="C81" s="148"/>
      <c r="D81" s="148"/>
      <c r="E81" s="148"/>
      <c r="F81" s="148"/>
      <c r="G81" s="148"/>
      <c r="H81" s="148"/>
      <c r="I81" s="148"/>
    </row>
    <row r="82" spans="1:9" ht="12" x14ac:dyDescent="0.25">
      <c r="A82" s="148"/>
      <c r="B82" s="148"/>
      <c r="C82" s="148"/>
      <c r="D82" s="148"/>
      <c r="E82" s="148"/>
      <c r="F82" s="148"/>
      <c r="G82" s="148"/>
      <c r="H82" s="148"/>
      <c r="I82" s="148"/>
    </row>
    <row r="83" spans="1:9" ht="12" x14ac:dyDescent="0.25">
      <c r="A83" s="148"/>
      <c r="B83" s="148"/>
      <c r="C83" s="148"/>
      <c r="D83" s="148"/>
      <c r="E83" s="148"/>
      <c r="F83" s="148"/>
      <c r="G83" s="148"/>
      <c r="H83" s="148"/>
      <c r="I83" s="148"/>
    </row>
    <row r="84" spans="1:9" ht="12" x14ac:dyDescent="0.25">
      <c r="A84" s="148"/>
      <c r="B84" s="148"/>
      <c r="C84" s="148"/>
      <c r="D84" s="148"/>
      <c r="E84" s="148"/>
      <c r="F84" s="148"/>
      <c r="G84" s="148"/>
      <c r="H84" s="148"/>
      <c r="I84" s="148"/>
    </row>
    <row r="85" spans="1:9" ht="12" x14ac:dyDescent="0.25">
      <c r="A85" s="148"/>
      <c r="B85" s="148"/>
      <c r="C85" s="148"/>
      <c r="D85" s="148"/>
      <c r="E85" s="148"/>
      <c r="F85" s="148"/>
      <c r="G85" s="148"/>
      <c r="H85" s="148"/>
      <c r="I85" s="148"/>
    </row>
    <row r="86" spans="1:9" ht="12" x14ac:dyDescent="0.25">
      <c r="A86" s="148"/>
      <c r="B86" s="148"/>
      <c r="C86" s="148"/>
      <c r="D86" s="148"/>
      <c r="E86" s="148"/>
      <c r="F86" s="148"/>
      <c r="G86" s="148"/>
      <c r="H86" s="148"/>
      <c r="I86" s="148"/>
    </row>
  </sheetData>
  <mergeCells count="5">
    <mergeCell ref="G11:J11"/>
    <mergeCell ref="A1:J1"/>
    <mergeCell ref="A2:J2"/>
    <mergeCell ref="A3:J3"/>
    <mergeCell ref="A4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5387-C582-46E3-AA3A-56347BF42A83}">
  <dimension ref="A1:X171"/>
  <sheetViews>
    <sheetView workbookViewId="0">
      <selection activeCell="AB18" sqref="AB18"/>
    </sheetView>
  </sheetViews>
  <sheetFormatPr defaultColWidth="7.5703125" defaultRowHeight="10.5" x14ac:dyDescent="0.25"/>
  <cols>
    <col min="1" max="1" width="5.42578125" style="122" customWidth="1"/>
    <col min="2" max="2" width="3.28515625" style="122" customWidth="1"/>
    <col min="3" max="3" width="19.42578125" style="122" bestFit="1" customWidth="1"/>
    <col min="4" max="4" width="3" style="122" customWidth="1"/>
    <col min="5" max="5" width="12.85546875" style="122" bestFit="1" customWidth="1"/>
    <col min="6" max="6" width="1.5703125" style="122" customWidth="1"/>
    <col min="7" max="7" width="12.85546875" style="122" customWidth="1"/>
    <col min="8" max="8" width="1.5703125" style="122" customWidth="1"/>
    <col min="9" max="9" width="9.85546875" style="122" bestFit="1" customWidth="1"/>
    <col min="10" max="10" width="1.5703125" style="122" customWidth="1"/>
    <col min="11" max="11" width="11.5703125" style="122" bestFit="1" customWidth="1"/>
    <col min="12" max="12" width="1.5703125" style="122" customWidth="1"/>
    <col min="13" max="14" width="11.140625" style="122" customWidth="1"/>
    <col min="15" max="15" width="3.5703125" style="122" customWidth="1"/>
    <col min="16" max="16" width="11.140625" style="122" bestFit="1" customWidth="1"/>
    <col min="17" max="17" width="1.5703125" style="122" customWidth="1"/>
    <col min="18" max="18" width="10.42578125" style="122" bestFit="1" customWidth="1"/>
    <col min="19" max="19" width="10.42578125" style="122" customWidth="1"/>
    <col min="20" max="20" width="3.5703125" style="122" customWidth="1"/>
    <col min="21" max="21" width="11.85546875" style="122" customWidth="1"/>
    <col min="22" max="22" width="1.5703125" style="122" customWidth="1"/>
    <col min="23" max="24" width="11.140625" style="122" customWidth="1"/>
    <col min="25" max="16384" width="7.5703125" style="122"/>
  </cols>
  <sheetData>
    <row r="1" spans="1:24" ht="12.75" x14ac:dyDescent="0.25">
      <c r="A1" s="371" t="s">
        <v>62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</row>
    <row r="2" spans="1:24" ht="12.75" x14ac:dyDescent="0.25">
      <c r="A2" s="371" t="s">
        <v>63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</row>
    <row r="3" spans="1:24" ht="12.75" x14ac:dyDescent="0.25">
      <c r="A3" s="371" t="s">
        <v>263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</row>
    <row r="4" spans="1:24" ht="12.75" x14ac:dyDescent="0.25">
      <c r="A4" s="371" t="s">
        <v>262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</row>
    <row r="5" spans="1:24" ht="12.75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24" ht="12.75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24" ht="12.75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24" ht="12.75" x14ac:dyDescent="0.25">
      <c r="A8" s="5" t="s">
        <v>176</v>
      </c>
      <c r="B8" s="2"/>
      <c r="C8" s="123"/>
      <c r="D8" s="123"/>
      <c r="E8" s="123"/>
      <c r="F8" s="123"/>
      <c r="G8" s="123"/>
      <c r="H8" s="123"/>
      <c r="I8" s="123"/>
      <c r="J8" s="123"/>
      <c r="K8" s="124"/>
      <c r="L8" s="123"/>
      <c r="X8" s="125" t="s">
        <v>240</v>
      </c>
    </row>
    <row r="9" spans="1:24" ht="15" customHeight="1" x14ac:dyDescent="0.25">
      <c r="A9" s="2" t="s">
        <v>645</v>
      </c>
      <c r="B9" s="2"/>
      <c r="C9" s="123"/>
      <c r="D9" s="123"/>
      <c r="E9" s="123"/>
      <c r="F9" s="123"/>
      <c r="G9" s="123"/>
      <c r="H9" s="123"/>
      <c r="I9" s="123"/>
      <c r="J9" s="123"/>
      <c r="K9" s="124"/>
      <c r="L9" s="123"/>
      <c r="X9" s="125" t="s">
        <v>128</v>
      </c>
    </row>
    <row r="10" spans="1:24" ht="12.75" x14ac:dyDescent="0.25">
      <c r="A10" s="2" t="s">
        <v>2</v>
      </c>
      <c r="B10" s="2"/>
      <c r="C10" s="127"/>
      <c r="D10" s="127"/>
      <c r="E10" s="127"/>
      <c r="F10" s="127"/>
      <c r="G10" s="127"/>
      <c r="H10" s="127"/>
      <c r="I10" s="127"/>
      <c r="J10" s="127"/>
      <c r="K10" s="128"/>
      <c r="L10" s="127"/>
      <c r="X10" s="129" t="s">
        <v>242</v>
      </c>
    </row>
    <row r="11" spans="1:24" ht="12.75" x14ac:dyDescent="0.25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2"/>
      <c r="L11" s="131"/>
      <c r="M11" s="133"/>
      <c r="N11" s="133"/>
      <c r="P11" s="329"/>
      <c r="Q11" s="329"/>
      <c r="R11" s="329"/>
      <c r="S11" s="329"/>
      <c r="U11" s="329"/>
      <c r="V11" s="329"/>
      <c r="W11" s="329"/>
      <c r="X11" s="329"/>
    </row>
    <row r="12" spans="1:24" ht="15" customHeight="1" thickBot="1" x14ac:dyDescent="0.3">
      <c r="A12" s="126"/>
      <c r="B12" s="127"/>
      <c r="C12" s="127"/>
      <c r="D12" s="127"/>
      <c r="E12" s="127"/>
      <c r="F12" s="127"/>
      <c r="G12" s="372" t="s">
        <v>177</v>
      </c>
      <c r="H12" s="372"/>
      <c r="I12" s="372"/>
      <c r="J12" s="372"/>
      <c r="K12" s="372"/>
      <c r="L12" s="372"/>
      <c r="M12" s="372"/>
      <c r="N12" s="372"/>
      <c r="P12" s="372" t="s">
        <v>178</v>
      </c>
      <c r="Q12" s="372"/>
      <c r="R12" s="372"/>
      <c r="S12" s="372"/>
      <c r="U12" s="370" t="s">
        <v>179</v>
      </c>
      <c r="V12" s="370"/>
      <c r="W12" s="370"/>
      <c r="X12" s="370"/>
    </row>
    <row r="13" spans="1:24" ht="15" customHeight="1" x14ac:dyDescent="0.25">
      <c r="A13" s="126"/>
      <c r="B13" s="127"/>
      <c r="C13" s="127"/>
      <c r="D13" s="127"/>
      <c r="E13" s="127"/>
      <c r="F13" s="127"/>
      <c r="G13" s="198"/>
      <c r="H13" s="198"/>
      <c r="I13" s="198"/>
      <c r="J13" s="198"/>
      <c r="K13" s="198"/>
      <c r="L13" s="198"/>
      <c r="M13" s="198"/>
      <c r="N13" s="121" t="s">
        <v>485</v>
      </c>
      <c r="P13" s="44"/>
      <c r="Q13" s="44"/>
      <c r="R13" s="44"/>
      <c r="S13" s="121" t="s">
        <v>485</v>
      </c>
      <c r="U13" s="198"/>
      <c r="V13" s="198"/>
      <c r="W13" s="198"/>
      <c r="X13" s="121" t="s">
        <v>485</v>
      </c>
    </row>
    <row r="14" spans="1:24" s="134" customFormat="1" ht="12.75" x14ac:dyDescent="0.25">
      <c r="A14" s="121" t="s">
        <v>6</v>
      </c>
      <c r="B14" s="121"/>
      <c r="C14" s="121"/>
      <c r="D14" s="121"/>
      <c r="E14" s="121" t="s">
        <v>243</v>
      </c>
      <c r="F14" s="121"/>
      <c r="G14" s="121"/>
      <c r="H14" s="121"/>
      <c r="I14" s="121" t="s">
        <v>80</v>
      </c>
      <c r="J14" s="121"/>
      <c r="K14" s="121"/>
      <c r="L14" s="121"/>
      <c r="M14" s="121" t="s">
        <v>244</v>
      </c>
      <c r="N14" s="121" t="s">
        <v>244</v>
      </c>
      <c r="P14" s="121"/>
      <c r="Q14" s="121"/>
      <c r="R14" s="121" t="s">
        <v>244</v>
      </c>
      <c r="S14" s="121" t="s">
        <v>244</v>
      </c>
      <c r="U14" s="121"/>
      <c r="V14" s="121"/>
      <c r="W14" s="121" t="s">
        <v>244</v>
      </c>
      <c r="X14" s="121" t="s">
        <v>244</v>
      </c>
    </row>
    <row r="15" spans="1:24" s="134" customFormat="1" ht="12.75" x14ac:dyDescent="0.25">
      <c r="A15" s="135" t="s">
        <v>10</v>
      </c>
      <c r="B15" s="135"/>
      <c r="C15" s="135" t="s">
        <v>245</v>
      </c>
      <c r="D15" s="135"/>
      <c r="E15" s="135" t="s">
        <v>12</v>
      </c>
      <c r="F15" s="135"/>
      <c r="G15" s="135" t="s">
        <v>81</v>
      </c>
      <c r="H15" s="135"/>
      <c r="I15" s="135" t="s">
        <v>246</v>
      </c>
      <c r="J15" s="135"/>
      <c r="K15" s="135" t="s">
        <v>247</v>
      </c>
      <c r="L15" s="135"/>
      <c r="M15" s="135" t="s">
        <v>248</v>
      </c>
      <c r="N15" s="135" t="s">
        <v>248</v>
      </c>
      <c r="P15" s="135" t="s">
        <v>247</v>
      </c>
      <c r="Q15" s="135"/>
      <c r="R15" s="135" t="s">
        <v>248</v>
      </c>
      <c r="S15" s="135" t="s">
        <v>248</v>
      </c>
      <c r="U15" s="135" t="s">
        <v>247</v>
      </c>
      <c r="V15" s="135"/>
      <c r="W15" s="135" t="s">
        <v>248</v>
      </c>
      <c r="X15" s="135" t="s">
        <v>248</v>
      </c>
    </row>
    <row r="16" spans="1:24" s="134" customFormat="1" ht="12.75" x14ac:dyDescent="0.25">
      <c r="A16" s="136"/>
      <c r="B16" s="136"/>
      <c r="C16" s="137" t="s">
        <v>85</v>
      </c>
      <c r="D16" s="121"/>
      <c r="E16" s="137" t="s">
        <v>86</v>
      </c>
      <c r="F16" s="121"/>
      <c r="G16" s="137" t="s">
        <v>136</v>
      </c>
      <c r="H16" s="121"/>
      <c r="I16" s="137" t="s">
        <v>156</v>
      </c>
      <c r="J16" s="121"/>
      <c r="K16" s="137" t="s">
        <v>89</v>
      </c>
      <c r="L16" s="121"/>
      <c r="M16" s="138" t="s">
        <v>249</v>
      </c>
      <c r="N16" s="138" t="s">
        <v>235</v>
      </c>
      <c r="P16" s="137" t="s">
        <v>92</v>
      </c>
      <c r="Q16" s="121"/>
      <c r="R16" s="138" t="s">
        <v>486</v>
      </c>
      <c r="S16" s="138" t="s">
        <v>487</v>
      </c>
      <c r="U16" s="137" t="s">
        <v>190</v>
      </c>
      <c r="V16" s="121"/>
      <c r="W16" s="138" t="s">
        <v>488</v>
      </c>
      <c r="X16" s="138" t="s">
        <v>489</v>
      </c>
    </row>
    <row r="17" spans="1:24" s="134" customFormat="1" ht="12.75" x14ac:dyDescent="0.25">
      <c r="A17" s="121"/>
      <c r="B17" s="121"/>
      <c r="C17" s="121"/>
      <c r="D17" s="121"/>
      <c r="E17" s="121"/>
      <c r="F17" s="121"/>
      <c r="G17" s="139" t="s">
        <v>36</v>
      </c>
      <c r="H17" s="121"/>
      <c r="I17" s="137" t="s">
        <v>60</v>
      </c>
      <c r="J17" s="121"/>
      <c r="K17" s="137" t="s">
        <v>60</v>
      </c>
      <c r="L17" s="121"/>
      <c r="M17" s="137" t="s">
        <v>60</v>
      </c>
      <c r="N17" s="137"/>
      <c r="P17" s="137" t="s">
        <v>60</v>
      </c>
      <c r="Q17" s="121"/>
      <c r="R17" s="137" t="s">
        <v>60</v>
      </c>
      <c r="S17" s="137"/>
      <c r="U17" s="137" t="s">
        <v>60</v>
      </c>
      <c r="V17" s="121"/>
      <c r="W17" s="137" t="s">
        <v>60</v>
      </c>
      <c r="X17" s="137"/>
    </row>
    <row r="18" spans="1:24" ht="12.75" x14ac:dyDescent="0.25">
      <c r="A18" s="125"/>
      <c r="B18" s="123"/>
      <c r="C18" s="123"/>
      <c r="D18" s="123"/>
      <c r="E18" s="123"/>
      <c r="F18" s="123"/>
      <c r="G18" s="140"/>
      <c r="H18" s="123"/>
      <c r="I18" s="123"/>
      <c r="J18" s="123"/>
      <c r="K18" s="123"/>
      <c r="L18" s="123"/>
      <c r="M18" s="123"/>
      <c r="N18" s="123"/>
      <c r="P18" s="123"/>
      <c r="Q18" s="123"/>
      <c r="R18" s="123"/>
      <c r="S18" s="123"/>
      <c r="U18" s="123"/>
      <c r="V18" s="123"/>
      <c r="W18" s="123"/>
      <c r="X18" s="123"/>
    </row>
    <row r="19" spans="1:24" ht="12.75" x14ac:dyDescent="0.25">
      <c r="A19" s="121" t="s">
        <v>137</v>
      </c>
      <c r="B19" s="123"/>
      <c r="C19" s="123" t="s">
        <v>250</v>
      </c>
      <c r="D19" s="123"/>
      <c r="E19" s="121" t="s">
        <v>251</v>
      </c>
      <c r="F19" s="123"/>
      <c r="G19" s="140">
        <v>11600500</v>
      </c>
      <c r="H19" s="123"/>
      <c r="I19" s="141">
        <f>+ROUND(G19/$G$27,4)</f>
        <v>1.83E-2</v>
      </c>
      <c r="J19" s="123"/>
      <c r="K19" s="141">
        <v>5.2499999999999998E-2</v>
      </c>
      <c r="L19" s="123"/>
      <c r="M19" s="141">
        <f>ROUND(K19*I19,4)</f>
        <v>1E-3</v>
      </c>
      <c r="N19" s="141">
        <f>+M19</f>
        <v>1E-3</v>
      </c>
      <c r="P19" s="141">
        <v>5.2499999999999998E-2</v>
      </c>
      <c r="Q19" s="123"/>
      <c r="R19" s="141">
        <f>ROUND(P19*I19,4)</f>
        <v>1E-3</v>
      </c>
      <c r="S19" s="141">
        <f>+R19</f>
        <v>1E-3</v>
      </c>
      <c r="U19" s="141">
        <v>5.2499999999999998E-2</v>
      </c>
      <c r="V19" s="123"/>
      <c r="W19" s="141">
        <f>ROUND(U19*I19,4)</f>
        <v>1E-3</v>
      </c>
      <c r="X19" s="141">
        <f>+W19</f>
        <v>1E-3</v>
      </c>
    </row>
    <row r="20" spans="1:24" ht="12.75" x14ac:dyDescent="0.25">
      <c r="A20" s="121"/>
      <c r="B20" s="123"/>
      <c r="C20" s="123"/>
      <c r="D20" s="123"/>
      <c r="E20" s="121"/>
      <c r="F20" s="123"/>
      <c r="G20" s="140"/>
      <c r="H20" s="123"/>
      <c r="I20" s="141"/>
      <c r="J20" s="123"/>
      <c r="K20" s="123"/>
      <c r="L20" s="123"/>
      <c r="M20" s="123"/>
      <c r="N20" s="123"/>
      <c r="P20" s="123"/>
      <c r="Q20" s="123"/>
      <c r="R20" s="123"/>
      <c r="S20" s="123"/>
      <c r="U20" s="123"/>
      <c r="V20" s="123"/>
      <c r="W20" s="123"/>
      <c r="X20" s="123"/>
    </row>
    <row r="21" spans="1:24" ht="12.75" x14ac:dyDescent="0.25">
      <c r="A21" s="121" t="s">
        <v>252</v>
      </c>
      <c r="B21" s="123"/>
      <c r="C21" s="123" t="s">
        <v>253</v>
      </c>
      <c r="D21" s="123"/>
      <c r="E21" s="121" t="s">
        <v>254</v>
      </c>
      <c r="F21" s="123"/>
      <c r="G21" s="140">
        <v>288682692.30769229</v>
      </c>
      <c r="H21" s="123"/>
      <c r="I21" s="141">
        <f>+ROUND(G21/$G$27,4)</f>
        <v>0.45529999999999998</v>
      </c>
      <c r="J21" s="123"/>
      <c r="K21" s="141">
        <v>4.8800000000000003E-2</v>
      </c>
      <c r="L21" s="123"/>
      <c r="M21" s="141">
        <f>ROUND(K21*I21,4)</f>
        <v>2.2200000000000001E-2</v>
      </c>
      <c r="N21" s="141">
        <f>+M21</f>
        <v>2.2200000000000001E-2</v>
      </c>
      <c r="O21" s="141"/>
      <c r="P21" s="141">
        <v>4.8399999999999999E-2</v>
      </c>
      <c r="Q21" s="123"/>
      <c r="R21" s="141">
        <f>ROUND(P21*I21,4)</f>
        <v>2.1999999999999999E-2</v>
      </c>
      <c r="S21" s="141">
        <f>+R21</f>
        <v>2.1999999999999999E-2</v>
      </c>
      <c r="T21" s="141"/>
      <c r="U21" s="141">
        <f>+P21</f>
        <v>4.8399999999999999E-2</v>
      </c>
      <c r="V21" s="123"/>
      <c r="W21" s="141">
        <f>ROUND(U21*I21,4)</f>
        <v>2.1999999999999999E-2</v>
      </c>
      <c r="X21" s="141">
        <f>+W21</f>
        <v>2.1999999999999999E-2</v>
      </c>
    </row>
    <row r="22" spans="1:24" ht="12.75" x14ac:dyDescent="0.25">
      <c r="A22" s="121"/>
      <c r="B22" s="123"/>
      <c r="C22" s="123"/>
      <c r="D22" s="123"/>
      <c r="E22" s="121"/>
      <c r="F22" s="123"/>
      <c r="G22" s="140"/>
      <c r="H22" s="123"/>
      <c r="I22" s="141"/>
      <c r="J22" s="123"/>
      <c r="K22" s="123"/>
      <c r="L22" s="123"/>
      <c r="M22" s="123"/>
      <c r="N22" s="123"/>
      <c r="P22" s="123"/>
      <c r="Q22" s="123"/>
      <c r="R22" s="123"/>
      <c r="S22" s="123"/>
      <c r="U22" s="123"/>
      <c r="V22" s="123"/>
      <c r="W22" s="123"/>
      <c r="X22" s="123"/>
    </row>
    <row r="23" spans="1:24" ht="12.75" x14ac:dyDescent="0.25">
      <c r="A23" s="121" t="s">
        <v>255</v>
      </c>
      <c r="B23" s="123"/>
      <c r="C23" s="123" t="s">
        <v>256</v>
      </c>
      <c r="D23" s="123"/>
      <c r="E23" s="121" t="s">
        <v>257</v>
      </c>
      <c r="F23" s="123"/>
      <c r="G23" s="140">
        <v>0</v>
      </c>
      <c r="H23" s="123"/>
      <c r="I23" s="141">
        <f>+ROUND(G23/$G$27,4)</f>
        <v>0</v>
      </c>
      <c r="J23" s="123"/>
      <c r="K23" s="141">
        <v>0</v>
      </c>
      <c r="L23" s="123"/>
      <c r="M23" s="141">
        <f>ROUND(K23*I23,4)</f>
        <v>0</v>
      </c>
      <c r="N23" s="141">
        <f>+M23</f>
        <v>0</v>
      </c>
      <c r="P23" s="141">
        <v>0</v>
      </c>
      <c r="Q23" s="123"/>
      <c r="R23" s="141">
        <f>ROUND(P23*I23,4)</f>
        <v>0</v>
      </c>
      <c r="S23" s="141">
        <f>+R23</f>
        <v>0</v>
      </c>
      <c r="U23" s="141">
        <v>0</v>
      </c>
      <c r="V23" s="123"/>
      <c r="W23" s="141">
        <f>ROUND(U23*I23,4)</f>
        <v>0</v>
      </c>
      <c r="X23" s="141">
        <f>+W23</f>
        <v>0</v>
      </c>
    </row>
    <row r="24" spans="1:24" ht="12.75" x14ac:dyDescent="0.25">
      <c r="A24" s="121"/>
      <c r="B24" s="123"/>
      <c r="C24" s="123"/>
      <c r="D24" s="123"/>
      <c r="E24" s="123"/>
      <c r="F24" s="123"/>
      <c r="G24" s="140"/>
      <c r="H24" s="123"/>
      <c r="I24" s="141"/>
      <c r="J24" s="123"/>
      <c r="K24" s="123"/>
      <c r="L24" s="123"/>
      <c r="M24" s="123"/>
      <c r="N24" s="123"/>
      <c r="P24" s="123"/>
      <c r="Q24" s="123"/>
      <c r="R24" s="123"/>
      <c r="S24" s="123"/>
      <c r="U24" s="123"/>
      <c r="V24" s="123"/>
      <c r="W24" s="123"/>
      <c r="X24" s="123"/>
    </row>
    <row r="25" spans="1:24" ht="12.75" x14ac:dyDescent="0.25">
      <c r="A25" s="121" t="s">
        <v>258</v>
      </c>
      <c r="B25" s="123"/>
      <c r="C25" s="123" t="s">
        <v>259</v>
      </c>
      <c r="D25" s="123"/>
      <c r="E25" s="123"/>
      <c r="F25" s="123"/>
      <c r="G25" s="142">
        <v>333782250.40350533</v>
      </c>
      <c r="H25" s="123"/>
      <c r="I25" s="143">
        <f>+ROUND(G25/$G$27,4)</f>
        <v>0.52639999999999998</v>
      </c>
      <c r="J25" s="123"/>
      <c r="K25" s="141">
        <v>0.108</v>
      </c>
      <c r="L25" s="123"/>
      <c r="M25" s="143">
        <f>ROUND(K25*I25,4)</f>
        <v>5.6899999999999999E-2</v>
      </c>
      <c r="N25" s="143">
        <f>M25/'Sch H-1 (Conversion Factor)'!$I$33</f>
        <v>7.5816122584943371E-2</v>
      </c>
      <c r="P25" s="141">
        <v>9.6000000000000002E-2</v>
      </c>
      <c r="Q25" s="123"/>
      <c r="R25" s="199">
        <f>ROUND(P25*I25,4)</f>
        <v>5.0500000000000003E-2</v>
      </c>
      <c r="S25" s="143">
        <f>R25/'Sch H-1 (Conversion Factor)'!$I$33</f>
        <v>6.7288474350433058E-2</v>
      </c>
      <c r="U25" s="141">
        <v>0.108</v>
      </c>
      <c r="V25" s="123"/>
      <c r="W25" s="199">
        <f>ROUND(U25*I25,4)</f>
        <v>5.6899999999999999E-2</v>
      </c>
      <c r="X25" s="143">
        <f>W25/'Sch H-1 (Conversion Factor)'!$I$33</f>
        <v>7.5816122584943371E-2</v>
      </c>
    </row>
    <row r="26" spans="1:24" ht="13.5" thickBot="1" x14ac:dyDescent="0.3">
      <c r="A26" s="121"/>
      <c r="B26" s="123"/>
      <c r="C26" s="123"/>
      <c r="D26" s="123"/>
      <c r="E26" s="123"/>
      <c r="F26" s="123"/>
      <c r="G26" s="140"/>
      <c r="H26" s="123"/>
      <c r="I26" s="141"/>
      <c r="J26" s="123"/>
      <c r="K26" s="123"/>
      <c r="L26" s="123"/>
      <c r="M26" s="123"/>
      <c r="N26" s="123"/>
      <c r="P26" s="123"/>
      <c r="Q26" s="123"/>
      <c r="R26" s="123"/>
      <c r="S26" s="123"/>
      <c r="U26" s="123"/>
      <c r="V26" s="123"/>
      <c r="W26" s="123"/>
      <c r="X26" s="123"/>
    </row>
    <row r="27" spans="1:24" ht="13.5" thickBot="1" x14ac:dyDescent="0.3">
      <c r="A27" s="121" t="s">
        <v>260</v>
      </c>
      <c r="B27" s="123"/>
      <c r="C27" s="123" t="s">
        <v>261</v>
      </c>
      <c r="D27" s="123"/>
      <c r="E27" s="123"/>
      <c r="F27" s="123"/>
      <c r="G27" s="140">
        <f>SUM(G19:G25)</f>
        <v>634065442.71119761</v>
      </c>
      <c r="H27" s="123"/>
      <c r="I27" s="141">
        <f>SUM(I19:I25)</f>
        <v>1</v>
      </c>
      <c r="J27" s="123"/>
      <c r="K27" s="123"/>
      <c r="L27" s="123"/>
      <c r="M27" s="145">
        <f>SUM(M19:M25)</f>
        <v>8.0100000000000005E-2</v>
      </c>
      <c r="N27" s="145">
        <f>SUM(N19:N25)</f>
        <v>9.901612258494337E-2</v>
      </c>
      <c r="P27" s="123"/>
      <c r="Q27" s="123"/>
      <c r="R27" s="145">
        <f>SUM(R19:R25)</f>
        <v>7.350000000000001E-2</v>
      </c>
      <c r="S27" s="145">
        <f>SUM(S19:S25)</f>
        <v>9.0288474350433051E-2</v>
      </c>
      <c r="U27" s="123"/>
      <c r="V27" s="123"/>
      <c r="W27" s="145">
        <f>SUM(W19:W25)</f>
        <v>7.9899999999999999E-2</v>
      </c>
      <c r="X27" s="145">
        <f>SUM(X19:X25)</f>
        <v>9.8816122584943378E-2</v>
      </c>
    </row>
    <row r="28" spans="1:24" ht="12.75" x14ac:dyDescent="0.25">
      <c r="A28" s="125"/>
      <c r="B28" s="123"/>
      <c r="C28" s="123"/>
      <c r="D28" s="123"/>
      <c r="E28" s="123"/>
      <c r="F28" s="123"/>
      <c r="G28" s="140"/>
      <c r="H28" s="123"/>
      <c r="I28" s="123"/>
      <c r="J28" s="123"/>
      <c r="K28" s="123"/>
      <c r="L28" s="123"/>
      <c r="M28" s="123"/>
      <c r="N28" s="123"/>
    </row>
    <row r="29" spans="1:24" ht="12.75" x14ac:dyDescent="0.25">
      <c r="A29" s="125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1:24" ht="11.25" x14ac:dyDescent="0.25">
      <c r="A30" s="14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</row>
    <row r="31" spans="1:24" ht="12.75" x14ac:dyDescent="0.25">
      <c r="A31" s="124"/>
      <c r="B31" s="124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</row>
    <row r="32" spans="1:24" ht="11.25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</row>
    <row r="33" spans="1:14" ht="11.25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</row>
    <row r="34" spans="1:14" ht="11.25" x14ac:dyDescent="0.2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</row>
    <row r="35" spans="1:14" ht="11.25" x14ac:dyDescent="0.2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</row>
    <row r="36" spans="1:14" ht="11.25" x14ac:dyDescent="0.2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</row>
    <row r="37" spans="1:14" ht="11.25" x14ac:dyDescent="0.2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</row>
    <row r="38" spans="1:14" ht="11.25" x14ac:dyDescent="0.2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</row>
    <row r="39" spans="1:14" ht="11.25" x14ac:dyDescent="0.2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</row>
    <row r="40" spans="1:14" ht="11.25" x14ac:dyDescent="0.2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</row>
    <row r="41" spans="1:14" ht="11.25" x14ac:dyDescent="0.2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</row>
    <row r="42" spans="1:14" ht="11.25" x14ac:dyDescent="0.2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</row>
    <row r="43" spans="1:14" ht="11.25" x14ac:dyDescent="0.2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</row>
    <row r="44" spans="1:14" ht="11.25" x14ac:dyDescent="0.2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</row>
    <row r="45" spans="1:14" ht="11.25" x14ac:dyDescent="0.25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</row>
    <row r="46" spans="1:14" ht="11.25" x14ac:dyDescent="0.2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</row>
    <row r="47" spans="1:14" ht="11.25" x14ac:dyDescent="0.2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</row>
    <row r="48" spans="1:14" ht="11.25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</row>
    <row r="49" spans="1:14" ht="11.25" x14ac:dyDescent="0.2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</row>
    <row r="50" spans="1:14" ht="11.25" x14ac:dyDescent="0.2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</row>
    <row r="51" spans="1:14" ht="11.25" x14ac:dyDescent="0.2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</row>
    <row r="52" spans="1:14" ht="11.25" x14ac:dyDescent="0.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</row>
    <row r="53" spans="1:14" ht="11.25" x14ac:dyDescent="0.25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</row>
    <row r="54" spans="1:14" ht="11.25" x14ac:dyDescent="0.25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</row>
    <row r="55" spans="1:14" ht="11.25" x14ac:dyDescent="0.2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</row>
    <row r="56" spans="1:14" ht="11.25" x14ac:dyDescent="0.25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</row>
    <row r="57" spans="1:14" ht="11.25" x14ac:dyDescent="0.2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</row>
    <row r="58" spans="1:14" ht="11.25" x14ac:dyDescent="0.25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</row>
    <row r="59" spans="1:14" ht="11.25" x14ac:dyDescent="0.25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</row>
    <row r="60" spans="1:14" ht="11.25" x14ac:dyDescent="0.25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</row>
    <row r="61" spans="1:14" ht="11.25" x14ac:dyDescent="0.25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</row>
    <row r="62" spans="1:14" ht="11.25" x14ac:dyDescent="0.25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</row>
    <row r="63" spans="1:14" ht="11.25" x14ac:dyDescent="0.25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</row>
    <row r="64" spans="1:14" ht="11.25" x14ac:dyDescent="0.25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</row>
    <row r="65" spans="1:14" ht="11.25" x14ac:dyDescent="0.2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</row>
    <row r="66" spans="1:14" ht="11.25" x14ac:dyDescent="0.25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</row>
    <row r="67" spans="1:14" ht="11.25" x14ac:dyDescent="0.25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</row>
    <row r="68" spans="1:14" ht="11.25" x14ac:dyDescent="0.25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</row>
    <row r="69" spans="1:14" ht="11.25" x14ac:dyDescent="0.25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</row>
    <row r="70" spans="1:14" ht="11.25" x14ac:dyDescent="0.25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</row>
    <row r="71" spans="1:14" ht="11.25" x14ac:dyDescent="0.25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</row>
    <row r="72" spans="1:14" ht="11.25" x14ac:dyDescent="0.25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</row>
    <row r="73" spans="1:14" ht="11.25" x14ac:dyDescent="0.25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</row>
    <row r="74" spans="1:14" ht="11.25" x14ac:dyDescent="0.25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</row>
    <row r="75" spans="1:14" ht="11.25" x14ac:dyDescent="0.25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</row>
    <row r="76" spans="1:14" ht="11.25" x14ac:dyDescent="0.25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</row>
    <row r="77" spans="1:14" ht="11.25" x14ac:dyDescent="0.25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</row>
    <row r="78" spans="1:14" ht="11.25" x14ac:dyDescent="0.25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</row>
    <row r="79" spans="1:14" ht="11.25" x14ac:dyDescent="0.25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</row>
    <row r="80" spans="1:14" ht="11.25" x14ac:dyDescent="0.25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</row>
    <row r="81" spans="1:14" ht="11.25" x14ac:dyDescent="0.25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</row>
    <row r="82" spans="1:14" ht="11.25" x14ac:dyDescent="0.25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</row>
    <row r="83" spans="1:14" ht="11.25" x14ac:dyDescent="0.25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</row>
    <row r="84" spans="1:14" ht="11.25" x14ac:dyDescent="0.25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</row>
    <row r="85" spans="1:14" ht="11.25" x14ac:dyDescent="0.25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</row>
    <row r="86" spans="1:14" ht="11.25" x14ac:dyDescent="0.25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</row>
    <row r="87" spans="1:14" ht="11.25" x14ac:dyDescent="0.25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</row>
    <row r="88" spans="1:14" ht="11.25" x14ac:dyDescent="0.25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</row>
    <row r="89" spans="1:14" ht="11.25" x14ac:dyDescent="0.25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</row>
    <row r="90" spans="1:14" ht="11.25" x14ac:dyDescent="0.25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</row>
    <row r="91" spans="1:14" ht="11.25" x14ac:dyDescent="0.25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</row>
    <row r="92" spans="1:14" ht="11.25" x14ac:dyDescent="0.25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</row>
    <row r="93" spans="1:14" ht="11.25" x14ac:dyDescent="0.25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</row>
    <row r="94" spans="1:14" ht="11.25" x14ac:dyDescent="0.25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</row>
    <row r="95" spans="1:14" ht="11.25" x14ac:dyDescent="0.25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</row>
    <row r="96" spans="1:14" ht="11.25" x14ac:dyDescent="0.25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</row>
    <row r="97" spans="1:14" ht="11.25" x14ac:dyDescent="0.25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</row>
    <row r="98" spans="1:14" ht="11.25" x14ac:dyDescent="0.25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</row>
    <row r="99" spans="1:14" ht="11.25" x14ac:dyDescent="0.25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</row>
    <row r="100" spans="1:14" ht="11.25" x14ac:dyDescent="0.25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</row>
    <row r="101" spans="1:14" ht="11.25" x14ac:dyDescent="0.25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</row>
    <row r="102" spans="1:14" ht="11.25" x14ac:dyDescent="0.25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</row>
    <row r="103" spans="1:14" ht="11.25" x14ac:dyDescent="0.25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</row>
    <row r="104" spans="1:14" ht="11.25" x14ac:dyDescent="0.25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</row>
    <row r="105" spans="1:14" ht="11.25" x14ac:dyDescent="0.25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</row>
    <row r="106" spans="1:14" ht="11.25" x14ac:dyDescent="0.25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</row>
    <row r="107" spans="1:14" ht="11.25" x14ac:dyDescent="0.25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</row>
    <row r="108" spans="1:14" ht="11.25" x14ac:dyDescent="0.25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</row>
    <row r="109" spans="1:14" ht="11.25" x14ac:dyDescent="0.25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</row>
    <row r="110" spans="1:14" ht="11.25" x14ac:dyDescent="0.25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</row>
    <row r="111" spans="1:14" ht="11.25" x14ac:dyDescent="0.25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</row>
    <row r="112" spans="1:14" ht="11.25" x14ac:dyDescent="0.25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</row>
    <row r="113" spans="1:14" ht="11.25" x14ac:dyDescent="0.25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</row>
    <row r="114" spans="1:14" ht="11.25" x14ac:dyDescent="0.25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</row>
    <row r="115" spans="1:14" ht="11.25" x14ac:dyDescent="0.25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</row>
    <row r="116" spans="1:14" ht="11.25" x14ac:dyDescent="0.25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</row>
    <row r="117" spans="1:14" ht="11.25" x14ac:dyDescent="0.25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</row>
    <row r="118" spans="1:14" ht="11.25" x14ac:dyDescent="0.25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</row>
    <row r="119" spans="1:14" ht="11.25" x14ac:dyDescent="0.25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</row>
    <row r="120" spans="1:14" ht="11.25" x14ac:dyDescent="0.25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</row>
    <row r="121" spans="1:14" ht="11.25" x14ac:dyDescent="0.25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</row>
    <row r="122" spans="1:14" ht="11.25" x14ac:dyDescent="0.25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</row>
    <row r="123" spans="1:14" ht="11.25" x14ac:dyDescent="0.25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</row>
    <row r="124" spans="1:14" ht="11.25" x14ac:dyDescent="0.25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</row>
    <row r="125" spans="1:14" ht="11.25" x14ac:dyDescent="0.25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</row>
    <row r="126" spans="1:14" ht="11.25" x14ac:dyDescent="0.25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</row>
    <row r="127" spans="1:14" ht="11.25" x14ac:dyDescent="0.25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</row>
    <row r="128" spans="1:14" ht="11.25" x14ac:dyDescent="0.25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</row>
    <row r="129" spans="1:14" ht="11.25" x14ac:dyDescent="0.25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</row>
    <row r="130" spans="1:14" ht="11.25" x14ac:dyDescent="0.25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</row>
    <row r="131" spans="1:14" ht="11.25" x14ac:dyDescent="0.25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</row>
    <row r="132" spans="1:14" ht="11.25" x14ac:dyDescent="0.25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</row>
    <row r="133" spans="1:14" ht="11.25" x14ac:dyDescent="0.25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</row>
    <row r="134" spans="1:14" ht="11.25" x14ac:dyDescent="0.25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</row>
    <row r="135" spans="1:14" ht="11.25" x14ac:dyDescent="0.25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</row>
    <row r="136" spans="1:14" ht="11.25" x14ac:dyDescent="0.25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</row>
    <row r="137" spans="1:14" ht="11.25" x14ac:dyDescent="0.25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</row>
    <row r="138" spans="1:14" ht="11.25" x14ac:dyDescent="0.25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</row>
    <row r="139" spans="1:14" ht="11.25" x14ac:dyDescent="0.25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</row>
    <row r="140" spans="1:14" ht="11.25" x14ac:dyDescent="0.25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</row>
    <row r="141" spans="1:14" ht="11.25" x14ac:dyDescent="0.25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</row>
    <row r="142" spans="1:14" ht="11.25" x14ac:dyDescent="0.25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</row>
    <row r="143" spans="1:14" ht="11.25" x14ac:dyDescent="0.25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</row>
    <row r="144" spans="1:14" ht="11.25" x14ac:dyDescent="0.25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</row>
    <row r="145" spans="1:14" ht="11.25" x14ac:dyDescent="0.25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</row>
    <row r="146" spans="1:14" ht="11.25" x14ac:dyDescent="0.25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</row>
    <row r="147" spans="1:14" ht="11.25" x14ac:dyDescent="0.25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</row>
    <row r="148" spans="1:14" ht="11.25" x14ac:dyDescent="0.25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</row>
    <row r="149" spans="1:14" ht="11.25" x14ac:dyDescent="0.25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</row>
    <row r="150" spans="1:14" ht="11.25" x14ac:dyDescent="0.25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</row>
    <row r="151" spans="1:14" ht="11.25" x14ac:dyDescent="0.25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</row>
    <row r="152" spans="1:14" ht="11.25" x14ac:dyDescent="0.25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</row>
    <row r="153" spans="1:14" ht="11.25" x14ac:dyDescent="0.25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</row>
    <row r="154" spans="1:14" ht="11.25" x14ac:dyDescent="0.25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</row>
    <row r="155" spans="1:14" ht="11.25" x14ac:dyDescent="0.25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</row>
    <row r="156" spans="1:14" ht="11.25" x14ac:dyDescent="0.25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</row>
    <row r="157" spans="1:14" ht="11.25" x14ac:dyDescent="0.25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</row>
    <row r="158" spans="1:14" ht="11.25" x14ac:dyDescent="0.25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</row>
    <row r="159" spans="1:14" ht="11.25" x14ac:dyDescent="0.25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</row>
    <row r="160" spans="1:14" ht="11.25" x14ac:dyDescent="0.25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</row>
    <row r="161" spans="1:14" ht="11.25" x14ac:dyDescent="0.25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</row>
    <row r="162" spans="1:14" ht="11.25" x14ac:dyDescent="0.25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</row>
    <row r="163" spans="1:14" ht="11.25" x14ac:dyDescent="0.25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</row>
    <row r="164" spans="1:14" ht="11.25" x14ac:dyDescent="0.25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</row>
    <row r="165" spans="1:14" ht="11.25" x14ac:dyDescent="0.25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</row>
    <row r="166" spans="1:14" ht="11.25" x14ac:dyDescent="0.25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</row>
    <row r="167" spans="1:14" ht="11.25" x14ac:dyDescent="0.25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</row>
    <row r="168" spans="1:14" ht="11.25" x14ac:dyDescent="0.25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</row>
    <row r="169" spans="1:14" ht="11.25" x14ac:dyDescent="0.25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</row>
    <row r="170" spans="1:14" ht="11.25" x14ac:dyDescent="0.2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</row>
    <row r="171" spans="1:14" ht="11.25" x14ac:dyDescent="0.2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</row>
  </sheetData>
  <mergeCells count="7">
    <mergeCell ref="U12:X12"/>
    <mergeCell ref="A1:X1"/>
    <mergeCell ref="A2:X2"/>
    <mergeCell ref="A3:X3"/>
    <mergeCell ref="A4:X4"/>
    <mergeCell ref="G12:N12"/>
    <mergeCell ref="P12:S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3C6E-FA43-4C79-9B91-238E7F16736C}">
  <dimension ref="A1:K69"/>
  <sheetViews>
    <sheetView workbookViewId="0">
      <selection activeCell="I38" sqref="I38"/>
    </sheetView>
  </sheetViews>
  <sheetFormatPr defaultRowHeight="15" x14ac:dyDescent="0.25"/>
  <cols>
    <col min="1" max="1" width="6" customWidth="1"/>
    <col min="2" max="2" width="37.42578125" bestFit="1" customWidth="1"/>
    <col min="3" max="3" width="2.28515625" customWidth="1"/>
    <col min="4" max="4" width="13.140625" bestFit="1" customWidth="1"/>
    <col min="5" max="5" width="23.5703125" bestFit="1" customWidth="1"/>
    <col min="6" max="6" width="3.5703125" customWidth="1"/>
    <col min="7" max="7" width="20.5703125" bestFit="1" customWidth="1"/>
    <col min="8" max="8" width="3.5703125" customWidth="1"/>
    <col min="9" max="9" width="24.5703125" customWidth="1"/>
  </cols>
  <sheetData>
    <row r="1" spans="1:9" x14ac:dyDescent="0.25">
      <c r="A1" s="340" t="s">
        <v>62</v>
      </c>
      <c r="B1" s="340"/>
      <c r="C1" s="340"/>
      <c r="D1" s="340"/>
      <c r="E1" s="340"/>
      <c r="F1" s="340"/>
      <c r="G1" s="340"/>
      <c r="H1" s="340"/>
      <c r="I1" s="340"/>
    </row>
    <row r="2" spans="1:9" x14ac:dyDescent="0.25">
      <c r="A2" s="340" t="s">
        <v>63</v>
      </c>
      <c r="B2" s="340"/>
      <c r="C2" s="340"/>
      <c r="D2" s="340"/>
      <c r="E2" s="340"/>
      <c r="F2" s="340"/>
      <c r="G2" s="340"/>
      <c r="H2" s="340"/>
      <c r="I2" s="340"/>
    </row>
    <row r="3" spans="1:9" x14ac:dyDescent="0.25">
      <c r="A3" s="340" t="s">
        <v>68</v>
      </c>
      <c r="B3" s="340"/>
      <c r="C3" s="340"/>
      <c r="D3" s="340"/>
      <c r="E3" s="340"/>
      <c r="F3" s="340"/>
      <c r="G3" s="340"/>
      <c r="H3" s="340"/>
      <c r="I3" s="340"/>
    </row>
    <row r="4" spans="1:9" x14ac:dyDescent="0.25">
      <c r="A4" s="340" t="s">
        <v>64</v>
      </c>
      <c r="B4" s="340"/>
      <c r="C4" s="340"/>
      <c r="D4" s="340"/>
      <c r="E4" s="340"/>
      <c r="F4" s="340"/>
      <c r="G4" s="340"/>
      <c r="H4" s="340"/>
      <c r="I4" s="340"/>
    </row>
    <row r="5" spans="1:9" x14ac:dyDescent="0.25">
      <c r="A5" s="1"/>
      <c r="B5" s="1"/>
      <c r="C5" s="1"/>
      <c r="D5" s="1"/>
      <c r="E5" s="3"/>
      <c r="F5" s="3"/>
      <c r="H5" s="3"/>
    </row>
    <row r="6" spans="1:9" x14ac:dyDescent="0.25">
      <c r="A6" s="1"/>
      <c r="B6" s="1"/>
      <c r="C6" s="1"/>
      <c r="D6" s="1"/>
      <c r="E6" s="3"/>
      <c r="F6" s="3"/>
      <c r="H6" s="3"/>
    </row>
    <row r="7" spans="1:9" x14ac:dyDescent="0.25">
      <c r="A7" s="4"/>
      <c r="E7" s="2"/>
      <c r="F7" s="2"/>
      <c r="H7" s="2"/>
    </row>
    <row r="8" spans="1:9" x14ac:dyDescent="0.25">
      <c r="A8" s="5" t="s">
        <v>176</v>
      </c>
      <c r="B8" s="1"/>
      <c r="C8" s="1"/>
      <c r="D8" s="1"/>
      <c r="I8" s="6" t="s">
        <v>0</v>
      </c>
    </row>
    <row r="9" spans="1:9" x14ac:dyDescent="0.25">
      <c r="A9" s="2" t="s">
        <v>645</v>
      </c>
      <c r="B9" s="2"/>
      <c r="C9" s="2"/>
      <c r="D9" s="2"/>
      <c r="E9" s="327"/>
      <c r="F9" s="327"/>
      <c r="G9" s="327"/>
      <c r="H9" s="327"/>
      <c r="I9" s="6" t="s">
        <v>1</v>
      </c>
    </row>
    <row r="10" spans="1:9" x14ac:dyDescent="0.25">
      <c r="A10" s="2" t="s">
        <v>2</v>
      </c>
      <c r="B10" s="2"/>
      <c r="C10" s="2"/>
      <c r="D10" s="2"/>
      <c r="E10" s="327"/>
      <c r="F10" s="327"/>
      <c r="G10" s="327"/>
      <c r="H10" s="327"/>
      <c r="I10" s="6" t="s">
        <v>65</v>
      </c>
    </row>
    <row r="11" spans="1:9" x14ac:dyDescent="0.25">
      <c r="A11" s="7"/>
      <c r="B11" s="7"/>
      <c r="C11" s="7"/>
      <c r="D11" s="7"/>
      <c r="E11" s="8"/>
      <c r="F11" s="8"/>
      <c r="G11" s="8"/>
      <c r="H11" s="8"/>
      <c r="I11" s="8"/>
    </row>
    <row r="12" spans="1:9" ht="15.75" thickBot="1" x14ac:dyDescent="0.3">
      <c r="A12" s="2"/>
      <c r="B12" s="2"/>
      <c r="C12" s="2"/>
      <c r="D12" s="2"/>
      <c r="E12" s="99" t="s">
        <v>177</v>
      </c>
      <c r="F12" s="100"/>
      <c r="G12" s="99" t="s">
        <v>178</v>
      </c>
      <c r="H12" s="100"/>
      <c r="I12" s="99" t="s">
        <v>179</v>
      </c>
    </row>
    <row r="13" spans="1:9" x14ac:dyDescent="0.25">
      <c r="A13" s="9"/>
      <c r="B13" s="2"/>
      <c r="C13" s="2"/>
      <c r="D13" s="9"/>
      <c r="E13" s="9" t="s">
        <v>3</v>
      </c>
      <c r="F13" s="9"/>
      <c r="G13" s="9" t="s">
        <v>3</v>
      </c>
      <c r="H13" s="9"/>
      <c r="I13" s="9" t="s">
        <v>3</v>
      </c>
    </row>
    <row r="14" spans="1:9" x14ac:dyDescent="0.25">
      <c r="A14" s="9"/>
      <c r="B14" s="2"/>
      <c r="C14" s="2"/>
      <c r="D14" s="9" t="s">
        <v>4</v>
      </c>
      <c r="E14" s="9" t="s">
        <v>5</v>
      </c>
      <c r="F14" s="9"/>
      <c r="G14" s="9" t="s">
        <v>5</v>
      </c>
      <c r="H14" s="9"/>
      <c r="I14" s="9" t="s">
        <v>5</v>
      </c>
    </row>
    <row r="15" spans="1:9" x14ac:dyDescent="0.25">
      <c r="A15" s="9" t="s">
        <v>6</v>
      </c>
      <c r="B15" s="2"/>
      <c r="C15" s="2"/>
      <c r="D15" s="9" t="s">
        <v>7</v>
      </c>
      <c r="E15" s="9" t="s">
        <v>9</v>
      </c>
      <c r="F15" s="9"/>
      <c r="G15" s="9" t="s">
        <v>9</v>
      </c>
      <c r="H15" s="9"/>
      <c r="I15" s="9" t="s">
        <v>9</v>
      </c>
    </row>
    <row r="16" spans="1:9" x14ac:dyDescent="0.25">
      <c r="A16" s="10" t="s">
        <v>10</v>
      </c>
      <c r="B16" s="10" t="s">
        <v>11</v>
      </c>
      <c r="C16" s="7"/>
      <c r="D16" s="10" t="s">
        <v>12</v>
      </c>
      <c r="E16" s="10" t="s">
        <v>13</v>
      </c>
      <c r="F16" s="10"/>
      <c r="G16" s="10" t="s">
        <v>13</v>
      </c>
      <c r="H16" s="10"/>
      <c r="I16" s="10" t="s">
        <v>13</v>
      </c>
    </row>
    <row r="17" spans="1:11" x14ac:dyDescent="0.25">
      <c r="A17" s="9"/>
      <c r="B17" s="9"/>
      <c r="C17" s="2"/>
      <c r="D17" s="9"/>
      <c r="E17" s="28" t="s">
        <v>85</v>
      </c>
      <c r="F17" s="28"/>
      <c r="G17" s="28" t="s">
        <v>86</v>
      </c>
      <c r="H17" s="28"/>
      <c r="I17" s="28" t="s">
        <v>136</v>
      </c>
    </row>
    <row r="18" spans="1:11" x14ac:dyDescent="0.25">
      <c r="A18" s="9"/>
      <c r="B18" s="2"/>
      <c r="C18" s="2"/>
      <c r="D18" s="9"/>
      <c r="E18" s="2"/>
      <c r="F18" s="2"/>
      <c r="G18" s="2"/>
      <c r="H18" s="2"/>
    </row>
    <row r="19" spans="1:11" x14ac:dyDescent="0.25">
      <c r="A19" s="9">
        <f>IF(ISBLANK($B19),"",COUNTA($B$19:B19))</f>
        <v>1</v>
      </c>
      <c r="B19" s="2" t="s">
        <v>14</v>
      </c>
      <c r="C19" s="2"/>
      <c r="D19" s="9" t="s">
        <v>15</v>
      </c>
      <c r="E19" s="11">
        <f>+'Sch B-1 (FTP RB)'!D41</f>
        <v>518827311.76319563</v>
      </c>
      <c r="F19" s="11"/>
      <c r="G19" s="11">
        <f>+'Sch B-1 (FTP RB)'!F41</f>
        <v>507455787.13539064</v>
      </c>
      <c r="H19" s="11"/>
      <c r="I19" s="11">
        <f>+'Sch B-1 (FTP RB)'!H41</f>
        <v>518827311.76319563</v>
      </c>
    </row>
    <row r="20" spans="1:11" x14ac:dyDescent="0.25">
      <c r="A20" s="9" t="str">
        <f>IF(ISBLANK($B20),"",COUNTA($B$19:B20))</f>
        <v/>
      </c>
      <c r="B20" s="2"/>
      <c r="C20" s="2"/>
      <c r="D20" s="9"/>
      <c r="E20" s="12"/>
      <c r="F20" s="12"/>
      <c r="G20" s="12"/>
      <c r="H20" s="12"/>
      <c r="I20" s="12"/>
    </row>
    <row r="21" spans="1:11" x14ac:dyDescent="0.25">
      <c r="A21" s="9">
        <f>IF(ISBLANK($B21),"",COUNTA($B$19:B21))</f>
        <v>2</v>
      </c>
      <c r="B21" s="2" t="s">
        <v>16</v>
      </c>
      <c r="C21" s="2"/>
      <c r="D21" s="9" t="s">
        <v>17</v>
      </c>
      <c r="E21" s="13">
        <f>+'Sch C-1 (Op. Income)'!E34</f>
        <v>23814042.517134205</v>
      </c>
      <c r="F21" s="13"/>
      <c r="G21" s="13">
        <f>+'Sch C-1 (Op. Income)'!K34</f>
        <v>28946349.308953598</v>
      </c>
      <c r="H21" s="13"/>
      <c r="I21" s="13">
        <f>+'Sch C-1 (Op. Income)'!Q34</f>
        <v>23788152.517134205</v>
      </c>
      <c r="K21" s="304"/>
    </row>
    <row r="22" spans="1:11" x14ac:dyDescent="0.25">
      <c r="A22" s="9" t="str">
        <f>IF(ISBLANK($B22),"",COUNTA($B$19:B22))</f>
        <v/>
      </c>
      <c r="B22" s="2"/>
      <c r="C22" s="2"/>
      <c r="D22" s="9"/>
      <c r="E22" s="2"/>
      <c r="F22" s="2"/>
      <c r="G22" s="2"/>
      <c r="H22" s="2"/>
      <c r="I22" s="2"/>
    </row>
    <row r="23" spans="1:11" x14ac:dyDescent="0.25">
      <c r="A23" s="9">
        <f>IF(ISBLANK($B23),"",COUNTA($B$19:B23))</f>
        <v>3</v>
      </c>
      <c r="B23" s="2" t="s">
        <v>18</v>
      </c>
      <c r="C23" s="2"/>
      <c r="D23" s="9"/>
      <c r="E23" s="14">
        <f>ROUND(E21/E19,4)</f>
        <v>4.5900000000000003E-2</v>
      </c>
      <c r="F23" s="14"/>
      <c r="G23" s="14">
        <f>ROUND(G21/G19,4)</f>
        <v>5.7000000000000002E-2</v>
      </c>
      <c r="H23" s="14"/>
      <c r="I23" s="14">
        <f>ROUND(I21/I19,4)</f>
        <v>4.58E-2</v>
      </c>
    </row>
    <row r="24" spans="1:11" x14ac:dyDescent="0.25">
      <c r="A24" s="9" t="str">
        <f>IF(ISBLANK($B24),"",COUNTA($B$19:B24))</f>
        <v/>
      </c>
      <c r="B24" s="2"/>
      <c r="C24" s="2"/>
      <c r="D24" s="9"/>
      <c r="E24" s="2"/>
      <c r="F24" s="2"/>
      <c r="G24" s="2"/>
      <c r="H24" s="2"/>
      <c r="I24" s="2"/>
    </row>
    <row r="25" spans="1:11" x14ac:dyDescent="0.25">
      <c r="A25" s="9">
        <f>IF(ISBLANK($B25),"",COUNTA($B$19:B25))</f>
        <v>4</v>
      </c>
      <c r="B25" s="2" t="s">
        <v>19</v>
      </c>
      <c r="C25" s="2"/>
      <c r="D25" s="9" t="s">
        <v>20</v>
      </c>
      <c r="E25" s="146">
        <f>+'J-1.1,J-1.2 (FTP 13MO AVG WACC)'!M27</f>
        <v>8.0100000000000005E-2</v>
      </c>
      <c r="F25" s="146"/>
      <c r="G25" s="146">
        <f>+'J-1.1,J-1.2 (FTP 13MO AVG WACC)'!R27</f>
        <v>7.350000000000001E-2</v>
      </c>
      <c r="H25" s="146"/>
      <c r="I25" s="146">
        <f>+'J-1.1,J-1.2 (FTP 13MO AVG WACC)'!W27</f>
        <v>7.9899999999999999E-2</v>
      </c>
    </row>
    <row r="26" spans="1:11" x14ac:dyDescent="0.25">
      <c r="A26" s="9" t="str">
        <f>IF(ISBLANK($B26),"",COUNTA($B$19:B26))</f>
        <v/>
      </c>
      <c r="B26" s="2"/>
      <c r="C26" s="2"/>
      <c r="D26" s="9"/>
      <c r="E26" s="12"/>
      <c r="F26" s="12"/>
      <c r="G26" s="12"/>
      <c r="H26" s="12"/>
      <c r="I26" s="12"/>
    </row>
    <row r="27" spans="1:11" x14ac:dyDescent="0.25">
      <c r="A27" s="9">
        <f>IF(ISBLANK($B27),"",COUNTA($B$19:B27))</f>
        <v>5</v>
      </c>
      <c r="B27" s="2" t="s">
        <v>21</v>
      </c>
      <c r="C27" s="2"/>
      <c r="D27" s="9" t="s">
        <v>17</v>
      </c>
      <c r="E27" s="11">
        <f>ROUND(E25*E19,0)</f>
        <v>41558068</v>
      </c>
      <c r="F27" s="11"/>
      <c r="G27" s="11">
        <f>ROUND(G25*G19,0)</f>
        <v>37298000</v>
      </c>
      <c r="H27" s="11"/>
      <c r="I27" s="11">
        <f>ROUND(I25*I19,0)</f>
        <v>41454302</v>
      </c>
    </row>
    <row r="28" spans="1:11" x14ac:dyDescent="0.25">
      <c r="A28" s="9" t="str">
        <f>IF(ISBLANK($B28),"",COUNTA($B$19:B28))</f>
        <v/>
      </c>
      <c r="B28" s="2"/>
      <c r="C28" s="2"/>
      <c r="D28" s="9"/>
      <c r="E28" s="12"/>
      <c r="F28" s="12"/>
      <c r="G28" s="12"/>
      <c r="H28" s="12"/>
      <c r="I28" s="12"/>
    </row>
    <row r="29" spans="1:11" x14ac:dyDescent="0.25">
      <c r="A29" s="9">
        <f>IF(ISBLANK($B29),"",COUNTA($B$19:B29))</f>
        <v>6</v>
      </c>
      <c r="B29" s="2" t="s">
        <v>22</v>
      </c>
      <c r="C29" s="2"/>
      <c r="D29" s="9" t="s">
        <v>17</v>
      </c>
      <c r="E29" s="11">
        <f>E27-E21</f>
        <v>17744025.482865795</v>
      </c>
      <c r="F29" s="11"/>
      <c r="G29" s="11">
        <f>G27-G21</f>
        <v>8351650.6910464019</v>
      </c>
      <c r="H29" s="11"/>
      <c r="I29" s="11">
        <f>I27-I21</f>
        <v>17666149.482865795</v>
      </c>
    </row>
    <row r="30" spans="1:11" x14ac:dyDescent="0.25">
      <c r="A30" s="9" t="str">
        <f>IF(ISBLANK($B30),"",COUNTA($B$19:B30))</f>
        <v/>
      </c>
      <c r="B30" s="2"/>
      <c r="C30" s="2"/>
      <c r="D30" s="9"/>
      <c r="E30" s="2"/>
      <c r="F30" s="2"/>
      <c r="G30" s="2"/>
      <c r="H30" s="2"/>
      <c r="I30" s="2"/>
    </row>
    <row r="31" spans="1:11" x14ac:dyDescent="0.25">
      <c r="A31" s="9">
        <f>IF(ISBLANK($B31),"",COUNTA($B$19:B31))</f>
        <v>7</v>
      </c>
      <c r="B31" s="2" t="s">
        <v>23</v>
      </c>
      <c r="C31" s="2"/>
      <c r="D31" s="9" t="s">
        <v>24</v>
      </c>
      <c r="E31" s="15">
        <f>+'Sch H-1 (Conversion Factor)'!G36</f>
        <v>1.3397760000000001</v>
      </c>
      <c r="F31" s="15"/>
      <c r="G31" s="15">
        <f>+'Sch H-1 (Conversion Factor)'!G36</f>
        <v>1.3397760000000001</v>
      </c>
      <c r="H31" s="15"/>
      <c r="I31" s="15">
        <f>+'Sch H-1 (Conversion Factor)'!G36</f>
        <v>1.3397760000000001</v>
      </c>
    </row>
    <row r="32" spans="1:11" x14ac:dyDescent="0.25">
      <c r="A32" s="9" t="str">
        <f>IF(ISBLANK($B32),"",COUNTA($B$19:B32))</f>
        <v/>
      </c>
      <c r="B32" s="2"/>
      <c r="C32" s="2"/>
      <c r="D32" s="9"/>
      <c r="E32" s="2"/>
      <c r="F32" s="2"/>
      <c r="G32" s="2"/>
      <c r="H32" s="2"/>
      <c r="I32" s="2"/>
    </row>
    <row r="33" spans="1:9" x14ac:dyDescent="0.25">
      <c r="A33" s="9">
        <f>IF(ISBLANK($B33),"",COUNTA($B$19:B33))</f>
        <v>8</v>
      </c>
      <c r="B33" s="2" t="s">
        <v>25</v>
      </c>
      <c r="C33" s="2"/>
      <c r="D33" s="9"/>
      <c r="E33" s="11">
        <f>E31*E29</f>
        <v>23773019.485332005</v>
      </c>
      <c r="F33" s="11"/>
      <c r="G33" s="11">
        <f>G31*G29+1</f>
        <v>11189342.156247385</v>
      </c>
      <c r="H33" s="11"/>
      <c r="I33" s="11">
        <f>I31*I29</f>
        <v>23668683.089556005</v>
      </c>
    </row>
    <row r="34" spans="1:9" ht="15.75" thickBot="1" x14ac:dyDescent="0.3">
      <c r="A34" s="9" t="str">
        <f>IF(ISBLANK($B34),"",COUNTA($B$19:B34))</f>
        <v/>
      </c>
      <c r="B34" s="2"/>
      <c r="C34" s="2"/>
      <c r="D34" s="9"/>
      <c r="E34" s="2"/>
      <c r="F34" s="2"/>
      <c r="G34" s="2"/>
      <c r="H34" s="2"/>
      <c r="I34" s="2"/>
    </row>
    <row r="35" spans="1:9" ht="15.75" thickBot="1" x14ac:dyDescent="0.3">
      <c r="A35" s="9">
        <f>IF(ISBLANK($B35),"",COUNTA($B$19:B35))</f>
        <v>9</v>
      </c>
      <c r="B35" s="2" t="s">
        <v>26</v>
      </c>
      <c r="C35" s="2"/>
      <c r="D35" s="9" t="s">
        <v>17</v>
      </c>
      <c r="E35" s="188">
        <f>+'Sch C-1 (Op. Income)'!G19</f>
        <v>23773019.485332005</v>
      </c>
      <c r="F35" s="11"/>
      <c r="G35" s="188">
        <f>+'Sch C-1 (Op. Income)'!M19</f>
        <v>11189342.156247385</v>
      </c>
      <c r="H35" s="11"/>
      <c r="I35" s="188">
        <f>+'Sch C-1 (Op. Income)'!S19</f>
        <v>23668683.089556005</v>
      </c>
    </row>
    <row r="36" spans="1:9" x14ac:dyDescent="0.25">
      <c r="A36" s="9" t="str">
        <f>IF(ISBLANK($B36),"",COUNTA($B$19:B36))</f>
        <v/>
      </c>
      <c r="B36" s="2"/>
      <c r="C36" s="2"/>
      <c r="D36" s="9"/>
      <c r="E36" s="2"/>
      <c r="F36" s="2"/>
      <c r="G36" s="2"/>
      <c r="H36" s="2"/>
      <c r="I36" s="2"/>
    </row>
    <row r="37" spans="1:9" x14ac:dyDescent="0.25">
      <c r="A37" s="9">
        <f>IF(ISBLANK($B37),"",COUNTA($B$19:B37))</f>
        <v>10</v>
      </c>
      <c r="B37" s="2" t="s">
        <v>27</v>
      </c>
      <c r="C37" s="2"/>
      <c r="D37" s="9" t="s">
        <v>17</v>
      </c>
      <c r="E37" s="11">
        <f>+'Sch C-1 (Op. Income)'!E19</f>
        <v>150357677.62666669</v>
      </c>
      <c r="F37" s="11"/>
      <c r="G37" s="11">
        <f>+'Sch C-1 (Op. Income)'!K19</f>
        <v>150357677.62666669</v>
      </c>
      <c r="H37" s="11"/>
      <c r="I37" s="11">
        <f>+'Sch C-1 (Op. Income)'!Q19</f>
        <v>150357677.62666669</v>
      </c>
    </row>
    <row r="38" spans="1:9" x14ac:dyDescent="0.25">
      <c r="A38" s="9" t="str">
        <f>IF(ISBLANK($B38),"",COUNTA($B$19:B38))</f>
        <v/>
      </c>
      <c r="B38" s="2"/>
      <c r="C38" s="2"/>
      <c r="D38" s="2"/>
      <c r="E38" s="2"/>
      <c r="F38" s="11"/>
      <c r="G38" s="2"/>
      <c r="H38" s="11"/>
      <c r="I38" s="2"/>
    </row>
    <row r="39" spans="1:9" ht="15.75" thickBot="1" x14ac:dyDescent="0.3">
      <c r="A39" s="9">
        <f>IF(ISBLANK($B39),"",COUNTA($B$19:B39))</f>
        <v>11</v>
      </c>
      <c r="B39" s="2" t="s">
        <v>28</v>
      </c>
      <c r="C39" s="2"/>
      <c r="D39" s="2"/>
      <c r="E39" s="16">
        <f>E37+E35</f>
        <v>174130697.11199871</v>
      </c>
      <c r="F39" s="11"/>
      <c r="G39" s="16">
        <f>G37+G35</f>
        <v>161547019.78291407</v>
      </c>
      <c r="H39" s="11"/>
      <c r="I39" s="16">
        <f>I37+I35</f>
        <v>174026360.7162227</v>
      </c>
    </row>
    <row r="40" spans="1:9" ht="15.75" thickTop="1" x14ac:dyDescent="0.25">
      <c r="A40" s="2"/>
      <c r="B40" s="2"/>
      <c r="C40" s="2"/>
      <c r="D40" s="2"/>
      <c r="E40" s="2"/>
      <c r="F40" s="11"/>
      <c r="H40" s="11"/>
    </row>
    <row r="41" spans="1:9" x14ac:dyDescent="0.25">
      <c r="A41" s="2"/>
      <c r="B41" s="2"/>
      <c r="C41" s="2"/>
      <c r="D41" s="2"/>
      <c r="E41" s="17"/>
      <c r="F41" s="17"/>
      <c r="H41" s="17"/>
    </row>
    <row r="42" spans="1:9" x14ac:dyDescent="0.25">
      <c r="A42" s="2"/>
      <c r="B42" s="2"/>
      <c r="C42" s="2"/>
      <c r="D42" s="2"/>
      <c r="E42" s="12"/>
      <c r="F42" s="12"/>
      <c r="H42" s="12"/>
    </row>
    <row r="43" spans="1:9" x14ac:dyDescent="0.25">
      <c r="A43" s="2"/>
      <c r="B43" s="2"/>
      <c r="C43" s="2"/>
      <c r="D43" s="2"/>
      <c r="E43" s="12"/>
      <c r="F43" s="12"/>
      <c r="H43" s="12"/>
    </row>
    <row r="44" spans="1:9" x14ac:dyDescent="0.25">
      <c r="A44" s="2"/>
      <c r="B44" s="2"/>
      <c r="C44" s="2"/>
      <c r="D44" s="2"/>
      <c r="E44" s="2"/>
      <c r="F44" s="2"/>
      <c r="H44" s="2"/>
    </row>
    <row r="45" spans="1:9" x14ac:dyDescent="0.25">
      <c r="A45" s="2"/>
      <c r="B45" s="2"/>
      <c r="C45" s="2"/>
      <c r="D45" s="2"/>
      <c r="E45" s="2"/>
      <c r="F45" s="2"/>
      <c r="H45" s="2"/>
    </row>
    <row r="46" spans="1:9" x14ac:dyDescent="0.25">
      <c r="A46" s="2"/>
      <c r="B46" s="2"/>
      <c r="C46" s="2"/>
      <c r="D46" s="2"/>
      <c r="E46" s="2"/>
      <c r="F46" s="2"/>
      <c r="H46" s="2"/>
    </row>
    <row r="47" spans="1:9" x14ac:dyDescent="0.25">
      <c r="A47" s="2"/>
      <c r="B47" s="2"/>
      <c r="C47" s="2"/>
      <c r="D47" s="2"/>
      <c r="E47" s="2"/>
      <c r="F47" s="2"/>
      <c r="H47" s="2"/>
    </row>
    <row r="48" spans="1:9" x14ac:dyDescent="0.25">
      <c r="A48" s="2"/>
      <c r="B48" s="2"/>
      <c r="C48" s="2"/>
      <c r="D48" s="2"/>
      <c r="E48" s="2"/>
      <c r="F48" s="2"/>
      <c r="H48" s="2"/>
    </row>
    <row r="49" spans="1:8" x14ac:dyDescent="0.25">
      <c r="A49" s="2"/>
      <c r="B49" s="2"/>
      <c r="C49" s="2"/>
      <c r="D49" s="2"/>
      <c r="E49" s="2"/>
      <c r="F49" s="2"/>
      <c r="H49" s="2"/>
    </row>
    <row r="50" spans="1:8" x14ac:dyDescent="0.25">
      <c r="A50" s="2"/>
      <c r="B50" s="2"/>
      <c r="C50" s="2"/>
      <c r="D50" s="2"/>
      <c r="E50" s="2"/>
      <c r="F50" s="2"/>
      <c r="H50" s="2"/>
    </row>
    <row r="51" spans="1:8" x14ac:dyDescent="0.25">
      <c r="A51" s="2"/>
      <c r="B51" s="2"/>
      <c r="C51" s="2"/>
      <c r="D51" s="2"/>
      <c r="E51" s="2"/>
      <c r="F51" s="2"/>
      <c r="H51" s="2"/>
    </row>
    <row r="52" spans="1:8" x14ac:dyDescent="0.25">
      <c r="A52" s="2"/>
      <c r="B52" s="2"/>
      <c r="C52" s="2"/>
      <c r="D52" s="2"/>
      <c r="E52" s="2"/>
      <c r="F52" s="2"/>
      <c r="H52" s="2"/>
    </row>
    <row r="53" spans="1:8" x14ac:dyDescent="0.25">
      <c r="A53" s="2"/>
      <c r="B53" s="2"/>
      <c r="C53" s="2"/>
      <c r="D53" s="2"/>
      <c r="E53" s="2"/>
      <c r="F53" s="2"/>
      <c r="H53" s="2"/>
    </row>
    <row r="54" spans="1:8" x14ac:dyDescent="0.25">
      <c r="A54" s="2"/>
      <c r="B54" s="2"/>
      <c r="C54" s="2"/>
      <c r="D54" s="2"/>
      <c r="E54" s="2"/>
      <c r="F54" s="2"/>
      <c r="H54" s="2"/>
    </row>
    <row r="55" spans="1:8" x14ac:dyDescent="0.25">
      <c r="A55" s="2"/>
      <c r="B55" s="2"/>
      <c r="C55" s="2"/>
      <c r="D55" s="2"/>
      <c r="E55" s="2"/>
      <c r="F55" s="2"/>
      <c r="H55" s="2"/>
    </row>
    <row r="56" spans="1:8" x14ac:dyDescent="0.25">
      <c r="A56" s="2"/>
      <c r="B56" s="2"/>
      <c r="C56" s="2"/>
      <c r="D56" s="2"/>
      <c r="E56" s="2"/>
      <c r="F56" s="2"/>
      <c r="H56" s="2"/>
    </row>
    <row r="57" spans="1:8" x14ac:dyDescent="0.25">
      <c r="A57" s="2"/>
      <c r="B57" s="2"/>
      <c r="C57" s="2"/>
      <c r="D57" s="2"/>
      <c r="E57" s="2"/>
      <c r="F57" s="2"/>
      <c r="H57" s="2"/>
    </row>
    <row r="58" spans="1:8" x14ac:dyDescent="0.25">
      <c r="A58" s="2"/>
      <c r="B58" s="2"/>
      <c r="C58" s="2"/>
      <c r="D58" s="2"/>
      <c r="E58" s="2"/>
      <c r="F58" s="2"/>
      <c r="H58" s="2"/>
    </row>
    <row r="59" spans="1:8" x14ac:dyDescent="0.25">
      <c r="A59" s="2"/>
      <c r="B59" s="2"/>
      <c r="C59" s="2"/>
      <c r="D59" s="2"/>
      <c r="E59" s="2"/>
      <c r="F59" s="2"/>
      <c r="H59" s="2"/>
    </row>
    <row r="60" spans="1:8" x14ac:dyDescent="0.25">
      <c r="A60" s="2"/>
      <c r="B60" s="2"/>
      <c r="C60" s="2"/>
      <c r="D60" s="2"/>
      <c r="E60" s="2"/>
      <c r="F60" s="2"/>
      <c r="H60" s="2"/>
    </row>
    <row r="61" spans="1:8" x14ac:dyDescent="0.25">
      <c r="A61" s="2"/>
      <c r="B61" s="2"/>
      <c r="C61" s="2"/>
      <c r="D61" s="2"/>
      <c r="E61" s="2"/>
      <c r="F61" s="2"/>
      <c r="H61" s="2"/>
    </row>
    <row r="62" spans="1:8" x14ac:dyDescent="0.25">
      <c r="A62" s="2"/>
      <c r="B62" s="2"/>
      <c r="C62" s="2"/>
      <c r="D62" s="2"/>
      <c r="E62" s="2"/>
      <c r="F62" s="2"/>
      <c r="H62" s="2"/>
    </row>
    <row r="63" spans="1:8" x14ac:dyDescent="0.25">
      <c r="A63" s="2"/>
      <c r="B63" s="2"/>
      <c r="C63" s="2"/>
      <c r="D63" s="2"/>
      <c r="E63" s="2"/>
      <c r="F63" s="2"/>
      <c r="H63" s="2"/>
    </row>
    <row r="64" spans="1:8" x14ac:dyDescent="0.25">
      <c r="A64" s="2"/>
      <c r="B64" s="2"/>
      <c r="C64" s="2"/>
      <c r="D64" s="2"/>
      <c r="E64" s="2"/>
      <c r="F64" s="2"/>
      <c r="H64" s="2"/>
    </row>
    <row r="65" spans="1:8" x14ac:dyDescent="0.25">
      <c r="A65" s="2"/>
      <c r="B65" s="2"/>
      <c r="C65" s="2"/>
      <c r="D65" s="2"/>
      <c r="E65" s="2"/>
      <c r="F65" s="2"/>
      <c r="H65" s="2"/>
    </row>
    <row r="66" spans="1:8" x14ac:dyDescent="0.25">
      <c r="A66" s="2"/>
      <c r="B66" s="2"/>
      <c r="C66" s="2"/>
      <c r="D66" s="2"/>
      <c r="E66" s="2"/>
      <c r="F66" s="2"/>
      <c r="H66" s="2"/>
    </row>
    <row r="67" spans="1:8" x14ac:dyDescent="0.25">
      <c r="A67" s="2"/>
      <c r="B67" s="2"/>
      <c r="C67" s="2"/>
      <c r="D67" s="2"/>
      <c r="E67" s="2"/>
      <c r="F67" s="2"/>
      <c r="H67" s="2"/>
    </row>
    <row r="68" spans="1:8" x14ac:dyDescent="0.25">
      <c r="A68" s="2"/>
      <c r="B68" s="2"/>
      <c r="C68" s="2"/>
      <c r="D68" s="2"/>
      <c r="E68" s="2"/>
      <c r="F68" s="2"/>
      <c r="H68" s="2"/>
    </row>
    <row r="69" spans="1:8" x14ac:dyDescent="0.25">
      <c r="A69" s="2"/>
      <c r="B69" s="2"/>
      <c r="C69" s="2"/>
      <c r="D69" s="2"/>
      <c r="E69" s="2"/>
      <c r="F69" s="2"/>
      <c r="H69" s="2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B2FE-BE2A-488B-AB9E-6AF43DF0737C}">
  <dimension ref="A1:AB124"/>
  <sheetViews>
    <sheetView workbookViewId="0">
      <selection activeCell="C38" sqref="C38"/>
    </sheetView>
  </sheetViews>
  <sheetFormatPr defaultColWidth="8.7109375" defaultRowHeight="13.5" outlineLevelRow="3" x14ac:dyDescent="0.25"/>
  <cols>
    <col min="1" max="1" width="4.7109375" style="102" customWidth="1"/>
    <col min="2" max="2" width="8.7109375" style="102"/>
    <col min="3" max="4" width="32.85546875" style="102" customWidth="1"/>
    <col min="5" max="5" width="24" style="102" customWidth="1"/>
    <col min="6" max="6" width="1.7109375" style="102" customWidth="1"/>
    <col min="7" max="7" width="15.5703125" style="102" bestFit="1" customWidth="1"/>
    <col min="8" max="8" width="1.7109375" style="102" customWidth="1"/>
    <col min="9" max="9" width="14.140625" style="102" bestFit="1" customWidth="1"/>
    <col min="10" max="10" width="11.140625" style="102" customWidth="1"/>
    <col min="11" max="11" width="13.85546875" style="102" bestFit="1" customWidth="1"/>
    <col min="12" max="12" width="3.5703125" style="102" customWidth="1"/>
    <col min="13" max="13" width="12.85546875" style="102" customWidth="1"/>
    <col min="14" max="14" width="4.140625" style="102" bestFit="1" customWidth="1"/>
    <col min="15" max="15" width="1.7109375" style="102" customWidth="1"/>
    <col min="16" max="16" width="14.7109375" style="102" bestFit="1" customWidth="1"/>
    <col min="17" max="17" width="11.140625" style="102" bestFit="1" customWidth="1"/>
    <col min="18" max="18" width="1.7109375" style="102" customWidth="1"/>
    <col min="19" max="19" width="19.5703125" style="102" customWidth="1"/>
    <col min="20" max="20" width="4.28515625" style="102" bestFit="1" customWidth="1"/>
    <col min="21" max="28" width="8.7109375" style="254"/>
    <col min="29" max="16384" width="8.7109375" style="102"/>
  </cols>
  <sheetData>
    <row r="1" spans="1:28" customFormat="1" ht="15" x14ac:dyDescent="0.25">
      <c r="A1" s="340" t="s">
        <v>62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</row>
    <row r="2" spans="1:28" customFormat="1" ht="15" x14ac:dyDescent="0.25">
      <c r="A2" s="340" t="s">
        <v>63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</row>
    <row r="3" spans="1:28" customFormat="1" ht="15" x14ac:dyDescent="0.25">
      <c r="A3" s="340" t="s">
        <v>509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</row>
    <row r="4" spans="1:28" customFormat="1" ht="15" x14ac:dyDescent="0.25">
      <c r="A4" s="340" t="s">
        <v>64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</row>
    <row r="5" spans="1:28" customFormat="1" ht="15" x14ac:dyDescent="0.25">
      <c r="A5" s="1"/>
      <c r="C5" s="1"/>
      <c r="D5" s="1"/>
      <c r="E5" s="1"/>
      <c r="F5" s="1"/>
      <c r="G5" s="3"/>
      <c r="H5" s="3"/>
      <c r="J5" s="3"/>
    </row>
    <row r="6" spans="1:28" customFormat="1" ht="15" x14ac:dyDescent="0.25">
      <c r="A6" s="1"/>
      <c r="C6" s="1"/>
      <c r="D6" s="1"/>
      <c r="E6" s="1"/>
      <c r="F6" s="1"/>
      <c r="G6" s="3"/>
      <c r="H6" s="3"/>
      <c r="J6" s="3"/>
      <c r="M6" s="102"/>
      <c r="N6" s="102"/>
      <c r="T6" s="6" t="s">
        <v>510</v>
      </c>
    </row>
    <row r="7" spans="1:28" customFormat="1" ht="15" x14ac:dyDescent="0.25">
      <c r="A7" s="4"/>
      <c r="C7" s="4"/>
      <c r="D7" s="4"/>
      <c r="G7" s="2"/>
      <c r="H7" s="2"/>
      <c r="J7" s="2"/>
      <c r="M7" s="102"/>
      <c r="N7" s="102"/>
      <c r="T7" s="6" t="s">
        <v>443</v>
      </c>
    </row>
    <row r="8" spans="1:28" ht="12.75" x14ac:dyDescent="0.2">
      <c r="A8" s="208"/>
      <c r="C8" s="208"/>
      <c r="D8" s="208"/>
      <c r="E8" s="208"/>
      <c r="F8" s="208"/>
      <c r="T8" s="6" t="s">
        <v>65</v>
      </c>
      <c r="U8" s="102"/>
      <c r="V8" s="102"/>
      <c r="W8" s="102"/>
      <c r="X8" s="102"/>
      <c r="Y8" s="102"/>
      <c r="Z8" s="102"/>
      <c r="AA8" s="102"/>
      <c r="AB8" s="102"/>
    </row>
    <row r="9" spans="1:28" ht="14.45" customHeight="1" x14ac:dyDescent="0.35">
      <c r="A9" s="206"/>
      <c r="M9" s="353" t="s">
        <v>513</v>
      </c>
      <c r="N9" s="353"/>
      <c r="P9" s="353" t="s">
        <v>185</v>
      </c>
      <c r="Q9" s="317"/>
      <c r="R9" s="277"/>
      <c r="U9" s="102"/>
      <c r="V9" s="102"/>
      <c r="W9" s="102"/>
      <c r="X9" s="102"/>
      <c r="Y9" s="102"/>
      <c r="Z9" s="102"/>
      <c r="AA9" s="102"/>
      <c r="AB9" s="102"/>
    </row>
    <row r="10" spans="1:28" ht="12.95" customHeight="1" x14ac:dyDescent="0.35">
      <c r="A10" s="209"/>
      <c r="B10" s="9" t="s">
        <v>6</v>
      </c>
      <c r="C10" s="229"/>
      <c r="M10" s="353"/>
      <c r="N10" s="353"/>
      <c r="P10" s="353"/>
      <c r="Q10" s="317"/>
      <c r="R10" s="277"/>
      <c r="U10" s="102"/>
      <c r="V10" s="102"/>
      <c r="W10" s="102"/>
      <c r="X10" s="102"/>
      <c r="Y10" s="102"/>
      <c r="Z10" s="102"/>
      <c r="AA10" s="102"/>
      <c r="AB10" s="102"/>
    </row>
    <row r="11" spans="1:28" ht="15.95" customHeight="1" x14ac:dyDescent="0.35">
      <c r="A11" s="209"/>
      <c r="B11" s="10" t="s">
        <v>10</v>
      </c>
      <c r="C11" s="23" t="s">
        <v>11</v>
      </c>
      <c r="D11" s="23"/>
      <c r="E11" s="180" t="s">
        <v>12</v>
      </c>
      <c r="F11" s="210"/>
      <c r="G11" s="180" t="s">
        <v>79</v>
      </c>
      <c r="H11" s="210"/>
      <c r="I11" s="351" t="s">
        <v>178</v>
      </c>
      <c r="J11" s="351"/>
      <c r="K11" s="351"/>
      <c r="M11" s="354"/>
      <c r="N11" s="354"/>
      <c r="P11" s="354"/>
      <c r="Q11" s="317"/>
      <c r="R11" s="277"/>
      <c r="S11" s="351" t="s">
        <v>180</v>
      </c>
      <c r="T11" s="351"/>
      <c r="U11" s="102"/>
      <c r="V11" s="102"/>
      <c r="W11" s="102"/>
      <c r="X11" s="102"/>
      <c r="Y11" s="102"/>
      <c r="Z11" s="102"/>
      <c r="AA11" s="102"/>
      <c r="AB11" s="102"/>
    </row>
    <row r="12" spans="1:28" thickBot="1" x14ac:dyDescent="0.25">
      <c r="A12" s="209"/>
      <c r="B12" s="9"/>
      <c r="C12" s="9"/>
      <c r="D12" s="9"/>
      <c r="E12" s="44"/>
      <c r="F12" s="210"/>
      <c r="G12" s="44"/>
      <c r="H12" s="210"/>
      <c r="I12" s="44"/>
      <c r="J12" s="44"/>
      <c r="K12" s="44"/>
      <c r="U12" s="102"/>
      <c r="V12" s="102"/>
      <c r="W12" s="102"/>
      <c r="X12" s="102"/>
      <c r="Y12" s="102"/>
      <c r="Z12" s="102"/>
      <c r="AA12" s="102"/>
      <c r="AB12" s="102"/>
    </row>
    <row r="13" spans="1:28" thickBot="1" x14ac:dyDescent="0.25">
      <c r="A13" s="209"/>
      <c r="B13" s="9">
        <f ca="1">IF(ISBLANK($B13),"",COUNTA($C$13:C13))</f>
        <v>1</v>
      </c>
      <c r="C13" s="205" t="s">
        <v>512</v>
      </c>
      <c r="D13" s="205"/>
      <c r="E13" s="44"/>
      <c r="F13" s="48"/>
      <c r="G13" s="48"/>
      <c r="H13" s="48"/>
      <c r="I13" s="206"/>
      <c r="J13" s="206"/>
      <c r="K13" s="206"/>
      <c r="L13" s="48"/>
      <c r="M13" s="207">
        <f>+'Sch A (Rev. Req.)'!G35</f>
        <v>11189342.156247385</v>
      </c>
      <c r="O13" s="48"/>
      <c r="P13" s="207">
        <f>+'Sch A (Rev. Req.)'!E35</f>
        <v>23773019.485332005</v>
      </c>
      <c r="Q13" s="221"/>
      <c r="R13" s="48"/>
      <c r="S13" s="208"/>
      <c r="T13" s="208"/>
      <c r="U13" s="102"/>
      <c r="V13" s="102"/>
      <c r="W13" s="102"/>
      <c r="X13" s="102"/>
      <c r="Y13" s="102"/>
      <c r="Z13" s="102"/>
      <c r="AA13" s="102"/>
      <c r="AB13" s="102"/>
    </row>
    <row r="14" spans="1:28" ht="12.75" x14ac:dyDescent="0.2">
      <c r="A14" s="209"/>
      <c r="B14" s="9"/>
      <c r="C14" s="205"/>
      <c r="D14" s="205"/>
      <c r="E14" s="44"/>
      <c r="F14" s="48"/>
      <c r="G14" s="48"/>
      <c r="H14" s="48"/>
      <c r="I14" s="105"/>
      <c r="J14" s="105"/>
      <c r="K14" s="105"/>
      <c r="L14" s="48"/>
      <c r="M14" s="209"/>
      <c r="N14" s="209"/>
      <c r="O14" s="48"/>
      <c r="P14" s="209"/>
      <c r="Q14" s="209"/>
      <c r="R14" s="48"/>
      <c r="S14" s="209"/>
      <c r="T14" s="209"/>
      <c r="U14" s="102"/>
      <c r="V14" s="102"/>
      <c r="W14" s="102"/>
      <c r="X14" s="102"/>
      <c r="Y14" s="102"/>
      <c r="Z14" s="102"/>
      <c r="AA14" s="102"/>
      <c r="AB14" s="102"/>
    </row>
    <row r="15" spans="1:28" ht="12.75" x14ac:dyDescent="0.2">
      <c r="A15" s="209"/>
      <c r="B15" s="9">
        <f ca="1">IF(ISBLANK($B15),"",COUNTA($C$13:C15))</f>
        <v>2</v>
      </c>
      <c r="C15" s="205" t="s">
        <v>514</v>
      </c>
      <c r="D15" s="205"/>
      <c r="L15" s="210"/>
      <c r="O15" s="210"/>
      <c r="R15" s="210"/>
      <c r="S15" s="209"/>
      <c r="T15" s="209"/>
      <c r="U15" s="102"/>
      <c r="V15" s="102"/>
      <c r="W15" s="102"/>
      <c r="X15" s="102"/>
      <c r="Y15" s="102"/>
      <c r="Z15" s="102"/>
      <c r="AA15" s="102"/>
      <c r="AB15" s="102"/>
    </row>
    <row r="16" spans="1:28" ht="12.75" x14ac:dyDescent="0.2">
      <c r="A16" s="209"/>
      <c r="B16" s="9"/>
      <c r="C16" s="205"/>
      <c r="D16" s="205"/>
      <c r="E16" s="44"/>
      <c r="F16" s="44"/>
      <c r="H16" s="44"/>
      <c r="I16" s="211"/>
      <c r="J16" s="211"/>
      <c r="K16" s="211"/>
      <c r="L16" s="44"/>
      <c r="M16" s="209"/>
      <c r="N16" s="209"/>
      <c r="O16" s="44"/>
      <c r="P16" s="209"/>
      <c r="Q16" s="209"/>
      <c r="R16" s="44"/>
      <c r="S16" s="209"/>
      <c r="T16" s="209"/>
      <c r="U16" s="102"/>
      <c r="V16" s="102"/>
      <c r="W16" s="102"/>
      <c r="X16" s="102"/>
      <c r="Y16" s="102"/>
      <c r="Z16" s="102"/>
      <c r="AA16" s="102"/>
      <c r="AB16" s="102"/>
    </row>
    <row r="17" spans="1:28" ht="12.75" x14ac:dyDescent="0.2">
      <c r="A17" s="259"/>
      <c r="B17" s="9">
        <f ca="1">IF(ISBLANK($B17),"",COUNTA($C$13:C17))</f>
        <v>3</v>
      </c>
      <c r="C17" s="212" t="s">
        <v>460</v>
      </c>
      <c r="D17" s="212"/>
      <c r="E17" s="180"/>
      <c r="F17" s="180"/>
      <c r="G17" s="213"/>
      <c r="H17" s="180"/>
      <c r="I17" s="214"/>
      <c r="J17" s="214"/>
      <c r="K17" s="214"/>
      <c r="L17" s="180"/>
      <c r="M17" s="215"/>
      <c r="N17" s="215"/>
      <c r="O17" s="180"/>
      <c r="P17" s="215"/>
      <c r="Q17" s="318"/>
      <c r="R17" s="180"/>
      <c r="S17" s="215"/>
      <c r="T17" s="215"/>
      <c r="U17" s="102"/>
      <c r="V17" s="102"/>
      <c r="W17" s="102"/>
      <c r="X17" s="102"/>
      <c r="Y17" s="102"/>
      <c r="Z17" s="102"/>
      <c r="AA17" s="102"/>
      <c r="AB17" s="102"/>
    </row>
    <row r="18" spans="1:28" ht="12.75" outlineLevel="2" x14ac:dyDescent="0.2">
      <c r="A18" s="259"/>
      <c r="B18" s="9">
        <f ca="1">IF(ISBLANK($B18),"",COUNTA($C$13:C18))</f>
        <v>4</v>
      </c>
      <c r="C18" s="216" t="s">
        <v>461</v>
      </c>
      <c r="D18" s="205"/>
      <c r="E18" s="44"/>
      <c r="F18" s="44"/>
      <c r="H18" s="44"/>
      <c r="I18" s="211"/>
      <c r="J18" s="211"/>
      <c r="K18" s="211"/>
      <c r="L18" s="44"/>
      <c r="M18" s="209"/>
      <c r="N18" s="209"/>
      <c r="O18" s="44"/>
      <c r="P18" s="209"/>
      <c r="Q18" s="209"/>
      <c r="R18" s="44"/>
      <c r="S18" s="209"/>
      <c r="T18" s="209"/>
      <c r="U18" s="102"/>
      <c r="V18" s="102"/>
      <c r="W18" s="102"/>
      <c r="X18" s="102"/>
      <c r="Y18" s="102"/>
      <c r="Z18" s="102"/>
      <c r="AA18" s="102"/>
      <c r="AB18" s="102"/>
    </row>
    <row r="19" spans="1:28" ht="12.75" outlineLevel="3" x14ac:dyDescent="0.2">
      <c r="A19" s="259"/>
      <c r="B19" s="9">
        <f ca="1">IF(ISBLANK($B19),"",COUNTA($C$13:C19))</f>
        <v>5</v>
      </c>
      <c r="C19" s="273" t="s">
        <v>462</v>
      </c>
      <c r="D19" s="217"/>
      <c r="E19" s="44" t="s">
        <v>463</v>
      </c>
      <c r="F19" s="218"/>
      <c r="G19" s="105">
        <f>+'Sch A (Rev. Req.)'!E19</f>
        <v>518827311.76319563</v>
      </c>
      <c r="H19" s="218"/>
      <c r="I19" s="346">
        <f>+G19</f>
        <v>518827311.76319563</v>
      </c>
      <c r="J19" s="346"/>
      <c r="K19" s="346"/>
      <c r="L19" s="218"/>
      <c r="O19" s="218"/>
      <c r="R19" s="218"/>
      <c r="U19" s="102"/>
      <c r="V19" s="102"/>
      <c r="W19" s="102"/>
      <c r="X19" s="102"/>
      <c r="Y19" s="102"/>
      <c r="Z19" s="102"/>
      <c r="AA19" s="102"/>
      <c r="AB19" s="102"/>
    </row>
    <row r="20" spans="1:28" ht="12.75" outlineLevel="3" x14ac:dyDescent="0.2">
      <c r="A20" s="255"/>
      <c r="B20" s="9">
        <f ca="1">IF(ISBLANK($B20),"",COUNTA($C$13:C20))</f>
        <v>6</v>
      </c>
      <c r="C20" s="273" t="s">
        <v>464</v>
      </c>
      <c r="E20" s="44" t="s">
        <v>465</v>
      </c>
      <c r="F20" s="218"/>
      <c r="G20" s="220">
        <f>+'J-1.1,J-1.2 (FTP 13MO AVG WACC)'!N25</f>
        <v>7.5816122584943371E-2</v>
      </c>
      <c r="H20" s="218"/>
      <c r="I20" s="343">
        <f>+'J-1.1,J-1.2 (FTP 13MO AVG WACC)'!S25</f>
        <v>6.7288474350433058E-2</v>
      </c>
      <c r="J20" s="343"/>
      <c r="K20" s="343"/>
      <c r="L20" s="218"/>
      <c r="M20" s="105"/>
      <c r="N20" s="105"/>
      <c r="O20" s="218"/>
      <c r="P20" s="105"/>
      <c r="Q20" s="105"/>
      <c r="R20" s="218"/>
      <c r="S20" s="105"/>
      <c r="T20" s="105"/>
      <c r="U20" s="102"/>
      <c r="V20" s="102"/>
      <c r="W20" s="102"/>
      <c r="X20" s="102"/>
      <c r="Y20" s="102"/>
      <c r="Z20" s="102"/>
      <c r="AA20" s="102"/>
      <c r="AB20" s="102"/>
    </row>
    <row r="21" spans="1:28" ht="12.75" outlineLevel="3" x14ac:dyDescent="0.2">
      <c r="A21" s="255"/>
      <c r="B21" s="9">
        <f ca="1">IF(ISBLANK($B21),"",COUNTA($C$13:C21))</f>
        <v>7</v>
      </c>
      <c r="C21" s="273" t="s">
        <v>451</v>
      </c>
      <c r="E21" s="44"/>
      <c r="F21" s="105"/>
      <c r="G21" s="105">
        <f>+G19*G20</f>
        <v>39335475.069055073</v>
      </c>
      <c r="H21" s="105"/>
      <c r="I21" s="346">
        <f>+I19*I20</f>
        <v>34911098.259881929</v>
      </c>
      <c r="J21" s="346"/>
      <c r="K21" s="346"/>
      <c r="L21" s="218"/>
      <c r="N21" s="222"/>
      <c r="O21" s="105"/>
      <c r="R21" s="105"/>
      <c r="T21" s="320"/>
      <c r="U21" s="102"/>
      <c r="V21" s="102"/>
      <c r="W21" s="102"/>
      <c r="X21" s="102"/>
      <c r="Y21" s="102"/>
      <c r="Z21" s="102"/>
      <c r="AA21" s="102"/>
      <c r="AB21" s="102"/>
    </row>
    <row r="22" spans="1:28" ht="12.75" outlineLevel="2" x14ac:dyDescent="0.2">
      <c r="A22" s="255"/>
      <c r="B22" s="9">
        <f ca="1">IF(ISBLANK($B22),"",COUNTA($C$13:C22))</f>
        <v>8</v>
      </c>
      <c r="C22" s="276" t="s">
        <v>656</v>
      </c>
      <c r="E22" s="44"/>
      <c r="F22" s="105"/>
      <c r="G22" s="105">
        <f>+G21*'Sch H-1 (Conversion Factor)'!$J$36</f>
        <v>39551898.852885008</v>
      </c>
      <c r="H22" s="105"/>
      <c r="I22" s="346">
        <f>+I21*'Sch H-1 (Conversion Factor)'!$J$36</f>
        <v>35103179.122507796</v>
      </c>
      <c r="J22" s="346"/>
      <c r="K22" s="346"/>
      <c r="L22" s="218"/>
      <c r="M22" s="221">
        <f>+ROUND(G22-I22,0)-1</f>
        <v>4448719</v>
      </c>
      <c r="N22" s="222"/>
      <c r="O22" s="105"/>
      <c r="P22" s="257">
        <f>ROUND(-(('J-1.1,J-1.2 (FTP 13MO AVG WACC)'!R25-'J-1.1,J-1.2 (FTP 13MO AVG WACC)'!M25)*I19)*'Sch H-1 (Conversion Factor)'!G36,0)</f>
        <v>4448719</v>
      </c>
      <c r="Q22" s="341">
        <f>+SUM(P22:P27)</f>
        <v>4587742</v>
      </c>
      <c r="R22" s="105"/>
      <c r="T22" s="320"/>
      <c r="U22" s="102"/>
      <c r="V22" s="102"/>
      <c r="W22" s="102"/>
      <c r="X22" s="102"/>
      <c r="Y22" s="102"/>
      <c r="Z22" s="102"/>
      <c r="AA22" s="102"/>
      <c r="AB22" s="102"/>
    </row>
    <row r="23" spans="1:28" ht="12.75" outlineLevel="2" x14ac:dyDescent="0.2">
      <c r="A23" s="255"/>
      <c r="B23" s="9"/>
      <c r="E23" s="44"/>
      <c r="F23" s="105"/>
      <c r="G23" s="105"/>
      <c r="H23" s="105"/>
      <c r="I23" s="105"/>
      <c r="J23" s="105"/>
      <c r="K23" s="105"/>
      <c r="L23" s="218"/>
      <c r="M23" s="221"/>
      <c r="N23" s="222"/>
      <c r="O23" s="105"/>
      <c r="Q23" s="341"/>
      <c r="R23" s="105"/>
      <c r="S23" s="320"/>
      <c r="T23" s="320"/>
      <c r="U23" s="102"/>
      <c r="V23" s="102"/>
      <c r="W23" s="102"/>
      <c r="X23" s="102"/>
      <c r="Y23" s="102"/>
      <c r="Z23" s="102"/>
      <c r="AA23" s="102"/>
      <c r="AB23" s="102"/>
    </row>
    <row r="24" spans="1:28" ht="12.75" outlineLevel="2" x14ac:dyDescent="0.2">
      <c r="A24" s="255"/>
      <c r="B24" s="9">
        <f ca="1">IF(ISBLANK($B24),"",COUNTA($C$13:C24))</f>
        <v>9</v>
      </c>
      <c r="C24" s="225" t="s">
        <v>466</v>
      </c>
      <c r="E24" s="44"/>
      <c r="F24" s="218"/>
      <c r="G24" s="105"/>
      <c r="H24" s="218"/>
      <c r="I24" s="226"/>
      <c r="J24" s="226"/>
      <c r="K24" s="226"/>
      <c r="L24" s="218"/>
      <c r="M24" s="227"/>
      <c r="N24" s="105"/>
      <c r="O24" s="218"/>
      <c r="Q24" s="341"/>
      <c r="R24" s="218"/>
      <c r="S24" s="320"/>
      <c r="T24" s="320"/>
      <c r="U24" s="102"/>
      <c r="V24" s="102"/>
      <c r="W24" s="102"/>
      <c r="X24" s="102"/>
      <c r="Y24" s="102"/>
      <c r="Z24" s="102"/>
      <c r="AA24" s="102"/>
      <c r="AB24" s="102"/>
    </row>
    <row r="25" spans="1:28" ht="12.75" outlineLevel="3" x14ac:dyDescent="0.2">
      <c r="A25" s="255"/>
      <c r="B25" s="9">
        <f ca="1">IF(ISBLANK($B25),"",COUNTA($C$13:C25))</f>
        <v>10</v>
      </c>
      <c r="C25" s="273" t="s">
        <v>462</v>
      </c>
      <c r="D25" s="228"/>
      <c r="E25" s="44" t="s">
        <v>463</v>
      </c>
      <c r="F25" s="218"/>
      <c r="G25" s="105">
        <f>+G19</f>
        <v>518827311.76319563</v>
      </c>
      <c r="H25" s="218"/>
      <c r="I25" s="346">
        <f>+G25</f>
        <v>518827311.76319563</v>
      </c>
      <c r="J25" s="346"/>
      <c r="K25" s="346"/>
      <c r="L25" s="218"/>
      <c r="M25" s="229"/>
      <c r="O25" s="218"/>
      <c r="Q25" s="341"/>
      <c r="R25" s="218"/>
      <c r="S25" s="320"/>
      <c r="T25" s="320"/>
      <c r="U25" s="102"/>
      <c r="V25" s="102"/>
      <c r="W25" s="102"/>
      <c r="X25" s="102"/>
      <c r="Y25" s="102"/>
      <c r="Z25" s="102"/>
      <c r="AA25" s="102"/>
      <c r="AB25" s="102"/>
    </row>
    <row r="26" spans="1:28" ht="12.75" outlineLevel="3" x14ac:dyDescent="0.2">
      <c r="A26" s="255"/>
      <c r="B26" s="9">
        <f ca="1">IF(ISBLANK($B26),"",COUNTA($C$13:C26))</f>
        <v>11</v>
      </c>
      <c r="C26" s="275" t="s">
        <v>467</v>
      </c>
      <c r="E26" s="44" t="s">
        <v>465</v>
      </c>
      <c r="G26" s="220">
        <f>+'J-1.1,J-1.2 (FTP 13MO AVG WACC)'!N21</f>
        <v>2.2200000000000001E-2</v>
      </c>
      <c r="I26" s="343">
        <f>+'J-1.1,J-1.2 (FTP 13MO AVG WACC)'!S21</f>
        <v>2.1999999999999999E-2</v>
      </c>
      <c r="J26" s="343"/>
      <c r="K26" s="343"/>
      <c r="M26" s="227"/>
      <c r="N26" s="105"/>
      <c r="Q26" s="341"/>
      <c r="S26" s="320"/>
      <c r="T26" s="320"/>
      <c r="U26" s="102"/>
      <c r="V26" s="102"/>
      <c r="W26" s="102"/>
      <c r="X26" s="102"/>
      <c r="Y26" s="102"/>
      <c r="Z26" s="102"/>
      <c r="AA26" s="102"/>
      <c r="AB26" s="102"/>
    </row>
    <row r="27" spans="1:28" ht="12.75" outlineLevel="2" x14ac:dyDescent="0.2">
      <c r="A27" s="255"/>
      <c r="B27" s="9">
        <f ca="1">IF(ISBLANK($B27),"",COUNTA($C$13:C27))</f>
        <v>12</v>
      </c>
      <c r="C27" s="276" t="s">
        <v>655</v>
      </c>
      <c r="E27" s="44"/>
      <c r="F27" s="105"/>
      <c r="G27" s="105">
        <f>+(G25*G26)*'Sch H-1 (Conversion Factor)'!$J$36</f>
        <v>11581338.171841871</v>
      </c>
      <c r="H27" s="105"/>
      <c r="I27" s="346">
        <f>+(I25*I26)*'Sch H-1 (Conversion Factor)'!$J$36</f>
        <v>11477001.791915366</v>
      </c>
      <c r="J27" s="346"/>
      <c r="K27" s="346"/>
      <c r="M27" s="221">
        <f>+ROUND(G27-I27,0)</f>
        <v>104336</v>
      </c>
      <c r="N27" s="222"/>
      <c r="O27" s="105"/>
      <c r="P27" s="257">
        <f>ROUND(-((SUM('J-1.1,J-1.2 (FTP 13MO AVG WACC)'!R19:R21)-SUM('J-1.1,J-1.2 (FTP 13MO AVG WACC)'!M19:M21))*I25)*'Sch H-1 (Conversion Factor)'!G36,0)+1</f>
        <v>139023</v>
      </c>
      <c r="Q27" s="341"/>
      <c r="R27" s="105"/>
      <c r="S27" s="342">
        <f>-ROUND(Q22-SUM(M22:M27),0)</f>
        <v>-34687</v>
      </c>
      <c r="T27" s="342"/>
      <c r="U27" s="102"/>
      <c r="V27" s="102"/>
      <c r="W27" s="102"/>
      <c r="X27" s="102"/>
      <c r="Y27" s="102"/>
      <c r="Z27" s="102"/>
      <c r="AA27" s="102"/>
      <c r="AB27" s="102"/>
    </row>
    <row r="28" spans="1:28" ht="12.75" outlineLevel="2" x14ac:dyDescent="0.2">
      <c r="A28" s="255"/>
      <c r="B28" s="9"/>
      <c r="E28" s="44"/>
      <c r="F28" s="105"/>
      <c r="G28" s="105"/>
      <c r="H28" s="105"/>
      <c r="I28" s="105"/>
      <c r="J28" s="105"/>
      <c r="K28" s="105"/>
      <c r="M28" s="221"/>
      <c r="N28" s="222"/>
      <c r="O28" s="105"/>
      <c r="P28" s="230"/>
      <c r="Q28" s="230"/>
      <c r="R28" s="105"/>
      <c r="S28" s="223"/>
      <c r="T28" s="222"/>
      <c r="U28" s="102"/>
      <c r="V28" s="102"/>
      <c r="W28" s="102"/>
      <c r="X28" s="102"/>
      <c r="Y28" s="102"/>
      <c r="Z28" s="102"/>
      <c r="AA28" s="102"/>
      <c r="AB28" s="102"/>
    </row>
    <row r="29" spans="1:28" ht="12.75" outlineLevel="2" x14ac:dyDescent="0.2">
      <c r="A29" s="255"/>
      <c r="B29" s="9">
        <f ca="1">IF(ISBLANK($B29),"",COUNTA($C$13:C29))</f>
        <v>13</v>
      </c>
      <c r="C29" s="225" t="s">
        <v>468</v>
      </c>
      <c r="E29" s="44"/>
      <c r="G29" s="105"/>
      <c r="I29" s="105"/>
      <c r="J29" s="105"/>
      <c r="K29" s="105"/>
      <c r="M29" s="229"/>
      <c r="S29" s="231"/>
      <c r="U29" s="102"/>
      <c r="V29" s="102"/>
      <c r="W29" s="102"/>
      <c r="X29" s="102"/>
      <c r="Y29" s="102"/>
      <c r="Z29" s="102"/>
      <c r="AA29" s="102"/>
      <c r="AB29" s="102"/>
    </row>
    <row r="30" spans="1:28" ht="12.75" outlineLevel="3" x14ac:dyDescent="0.2">
      <c r="A30" s="255"/>
      <c r="B30" s="9">
        <f ca="1">IF(ISBLANK($B30),"",COUNTA($C$13:C30))</f>
        <v>14</v>
      </c>
      <c r="C30" s="274" t="s">
        <v>469</v>
      </c>
      <c r="D30" s="228"/>
      <c r="E30" s="44" t="s">
        <v>463</v>
      </c>
      <c r="G30" s="105"/>
      <c r="I30" s="346">
        <f>+'Sch B-1 (FTP RB)'!F39</f>
        <v>-1969434</v>
      </c>
      <c r="J30" s="346"/>
      <c r="K30" s="346"/>
      <c r="M30" s="229"/>
      <c r="S30" s="231"/>
      <c r="U30" s="102"/>
      <c r="V30" s="102"/>
      <c r="W30" s="102"/>
      <c r="X30" s="102"/>
      <c r="Y30" s="102"/>
      <c r="Z30" s="102"/>
      <c r="AA30" s="102"/>
      <c r="AB30" s="102"/>
    </row>
    <row r="31" spans="1:28" ht="12.75" outlineLevel="3" x14ac:dyDescent="0.2">
      <c r="A31" s="104"/>
      <c r="B31" s="9">
        <f ca="1">IF(ISBLANK($B31),"",COUNTA($C$13:C31))</f>
        <v>15</v>
      </c>
      <c r="C31" s="274" t="s">
        <v>470</v>
      </c>
      <c r="E31" s="44" t="s">
        <v>471</v>
      </c>
      <c r="G31" s="105"/>
      <c r="I31" s="343">
        <f>+'J-1.1,J-1.2 (FTP 13MO AVG WACC)'!S27</f>
        <v>9.0288474350433051E-2</v>
      </c>
      <c r="J31" s="343"/>
      <c r="K31" s="343"/>
      <c r="M31" s="229"/>
      <c r="S31" s="231"/>
      <c r="U31" s="102"/>
      <c r="V31" s="102"/>
      <c r="W31" s="102"/>
      <c r="X31" s="102"/>
      <c r="Y31" s="102"/>
      <c r="Z31" s="102"/>
      <c r="AA31" s="102"/>
      <c r="AB31" s="102"/>
    </row>
    <row r="32" spans="1:28" ht="12.75" outlineLevel="2" x14ac:dyDescent="0.2">
      <c r="A32" s="104"/>
      <c r="B32" s="9">
        <f ca="1">IF(ISBLANK($B32),"",COUNTA($C$13:C32))</f>
        <v>16</v>
      </c>
      <c r="C32" s="276" t="s">
        <v>657</v>
      </c>
      <c r="E32" s="44"/>
      <c r="G32" s="105"/>
      <c r="I32" s="346">
        <f>+(I30*I31)*'Sch H-1 (Conversion Factor)'!$J$36</f>
        <v>-178795.54137981942</v>
      </c>
      <c r="J32" s="346"/>
      <c r="K32" s="346"/>
      <c r="M32" s="221">
        <f>ROUND(-I32,0)</f>
        <v>178796</v>
      </c>
      <c r="N32" s="222"/>
      <c r="P32" s="257">
        <v>193937</v>
      </c>
      <c r="Q32" s="257"/>
      <c r="S32" s="342">
        <f>-ROUND(P32-M32,0)</f>
        <v>-15141</v>
      </c>
      <c r="T32" s="342"/>
      <c r="U32" s="102"/>
      <c r="V32" s="102"/>
      <c r="W32" s="102"/>
      <c r="X32" s="102"/>
      <c r="Y32" s="102"/>
      <c r="Z32" s="102"/>
      <c r="AA32" s="102"/>
      <c r="AB32" s="102"/>
    </row>
    <row r="33" spans="2:28" ht="12.75" outlineLevel="2" x14ac:dyDescent="0.2">
      <c r="B33" s="9"/>
      <c r="E33" s="44"/>
      <c r="G33" s="105"/>
      <c r="I33" s="105"/>
      <c r="J33" s="105"/>
      <c r="K33" s="105"/>
      <c r="M33" s="221"/>
      <c r="N33" s="222"/>
      <c r="P33" s="257"/>
      <c r="Q33" s="257"/>
      <c r="S33" s="232"/>
      <c r="T33" s="222"/>
      <c r="U33" s="102"/>
      <c r="V33" s="102"/>
      <c r="W33" s="102"/>
      <c r="X33" s="102"/>
      <c r="Y33" s="102"/>
      <c r="Z33" s="102"/>
      <c r="AA33" s="102"/>
      <c r="AB33" s="102"/>
    </row>
    <row r="34" spans="2:28" ht="12.75" outlineLevel="2" x14ac:dyDescent="0.2">
      <c r="B34" s="9">
        <f ca="1">IF(ISBLANK($B34),"",COUNTA($C$13:C34))</f>
        <v>17</v>
      </c>
      <c r="C34" s="225" t="s">
        <v>472</v>
      </c>
      <c r="E34" s="44"/>
      <c r="G34" s="105"/>
      <c r="I34" s="105"/>
      <c r="J34" s="105"/>
      <c r="K34" s="105"/>
      <c r="M34" s="227"/>
      <c r="N34" s="105"/>
      <c r="P34" s="105"/>
      <c r="Q34" s="105"/>
      <c r="S34" s="219"/>
      <c r="T34" s="105"/>
      <c r="U34" s="102"/>
      <c r="V34" s="102"/>
      <c r="W34" s="102"/>
      <c r="X34" s="102"/>
      <c r="Y34" s="102"/>
      <c r="Z34" s="102"/>
      <c r="AA34" s="102"/>
      <c r="AB34" s="102"/>
    </row>
    <row r="35" spans="2:28" ht="12.75" outlineLevel="3" x14ac:dyDescent="0.2">
      <c r="B35" s="9">
        <f ca="1">IF(ISBLANK($B35),"",COUNTA($C$13:C35))</f>
        <v>18</v>
      </c>
      <c r="C35" s="274" t="s">
        <v>473</v>
      </c>
      <c r="D35" s="228"/>
      <c r="E35" s="44" t="s">
        <v>463</v>
      </c>
      <c r="G35" s="105"/>
      <c r="I35" s="346">
        <f>+'Sch B-1 (FTP RB)'!F29</f>
        <v>-9402090</v>
      </c>
      <c r="J35" s="346"/>
      <c r="K35" s="346"/>
      <c r="M35" s="229"/>
      <c r="S35" s="219"/>
      <c r="U35" s="102"/>
      <c r="V35" s="102"/>
      <c r="W35" s="102"/>
      <c r="X35" s="102"/>
      <c r="Y35" s="102"/>
      <c r="Z35" s="102"/>
      <c r="AA35" s="102"/>
      <c r="AB35" s="102"/>
    </row>
    <row r="36" spans="2:28" ht="12.75" outlineLevel="3" x14ac:dyDescent="0.2">
      <c r="B36" s="9">
        <f ca="1">IF(ISBLANK($B36),"",COUNTA($C$13:C36))</f>
        <v>19</v>
      </c>
      <c r="C36" s="274" t="s">
        <v>470</v>
      </c>
      <c r="E36" s="44" t="s">
        <v>471</v>
      </c>
      <c r="F36" s="224"/>
      <c r="G36" s="224"/>
      <c r="H36" s="224"/>
      <c r="I36" s="343">
        <f>+I31</f>
        <v>9.0288474350433051E-2</v>
      </c>
      <c r="J36" s="343"/>
      <c r="K36" s="343"/>
      <c r="M36" s="233"/>
      <c r="N36" s="222"/>
      <c r="O36" s="224"/>
      <c r="P36" s="222"/>
      <c r="Q36" s="222"/>
      <c r="R36" s="224"/>
      <c r="S36" s="232"/>
      <c r="T36" s="222"/>
      <c r="U36" s="102"/>
      <c r="V36" s="102"/>
      <c r="W36" s="102"/>
      <c r="X36" s="102"/>
      <c r="Y36" s="102"/>
      <c r="Z36" s="102"/>
      <c r="AA36" s="102"/>
      <c r="AB36" s="102"/>
    </row>
    <row r="37" spans="2:28" ht="12.75" outlineLevel="2" x14ac:dyDescent="0.2">
      <c r="B37" s="9">
        <f ca="1">IF(ISBLANK($B37),"",COUNTA($C$13:C37))</f>
        <v>20</v>
      </c>
      <c r="C37" s="276" t="s">
        <v>659</v>
      </c>
      <c r="I37" s="346">
        <f>+(I35*I36)*'Sch H-1 (Conversion Factor)'!$J$36</f>
        <v>-853571.0115961167</v>
      </c>
      <c r="J37" s="346"/>
      <c r="K37" s="346"/>
      <c r="M37" s="221">
        <f>ROUND(-I37,0)-1</f>
        <v>853570</v>
      </c>
      <c r="N37" s="222"/>
      <c r="P37" s="257">
        <v>925857</v>
      </c>
      <c r="Q37" s="257"/>
      <c r="S37" s="342">
        <f>-ROUND(P37-M37,0)</f>
        <v>-72287</v>
      </c>
      <c r="T37" s="342"/>
      <c r="U37" s="102"/>
      <c r="V37" s="102"/>
      <c r="W37" s="102"/>
      <c r="X37" s="102"/>
      <c r="Y37" s="102"/>
      <c r="Z37" s="102"/>
      <c r="AA37" s="102"/>
      <c r="AB37" s="102"/>
    </row>
    <row r="38" spans="2:28" ht="12.75" outlineLevel="2" x14ac:dyDescent="0.2">
      <c r="B38" s="9"/>
      <c r="I38" s="105"/>
      <c r="M38" s="221"/>
      <c r="N38" s="222"/>
      <c r="P38" s="222"/>
      <c r="Q38" s="222"/>
      <c r="S38" s="232"/>
      <c r="U38" s="102"/>
      <c r="V38" s="102"/>
      <c r="W38" s="102"/>
      <c r="X38" s="102"/>
      <c r="Y38" s="102"/>
      <c r="Z38" s="102"/>
      <c r="AA38" s="102"/>
      <c r="AB38" s="102"/>
    </row>
    <row r="39" spans="2:28" outlineLevel="1" thickBot="1" x14ac:dyDescent="0.25">
      <c r="B39" s="9">
        <f ca="1">IF(ISBLANK($B39),"",COUNTA($C$13:C39))</f>
        <v>21</v>
      </c>
      <c r="C39" s="229" t="s">
        <v>624</v>
      </c>
      <c r="I39" s="105"/>
      <c r="M39" s="234">
        <f>SUM(M22:M37)</f>
        <v>5585421</v>
      </c>
      <c r="N39" s="222"/>
      <c r="P39" s="234">
        <f>SUM(P21:P37)</f>
        <v>5707536</v>
      </c>
      <c r="Q39" s="221"/>
      <c r="S39" s="347">
        <f>SUM(S23:S37)</f>
        <v>-122115</v>
      </c>
      <c r="T39" s="347"/>
      <c r="U39" s="102"/>
      <c r="V39" s="102"/>
      <c r="W39" s="102"/>
      <c r="X39" s="102"/>
      <c r="Y39" s="102"/>
      <c r="Z39" s="102"/>
      <c r="AA39" s="102"/>
      <c r="AB39" s="102"/>
    </row>
    <row r="40" spans="2:28" outlineLevel="2" thickTop="1" x14ac:dyDescent="0.2">
      <c r="B40" s="9"/>
      <c r="C40" s="229"/>
      <c r="I40" s="105"/>
      <c r="M40" s="221"/>
      <c r="N40" s="222"/>
      <c r="P40" s="221"/>
      <c r="Q40" s="221"/>
      <c r="S40" s="321"/>
      <c r="T40" s="321"/>
      <c r="U40" s="102"/>
      <c r="V40" s="102"/>
      <c r="W40" s="102"/>
      <c r="X40" s="102"/>
      <c r="Y40" s="102"/>
      <c r="Z40" s="102"/>
      <c r="AA40" s="102"/>
      <c r="AB40" s="102"/>
    </row>
    <row r="41" spans="2:28" ht="12.75" outlineLevel="2" x14ac:dyDescent="0.2">
      <c r="B41" s="9">
        <f ca="1">IF(ISBLANK($B41),"",COUNTA($C$13:C41))</f>
        <v>22</v>
      </c>
      <c r="C41" s="225" t="s">
        <v>623</v>
      </c>
      <c r="E41" s="44"/>
      <c r="G41" s="105"/>
      <c r="I41" s="105"/>
      <c r="J41" s="105"/>
      <c r="K41" s="105"/>
      <c r="M41" s="227"/>
      <c r="N41" s="105"/>
      <c r="P41" s="105"/>
      <c r="Q41" s="105"/>
      <c r="S41" s="219"/>
      <c r="T41" s="105"/>
      <c r="U41" s="102"/>
      <c r="V41" s="102"/>
      <c r="W41" s="102"/>
      <c r="X41" s="102"/>
      <c r="Y41" s="102"/>
      <c r="Z41" s="102"/>
      <c r="AA41" s="102"/>
      <c r="AB41" s="102"/>
    </row>
    <row r="42" spans="2:28" ht="12.75" outlineLevel="3" x14ac:dyDescent="0.2">
      <c r="B42" s="9">
        <f ca="1">IF(ISBLANK($B42),"",COUNTA($C$13:C42))</f>
        <v>23</v>
      </c>
      <c r="C42" s="274" t="s">
        <v>625</v>
      </c>
      <c r="D42" s="228"/>
      <c r="E42" s="44" t="s">
        <v>463</v>
      </c>
      <c r="G42" s="322">
        <f>-'Sch B-1 (FTP RB)'!F35</f>
        <v>3490855.384615385</v>
      </c>
      <c r="I42" s="105"/>
      <c r="J42" s="105"/>
      <c r="K42" s="105"/>
      <c r="M42" s="229"/>
      <c r="S42" s="219"/>
      <c r="U42" s="102"/>
      <c r="V42" s="102"/>
      <c r="W42" s="102"/>
      <c r="X42" s="102"/>
      <c r="Y42" s="102"/>
      <c r="Z42" s="102"/>
      <c r="AA42" s="102"/>
      <c r="AB42" s="102"/>
    </row>
    <row r="43" spans="2:28" ht="12.75" outlineLevel="3" x14ac:dyDescent="0.2">
      <c r="B43" s="9">
        <f ca="1">IF(ISBLANK($B43),"",COUNTA($C$13:C43))</f>
        <v>24</v>
      </c>
      <c r="C43" s="274" t="s">
        <v>470</v>
      </c>
      <c r="E43" s="44" t="s">
        <v>471</v>
      </c>
      <c r="F43" s="224"/>
      <c r="G43" s="323">
        <f>+I36</f>
        <v>9.0288474350433051E-2</v>
      </c>
      <c r="H43" s="224"/>
      <c r="I43" s="105"/>
      <c r="J43" s="105"/>
      <c r="K43" s="105"/>
      <c r="M43" s="233"/>
      <c r="N43" s="222"/>
      <c r="O43" s="224"/>
      <c r="P43" s="222"/>
      <c r="Q43" s="222"/>
      <c r="R43" s="224"/>
      <c r="S43" s="232"/>
      <c r="T43" s="222"/>
      <c r="U43" s="102"/>
      <c r="V43" s="102"/>
      <c r="W43" s="102"/>
      <c r="X43" s="102"/>
      <c r="Y43" s="102"/>
      <c r="Z43" s="102"/>
      <c r="AA43" s="102"/>
      <c r="AB43" s="102"/>
    </row>
    <row r="44" spans="2:28" ht="12.75" outlineLevel="2" x14ac:dyDescent="0.2">
      <c r="B44" s="9">
        <f ca="1">IF(ISBLANK($B44),"",COUNTA($C$13:C44))</f>
        <v>25</v>
      </c>
      <c r="C44" s="276" t="s">
        <v>658</v>
      </c>
      <c r="G44" s="322">
        <f>+(G42*G43)*'Sch H-1 (Conversion Factor)'!$J$36</f>
        <v>316918.14926063298</v>
      </c>
      <c r="I44" s="105"/>
      <c r="J44" s="105"/>
      <c r="K44" s="105"/>
      <c r="M44" s="321">
        <f>ROUND(-G44,0)</f>
        <v>-316918</v>
      </c>
      <c r="N44" s="324"/>
      <c r="P44" s="257">
        <v>0</v>
      </c>
      <c r="Q44" s="257"/>
      <c r="S44" s="342">
        <f>-ROUND(P44-M44,0)</f>
        <v>-316918</v>
      </c>
      <c r="T44" s="342"/>
      <c r="U44" s="102"/>
      <c r="V44" s="102"/>
      <c r="W44" s="102"/>
      <c r="X44" s="102"/>
      <c r="Y44" s="102"/>
      <c r="Z44" s="102"/>
      <c r="AA44" s="102"/>
      <c r="AB44" s="102"/>
    </row>
    <row r="45" spans="2:28" ht="12.75" outlineLevel="2" x14ac:dyDescent="0.2">
      <c r="B45" s="9"/>
      <c r="I45" s="105"/>
      <c r="M45" s="221"/>
      <c r="N45" s="222"/>
      <c r="P45" s="222"/>
      <c r="Q45" s="222"/>
      <c r="S45" s="232"/>
      <c r="U45" s="102"/>
      <c r="V45" s="102"/>
      <c r="W45" s="102"/>
      <c r="X45" s="102"/>
      <c r="Y45" s="102"/>
      <c r="Z45" s="102"/>
      <c r="AA45" s="102"/>
      <c r="AB45" s="102"/>
    </row>
    <row r="46" spans="2:28" thickBot="1" x14ac:dyDescent="0.25">
      <c r="B46" s="9">
        <f ca="1">IF(ISBLANK($B46),"",COUNTA($C$13:C46))</f>
        <v>26</v>
      </c>
      <c r="C46" s="229" t="s">
        <v>474</v>
      </c>
      <c r="I46" s="105"/>
      <c r="M46" s="234">
        <f>+M39+M44</f>
        <v>5268503</v>
      </c>
      <c r="N46" s="222"/>
      <c r="P46" s="234">
        <f>+P39+P44</f>
        <v>5707536</v>
      </c>
      <c r="Q46" s="221"/>
      <c r="S46" s="347">
        <f>+S39+S44</f>
        <v>-439033</v>
      </c>
      <c r="T46" s="347"/>
      <c r="U46" s="102"/>
      <c r="V46" s="102"/>
      <c r="W46" s="102"/>
      <c r="X46" s="102"/>
      <c r="Y46" s="102"/>
      <c r="Z46" s="102"/>
      <c r="AA46" s="102"/>
      <c r="AB46" s="102"/>
    </row>
    <row r="47" spans="2:28" thickTop="1" x14ac:dyDescent="0.2">
      <c r="B47" s="9"/>
      <c r="I47" s="105"/>
      <c r="J47" s="105"/>
      <c r="K47" s="105"/>
      <c r="M47" s="229"/>
      <c r="S47" s="219"/>
      <c r="U47" s="102"/>
      <c r="V47" s="102"/>
      <c r="W47" s="102"/>
      <c r="X47" s="102"/>
      <c r="Y47" s="102"/>
      <c r="Z47" s="102"/>
      <c r="AA47" s="102"/>
      <c r="AB47" s="102"/>
    </row>
    <row r="48" spans="2:28" ht="15" x14ac:dyDescent="0.35">
      <c r="B48" s="9">
        <f ca="1">IF(ISBLANK($B48),"",COUNTA($C$13:C48))</f>
        <v>27</v>
      </c>
      <c r="C48" s="212" t="s">
        <v>475</v>
      </c>
      <c r="D48" s="213"/>
      <c r="E48" s="236"/>
      <c r="F48" s="213"/>
      <c r="G48" s="237"/>
      <c r="H48" s="213"/>
      <c r="I48" s="213"/>
      <c r="J48" s="238"/>
      <c r="K48" s="213"/>
      <c r="L48" s="213"/>
      <c r="M48" s="239"/>
      <c r="N48" s="213"/>
      <c r="O48" s="213"/>
      <c r="P48" s="213"/>
      <c r="Q48" s="319"/>
      <c r="R48" s="213"/>
      <c r="S48" s="240"/>
      <c r="T48" s="213"/>
      <c r="U48" s="102"/>
      <c r="V48" s="102"/>
      <c r="W48" s="102"/>
      <c r="X48" s="102"/>
      <c r="Y48" s="102"/>
      <c r="Z48" s="102"/>
      <c r="AA48" s="102"/>
      <c r="AB48" s="102"/>
    </row>
    <row r="49" spans="2:28" ht="45" x14ac:dyDescent="0.35">
      <c r="B49" s="9"/>
      <c r="C49" s="228"/>
      <c r="D49" s="228"/>
      <c r="E49" s="224"/>
      <c r="G49" s="241"/>
      <c r="I49" s="243" t="s">
        <v>476</v>
      </c>
      <c r="J49" s="243" t="s">
        <v>477</v>
      </c>
      <c r="K49" s="242" t="s">
        <v>478</v>
      </c>
      <c r="M49" s="229"/>
      <c r="S49" s="219"/>
      <c r="U49" s="102"/>
      <c r="V49" s="102"/>
      <c r="W49" s="102"/>
      <c r="X49" s="102"/>
      <c r="Y49" s="102"/>
      <c r="Z49" s="102"/>
      <c r="AA49" s="102"/>
      <c r="AB49" s="102"/>
    </row>
    <row r="50" spans="2:28" ht="15" outlineLevel="1" x14ac:dyDescent="0.35">
      <c r="B50" s="9"/>
      <c r="C50" s="228"/>
      <c r="D50" s="228"/>
      <c r="E50" s="224"/>
      <c r="G50" s="241"/>
      <c r="I50" s="241"/>
      <c r="J50" s="90"/>
      <c r="K50" s="241"/>
      <c r="M50" s="229"/>
      <c r="S50" s="219"/>
      <c r="U50" s="102"/>
      <c r="V50" s="102"/>
      <c r="W50" s="102"/>
      <c r="X50" s="102"/>
      <c r="Y50" s="102"/>
      <c r="Z50" s="102"/>
      <c r="AA50" s="102"/>
      <c r="AB50" s="102"/>
    </row>
    <row r="51" spans="2:28" ht="15" outlineLevel="1" x14ac:dyDescent="0.35">
      <c r="B51" s="9">
        <f ca="1">IF(ISBLANK($B51),"",COUNTA($C$13:C51))</f>
        <v>28</v>
      </c>
      <c r="C51" s="225" t="s">
        <v>626</v>
      </c>
      <c r="D51" s="228"/>
      <c r="E51" s="224"/>
      <c r="G51" s="242" t="s">
        <v>494</v>
      </c>
      <c r="I51" s="105"/>
      <c r="K51" s="105"/>
      <c r="M51" s="229"/>
      <c r="S51" s="219"/>
      <c r="U51" s="102"/>
      <c r="V51" s="102"/>
      <c r="W51" s="102"/>
      <c r="X51" s="102"/>
      <c r="Y51" s="102"/>
      <c r="Z51" s="102"/>
      <c r="AA51" s="102"/>
      <c r="AB51" s="102"/>
    </row>
    <row r="52" spans="2:28" ht="12.75" outlineLevel="2" x14ac:dyDescent="0.2">
      <c r="B52" s="9">
        <f ca="1">IF(ISBLANK($B52),"",COUNTA($C$13:C52))</f>
        <v>29</v>
      </c>
      <c r="C52" s="274" t="s">
        <v>480</v>
      </c>
      <c r="D52" s="224" t="s">
        <v>479</v>
      </c>
      <c r="E52" s="44" t="s">
        <v>493</v>
      </c>
      <c r="G52" s="105"/>
      <c r="I52" s="105">
        <f>+'Sch Ds1 (FTP Op Inc Adj)'!D23</f>
        <v>-676968.8</v>
      </c>
      <c r="J52" s="105">
        <f>+(I52*'Sch H-1 (Conversion Factor)'!$J$36)-I52</f>
        <v>-3724.6823375999229</v>
      </c>
      <c r="K52" s="344">
        <f>SUM(I52:I53)+SUM(J52:J53)</f>
        <v>-727049.84492457251</v>
      </c>
      <c r="M52" s="229"/>
      <c r="S52" s="219"/>
      <c r="U52" s="102"/>
      <c r="V52" s="102"/>
      <c r="W52" s="102"/>
      <c r="X52" s="102"/>
      <c r="Y52" s="102"/>
      <c r="Z52" s="102"/>
      <c r="AA52" s="102"/>
      <c r="AB52" s="102"/>
    </row>
    <row r="53" spans="2:28" ht="12.75" outlineLevel="2" x14ac:dyDescent="0.2">
      <c r="B53" s="9">
        <f ca="1">IF(ISBLANK($B53),"",COUNTA($C$13:C53))</f>
        <v>30</v>
      </c>
      <c r="C53" s="274" t="s">
        <v>203</v>
      </c>
      <c r="D53" s="224" t="s">
        <v>479</v>
      </c>
      <c r="E53" s="44" t="s">
        <v>493</v>
      </c>
      <c r="G53" s="256">
        <v>6.8101669532339398E-2</v>
      </c>
      <c r="I53" s="105">
        <f>+I52*G53</f>
        <v>-46102.705501304365</v>
      </c>
      <c r="J53" s="105">
        <f>+(I53*'Sch H-1 (Conversion Factor)'!$J$36)-I53</f>
        <v>-253.65708566817193</v>
      </c>
      <c r="K53" s="345"/>
      <c r="M53" s="229"/>
      <c r="S53" s="219"/>
      <c r="U53" s="102"/>
      <c r="V53" s="102"/>
      <c r="W53" s="102"/>
      <c r="X53" s="102"/>
      <c r="Y53" s="102"/>
      <c r="Z53" s="102"/>
      <c r="AA53" s="102"/>
      <c r="AB53" s="102"/>
    </row>
    <row r="54" spans="2:28" ht="12.75" outlineLevel="2" x14ac:dyDescent="0.2">
      <c r="B54" s="9">
        <f ca="1">IF(ISBLANK($B54),"",COUNTA($C$13:C54))</f>
        <v>31</v>
      </c>
      <c r="C54" s="274" t="s">
        <v>480</v>
      </c>
      <c r="D54" s="224" t="s">
        <v>481</v>
      </c>
      <c r="E54" s="44" t="s">
        <v>493</v>
      </c>
      <c r="I54" s="105">
        <f>+'Sch Ds1 (FTP Op Inc Adj)'!D35</f>
        <v>-803629.60000000009</v>
      </c>
      <c r="J54" s="105">
        <f>+(I54*'Sch H-1 (Conversion Factor)'!$J$36)-I54</f>
        <v>-4421.5700591999339</v>
      </c>
      <c r="K54" s="344">
        <f>SUM(I54:I55)+SUM(J54:J55)</f>
        <v>-863080.80380779179</v>
      </c>
      <c r="M54" s="227"/>
      <c r="S54" s="219"/>
      <c r="U54" s="102"/>
      <c r="V54" s="102"/>
      <c r="W54" s="102"/>
      <c r="X54" s="102"/>
      <c r="Y54" s="102"/>
      <c r="Z54" s="102"/>
      <c r="AA54" s="102"/>
      <c r="AB54" s="102"/>
    </row>
    <row r="55" spans="2:28" ht="12.75" outlineLevel="2" x14ac:dyDescent="0.2">
      <c r="B55" s="9">
        <f ca="1">IF(ISBLANK($B55),"",COUNTA($C$13:C55))</f>
        <v>32</v>
      </c>
      <c r="C55" s="274" t="s">
        <v>576</v>
      </c>
      <c r="D55" s="224" t="s">
        <v>481</v>
      </c>
      <c r="E55" s="44" t="s">
        <v>493</v>
      </c>
      <c r="G55" s="226">
        <f>+$G$53</f>
        <v>6.8101669532339398E-2</v>
      </c>
      <c r="I55" s="105">
        <f>+I54*G55</f>
        <v>-54728.517445606107</v>
      </c>
      <c r="J55" s="105">
        <f>+(I55*'Sch H-1 (Conversion Factor)'!$J$36)-I55</f>
        <v>-301.11630298571981</v>
      </c>
      <c r="K55" s="345"/>
      <c r="M55" s="233"/>
      <c r="N55" s="222"/>
      <c r="U55" s="102"/>
      <c r="V55" s="102"/>
      <c r="W55" s="102"/>
      <c r="X55" s="102"/>
      <c r="Y55" s="102"/>
      <c r="Z55" s="102"/>
      <c r="AA55" s="102"/>
      <c r="AB55" s="102"/>
    </row>
    <row r="56" spans="2:28" ht="12.75" outlineLevel="1" x14ac:dyDescent="0.2">
      <c r="B56" s="9">
        <f ca="1">IF(ISBLANK($B56),"",COUNTA($C$13:C56))</f>
        <v>33</v>
      </c>
      <c r="C56" s="278" t="s">
        <v>480</v>
      </c>
      <c r="D56" s="244"/>
      <c r="E56" s="244"/>
      <c r="F56" s="245"/>
      <c r="G56" s="245"/>
      <c r="H56" s="245"/>
      <c r="I56" s="246">
        <f>+I52+I54+I55</f>
        <v>-1535326.9174456063</v>
      </c>
      <c r="J56" s="246">
        <f>+J52+J54+J55</f>
        <v>-8447.3686997855766</v>
      </c>
      <c r="K56" s="246">
        <f>+I56+J56</f>
        <v>-1543774.2861453919</v>
      </c>
      <c r="M56" s="233">
        <f>ROUND(-K56,0)</f>
        <v>1543774</v>
      </c>
      <c r="N56" s="310" t="s">
        <v>482</v>
      </c>
      <c r="P56" s="348">
        <v>3184032</v>
      </c>
      <c r="Q56" s="230"/>
      <c r="S56" s="349">
        <f>-ROUND(P56-M56-M57-M63-M64-M75,0)</f>
        <v>-26267</v>
      </c>
      <c r="T56" s="352" t="s">
        <v>482</v>
      </c>
      <c r="U56" s="102"/>
      <c r="V56" s="102"/>
      <c r="W56" s="102"/>
      <c r="X56" s="102"/>
      <c r="Y56" s="102"/>
      <c r="Z56" s="102"/>
      <c r="AA56" s="102"/>
      <c r="AB56" s="102"/>
    </row>
    <row r="57" spans="2:28" ht="12.75" outlineLevel="1" x14ac:dyDescent="0.2">
      <c r="B57" s="9">
        <f ca="1">IF(ISBLANK($B57),"",COUNTA($C$13:C57))</f>
        <v>34</v>
      </c>
      <c r="C57" s="278" t="s">
        <v>203</v>
      </c>
      <c r="D57" s="244"/>
      <c r="E57" s="244"/>
      <c r="F57" s="245"/>
      <c r="G57" s="245"/>
      <c r="H57" s="245"/>
      <c r="I57" s="246">
        <f>+I53</f>
        <v>-46102.705501304365</v>
      </c>
      <c r="J57" s="246">
        <f>+J53</f>
        <v>-253.65708566817193</v>
      </c>
      <c r="K57" s="246">
        <f>+I57+J57</f>
        <v>-46356.362586972537</v>
      </c>
      <c r="M57" s="233">
        <f>ROUND(-K57,0)</f>
        <v>46356</v>
      </c>
      <c r="N57" s="310" t="s">
        <v>482</v>
      </c>
      <c r="P57" s="348"/>
      <c r="Q57" s="230"/>
      <c r="S57" s="350"/>
      <c r="T57" s="352"/>
      <c r="U57" s="102"/>
      <c r="V57" s="102"/>
      <c r="W57" s="102"/>
      <c r="X57" s="102"/>
      <c r="Y57" s="102"/>
      <c r="Z57" s="102"/>
      <c r="AA57" s="102"/>
      <c r="AB57" s="102"/>
    </row>
    <row r="58" spans="2:28" ht="15" outlineLevel="1" x14ac:dyDescent="0.35">
      <c r="B58" s="9">
        <f ca="1">IF(ISBLANK($B58),"",COUNTA($C$13:C58))</f>
        <v>35</v>
      </c>
      <c r="C58" s="225" t="s">
        <v>627</v>
      </c>
      <c r="D58" s="228"/>
      <c r="E58" s="224"/>
      <c r="G58" s="241"/>
      <c r="I58" s="241"/>
      <c r="J58" s="247"/>
      <c r="K58" s="241"/>
      <c r="M58" s="229"/>
      <c r="P58" s="348"/>
      <c r="Q58" s="230"/>
      <c r="S58" s="350"/>
      <c r="T58" s="352"/>
      <c r="U58" s="102"/>
      <c r="V58" s="102"/>
      <c r="W58" s="102"/>
      <c r="X58" s="102"/>
      <c r="Y58" s="102"/>
      <c r="Z58" s="102"/>
      <c r="AA58" s="102"/>
      <c r="AB58" s="102"/>
    </row>
    <row r="59" spans="2:28" ht="12.75" outlineLevel="2" x14ac:dyDescent="0.2">
      <c r="B59" s="9">
        <f ca="1">IF(ISBLANK($B59),"",COUNTA($C$13:C59))</f>
        <v>36</v>
      </c>
      <c r="C59" s="274" t="s">
        <v>480</v>
      </c>
      <c r="D59" s="224" t="s">
        <v>479</v>
      </c>
      <c r="E59" s="44" t="s">
        <v>493</v>
      </c>
      <c r="G59" s="105"/>
      <c r="I59" s="105">
        <f>+'Sch Ds1 (FTP Op Inc Adj)'!D21</f>
        <v>-580426</v>
      </c>
      <c r="J59" s="105">
        <f>+(I59*'Sch H-1 (Conversion Factor)'!$J$36)-I59</f>
        <v>-3193.5038519999944</v>
      </c>
      <c r="K59" s="344">
        <f>SUM(I59:I60)+SUM(J59:J60)</f>
        <v>-623364.96643595677</v>
      </c>
      <c r="M59" s="229"/>
      <c r="P59" s="348"/>
      <c r="Q59" s="230"/>
      <c r="S59" s="350"/>
      <c r="T59" s="352"/>
      <c r="U59" s="102"/>
      <c r="V59" s="102"/>
      <c r="W59" s="102"/>
      <c r="X59" s="102"/>
      <c r="Y59" s="102"/>
      <c r="Z59" s="102"/>
      <c r="AA59" s="102"/>
      <c r="AB59" s="102"/>
    </row>
    <row r="60" spans="2:28" ht="12.75" outlineLevel="2" x14ac:dyDescent="0.2">
      <c r="B60" s="9">
        <f ca="1">IF(ISBLANK($B60),"",COUNTA($C$13:C60))</f>
        <v>37</v>
      </c>
      <c r="C60" s="274" t="s">
        <v>203</v>
      </c>
      <c r="D60" s="224" t="s">
        <v>479</v>
      </c>
      <c r="E60" s="44" t="s">
        <v>493</v>
      </c>
      <c r="G60" s="226">
        <f>+$G$53</f>
        <v>6.8101669532339398E-2</v>
      </c>
      <c r="I60" s="105">
        <f>+I59*G60</f>
        <v>-39527.979639977624</v>
      </c>
      <c r="J60" s="105">
        <f>+(I60*'Sch H-1 (Conversion Factor)'!$J$36)-I60</f>
        <v>-217.48294397915015</v>
      </c>
      <c r="K60" s="345"/>
      <c r="M60" s="229"/>
      <c r="P60" s="348"/>
      <c r="Q60" s="230"/>
      <c r="S60" s="350"/>
      <c r="T60" s="352"/>
      <c r="U60" s="102"/>
      <c r="V60" s="102"/>
      <c r="W60" s="102"/>
      <c r="X60" s="102"/>
      <c r="Y60" s="102"/>
      <c r="Z60" s="102"/>
      <c r="AA60" s="102"/>
      <c r="AB60" s="102"/>
    </row>
    <row r="61" spans="2:28" ht="12.75" outlineLevel="2" x14ac:dyDescent="0.2">
      <c r="B61" s="9">
        <f ca="1">IF(ISBLANK($B61),"",COUNTA($C$13:C61))</f>
        <v>38</v>
      </c>
      <c r="C61" s="274" t="s">
        <v>480</v>
      </c>
      <c r="D61" s="224" t="s">
        <v>481</v>
      </c>
      <c r="E61" s="44" t="s">
        <v>493</v>
      </c>
      <c r="G61" s="105"/>
      <c r="I61" s="105">
        <f>+'Sch Ds1 (FTP Op Inc Adj)'!D33</f>
        <v>-799831.2</v>
      </c>
      <c r="J61" s="105">
        <f>+(I61*'Sch H-1 (Conversion Factor)'!$J$36)-I61</f>
        <v>-4400.6712623998756</v>
      </c>
      <c r="K61" s="344">
        <f>SUM(I61:I62)+SUM(J61:J62)</f>
        <v>-859001.40438648674</v>
      </c>
      <c r="M61" s="229"/>
      <c r="P61" s="348"/>
      <c r="Q61" s="230"/>
      <c r="S61" s="350"/>
      <c r="T61" s="352"/>
      <c r="U61" s="102"/>
      <c r="V61" s="102"/>
      <c r="W61" s="102"/>
      <c r="X61" s="102"/>
      <c r="Y61" s="102"/>
      <c r="Z61" s="102"/>
      <c r="AA61" s="102"/>
      <c r="AB61" s="102"/>
    </row>
    <row r="62" spans="2:28" ht="12.75" outlineLevel="2" x14ac:dyDescent="0.2">
      <c r="B62" s="9">
        <f ca="1">IF(ISBLANK($B62),"",COUNTA($C$13:C62))</f>
        <v>39</v>
      </c>
      <c r="C62" s="274" t="s">
        <v>576</v>
      </c>
      <c r="D62" s="224" t="s">
        <v>481</v>
      </c>
      <c r="E62" s="44" t="s">
        <v>493</v>
      </c>
      <c r="G62" s="226">
        <f>+$G$53</f>
        <v>6.8101669532339398E-2</v>
      </c>
      <c r="I62" s="105">
        <f>+I61*G62</f>
        <v>-54469.840064054457</v>
      </c>
      <c r="J62" s="105">
        <f>+(I62*'Sch H-1 (Conversion Factor)'!$J$36)-I62</f>
        <v>-299.69306003241945</v>
      </c>
      <c r="K62" s="345"/>
      <c r="M62" s="229"/>
      <c r="P62" s="348"/>
      <c r="Q62" s="230"/>
      <c r="S62" s="350"/>
      <c r="T62" s="352"/>
      <c r="U62" s="102"/>
      <c r="V62" s="102"/>
      <c r="W62" s="102"/>
      <c r="X62" s="102"/>
      <c r="Y62" s="102"/>
      <c r="Z62" s="102"/>
      <c r="AA62" s="102"/>
      <c r="AB62" s="102"/>
    </row>
    <row r="63" spans="2:28" ht="12.75" outlineLevel="1" x14ac:dyDescent="0.2">
      <c r="B63" s="9">
        <f ca="1">IF(ISBLANK($B63),"",COUNTA($C$13:C63))</f>
        <v>40</v>
      </c>
      <c r="C63" s="278" t="s">
        <v>480</v>
      </c>
      <c r="D63" s="244"/>
      <c r="E63" s="244"/>
      <c r="F63" s="245"/>
      <c r="G63" s="245"/>
      <c r="H63" s="245"/>
      <c r="I63" s="246">
        <f>+I59+I61+I62</f>
        <v>-1434727.0400640543</v>
      </c>
      <c r="J63" s="246">
        <f>+J59+J61+J62</f>
        <v>-7893.8681744322894</v>
      </c>
      <c r="K63" s="246">
        <f>+I63+J63</f>
        <v>-1442620.9082384866</v>
      </c>
      <c r="M63" s="233">
        <f>ROUND(-K63,0)</f>
        <v>1442621</v>
      </c>
      <c r="N63" s="310" t="s">
        <v>482</v>
      </c>
      <c r="P63" s="348"/>
      <c r="Q63" s="230"/>
      <c r="S63" s="350"/>
      <c r="T63" s="352"/>
      <c r="U63" s="102"/>
      <c r="V63" s="102"/>
      <c r="W63" s="102"/>
      <c r="X63" s="102"/>
      <c r="Y63" s="102"/>
      <c r="Z63" s="102"/>
      <c r="AA63" s="102"/>
      <c r="AB63" s="102"/>
    </row>
    <row r="64" spans="2:28" ht="12.75" outlineLevel="1" x14ac:dyDescent="0.2">
      <c r="B64" s="9">
        <f ca="1">IF(ISBLANK($B64),"",COUNTA($C$13:C64))</f>
        <v>41</v>
      </c>
      <c r="C64" s="278" t="s">
        <v>203</v>
      </c>
      <c r="D64" s="244"/>
      <c r="E64" s="244"/>
      <c r="F64" s="245"/>
      <c r="G64" s="245"/>
      <c r="H64" s="245"/>
      <c r="I64" s="246">
        <f>+I60</f>
        <v>-39527.979639977624</v>
      </c>
      <c r="J64" s="246">
        <f>+J60</f>
        <v>-217.48294397915015</v>
      </c>
      <c r="K64" s="246">
        <f>+I64+J64</f>
        <v>-39745.462583956774</v>
      </c>
      <c r="M64" s="233">
        <f>ROUND(-K64,0)</f>
        <v>39745</v>
      </c>
      <c r="N64" s="310" t="s">
        <v>482</v>
      </c>
      <c r="P64" s="348"/>
      <c r="Q64" s="230"/>
      <c r="S64" s="350"/>
      <c r="T64" s="352"/>
      <c r="U64" s="102"/>
      <c r="V64" s="102"/>
      <c r="W64" s="102"/>
      <c r="X64" s="102"/>
      <c r="Y64" s="102"/>
      <c r="Z64" s="102"/>
      <c r="AA64" s="102"/>
      <c r="AB64" s="102"/>
    </row>
    <row r="65" spans="2:28" ht="12.75" outlineLevel="1" x14ac:dyDescent="0.2">
      <c r="B65" s="9">
        <f ca="1">IF(ISBLANK($B65),"",COUNTA($C$13:C65))</f>
        <v>42</v>
      </c>
      <c r="C65" s="225" t="s">
        <v>628</v>
      </c>
      <c r="D65" s="228"/>
      <c r="M65" s="229"/>
      <c r="S65" s="219"/>
      <c r="U65" s="102"/>
      <c r="V65" s="102"/>
      <c r="W65" s="102"/>
      <c r="X65" s="102"/>
      <c r="Y65" s="102"/>
      <c r="Z65" s="102"/>
      <c r="AA65" s="102"/>
      <c r="AB65" s="102"/>
    </row>
    <row r="66" spans="2:28" ht="12.75" outlineLevel="2" x14ac:dyDescent="0.2">
      <c r="B66" s="9">
        <f ca="1">IF(ISBLANK($B66),"",COUNTA($C$13:C66))</f>
        <v>43</v>
      </c>
      <c r="C66" s="274" t="s">
        <v>480</v>
      </c>
      <c r="D66" s="224" t="s">
        <v>479</v>
      </c>
      <c r="E66" s="44" t="s">
        <v>493</v>
      </c>
      <c r="I66" s="105">
        <f>+'Sch Ds1 (FTP Op Inc Adj)'!D22</f>
        <v>-80294.899999999994</v>
      </c>
      <c r="J66" s="105">
        <f>+(I66*'Sch H-1 (Conversion Factor)'!$J$36)-I66</f>
        <v>-441.78253979999863</v>
      </c>
      <c r="K66" s="344">
        <f>SUM(I66:I67)+SUM(J66:J67)</f>
        <v>-127310.52967779999</v>
      </c>
      <c r="M66" s="233"/>
      <c r="N66" s="222"/>
      <c r="P66" s="222"/>
      <c r="Q66" s="222"/>
      <c r="S66" s="232"/>
      <c r="T66" s="222"/>
      <c r="U66" s="102"/>
      <c r="V66" s="102"/>
      <c r="W66" s="102"/>
      <c r="X66" s="102"/>
      <c r="Y66" s="102"/>
      <c r="Z66" s="102"/>
      <c r="AA66" s="102"/>
      <c r="AB66" s="102"/>
    </row>
    <row r="67" spans="2:28" ht="12.75" outlineLevel="2" x14ac:dyDescent="0.2">
      <c r="B67" s="9">
        <f ca="1">IF(ISBLANK($B67),"",COUNTA($C$13:C67))</f>
        <v>44</v>
      </c>
      <c r="C67" s="274" t="s">
        <v>576</v>
      </c>
      <c r="D67" s="224" t="s">
        <v>481</v>
      </c>
      <c r="E67" s="44" t="s">
        <v>493</v>
      </c>
      <c r="I67" s="105">
        <f>+'Sch Ds1 (FTP Op Inc Adj)'!D34</f>
        <v>-46319</v>
      </c>
      <c r="J67" s="105">
        <f>+(I67*'Sch H-1 (Conversion Factor)'!$J$36)-I67</f>
        <v>-254.84713799999736</v>
      </c>
      <c r="K67" s="345"/>
      <c r="M67" s="229"/>
      <c r="N67" s="222"/>
      <c r="P67" s="222"/>
      <c r="Q67" s="222"/>
      <c r="S67" s="232"/>
      <c r="T67" s="222"/>
      <c r="U67" s="102"/>
      <c r="V67" s="102"/>
      <c r="W67" s="102"/>
      <c r="X67" s="102"/>
      <c r="Y67" s="102"/>
      <c r="Z67" s="102"/>
      <c r="AA67" s="102"/>
      <c r="AB67" s="102"/>
    </row>
    <row r="68" spans="2:28" ht="12.75" outlineLevel="1" x14ac:dyDescent="0.2">
      <c r="B68" s="9">
        <f ca="1">IF(ISBLANK($B68),"",COUNTA($C$13:C68))</f>
        <v>45</v>
      </c>
      <c r="C68" s="278" t="s">
        <v>480</v>
      </c>
      <c r="D68" s="244"/>
      <c r="E68" s="244"/>
      <c r="F68" s="245"/>
      <c r="G68" s="245"/>
      <c r="H68" s="245"/>
      <c r="I68" s="246">
        <f>+I66+I67</f>
        <v>-126613.9</v>
      </c>
      <c r="J68" s="246">
        <f>SUM(J66:J67)</f>
        <v>-696.62967779999599</v>
      </c>
      <c r="K68" s="246">
        <f>+I68+J68</f>
        <v>-127310.52967779999</v>
      </c>
      <c r="M68" s="233">
        <f>ROUND(-K68,0)</f>
        <v>127311</v>
      </c>
      <c r="P68" s="222">
        <v>127311</v>
      </c>
      <c r="Q68" s="222"/>
      <c r="S68" s="248">
        <f>-ROUND(P68-M68,0)</f>
        <v>0</v>
      </c>
      <c r="U68" s="102"/>
      <c r="V68" s="102"/>
      <c r="W68" s="102"/>
      <c r="X68" s="102"/>
      <c r="Y68" s="102"/>
      <c r="Z68" s="102"/>
      <c r="AA68" s="102"/>
      <c r="AB68" s="102"/>
    </row>
    <row r="69" spans="2:28" ht="12.75" outlineLevel="1" x14ac:dyDescent="0.2">
      <c r="B69" s="9">
        <f ca="1">IF(ISBLANK($B69),"",COUNTA($C$13:C69))</f>
        <v>46</v>
      </c>
      <c r="C69" s="225" t="s">
        <v>629</v>
      </c>
      <c r="D69" s="228"/>
      <c r="E69" s="224"/>
      <c r="G69" s="105"/>
      <c r="I69" s="105"/>
      <c r="J69" s="105"/>
      <c r="K69" s="105"/>
      <c r="M69" s="229"/>
      <c r="S69" s="219"/>
      <c r="U69" s="102"/>
      <c r="V69" s="102"/>
      <c r="W69" s="102"/>
      <c r="X69" s="102"/>
      <c r="Y69" s="102"/>
      <c r="Z69" s="102"/>
      <c r="AA69" s="102"/>
      <c r="AB69" s="102"/>
    </row>
    <row r="70" spans="2:28" ht="12.75" outlineLevel="2" x14ac:dyDescent="0.2">
      <c r="B70" s="9">
        <f ca="1">IF(ISBLANK($B70),"",COUNTA($C$13:C70))</f>
        <v>47</v>
      </c>
      <c r="C70" s="274" t="s">
        <v>480</v>
      </c>
      <c r="D70" s="224" t="s">
        <v>479</v>
      </c>
      <c r="E70" s="44" t="s">
        <v>493</v>
      </c>
      <c r="G70" s="105"/>
      <c r="I70" s="105">
        <f>+'Sch Ds1 (FTP Op Inc Adj)'!D20</f>
        <v>-1245234.1680000001</v>
      </c>
      <c r="J70" s="105">
        <f>+(I70*'Sch H-1 (Conversion Factor)'!$J$36)-I70</f>
        <v>-6851.2783923358656</v>
      </c>
      <c r="K70" s="344">
        <f>SUM(I70:I71)+SUM(J70:J71)</f>
        <v>-1337354.5556887984</v>
      </c>
      <c r="M70" s="229"/>
      <c r="S70" s="219"/>
      <c r="U70" s="102"/>
      <c r="V70" s="102"/>
      <c r="W70" s="102"/>
      <c r="X70" s="102"/>
      <c r="Y70" s="102"/>
      <c r="Z70" s="102"/>
      <c r="AA70" s="102"/>
      <c r="AB70" s="102"/>
    </row>
    <row r="71" spans="2:28" ht="12.75" outlineLevel="2" x14ac:dyDescent="0.2">
      <c r="B71" s="9">
        <f ca="1">IF(ISBLANK($B71),"",COUNTA($C$13:C71))</f>
        <v>48</v>
      </c>
      <c r="C71" s="274" t="s">
        <v>203</v>
      </c>
      <c r="D71" s="224" t="s">
        <v>479</v>
      </c>
      <c r="E71" s="44" t="s">
        <v>493</v>
      </c>
      <c r="G71" s="226">
        <f>+$G$53</f>
        <v>6.8101669532339398E-2</v>
      </c>
      <c r="I71" s="105">
        <f>+I70*G71</f>
        <v>-84802.525799513605</v>
      </c>
      <c r="J71" s="105">
        <f>+(I71*'Sch H-1 (Conversion Factor)'!$J$36)-I71</f>
        <v>-466.58349694890785</v>
      </c>
      <c r="K71" s="345"/>
      <c r="M71" s="229"/>
      <c r="S71" s="219"/>
      <c r="U71" s="102"/>
      <c r="V71" s="102"/>
      <c r="W71" s="102"/>
      <c r="X71" s="102"/>
      <c r="Y71" s="102"/>
      <c r="Z71" s="102"/>
      <c r="AA71" s="102"/>
      <c r="AB71" s="102"/>
    </row>
    <row r="72" spans="2:28" ht="12.75" outlineLevel="2" x14ac:dyDescent="0.2">
      <c r="B72" s="9">
        <f ca="1">IF(ISBLANK($B72),"",COUNTA($C$13:C72))</f>
        <v>49</v>
      </c>
      <c r="C72" s="274" t="s">
        <v>480</v>
      </c>
      <c r="D72" s="224" t="s">
        <v>481</v>
      </c>
      <c r="E72" s="44" t="s">
        <v>493</v>
      </c>
      <c r="I72" s="105">
        <f>+'Sch Ds1 (FTP Op Inc Adj)'!D32</f>
        <v>-383607.47600000002</v>
      </c>
      <c r="J72" s="105">
        <f>+(I72*'Sch H-1 (Conversion Factor)'!$J$36)-I72</f>
        <v>-2110.6083329519606</v>
      </c>
      <c r="K72" s="344">
        <f>SUM(I72:I73)+SUM(J72:J73)</f>
        <v>-411986.12984484172</v>
      </c>
      <c r="M72" s="229"/>
      <c r="S72" s="219"/>
      <c r="U72" s="102"/>
      <c r="V72" s="102"/>
      <c r="W72" s="102"/>
      <c r="X72" s="102"/>
      <c r="Y72" s="102"/>
      <c r="Z72" s="102"/>
      <c r="AA72" s="102"/>
      <c r="AB72" s="102"/>
    </row>
    <row r="73" spans="2:28" ht="12.75" outlineLevel="2" x14ac:dyDescent="0.2">
      <c r="B73" s="9">
        <f ca="1">IF(ISBLANK($B73),"",COUNTA($C$13:C73))</f>
        <v>50</v>
      </c>
      <c r="C73" s="274" t="s">
        <v>576</v>
      </c>
      <c r="D73" s="224" t="s">
        <v>481</v>
      </c>
      <c r="E73" s="44" t="s">
        <v>493</v>
      </c>
      <c r="G73" s="226">
        <f>+$G$53</f>
        <v>6.8101669532339398E-2</v>
      </c>
      <c r="I73" s="105">
        <f>+I72*G73</f>
        <v>-26124.309560686819</v>
      </c>
      <c r="J73" s="105">
        <f>+(I73*'Sch H-1 (Conversion Factor)'!$J$36)-I73</f>
        <v>-143.7359512028961</v>
      </c>
      <c r="K73" s="345"/>
      <c r="M73" s="229"/>
      <c r="N73" s="222"/>
      <c r="P73" s="222"/>
      <c r="Q73" s="222"/>
      <c r="S73" s="232"/>
      <c r="T73" s="222"/>
      <c r="U73" s="102"/>
      <c r="V73" s="102"/>
      <c r="W73" s="102"/>
      <c r="X73" s="102"/>
      <c r="Y73" s="102"/>
      <c r="Z73" s="102"/>
      <c r="AA73" s="102"/>
      <c r="AB73" s="102"/>
    </row>
    <row r="74" spans="2:28" ht="12.75" outlineLevel="1" x14ac:dyDescent="0.2">
      <c r="B74" s="9">
        <f ca="1">IF(ISBLANK($B74),"",COUNTA($C$13:C74))</f>
        <v>51</v>
      </c>
      <c r="C74" s="278" t="s">
        <v>480</v>
      </c>
      <c r="D74" s="244"/>
      <c r="E74" s="244"/>
      <c r="F74" s="245"/>
      <c r="G74" s="245"/>
      <c r="H74" s="245"/>
      <c r="I74" s="246">
        <f>+I70+I72+I73</f>
        <v>-1654965.9535606869</v>
      </c>
      <c r="J74" s="246">
        <f>+J70+J72+J73</f>
        <v>-9105.6226764907224</v>
      </c>
      <c r="K74" s="246">
        <f>+I74+J74</f>
        <v>-1664071.5762371777</v>
      </c>
      <c r="M74" s="233">
        <f t="shared" ref="M74:M75" si="0">ROUND(-K74,0)</f>
        <v>1664072</v>
      </c>
      <c r="N74" s="309" t="s">
        <v>483</v>
      </c>
      <c r="P74" s="222">
        <v>1637804</v>
      </c>
      <c r="Q74" s="222"/>
      <c r="S74" s="248">
        <f>-ROUND(P74-M74,0)</f>
        <v>26268</v>
      </c>
      <c r="T74" s="309" t="s">
        <v>483</v>
      </c>
      <c r="U74" s="102"/>
      <c r="V74" s="102"/>
      <c r="W74" s="102"/>
      <c r="X74" s="102"/>
      <c r="Y74" s="102"/>
      <c r="Z74" s="102"/>
      <c r="AA74" s="102"/>
      <c r="AB74" s="102"/>
    </row>
    <row r="75" spans="2:28" ht="12.75" outlineLevel="1" x14ac:dyDescent="0.2">
      <c r="B75" s="9">
        <f ca="1">IF(ISBLANK($B75),"",COUNTA($C$13:C75))</f>
        <v>52</v>
      </c>
      <c r="C75" s="278" t="s">
        <v>203</v>
      </c>
      <c r="D75" s="244"/>
      <c r="E75" s="244"/>
      <c r="F75" s="245"/>
      <c r="G75" s="245"/>
      <c r="H75" s="245"/>
      <c r="I75" s="246">
        <f>+I71</f>
        <v>-84802.525799513605</v>
      </c>
      <c r="J75" s="246">
        <f>+J71</f>
        <v>-466.58349694890785</v>
      </c>
      <c r="K75" s="246">
        <f>+I75+J75</f>
        <v>-85269.109296462513</v>
      </c>
      <c r="M75" s="233">
        <f t="shared" si="0"/>
        <v>85269</v>
      </c>
      <c r="N75" s="310" t="s">
        <v>482</v>
      </c>
      <c r="P75" s="249"/>
      <c r="Q75" s="222"/>
      <c r="S75" s="232"/>
      <c r="T75" s="222"/>
      <c r="U75" s="102"/>
      <c r="V75" s="102"/>
      <c r="W75" s="102"/>
      <c r="X75" s="102"/>
      <c r="Y75" s="102"/>
      <c r="Z75" s="102"/>
      <c r="AA75" s="102"/>
      <c r="AB75" s="102"/>
    </row>
    <row r="76" spans="2:28" ht="12.75" outlineLevel="1" x14ac:dyDescent="0.2">
      <c r="B76" s="9">
        <f ca="1">IF(ISBLANK($B76),"",COUNTA($C$13:C76))</f>
        <v>53</v>
      </c>
      <c r="C76" s="225" t="s">
        <v>630</v>
      </c>
      <c r="D76" s="228"/>
      <c r="E76" s="224"/>
      <c r="G76" s="105"/>
      <c r="I76" s="105"/>
      <c r="J76" s="105"/>
      <c r="K76" s="105"/>
      <c r="M76" s="229"/>
      <c r="S76" s="219"/>
      <c r="U76" s="102"/>
      <c r="V76" s="102"/>
      <c r="W76" s="102"/>
      <c r="X76" s="102"/>
      <c r="Y76" s="102"/>
      <c r="Z76" s="102"/>
      <c r="AA76" s="102"/>
      <c r="AB76" s="102"/>
    </row>
    <row r="77" spans="2:28" ht="12.75" outlineLevel="2" x14ac:dyDescent="0.2">
      <c r="B77" s="9">
        <f ca="1">IF(ISBLANK($B77),"",COUNTA($C$13:C77))</f>
        <v>54</v>
      </c>
      <c r="C77" s="274" t="s">
        <v>480</v>
      </c>
      <c r="D77" s="224" t="s">
        <v>479</v>
      </c>
      <c r="E77" s="44" t="s">
        <v>493</v>
      </c>
      <c r="G77" s="105"/>
      <c r="I77" s="105">
        <f>+'Sch Ds1 (FTP Op Inc Adj)'!D24</f>
        <v>-288427.4207481179</v>
      </c>
      <c r="J77" s="105">
        <f>+(I77*'Sch H-1 (Conversion Factor)'!$J$36)-I77</f>
        <v>-1586.9276689561084</v>
      </c>
      <c r="K77" s="344">
        <f>SUM(I77:I78)+SUM(J77:J78)</f>
        <v>-379356.31722824334</v>
      </c>
      <c r="M77" s="233"/>
      <c r="N77" s="222"/>
      <c r="P77" s="222"/>
      <c r="Q77" s="222"/>
      <c r="S77" s="232"/>
      <c r="T77" s="222"/>
      <c r="U77" s="102"/>
      <c r="V77" s="102"/>
      <c r="W77" s="102"/>
      <c r="X77" s="102"/>
      <c r="Y77" s="102"/>
      <c r="Z77" s="102"/>
      <c r="AA77" s="102"/>
      <c r="AB77" s="102"/>
    </row>
    <row r="78" spans="2:28" ht="12.75" outlineLevel="2" x14ac:dyDescent="0.2">
      <c r="B78" s="9">
        <f ca="1">IF(ISBLANK($B78),"",COUNTA($C$13:C78))</f>
        <v>55</v>
      </c>
      <c r="C78" s="274" t="s">
        <v>480</v>
      </c>
      <c r="D78" s="224" t="s">
        <v>481</v>
      </c>
      <c r="E78" s="44" t="s">
        <v>493</v>
      </c>
      <c r="I78" s="105">
        <f>+'Sch Ds1 (FTP Op Inc Adj)'!D36</f>
        <v>-88853.099060140434</v>
      </c>
      <c r="J78" s="105">
        <f>+(I78*'Sch H-1 (Conversion Factor)'!$J$36)-I78</f>
        <v>-488.86975102887664</v>
      </c>
      <c r="K78" s="345"/>
      <c r="M78" s="229"/>
      <c r="N78" s="222"/>
      <c r="P78" s="222"/>
      <c r="Q78" s="222"/>
      <c r="S78" s="232"/>
      <c r="T78" s="222"/>
      <c r="U78" s="102"/>
      <c r="V78" s="102"/>
      <c r="W78" s="102"/>
      <c r="X78" s="102"/>
      <c r="Y78" s="102"/>
      <c r="Z78" s="102"/>
      <c r="AA78" s="102"/>
      <c r="AB78" s="102"/>
    </row>
    <row r="79" spans="2:28" ht="12.75" outlineLevel="1" x14ac:dyDescent="0.2">
      <c r="B79" s="9">
        <f ca="1">IF(ISBLANK($B79),"",COUNTA($C$13:C79))</f>
        <v>56</v>
      </c>
      <c r="C79" s="278" t="s">
        <v>480</v>
      </c>
      <c r="D79" s="244"/>
      <c r="E79" s="244"/>
      <c r="F79" s="245"/>
      <c r="G79" s="245"/>
      <c r="H79" s="245"/>
      <c r="I79" s="246">
        <f>+I77+I78</f>
        <v>-377280.51980825834</v>
      </c>
      <c r="J79" s="246">
        <f>SUM(J77:J78)</f>
        <v>-2075.797419984985</v>
      </c>
      <c r="K79" s="246">
        <f>+I79+J79</f>
        <v>-379356.31722824334</v>
      </c>
      <c r="M79" s="233">
        <f>ROUND(-K79,0)</f>
        <v>379356</v>
      </c>
      <c r="N79" s="222"/>
      <c r="P79" s="222">
        <v>379356</v>
      </c>
      <c r="Q79" s="222"/>
      <c r="S79" s="248">
        <f>-ROUND(P79-M79,0)</f>
        <v>0</v>
      </c>
      <c r="T79" s="222"/>
      <c r="U79" s="102"/>
      <c r="V79" s="102"/>
      <c r="W79" s="102"/>
      <c r="X79" s="102"/>
      <c r="Y79" s="102"/>
      <c r="Z79" s="102"/>
      <c r="AA79" s="102"/>
      <c r="AB79" s="102"/>
    </row>
    <row r="80" spans="2:28" ht="12.75" outlineLevel="1" x14ac:dyDescent="0.2">
      <c r="B80" s="9">
        <f ca="1">IF(ISBLANK($B80),"",COUNTA($C$13:C80))</f>
        <v>57</v>
      </c>
      <c r="C80" s="225" t="s">
        <v>631</v>
      </c>
      <c r="D80" s="228"/>
      <c r="M80" s="229"/>
      <c r="S80" s="219"/>
      <c r="U80" s="102"/>
      <c r="V80" s="102"/>
      <c r="W80" s="102"/>
      <c r="X80" s="102"/>
      <c r="Y80" s="102"/>
      <c r="Z80" s="102"/>
      <c r="AA80" s="102"/>
      <c r="AB80" s="102"/>
    </row>
    <row r="81" spans="2:28" ht="12.75" outlineLevel="2" x14ac:dyDescent="0.2">
      <c r="B81" s="9">
        <f ca="1">IF(ISBLANK($B81),"",COUNTA($C$13:C81))</f>
        <v>58</v>
      </c>
      <c r="C81" s="274" t="s">
        <v>480</v>
      </c>
      <c r="D81" s="224" t="s">
        <v>479</v>
      </c>
      <c r="E81" s="44" t="s">
        <v>493</v>
      </c>
      <c r="I81" s="105">
        <f>+'Sch Ds1 (FTP Op Inc Adj)'!D25</f>
        <v>-177812</v>
      </c>
      <c r="J81" s="105">
        <f>+(I81*'Sch H-1 (Conversion Factor)'!$J$36)-I81</f>
        <v>-978.32162399997469</v>
      </c>
      <c r="K81" s="344">
        <f>SUM(I81:I82)+SUM(J81:J82)</f>
        <v>-296164.58108799998</v>
      </c>
      <c r="M81" s="233"/>
      <c r="N81" s="222"/>
      <c r="P81" s="222"/>
      <c r="Q81" s="222"/>
      <c r="S81" s="232"/>
      <c r="T81" s="222"/>
      <c r="U81" s="102"/>
      <c r="V81" s="102"/>
      <c r="W81" s="102"/>
      <c r="X81" s="102"/>
      <c r="Y81" s="102"/>
      <c r="Z81" s="102"/>
      <c r="AA81" s="102"/>
      <c r="AB81" s="102"/>
    </row>
    <row r="82" spans="2:28" ht="12.75" outlineLevel="2" x14ac:dyDescent="0.2">
      <c r="B82" s="9">
        <f ca="1">IF(ISBLANK($B82),"",COUNTA($C$13:C82))</f>
        <v>59</v>
      </c>
      <c r="C82" s="274" t="s">
        <v>480</v>
      </c>
      <c r="D82" s="224" t="s">
        <v>481</v>
      </c>
      <c r="E82" s="44" t="s">
        <v>493</v>
      </c>
      <c r="I82" s="105">
        <f>+'Sch Ds1 (FTP Op Inc Adj)'!D37</f>
        <v>-116732</v>
      </c>
      <c r="J82" s="105">
        <f>+(I82*'Sch H-1 (Conversion Factor)'!$J$36)-I82</f>
        <v>-642.25946399998793</v>
      </c>
      <c r="K82" s="345"/>
      <c r="M82" s="229"/>
      <c r="S82" s="219"/>
      <c r="U82" s="102"/>
      <c r="V82" s="102"/>
      <c r="W82" s="102"/>
      <c r="X82" s="102"/>
      <c r="Y82" s="102"/>
      <c r="Z82" s="102"/>
      <c r="AA82" s="102"/>
      <c r="AB82" s="102"/>
    </row>
    <row r="83" spans="2:28" ht="12.75" outlineLevel="1" x14ac:dyDescent="0.2">
      <c r="B83" s="9">
        <f ca="1">IF(ISBLANK($B83),"",COUNTA($C$13:C83))</f>
        <v>60</v>
      </c>
      <c r="C83" s="278" t="s">
        <v>480</v>
      </c>
      <c r="D83" s="244"/>
      <c r="E83" s="244"/>
      <c r="F83" s="245"/>
      <c r="G83" s="245"/>
      <c r="H83" s="245"/>
      <c r="I83" s="246">
        <f>+I81+I82</f>
        <v>-294544</v>
      </c>
      <c r="J83" s="246">
        <f>SUM(J81:J82)</f>
        <v>-1620.5810879999626</v>
      </c>
      <c r="K83" s="246">
        <f>+I83+J83</f>
        <v>-296164.58108799998</v>
      </c>
      <c r="M83" s="233">
        <f>ROUND(-K83,0)</f>
        <v>296165</v>
      </c>
      <c r="N83" s="222"/>
      <c r="P83" s="222">
        <v>296165</v>
      </c>
      <c r="Q83" s="222"/>
      <c r="S83" s="248">
        <f>-ROUND(P83-M83,0)</f>
        <v>0</v>
      </c>
      <c r="T83" s="222"/>
      <c r="U83" s="102"/>
      <c r="V83" s="102"/>
      <c r="W83" s="102"/>
      <c r="X83" s="102"/>
      <c r="Y83" s="102"/>
      <c r="Z83" s="102"/>
      <c r="AA83" s="102"/>
      <c r="AB83" s="102"/>
    </row>
    <row r="84" spans="2:28" ht="12.75" outlineLevel="1" x14ac:dyDescent="0.2">
      <c r="B84" s="9">
        <f ca="1">IF(ISBLANK($B84),"",COUNTA($C$13:C84))</f>
        <v>61</v>
      </c>
      <c r="C84" s="225" t="s">
        <v>632</v>
      </c>
      <c r="D84" s="228"/>
      <c r="M84" s="229"/>
      <c r="S84" s="219"/>
      <c r="U84" s="102"/>
      <c r="V84" s="102"/>
      <c r="W84" s="102"/>
      <c r="X84" s="102"/>
      <c r="Y84" s="102"/>
      <c r="Z84" s="102"/>
      <c r="AA84" s="102"/>
      <c r="AB84" s="102"/>
    </row>
    <row r="85" spans="2:28" ht="12.75" outlineLevel="2" x14ac:dyDescent="0.2">
      <c r="B85" s="9">
        <f ca="1">IF(ISBLANK($B85),"",COUNTA($C$13:C85))</f>
        <v>62</v>
      </c>
      <c r="C85" s="274" t="s">
        <v>541</v>
      </c>
      <c r="D85" s="224" t="s">
        <v>481</v>
      </c>
      <c r="E85" s="44" t="s">
        <v>493</v>
      </c>
      <c r="I85" s="105">
        <f>+'Sch Ds1 (FTP Op Inc Adj)'!D38</f>
        <v>-54141</v>
      </c>
      <c r="J85" s="105">
        <f>+(I85*'Sch H-1 (Conversion Factor)'!$J$36)-I85</f>
        <v>-297.88378199999715</v>
      </c>
      <c r="K85" s="105">
        <f>+I85+J85</f>
        <v>-54438.883781999997</v>
      </c>
      <c r="M85" s="229"/>
      <c r="S85" s="219"/>
      <c r="U85" s="102"/>
      <c r="V85" s="102"/>
      <c r="W85" s="102"/>
      <c r="X85" s="102"/>
      <c r="Y85" s="102"/>
      <c r="Z85" s="102"/>
      <c r="AA85" s="102"/>
      <c r="AB85" s="102"/>
    </row>
    <row r="86" spans="2:28" ht="12.75" outlineLevel="2" x14ac:dyDescent="0.2">
      <c r="B86" s="9">
        <f ca="1">IF(ISBLANK($B86),"",COUNTA($C$13:C86))</f>
        <v>63</v>
      </c>
      <c r="C86" s="274" t="s">
        <v>542</v>
      </c>
      <c r="D86" s="224" t="s">
        <v>481</v>
      </c>
      <c r="E86" s="44" t="s">
        <v>493</v>
      </c>
      <c r="I86" s="105">
        <f>+'Sch Ds1 (FTP Op Inc Adj)'!D39</f>
        <v>-6411</v>
      </c>
      <c r="J86" s="105">
        <f>+(I86*'Sch H-1 (Conversion Factor)'!$J$36)-I86</f>
        <v>-35.273321999999098</v>
      </c>
      <c r="K86" s="105">
        <f>+I86+J86</f>
        <v>-6446.2733219999991</v>
      </c>
      <c r="M86" s="229"/>
      <c r="S86" s="219"/>
      <c r="U86" s="102"/>
      <c r="V86" s="102"/>
      <c r="W86" s="102"/>
      <c r="X86" s="102"/>
      <c r="Y86" s="102"/>
      <c r="Z86" s="102"/>
      <c r="AA86" s="102"/>
      <c r="AB86" s="102"/>
    </row>
    <row r="87" spans="2:28" ht="12.75" outlineLevel="1" x14ac:dyDescent="0.2">
      <c r="B87" s="9">
        <f ca="1">IF(ISBLANK($B87),"",COUNTA($C$13:C87))</f>
        <v>64</v>
      </c>
      <c r="C87" s="278" t="s">
        <v>480</v>
      </c>
      <c r="D87" s="244"/>
      <c r="E87" s="244"/>
      <c r="F87" s="245"/>
      <c r="G87" s="245"/>
      <c r="H87" s="245"/>
      <c r="I87" s="246">
        <f>SUM(I85:I86)</f>
        <v>-60552</v>
      </c>
      <c r="J87" s="246">
        <f t="shared" ref="J87:K87" si="1">SUM(J85:J86)</f>
        <v>-333.15710399999625</v>
      </c>
      <c r="K87" s="246">
        <f t="shared" si="1"/>
        <v>-60885.157103999998</v>
      </c>
      <c r="M87" s="233">
        <f>ROUND(-K87,0)</f>
        <v>60885</v>
      </c>
      <c r="N87" s="222"/>
      <c r="P87" s="222">
        <v>60885</v>
      </c>
      <c r="Q87" s="222"/>
      <c r="S87" s="248">
        <f>-ROUND(P87-M87,0)</f>
        <v>0</v>
      </c>
      <c r="T87" s="222"/>
      <c r="U87" s="102"/>
      <c r="V87" s="102"/>
      <c r="W87" s="102"/>
      <c r="X87" s="102"/>
      <c r="Y87" s="102"/>
      <c r="Z87" s="102"/>
      <c r="AA87" s="102"/>
      <c r="AB87" s="102"/>
    </row>
    <row r="88" spans="2:28" ht="12.75" outlineLevel="1" x14ac:dyDescent="0.2">
      <c r="B88" s="9">
        <f ca="1">IF(ISBLANK($B88),"",COUNTA($C$13:C88))</f>
        <v>65</v>
      </c>
      <c r="C88" s="225" t="s">
        <v>633</v>
      </c>
      <c r="D88" s="228"/>
      <c r="M88" s="229"/>
      <c r="S88" s="219"/>
      <c r="U88" s="102"/>
      <c r="V88" s="102"/>
      <c r="W88" s="102"/>
      <c r="X88" s="102"/>
      <c r="Y88" s="102"/>
      <c r="Z88" s="102"/>
      <c r="AA88" s="102"/>
      <c r="AB88" s="102"/>
    </row>
    <row r="89" spans="2:28" ht="12.75" outlineLevel="2" x14ac:dyDescent="0.2">
      <c r="B89" s="9">
        <f ca="1">IF(ISBLANK($B89),"",COUNTA($C$13:C89))</f>
        <v>66</v>
      </c>
      <c r="C89" s="274" t="s">
        <v>480</v>
      </c>
      <c r="D89" s="224" t="s">
        <v>481</v>
      </c>
      <c r="E89" s="44" t="s">
        <v>493</v>
      </c>
      <c r="I89" s="105">
        <f>+'Sch Ds1 (FTP Op Inc Adj)'!D40</f>
        <v>-250837</v>
      </c>
      <c r="J89" s="105">
        <f>+(I89*'Sch H-1 (Conversion Factor)'!$J$36)-I89</f>
        <v>-1380.1051739999675</v>
      </c>
      <c r="K89" s="105">
        <f>+I89+J89</f>
        <v>-252217.10517399997</v>
      </c>
      <c r="M89" s="229"/>
      <c r="S89" s="219"/>
      <c r="U89" s="102"/>
      <c r="V89" s="102"/>
      <c r="W89" s="102"/>
      <c r="X89" s="102"/>
      <c r="Y89" s="102"/>
      <c r="Z89" s="102"/>
      <c r="AA89" s="102"/>
      <c r="AB89" s="102"/>
    </row>
    <row r="90" spans="2:28" ht="12.75" outlineLevel="1" x14ac:dyDescent="0.2">
      <c r="B90" s="9">
        <f ca="1">IF(ISBLANK($B90),"",COUNTA($C$13:C90))</f>
        <v>67</v>
      </c>
      <c r="C90" s="278" t="s">
        <v>480</v>
      </c>
      <c r="D90" s="244"/>
      <c r="E90" s="244"/>
      <c r="F90" s="245"/>
      <c r="G90" s="245"/>
      <c r="H90" s="245"/>
      <c r="I90" s="246">
        <f>+I89</f>
        <v>-250837</v>
      </c>
      <c r="J90" s="246">
        <f>SUM(J89)</f>
        <v>-1380.1051739999675</v>
      </c>
      <c r="K90" s="246">
        <f>+I90+J90</f>
        <v>-252217.10517399997</v>
      </c>
      <c r="M90" s="233">
        <f>ROUND(-K90,0)</f>
        <v>252217</v>
      </c>
      <c r="N90" s="222"/>
      <c r="P90" s="222">
        <v>252217</v>
      </c>
      <c r="Q90" s="222"/>
      <c r="S90" s="248">
        <f>-ROUND(P90-M90,0)</f>
        <v>0</v>
      </c>
      <c r="T90" s="222"/>
      <c r="U90" s="102"/>
      <c r="V90" s="102"/>
      <c r="W90" s="102"/>
      <c r="X90" s="102"/>
      <c r="Y90" s="102"/>
      <c r="Z90" s="102"/>
      <c r="AA90" s="102"/>
      <c r="AB90" s="102"/>
    </row>
    <row r="91" spans="2:28" ht="12.75" outlineLevel="1" x14ac:dyDescent="0.2">
      <c r="B91" s="9">
        <f ca="1">IF(ISBLANK($B91),"",COUNTA($C$13:C91))</f>
        <v>68</v>
      </c>
      <c r="C91" s="225" t="s">
        <v>634</v>
      </c>
      <c r="D91" s="228"/>
      <c r="M91" s="229"/>
      <c r="S91" s="219"/>
      <c r="U91" s="102"/>
      <c r="V91" s="102"/>
      <c r="W91" s="102"/>
      <c r="X91" s="102"/>
      <c r="Y91" s="102"/>
      <c r="Z91" s="102"/>
      <c r="AA91" s="102"/>
      <c r="AB91" s="102"/>
    </row>
    <row r="92" spans="2:28" ht="12.75" outlineLevel="2" x14ac:dyDescent="0.2">
      <c r="B92" s="9">
        <f ca="1">IF(ISBLANK($B92),"",COUNTA($C$13:C92))</f>
        <v>69</v>
      </c>
      <c r="C92" s="274" t="s">
        <v>480</v>
      </c>
      <c r="D92" s="224" t="s">
        <v>481</v>
      </c>
      <c r="E92" s="44" t="s">
        <v>493</v>
      </c>
      <c r="I92" s="105">
        <f>+'Sch Ds1 (FTP Op Inc Adj)'!D41</f>
        <v>-45141</v>
      </c>
      <c r="J92" s="105">
        <f>+(I92*'Sch H-1 (Conversion Factor)'!$J$36)-I92</f>
        <v>-248.36578199999349</v>
      </c>
      <c r="K92" s="105">
        <f>+I92+J92</f>
        <v>-45389.365781999993</v>
      </c>
      <c r="M92" s="229"/>
      <c r="S92" s="219"/>
      <c r="U92" s="102"/>
      <c r="V92" s="102"/>
      <c r="W92" s="102"/>
      <c r="X92" s="102"/>
      <c r="Y92" s="102"/>
      <c r="Z92" s="102"/>
      <c r="AA92" s="102"/>
      <c r="AB92" s="102"/>
    </row>
    <row r="93" spans="2:28" ht="12.75" outlineLevel="1" x14ac:dyDescent="0.2">
      <c r="B93" s="9">
        <f ca="1">IF(ISBLANK($B93),"",COUNTA($C$13:C93))</f>
        <v>70</v>
      </c>
      <c r="C93" s="278" t="s">
        <v>480</v>
      </c>
      <c r="D93" s="244"/>
      <c r="E93" s="244"/>
      <c r="F93" s="245"/>
      <c r="G93" s="245"/>
      <c r="H93" s="245"/>
      <c r="I93" s="246">
        <f>+I92</f>
        <v>-45141</v>
      </c>
      <c r="J93" s="246">
        <f>SUM(J92)</f>
        <v>-248.36578199999349</v>
      </c>
      <c r="K93" s="246">
        <f>+I93+J93</f>
        <v>-45389.365781999993</v>
      </c>
      <c r="M93" s="233">
        <f>ROUND(-K93,0)</f>
        <v>45389</v>
      </c>
      <c r="N93" s="222"/>
      <c r="P93" s="222">
        <v>45389</v>
      </c>
      <c r="Q93" s="222"/>
      <c r="S93" s="248">
        <f>-ROUND(P93-M93,0)</f>
        <v>0</v>
      </c>
      <c r="T93" s="222"/>
      <c r="U93" s="102"/>
      <c r="V93" s="102"/>
      <c r="W93" s="102"/>
      <c r="X93" s="102"/>
      <c r="Y93" s="102"/>
      <c r="Z93" s="102"/>
      <c r="AA93" s="102"/>
      <c r="AB93" s="102"/>
    </row>
    <row r="94" spans="2:28" ht="12.75" outlineLevel="1" x14ac:dyDescent="0.2">
      <c r="B94" s="9">
        <f ca="1">IF(ISBLANK($B94),"",COUNTA($C$13:C94))</f>
        <v>71</v>
      </c>
      <c r="C94" s="225" t="s">
        <v>635</v>
      </c>
      <c r="D94" s="228"/>
      <c r="M94" s="229"/>
      <c r="S94" s="219"/>
      <c r="U94" s="102"/>
      <c r="V94" s="102"/>
      <c r="W94" s="102"/>
      <c r="X94" s="102"/>
      <c r="Y94" s="102"/>
      <c r="Z94" s="102"/>
      <c r="AA94" s="102"/>
      <c r="AB94" s="102"/>
    </row>
    <row r="95" spans="2:28" ht="12.75" outlineLevel="2" x14ac:dyDescent="0.2">
      <c r="B95" s="9">
        <f ca="1">IF(ISBLANK($B95),"",COUNTA($C$13:C95))</f>
        <v>72</v>
      </c>
      <c r="C95" s="274" t="s">
        <v>480</v>
      </c>
      <c r="D95" s="224" t="s">
        <v>479</v>
      </c>
      <c r="E95" s="44" t="s">
        <v>493</v>
      </c>
      <c r="I95" s="105">
        <f>+'Sch Ds1 (FTP Op Inc Adj)'!D26</f>
        <v>-106034.25</v>
      </c>
      <c r="J95" s="105">
        <f>+(I95*'Sch H-1 (Conversion Factor)'!$J$36)-I95</f>
        <v>-583.40044349999516</v>
      </c>
      <c r="K95" s="105">
        <f>+I95+J95</f>
        <v>-106617.6504435</v>
      </c>
      <c r="M95" s="229"/>
      <c r="S95" s="219"/>
      <c r="U95" s="102"/>
      <c r="V95" s="102"/>
      <c r="W95" s="102"/>
      <c r="X95" s="102"/>
      <c r="Y95" s="102"/>
      <c r="Z95" s="102"/>
      <c r="AA95" s="102"/>
      <c r="AB95" s="102"/>
    </row>
    <row r="96" spans="2:28" ht="12.75" outlineLevel="1" x14ac:dyDescent="0.2">
      <c r="B96" s="9">
        <f ca="1">IF(ISBLANK($B96),"",COUNTA($C$13:C96))</f>
        <v>73</v>
      </c>
      <c r="C96" s="278" t="s">
        <v>480</v>
      </c>
      <c r="D96" s="244"/>
      <c r="E96" s="244"/>
      <c r="F96" s="245"/>
      <c r="G96" s="245"/>
      <c r="H96" s="245"/>
      <c r="I96" s="246">
        <f>+I95</f>
        <v>-106034.25</v>
      </c>
      <c r="J96" s="246">
        <f>SUM(J95)</f>
        <v>-583.40044349999516</v>
      </c>
      <c r="K96" s="246">
        <f>+I96+J96</f>
        <v>-106617.6504435</v>
      </c>
      <c r="M96" s="233">
        <f>ROUND(-K96,0)</f>
        <v>106618</v>
      </c>
      <c r="N96" s="222"/>
      <c r="P96" s="222">
        <v>106618</v>
      </c>
      <c r="Q96" s="222"/>
      <c r="S96" s="248">
        <f>-ROUND(P96-M96,0)</f>
        <v>0</v>
      </c>
      <c r="T96" s="222"/>
      <c r="U96" s="102"/>
      <c r="V96" s="102"/>
      <c r="W96" s="102"/>
      <c r="X96" s="102"/>
      <c r="Y96" s="102"/>
      <c r="Z96" s="102"/>
      <c r="AA96" s="102"/>
      <c r="AB96" s="102"/>
    </row>
    <row r="97" spans="2:28" ht="12.75" outlineLevel="1" x14ac:dyDescent="0.2">
      <c r="B97" s="9">
        <f ca="1">IF(ISBLANK($B97),"",COUNTA($C$13:C97))</f>
        <v>74</v>
      </c>
      <c r="C97" s="225" t="s">
        <v>636</v>
      </c>
      <c r="D97" s="228"/>
      <c r="M97" s="229"/>
      <c r="S97" s="219"/>
      <c r="U97" s="102"/>
      <c r="V97" s="102"/>
      <c r="W97" s="102"/>
      <c r="X97" s="102"/>
      <c r="Y97" s="102"/>
      <c r="Z97" s="102"/>
      <c r="AA97" s="102"/>
      <c r="AB97" s="102"/>
    </row>
    <row r="98" spans="2:28" ht="12.75" outlineLevel="2" x14ac:dyDescent="0.2">
      <c r="B98" s="9">
        <f ca="1">IF(ISBLANK($B98),"",COUNTA($C$13:C98))</f>
        <v>75</v>
      </c>
      <c r="C98" s="274" t="s">
        <v>480</v>
      </c>
      <c r="D98" s="224" t="s">
        <v>479</v>
      </c>
      <c r="E98" s="44" t="s">
        <v>493</v>
      </c>
      <c r="I98" s="105">
        <f>+'Sch Ds1 (FTP Op Inc Adj)'!D27</f>
        <v>-20561</v>
      </c>
      <c r="J98" s="105">
        <f>+(I98*'Sch H-1 (Conversion Factor)'!$J$36)-I98</f>
        <v>-113.12662199999613</v>
      </c>
      <c r="K98" s="105">
        <f>+I98+J98</f>
        <v>-20674.126621999996</v>
      </c>
      <c r="M98" s="229"/>
      <c r="N98" s="222"/>
      <c r="P98" s="222"/>
      <c r="Q98" s="222"/>
      <c r="S98" s="232"/>
      <c r="T98" s="222"/>
      <c r="U98" s="102"/>
      <c r="V98" s="102"/>
      <c r="W98" s="102"/>
      <c r="X98" s="102"/>
      <c r="Y98" s="102"/>
      <c r="Z98" s="102"/>
      <c r="AA98" s="102"/>
      <c r="AB98" s="102"/>
    </row>
    <row r="99" spans="2:28" ht="12.75" outlineLevel="1" x14ac:dyDescent="0.2">
      <c r="B99" s="9">
        <f ca="1">IF(ISBLANK($B99),"",COUNTA($C$13:C99))</f>
        <v>76</v>
      </c>
      <c r="C99" s="278" t="s">
        <v>480</v>
      </c>
      <c r="D99" s="244"/>
      <c r="E99" s="244"/>
      <c r="F99" s="245"/>
      <c r="G99" s="245"/>
      <c r="H99" s="245"/>
      <c r="I99" s="246">
        <f>+I98</f>
        <v>-20561</v>
      </c>
      <c r="J99" s="246">
        <f>SUM(J98)</f>
        <v>-113.12662199999613</v>
      </c>
      <c r="K99" s="246">
        <f>+I99+J99</f>
        <v>-20674.126621999996</v>
      </c>
      <c r="M99" s="233">
        <f>ROUND(-K99,0)</f>
        <v>20674</v>
      </c>
      <c r="P99" s="222">
        <v>20674</v>
      </c>
      <c r="Q99" s="222"/>
      <c r="S99" s="248">
        <f>-ROUND(P99-M99,0)</f>
        <v>0</v>
      </c>
      <c r="U99" s="102"/>
      <c r="V99" s="102"/>
      <c r="W99" s="102"/>
      <c r="X99" s="102"/>
      <c r="Y99" s="102"/>
      <c r="Z99" s="102"/>
      <c r="AA99" s="102"/>
      <c r="AB99" s="102"/>
    </row>
    <row r="100" spans="2:28" ht="12.75" outlineLevel="1" x14ac:dyDescent="0.2">
      <c r="B100" s="9">
        <f ca="1">IF(ISBLANK($B100),"",COUNTA($C$13:C100))</f>
        <v>77</v>
      </c>
      <c r="C100" s="225" t="s">
        <v>637</v>
      </c>
      <c r="D100" s="228"/>
      <c r="M100" s="229"/>
      <c r="S100" s="219"/>
      <c r="U100" s="102"/>
      <c r="V100" s="102"/>
      <c r="W100" s="102"/>
      <c r="X100" s="102"/>
      <c r="Y100" s="102"/>
      <c r="Z100" s="102"/>
      <c r="AA100" s="102"/>
      <c r="AB100" s="102"/>
    </row>
    <row r="101" spans="2:28" ht="12.75" outlineLevel="2" x14ac:dyDescent="0.2">
      <c r="B101" s="9">
        <f ca="1">IF(ISBLANK($B101),"",COUNTA($C$13:C101))</f>
        <v>78</v>
      </c>
      <c r="C101" s="274" t="s">
        <v>480</v>
      </c>
      <c r="D101" s="224" t="s">
        <v>479</v>
      </c>
      <c r="E101" s="44" t="s">
        <v>493</v>
      </c>
      <c r="I101" s="105">
        <f>+'Sch Ds1 (FTP Op Inc Adj)'!D28</f>
        <v>-761500</v>
      </c>
      <c r="J101" s="105">
        <f>+(I101*'Sch H-1 (Conversion Factor)'!$J$36)-I101</f>
        <v>-4189.7729999999283</v>
      </c>
      <c r="K101" s="105">
        <f>+I101+J101</f>
        <v>-765689.77299999993</v>
      </c>
      <c r="M101" s="229"/>
      <c r="N101" s="222"/>
      <c r="P101" s="222"/>
      <c r="Q101" s="222"/>
      <c r="S101" s="232"/>
      <c r="T101" s="222"/>
      <c r="U101" s="102"/>
      <c r="V101" s="102"/>
      <c r="W101" s="102"/>
      <c r="X101" s="102"/>
      <c r="Y101" s="102"/>
      <c r="Z101" s="102"/>
      <c r="AA101" s="102"/>
      <c r="AB101" s="102"/>
    </row>
    <row r="102" spans="2:28" ht="12.75" outlineLevel="1" x14ac:dyDescent="0.2">
      <c r="B102" s="9">
        <f ca="1">IF(ISBLANK($B102),"",COUNTA($C$13:C102))</f>
        <v>79</v>
      </c>
      <c r="C102" s="278" t="s">
        <v>480</v>
      </c>
      <c r="D102" s="244"/>
      <c r="E102" s="244"/>
      <c r="F102" s="245"/>
      <c r="G102" s="245"/>
      <c r="H102" s="245"/>
      <c r="I102" s="246">
        <f>+I101</f>
        <v>-761500</v>
      </c>
      <c r="J102" s="246">
        <f>SUM(J101)</f>
        <v>-4189.7729999999283</v>
      </c>
      <c r="K102" s="246">
        <f>+I102+J102</f>
        <v>-765689.77299999993</v>
      </c>
      <c r="M102" s="233">
        <f>ROUND(-K102,0)</f>
        <v>765690</v>
      </c>
      <c r="P102" s="222">
        <v>765690</v>
      </c>
      <c r="Q102" s="222"/>
      <c r="S102" s="248">
        <f>-ROUND(P102-M102,0)</f>
        <v>0</v>
      </c>
      <c r="U102" s="102"/>
      <c r="V102" s="102"/>
      <c r="W102" s="102"/>
      <c r="X102" s="102"/>
      <c r="Y102" s="102"/>
      <c r="Z102" s="102"/>
      <c r="AA102" s="102"/>
      <c r="AB102" s="102"/>
    </row>
    <row r="103" spans="2:28" ht="12.75" x14ac:dyDescent="0.2">
      <c r="B103" s="9">
        <f ca="1">IF(ISBLANK($B103),"",COUNTA($C$13:C103))</f>
        <v>79</v>
      </c>
      <c r="C103" s="274"/>
      <c r="S103" s="250"/>
      <c r="U103" s="102"/>
      <c r="V103" s="102"/>
      <c r="W103" s="102"/>
      <c r="X103" s="102"/>
      <c r="Y103" s="102"/>
      <c r="Z103" s="102"/>
      <c r="AA103" s="102"/>
      <c r="AB103" s="102"/>
    </row>
    <row r="104" spans="2:28" ht="12.75" x14ac:dyDescent="0.2">
      <c r="B104" s="9">
        <f ca="1">IF(ISBLANK($B104),"",COUNTA($C$13:C104))</f>
        <v>80</v>
      </c>
      <c r="C104" s="278" t="s">
        <v>480</v>
      </c>
      <c r="D104" s="244"/>
      <c r="E104" s="244"/>
      <c r="F104" s="245"/>
      <c r="G104" s="245"/>
      <c r="H104" s="245"/>
      <c r="I104" s="246">
        <f>+I56+I63+I68+I74+I79+I83+I87+I90+I93+I96+I99+I102</f>
        <v>-6668083.5808786051</v>
      </c>
      <c r="J104" s="246">
        <f>+J56+J63+J68+J74+J79+J83+J87+J90+J93+J96+J99+J102</f>
        <v>-36687.795861993407</v>
      </c>
      <c r="K104" s="246">
        <f>+K56+K63+K68+K74+K79+K83+K87+K90+K93+K96+K99+K102</f>
        <v>-6704771.3767406</v>
      </c>
      <c r="S104" s="250"/>
      <c r="U104" s="102"/>
      <c r="V104" s="102"/>
      <c r="W104" s="102"/>
      <c r="X104" s="102"/>
      <c r="Y104" s="102"/>
      <c r="Z104" s="102"/>
      <c r="AA104" s="102"/>
      <c r="AB104" s="102"/>
    </row>
    <row r="105" spans="2:28" ht="12.75" x14ac:dyDescent="0.2">
      <c r="B105" s="9">
        <f ca="1">IF(ISBLANK($B105),"",COUNTA($C$13:C105))</f>
        <v>81</v>
      </c>
      <c r="C105" s="278" t="s">
        <v>203</v>
      </c>
      <c r="D105" s="244"/>
      <c r="E105" s="244"/>
      <c r="F105" s="245"/>
      <c r="G105" s="245"/>
      <c r="H105" s="245"/>
      <c r="I105" s="246">
        <f>+I57+I64+I75</f>
        <v>-170433.2109407956</v>
      </c>
      <c r="J105" s="246">
        <f>+J57+J64+J75</f>
        <v>-937.72352659622993</v>
      </c>
      <c r="K105" s="246">
        <f>+K57+K64+K75</f>
        <v>-171370.93446739181</v>
      </c>
      <c r="S105" s="250"/>
      <c r="U105" s="102"/>
      <c r="V105" s="102"/>
      <c r="W105" s="102"/>
      <c r="X105" s="102"/>
      <c r="Y105" s="102"/>
      <c r="Z105" s="102"/>
      <c r="AA105" s="102"/>
      <c r="AB105" s="102"/>
    </row>
    <row r="106" spans="2:28" thickBot="1" x14ac:dyDescent="0.25">
      <c r="B106" s="9">
        <f ca="1">IF(ISBLANK($B106),"",COUNTA($C$13:C106))</f>
        <v>82</v>
      </c>
      <c r="C106" s="229" t="s">
        <v>484</v>
      </c>
      <c r="I106" s="235">
        <f>SUM(I104:I105)</f>
        <v>-6838516.7918194011</v>
      </c>
      <c r="J106" s="235">
        <f>SUM(J104:J105)</f>
        <v>-37625.519388589637</v>
      </c>
      <c r="K106" s="235">
        <f>SUM(K104:K105)</f>
        <v>-6876142.311207992</v>
      </c>
      <c r="M106" s="234">
        <f>SUM(M56:M102)</f>
        <v>6876142</v>
      </c>
      <c r="P106" s="234">
        <f>SUM(P56:P102)</f>
        <v>6876141</v>
      </c>
      <c r="Q106" s="221"/>
      <c r="S106" s="235">
        <f>SUM(S56:S102)</f>
        <v>1</v>
      </c>
      <c r="U106" s="102"/>
      <c r="V106" s="102"/>
      <c r="W106" s="102"/>
      <c r="X106" s="102"/>
      <c r="Y106" s="102"/>
      <c r="Z106" s="102"/>
      <c r="AA106" s="102"/>
      <c r="AB106" s="102"/>
    </row>
    <row r="107" spans="2:28" thickTop="1" x14ac:dyDescent="0.2">
      <c r="B107" s="9"/>
      <c r="S107" s="250"/>
      <c r="U107" s="102"/>
      <c r="V107" s="102"/>
      <c r="W107" s="102"/>
      <c r="X107" s="102"/>
      <c r="Y107" s="102"/>
      <c r="Z107" s="102"/>
      <c r="AA107" s="102"/>
      <c r="AB107" s="102"/>
    </row>
    <row r="108" spans="2:28" ht="12.75" x14ac:dyDescent="0.2">
      <c r="B108" s="9">
        <f ca="1">IF(ISBLANK($B108),"",COUNTA($C$13:C108))</f>
        <v>83</v>
      </c>
      <c r="C108" s="251" t="s">
        <v>639</v>
      </c>
      <c r="D108" s="228"/>
      <c r="M108" s="252">
        <f>-S46</f>
        <v>439033</v>
      </c>
      <c r="S108" s="250"/>
      <c r="U108" s="102"/>
      <c r="V108" s="102"/>
      <c r="W108" s="102"/>
      <c r="X108" s="102"/>
      <c r="Y108" s="102"/>
      <c r="Z108" s="102"/>
      <c r="AA108" s="102"/>
      <c r="AB108" s="102"/>
    </row>
    <row r="109" spans="2:28" ht="12.75" x14ac:dyDescent="0.2">
      <c r="B109" s="9">
        <f ca="1">IF(ISBLANK($B109),"",COUNTA($C$13:C109))</f>
        <v>84</v>
      </c>
      <c r="C109" s="251" t="s">
        <v>640</v>
      </c>
      <c r="D109" s="228"/>
      <c r="M109" s="252">
        <f>-S106</f>
        <v>-1</v>
      </c>
      <c r="P109" s="252"/>
      <c r="Q109" s="252"/>
      <c r="S109" s="250"/>
      <c r="U109" s="102"/>
      <c r="V109" s="102"/>
      <c r="W109" s="102"/>
      <c r="X109" s="102"/>
      <c r="Y109" s="102"/>
      <c r="Z109" s="102"/>
      <c r="AA109" s="102"/>
      <c r="AB109" s="102"/>
    </row>
    <row r="110" spans="2:28" thickBot="1" x14ac:dyDescent="0.25">
      <c r="B110" s="9"/>
      <c r="S110" s="250"/>
      <c r="U110" s="102"/>
      <c r="V110" s="102"/>
      <c r="W110" s="102"/>
      <c r="X110" s="102"/>
      <c r="Y110" s="102"/>
      <c r="Z110" s="102"/>
      <c r="AA110" s="102"/>
      <c r="AB110" s="102"/>
    </row>
    <row r="111" spans="2:28" thickBot="1" x14ac:dyDescent="0.25">
      <c r="B111" s="9">
        <f ca="1">IF(ISBLANK($B111),"",COUNTA($C$13:C111))</f>
        <v>85</v>
      </c>
      <c r="C111" s="205" t="s">
        <v>495</v>
      </c>
      <c r="D111" s="205"/>
      <c r="M111" s="207">
        <f>SUM(M13:M109,-M39,-M46,-M106)</f>
        <v>23773019.156247385</v>
      </c>
      <c r="P111" s="207">
        <f>+P13-P46-P106+P109</f>
        <v>11189342.485332005</v>
      </c>
      <c r="Q111" s="221"/>
      <c r="S111" s="253"/>
      <c r="T111" s="227"/>
      <c r="U111" s="102"/>
      <c r="V111" s="102"/>
      <c r="W111" s="102"/>
      <c r="X111" s="102"/>
      <c r="Y111" s="102"/>
      <c r="Z111" s="102"/>
      <c r="AA111" s="102"/>
      <c r="AB111" s="102"/>
    </row>
    <row r="112" spans="2:28" ht="12.75" x14ac:dyDescent="0.2">
      <c r="B112" s="9">
        <f ca="1">IF(ISBLANK($B112),"",COUNTA($C$13:C112))</f>
        <v>86</v>
      </c>
      <c r="C112" s="205" t="s">
        <v>601</v>
      </c>
      <c r="D112" s="205"/>
      <c r="M112" s="257">
        <f>+M111-P13</f>
        <v>-0.3290846198797226</v>
      </c>
      <c r="P112" s="250">
        <f>+P111-M13</f>
        <v>0.3290846198797226</v>
      </c>
      <c r="Q112" s="250"/>
      <c r="S112" s="253"/>
      <c r="T112" s="227"/>
      <c r="U112" s="102"/>
      <c r="V112" s="102"/>
      <c r="W112" s="102"/>
      <c r="X112" s="102"/>
      <c r="Y112" s="102"/>
      <c r="Z112" s="102"/>
      <c r="AA112" s="102"/>
      <c r="AB112" s="102"/>
    </row>
    <row r="113" s="102" customFormat="1" ht="12.75" x14ac:dyDescent="0.2"/>
    <row r="114" s="102" customFormat="1" ht="12.75" x14ac:dyDescent="0.2"/>
    <row r="115" s="102" customFormat="1" ht="12.75" x14ac:dyDescent="0.2"/>
    <row r="116" s="102" customFormat="1" ht="12.75" x14ac:dyDescent="0.2"/>
    <row r="117" s="102" customFormat="1" ht="12.75" x14ac:dyDescent="0.2"/>
    <row r="118" s="102" customFormat="1" ht="12.75" x14ac:dyDescent="0.2"/>
    <row r="119" s="102" customFormat="1" ht="12.75" x14ac:dyDescent="0.2"/>
    <row r="120" s="102" customFormat="1" ht="12.75" x14ac:dyDescent="0.2"/>
    <row r="121" s="102" customFormat="1" ht="12.75" x14ac:dyDescent="0.2"/>
    <row r="122" s="102" customFormat="1" ht="12.75" x14ac:dyDescent="0.2"/>
    <row r="123" s="102" customFormat="1" ht="12.75" x14ac:dyDescent="0.2"/>
    <row r="124" s="102" customFormat="1" ht="12.75" x14ac:dyDescent="0.2"/>
  </sheetData>
  <mergeCells count="40">
    <mergeCell ref="M9:N11"/>
    <mergeCell ref="P9:P11"/>
    <mergeCell ref="S11:T11"/>
    <mergeCell ref="A1:T1"/>
    <mergeCell ref="A2:T2"/>
    <mergeCell ref="A3:T3"/>
    <mergeCell ref="A4:T4"/>
    <mergeCell ref="K66:K67"/>
    <mergeCell ref="K70:K71"/>
    <mergeCell ref="K72:K73"/>
    <mergeCell ref="S32:T32"/>
    <mergeCell ref="I35:K35"/>
    <mergeCell ref="I36:K36"/>
    <mergeCell ref="T56:T64"/>
    <mergeCell ref="K59:K60"/>
    <mergeCell ref="K61:K62"/>
    <mergeCell ref="S44:T44"/>
    <mergeCell ref="S46:T46"/>
    <mergeCell ref="I21:K21"/>
    <mergeCell ref="I25:K25"/>
    <mergeCell ref="I26:K26"/>
    <mergeCell ref="I27:K27"/>
    <mergeCell ref="I11:K11"/>
    <mergeCell ref="I19:K19"/>
    <mergeCell ref="Q22:Q27"/>
    <mergeCell ref="S27:T27"/>
    <mergeCell ref="I20:K20"/>
    <mergeCell ref="K77:K78"/>
    <mergeCell ref="K81:K82"/>
    <mergeCell ref="I22:K22"/>
    <mergeCell ref="I37:K37"/>
    <mergeCell ref="I30:K30"/>
    <mergeCell ref="I31:K31"/>
    <mergeCell ref="I32:K32"/>
    <mergeCell ref="S37:T37"/>
    <mergeCell ref="S39:T39"/>
    <mergeCell ref="K52:K53"/>
    <mergeCell ref="K54:K55"/>
    <mergeCell ref="P56:P64"/>
    <mergeCell ref="S56:S64"/>
  </mergeCells>
  <pageMargins left="0.7" right="0.7" top="0.75" bottom="0.75" header="0.3" footer="0.3"/>
  <ignoredErrors>
    <ignoredError sqref="I61 I7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8748-7EFB-40C5-91D0-27A14C69304D}">
  <dimension ref="A1:N97"/>
  <sheetViews>
    <sheetView workbookViewId="0">
      <selection activeCell="J34" sqref="J34"/>
    </sheetView>
  </sheetViews>
  <sheetFormatPr defaultColWidth="8.7109375" defaultRowHeight="12.75" x14ac:dyDescent="0.2"/>
  <cols>
    <col min="1" max="2" width="4.7109375" style="102" customWidth="1"/>
    <col min="3" max="3" width="30.7109375" style="102" bestFit="1" customWidth="1"/>
    <col min="4" max="4" width="3.5703125" style="102" customWidth="1"/>
    <col min="5" max="5" width="13.28515625" style="102" bestFit="1" customWidth="1"/>
    <col min="6" max="6" width="3.5703125" style="102" customWidth="1"/>
    <col min="7" max="7" width="13.28515625" style="102" bestFit="1" customWidth="1"/>
    <col min="8" max="8" width="1.5703125" style="102" customWidth="1"/>
    <col min="9" max="10" width="13.28515625" style="102" bestFit="1" customWidth="1"/>
    <col min="11" max="11" width="3.5703125" style="102" customWidth="1"/>
    <col min="12" max="13" width="13.5703125" style="102" customWidth="1"/>
    <col min="14" max="16384" width="8.7109375" style="102"/>
  </cols>
  <sheetData>
    <row r="1" spans="1:14" customFormat="1" ht="15" x14ac:dyDescent="0.25">
      <c r="A1" s="340" t="s">
        <v>62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4" customFormat="1" ht="15" x14ac:dyDescent="0.25">
      <c r="A2" s="340" t="s">
        <v>63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14" customFormat="1" ht="15" x14ac:dyDescent="0.25">
      <c r="A3" s="340" t="s">
        <v>509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14" customFormat="1" ht="15" x14ac:dyDescent="0.25">
      <c r="A4" s="340" t="s">
        <v>64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</row>
    <row r="5" spans="1:14" customFormat="1" ht="15" x14ac:dyDescent="0.25">
      <c r="A5" s="1"/>
      <c r="B5" s="1"/>
      <c r="C5" s="1"/>
      <c r="D5" s="1"/>
      <c r="E5" s="1"/>
      <c r="F5" s="1"/>
      <c r="G5" s="3"/>
      <c r="H5" s="3"/>
      <c r="J5" s="3"/>
    </row>
    <row r="6" spans="1:14" customFormat="1" ht="15" x14ac:dyDescent="0.25">
      <c r="A6" s="1"/>
      <c r="B6" s="1"/>
      <c r="C6" s="1"/>
      <c r="D6" s="1"/>
      <c r="E6" s="1"/>
      <c r="F6" s="1"/>
      <c r="G6" s="3"/>
      <c r="H6" s="3"/>
      <c r="J6" s="3"/>
      <c r="M6" s="102"/>
      <c r="N6" s="6" t="s">
        <v>510</v>
      </c>
    </row>
    <row r="7" spans="1:14" customFormat="1" ht="15" x14ac:dyDescent="0.25">
      <c r="A7" s="4"/>
      <c r="B7" s="4"/>
      <c r="G7" s="2"/>
      <c r="H7" s="2"/>
      <c r="J7" s="2"/>
      <c r="M7" s="102"/>
      <c r="N7" s="6" t="s">
        <v>30</v>
      </c>
    </row>
    <row r="8" spans="1:14" x14ac:dyDescent="0.2">
      <c r="A8" s="208"/>
      <c r="B8" s="208"/>
      <c r="C8" s="208"/>
      <c r="D8" s="208"/>
      <c r="E8" s="208"/>
      <c r="F8" s="208"/>
      <c r="N8" s="6" t="s">
        <v>65</v>
      </c>
    </row>
    <row r="9" spans="1:14" x14ac:dyDescent="0.2">
      <c r="A9" s="206"/>
      <c r="B9" s="9" t="s">
        <v>6</v>
      </c>
      <c r="C9" s="206"/>
      <c r="D9" s="206"/>
      <c r="E9" s="206"/>
      <c r="F9" s="206"/>
    </row>
    <row r="10" spans="1:14" x14ac:dyDescent="0.2">
      <c r="A10" s="209"/>
      <c r="B10" s="10" t="s">
        <v>10</v>
      </c>
      <c r="C10" s="10" t="s">
        <v>11</v>
      </c>
      <c r="D10" s="9"/>
      <c r="E10" s="355" t="s">
        <v>511</v>
      </c>
      <c r="F10" s="355"/>
      <c r="G10" s="355"/>
      <c r="H10" s="355"/>
      <c r="I10" s="355"/>
      <c r="J10" s="355"/>
      <c r="L10" s="355" t="s">
        <v>180</v>
      </c>
      <c r="M10" s="355"/>
      <c r="N10" s="355"/>
    </row>
    <row r="11" spans="1:14" ht="63.75" x14ac:dyDescent="0.2">
      <c r="A11" s="209"/>
      <c r="B11" s="209"/>
      <c r="C11" s="209"/>
      <c r="D11" s="209"/>
      <c r="E11" s="271" t="s">
        <v>459</v>
      </c>
      <c r="F11" s="269"/>
      <c r="G11" s="356" t="s">
        <v>178</v>
      </c>
      <c r="H11" s="356"/>
      <c r="I11" s="356"/>
      <c r="J11" s="356"/>
      <c r="K11" s="104"/>
      <c r="L11" s="271" t="s">
        <v>496</v>
      </c>
      <c r="M11" s="272" t="s">
        <v>503</v>
      </c>
      <c r="N11" s="271" t="s">
        <v>504</v>
      </c>
    </row>
    <row r="12" spans="1:14" ht="15" x14ac:dyDescent="0.35">
      <c r="A12" s="209"/>
      <c r="B12" s="9">
        <f ca="1">IF(ISBLANK($B12),"",COUNTA($C12:C$12))</f>
        <v>1</v>
      </c>
      <c r="C12" s="270" t="s">
        <v>505</v>
      </c>
      <c r="D12" s="270"/>
      <c r="E12" s="258" t="s">
        <v>501</v>
      </c>
      <c r="F12" s="266"/>
      <c r="G12" s="258" t="s">
        <v>498</v>
      </c>
      <c r="H12" s="258"/>
      <c r="I12" s="258" t="s">
        <v>500</v>
      </c>
      <c r="J12" s="258" t="s">
        <v>501</v>
      </c>
      <c r="K12" s="258"/>
    </row>
    <row r="13" spans="1:14" x14ac:dyDescent="0.2">
      <c r="A13" s="209"/>
      <c r="B13" s="9">
        <f ca="1">IF(ISBLANK($B13),"",COUNTA($C$12:C13))</f>
        <v>2</v>
      </c>
      <c r="C13" s="209" t="s">
        <v>459</v>
      </c>
      <c r="D13" s="209"/>
      <c r="E13" s="218">
        <f>+J13</f>
        <v>2.3200000000000002E-2</v>
      </c>
      <c r="G13" s="218">
        <f>SUM(I13:J13)</f>
        <v>8.0100000000000005E-2</v>
      </c>
      <c r="H13" s="218"/>
      <c r="I13" s="218">
        <f>+'J-1.1,J-1.2 (FTP 13MO AVG WACC)'!M25</f>
        <v>5.6899999999999999E-2</v>
      </c>
      <c r="J13" s="218">
        <f>+SUM('J-1.1,J-1.2 (FTP 13MO AVG WACC)'!M19:M21)</f>
        <v>2.3200000000000002E-2</v>
      </c>
      <c r="K13" s="218"/>
    </row>
    <row r="14" spans="1:14" x14ac:dyDescent="0.2">
      <c r="A14" s="209"/>
      <c r="B14" s="9">
        <f ca="1">IF(ISBLANK($B14),"",COUNTA($C$12:C14))</f>
        <v>3</v>
      </c>
      <c r="C14" s="209" t="s">
        <v>178</v>
      </c>
      <c r="D14" s="209"/>
      <c r="E14" s="220">
        <f>+J14</f>
        <v>2.3E-2</v>
      </c>
      <c r="G14" s="220">
        <f>SUM(I14:J14)</f>
        <v>7.350000000000001E-2</v>
      </c>
      <c r="H14" s="220"/>
      <c r="I14" s="220">
        <f>+'J-1.1,J-1.2 (FTP 13MO AVG WACC)'!R25</f>
        <v>5.0500000000000003E-2</v>
      </c>
      <c r="J14" s="220">
        <f>+SUM('J-1.1,J-1.2 (FTP 13MO AVG WACC)'!S19:S21)</f>
        <v>2.3E-2</v>
      </c>
      <c r="K14" s="220"/>
    </row>
    <row r="15" spans="1:14" x14ac:dyDescent="0.2">
      <c r="A15" s="259"/>
      <c r="B15" s="9">
        <f ca="1">IF(ISBLANK($B15),"",COUNTA($C$12:C15))</f>
        <v>4</v>
      </c>
      <c r="C15" s="259" t="s">
        <v>496</v>
      </c>
      <c r="D15" s="259"/>
      <c r="E15" s="218">
        <f>+E14-E13</f>
        <v>-2.0000000000000226E-4</v>
      </c>
      <c r="G15" s="218">
        <f>+G14-G13</f>
        <v>-6.5999999999999948E-3</v>
      </c>
      <c r="H15" s="218"/>
      <c r="I15" s="218">
        <f>+I14-I13</f>
        <v>-6.399999999999996E-3</v>
      </c>
      <c r="J15" s="218">
        <f>+J14-J13</f>
        <v>-2.0000000000000226E-4</v>
      </c>
      <c r="K15" s="218"/>
    </row>
    <row r="16" spans="1:14" x14ac:dyDescent="0.2">
      <c r="A16" s="259"/>
      <c r="B16" s="9">
        <f ca="1">IF(ISBLANK($B16),"",COUNTA($C$12:C16))</f>
        <v>5</v>
      </c>
      <c r="C16" s="259" t="s">
        <v>497</v>
      </c>
      <c r="D16" s="259"/>
      <c r="E16" s="105">
        <f>+'Sch B-1 (FTP RB)'!D41</f>
        <v>518827311.76319563</v>
      </c>
      <c r="G16" s="105">
        <f>+'Sch A-1s1 (Co v OAG Recon)'!G19</f>
        <v>518827311.76319563</v>
      </c>
      <c r="H16" s="105"/>
      <c r="I16" s="105">
        <f>+G16</f>
        <v>518827311.76319563</v>
      </c>
      <c r="J16" s="105">
        <f>+I16</f>
        <v>518827311.76319563</v>
      </c>
      <c r="K16" s="105"/>
    </row>
    <row r="17" spans="1:14" ht="13.5" thickBot="1" x14ac:dyDescent="0.25">
      <c r="A17" s="259"/>
      <c r="B17" s="9">
        <f ca="1">IF(ISBLANK($B17),"",COUNTA($C$12:C17))</f>
        <v>6</v>
      </c>
      <c r="C17" s="259" t="s">
        <v>502</v>
      </c>
      <c r="D17" s="259"/>
      <c r="E17" s="265">
        <f>+'Sch H-1 (Conversion Factor)'!J36</f>
        <v>1.0055019999999999</v>
      </c>
      <c r="G17" s="265">
        <f>+'Sch H-1 (Conversion Factor)'!G36</f>
        <v>1.3397760000000001</v>
      </c>
      <c r="H17" s="105"/>
      <c r="I17" s="265">
        <f>+G17</f>
        <v>1.3397760000000001</v>
      </c>
      <c r="J17" s="265">
        <f>+G17</f>
        <v>1.3397760000000001</v>
      </c>
      <c r="K17" s="265"/>
    </row>
    <row r="18" spans="1:14" ht="13.5" thickBot="1" x14ac:dyDescent="0.25">
      <c r="A18" s="255"/>
      <c r="B18" s="9">
        <f ca="1">IF(ISBLANK($B18),"",COUNTA($C$12:C18))</f>
        <v>7</v>
      </c>
      <c r="C18" s="259" t="s">
        <v>499</v>
      </c>
      <c r="D18" s="259"/>
      <c r="E18" s="260">
        <f>ROUND((E16*E15)*E17,0)</f>
        <v>-104336</v>
      </c>
      <c r="G18" s="267">
        <f>ROUND((G16*G15)*G17,0)</f>
        <v>-4587742</v>
      </c>
      <c r="H18" s="260"/>
      <c r="I18" s="260">
        <f>ROUND((I16*I15)*I17,0)</f>
        <v>-4448719</v>
      </c>
      <c r="J18" s="260">
        <f>ROUND((J16*J15)*J17,0)-1</f>
        <v>-139023</v>
      </c>
      <c r="K18" s="260"/>
      <c r="L18" s="261">
        <f>ROUND(J18-E18,0)</f>
        <v>-34687</v>
      </c>
      <c r="M18" s="268">
        <f>+'Sch A-1s1 (Co v OAG Recon)'!S27</f>
        <v>-34687</v>
      </c>
      <c r="N18" s="260">
        <f>+L18-M18</f>
        <v>0</v>
      </c>
    </row>
    <row r="19" spans="1:14" x14ac:dyDescent="0.2">
      <c r="A19" s="255"/>
      <c r="B19" s="9"/>
      <c r="C19" s="259"/>
      <c r="D19" s="259"/>
      <c r="G19" s="260"/>
      <c r="H19" s="260"/>
      <c r="I19" s="260"/>
      <c r="J19" s="260"/>
      <c r="K19" s="260"/>
    </row>
    <row r="20" spans="1:14" x14ac:dyDescent="0.2">
      <c r="A20" s="255"/>
      <c r="B20" s="9"/>
      <c r="C20" s="259"/>
      <c r="D20" s="259"/>
      <c r="G20" s="262"/>
      <c r="H20" s="262"/>
      <c r="I20" s="263"/>
    </row>
    <row r="21" spans="1:14" ht="15" x14ac:dyDescent="0.35">
      <c r="A21" s="255"/>
      <c r="B21" s="9">
        <f ca="1">IF(ISBLANK($B21),"",COUNTA($C$12:C21))</f>
        <v>8</v>
      </c>
      <c r="C21" s="270" t="s">
        <v>506</v>
      </c>
      <c r="D21" s="270"/>
      <c r="E21" s="255"/>
      <c r="F21" s="255"/>
      <c r="G21" s="263"/>
      <c r="H21" s="263"/>
      <c r="I21" s="264"/>
    </row>
    <row r="22" spans="1:14" x14ac:dyDescent="0.2">
      <c r="A22" s="255"/>
      <c r="B22" s="9">
        <f ca="1">IF(ISBLANK($B22),"",COUNTA($C$12:C22))</f>
        <v>9</v>
      </c>
      <c r="C22" s="209" t="s">
        <v>469</v>
      </c>
      <c r="D22" s="209"/>
      <c r="E22" s="105">
        <f>+'Sch B-1 (FTP RB)'!F39</f>
        <v>-1969434</v>
      </c>
      <c r="F22" s="105"/>
      <c r="G22" s="105">
        <f>+E22</f>
        <v>-1969434</v>
      </c>
      <c r="H22" s="105"/>
      <c r="I22" s="105">
        <f>+G22</f>
        <v>-1969434</v>
      </c>
      <c r="J22" s="105">
        <f>+G22</f>
        <v>-1969434</v>
      </c>
      <c r="K22" s="231"/>
      <c r="L22" s="231"/>
    </row>
    <row r="23" spans="1:14" x14ac:dyDescent="0.2">
      <c r="A23" s="255"/>
      <c r="B23" s="9">
        <f ca="1">IF(ISBLANK($B23),"",COUNTA($C$12:C23))</f>
        <v>10</v>
      </c>
      <c r="C23" s="209" t="s">
        <v>498</v>
      </c>
      <c r="D23" s="209"/>
      <c r="E23" s="220">
        <f>+J23</f>
        <v>2.3E-2</v>
      </c>
      <c r="F23" s="255"/>
      <c r="G23" s="218">
        <f>+G14</f>
        <v>7.350000000000001E-2</v>
      </c>
      <c r="H23" s="218"/>
      <c r="I23" s="218">
        <f>+I14</f>
        <v>5.0500000000000003E-2</v>
      </c>
      <c r="J23" s="218">
        <f>+J14</f>
        <v>2.3E-2</v>
      </c>
      <c r="K23" s="218"/>
      <c r="L23" s="218"/>
    </row>
    <row r="24" spans="1:14" x14ac:dyDescent="0.2">
      <c r="A24" s="255"/>
      <c r="B24" s="9">
        <f ca="1">IF(ISBLANK($B24),"",COUNTA($C$12:C24))</f>
        <v>11</v>
      </c>
      <c r="C24" s="209" t="s">
        <v>507</v>
      </c>
      <c r="D24" s="209"/>
      <c r="E24" s="260">
        <f>+E22*E23</f>
        <v>-45296.981999999996</v>
      </c>
      <c r="F24" s="255"/>
      <c r="G24" s="260">
        <f>+G22*G23</f>
        <v>-144753.399</v>
      </c>
      <c r="H24" s="260"/>
      <c r="I24" s="260">
        <f>+I22*I23</f>
        <v>-99456.417000000001</v>
      </c>
      <c r="J24" s="260">
        <f>+J22*J23</f>
        <v>-45296.981999999996</v>
      </c>
      <c r="K24" s="260"/>
      <c r="L24" s="260"/>
      <c r="M24" s="260"/>
    </row>
    <row r="25" spans="1:14" ht="13.5" thickBot="1" x14ac:dyDescent="0.25">
      <c r="A25" s="255"/>
      <c r="B25" s="9">
        <f ca="1">IF(ISBLANK($B25),"",COUNTA($C$12:C25))</f>
        <v>12</v>
      </c>
      <c r="C25" s="259" t="s">
        <v>502</v>
      </c>
      <c r="D25" s="259"/>
      <c r="E25" s="265">
        <f>+E17</f>
        <v>1.0055019999999999</v>
      </c>
      <c r="G25" s="265">
        <f>+G17</f>
        <v>1.3397760000000001</v>
      </c>
      <c r="H25" s="105"/>
      <c r="I25" s="265">
        <f>+I17</f>
        <v>1.3397760000000001</v>
      </c>
      <c r="J25" s="265">
        <f>+J17</f>
        <v>1.3397760000000001</v>
      </c>
      <c r="K25" s="260"/>
      <c r="L25" s="260"/>
      <c r="M25" s="260"/>
    </row>
    <row r="26" spans="1:14" ht="13.5" thickBot="1" x14ac:dyDescent="0.25">
      <c r="A26" s="255"/>
      <c r="B26" s="9">
        <f ca="1">IF(ISBLANK($B26),"",COUNTA($C$12:C26))</f>
        <v>13</v>
      </c>
      <c r="C26" s="259" t="s">
        <v>499</v>
      </c>
      <c r="D26" s="259"/>
      <c r="E26" s="260">
        <f>ROUND(E24*E25,0)</f>
        <v>-45546</v>
      </c>
      <c r="F26" s="255"/>
      <c r="G26" s="267">
        <f>ROUND(G24*G25,0)</f>
        <v>-193937</v>
      </c>
      <c r="H26" s="260"/>
      <c r="I26" s="260">
        <f>ROUND(I24*I25,0)-1</f>
        <v>-133250</v>
      </c>
      <c r="J26" s="260">
        <f>ROUND(J24*J25,0)+1</f>
        <v>-60687</v>
      </c>
      <c r="K26" s="267"/>
      <c r="L26" s="261">
        <f>ROUND(J26-E26,0)</f>
        <v>-15141</v>
      </c>
      <c r="M26" s="268">
        <f>+'Sch A-1s1 (Co v OAG Recon)'!S32</f>
        <v>-15141</v>
      </c>
      <c r="N26" s="260">
        <f>+L26-M26</f>
        <v>0</v>
      </c>
    </row>
    <row r="27" spans="1:14" x14ac:dyDescent="0.2">
      <c r="A27" s="255"/>
      <c r="B27" s="9"/>
      <c r="C27" s="255"/>
      <c r="D27" s="255"/>
      <c r="E27" s="255"/>
      <c r="F27" s="255"/>
    </row>
    <row r="28" spans="1:14" x14ac:dyDescent="0.2">
      <c r="A28" s="255"/>
      <c r="B28" s="9"/>
      <c r="C28" s="255"/>
      <c r="D28" s="255"/>
      <c r="E28" s="255"/>
      <c r="F28" s="255"/>
    </row>
    <row r="29" spans="1:14" ht="15" x14ac:dyDescent="0.35">
      <c r="A29" s="104"/>
      <c r="B29" s="9">
        <f ca="1">IF(ISBLANK($B29),"",COUNTA($C$12:C29))</f>
        <v>14</v>
      </c>
      <c r="C29" s="270" t="s">
        <v>508</v>
      </c>
      <c r="D29" s="270"/>
      <c r="E29" s="104"/>
      <c r="F29" s="104"/>
    </row>
    <row r="30" spans="1:14" x14ac:dyDescent="0.2">
      <c r="A30" s="104"/>
      <c r="B30" s="9">
        <f ca="1">IF(ISBLANK($B30),"",COUNTA($C$12:C30))</f>
        <v>15</v>
      </c>
      <c r="C30" s="209" t="s">
        <v>473</v>
      </c>
      <c r="D30" s="209"/>
      <c r="E30" s="105">
        <f>+'Sch B-1 (FTP RB)'!F29</f>
        <v>-9402090</v>
      </c>
      <c r="F30" s="105"/>
      <c r="G30" s="105">
        <f>+'Sch A-1s1 (Co v OAG Recon)'!I35</f>
        <v>-9402090</v>
      </c>
      <c r="H30" s="105"/>
      <c r="I30" s="105">
        <f>+G30</f>
        <v>-9402090</v>
      </c>
      <c r="J30" s="105">
        <f>+I30</f>
        <v>-9402090</v>
      </c>
      <c r="K30" s="231"/>
    </row>
    <row r="31" spans="1:14" x14ac:dyDescent="0.2">
      <c r="B31" s="9">
        <f ca="1">IF(ISBLANK($B31),"",COUNTA($C$12:C31))</f>
        <v>16</v>
      </c>
      <c r="C31" s="209" t="s">
        <v>498</v>
      </c>
      <c r="D31" s="209"/>
      <c r="E31" s="218">
        <f>+E23</f>
        <v>2.3E-2</v>
      </c>
      <c r="G31" s="218">
        <f>+G23</f>
        <v>7.350000000000001E-2</v>
      </c>
      <c r="H31" s="218"/>
      <c r="I31" s="218">
        <f>+I23</f>
        <v>5.0500000000000003E-2</v>
      </c>
      <c r="J31" s="218">
        <f>+J23</f>
        <v>2.3E-2</v>
      </c>
      <c r="K31" s="218"/>
    </row>
    <row r="32" spans="1:14" x14ac:dyDescent="0.2">
      <c r="B32" s="9">
        <f ca="1">IF(ISBLANK($B32),"",COUNTA($C$12:C32))</f>
        <v>17</v>
      </c>
      <c r="C32" s="209" t="s">
        <v>507</v>
      </c>
      <c r="D32" s="209"/>
      <c r="E32" s="260">
        <f>+E30*E31</f>
        <v>-216248.07</v>
      </c>
      <c r="G32" s="260">
        <f>+G30*G31</f>
        <v>-691053.61500000011</v>
      </c>
      <c r="H32" s="260"/>
      <c r="I32" s="260">
        <f>+I30*I31</f>
        <v>-474805.54500000004</v>
      </c>
      <c r="J32" s="260">
        <f>+J30*J31</f>
        <v>-216248.07</v>
      </c>
      <c r="K32" s="260"/>
    </row>
    <row r="33" spans="2:14" ht="13.5" thickBot="1" x14ac:dyDescent="0.25">
      <c r="B33" s="9">
        <f ca="1">IF(ISBLANK($B33),"",COUNTA($C$12:C33))</f>
        <v>18</v>
      </c>
      <c r="C33" s="259" t="s">
        <v>502</v>
      </c>
      <c r="D33" s="259"/>
      <c r="E33" s="265">
        <f>+E25</f>
        <v>1.0055019999999999</v>
      </c>
      <c r="G33" s="265">
        <f>+G25</f>
        <v>1.3397760000000001</v>
      </c>
      <c r="H33" s="105"/>
      <c r="I33" s="265">
        <f>+I25</f>
        <v>1.3397760000000001</v>
      </c>
      <c r="J33" s="265">
        <f>+J25</f>
        <v>1.3397760000000001</v>
      </c>
      <c r="K33" s="260"/>
    </row>
    <row r="34" spans="2:14" ht="13.5" thickBot="1" x14ac:dyDescent="0.25">
      <c r="B34" s="9">
        <f ca="1">IF(ISBLANK($B34),"",COUNTA($C$12:C34))</f>
        <v>19</v>
      </c>
      <c r="C34" s="259" t="s">
        <v>499</v>
      </c>
      <c r="D34" s="259"/>
      <c r="E34" s="260">
        <f>ROUND(E32*E33,0)</f>
        <v>-217438</v>
      </c>
      <c r="F34" s="255"/>
      <c r="G34" s="267">
        <f>ROUND(G32*G33,0)</f>
        <v>-925857</v>
      </c>
      <c r="H34" s="260"/>
      <c r="I34" s="260">
        <f>ROUND(I32*I33,0)</f>
        <v>-636133</v>
      </c>
      <c r="J34" s="260">
        <f>ROUND(J32*J33,0)-1</f>
        <v>-289725</v>
      </c>
      <c r="L34" s="261">
        <f>ROUND(J34-E34,0)</f>
        <v>-72287</v>
      </c>
      <c r="M34" s="268">
        <f>+'Sch A-1s1 (Co v OAG Recon)'!S37</f>
        <v>-72287</v>
      </c>
      <c r="N34" s="260">
        <f>+L34-M34</f>
        <v>0</v>
      </c>
    </row>
    <row r="47" spans="2:14" x14ac:dyDescent="0.2">
      <c r="I47" s="262"/>
    </row>
    <row r="97" spans="7:8" x14ac:dyDescent="0.2">
      <c r="G97" s="105"/>
      <c r="H97" s="105"/>
    </row>
  </sheetData>
  <mergeCells count="7">
    <mergeCell ref="E10:J10"/>
    <mergeCell ref="L10:N10"/>
    <mergeCell ref="G11:J11"/>
    <mergeCell ref="A1:N1"/>
    <mergeCell ref="A2:N2"/>
    <mergeCell ref="A4:N4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1EF0-7199-4795-95E0-86BF7E180DEE}">
  <dimension ref="A1:H49"/>
  <sheetViews>
    <sheetView workbookViewId="0">
      <selection activeCell="L33" sqref="L33"/>
    </sheetView>
  </sheetViews>
  <sheetFormatPr defaultColWidth="7.85546875" defaultRowHeight="12.75" x14ac:dyDescent="0.25"/>
  <cols>
    <col min="1" max="1" width="6.28515625" style="2" customWidth="1"/>
    <col min="2" max="2" width="51.5703125" style="2" customWidth="1"/>
    <col min="3" max="3" width="13.7109375" style="2" customWidth="1"/>
    <col min="4" max="4" width="23.5703125" style="2" bestFit="1" customWidth="1"/>
    <col min="5" max="5" width="3.5703125" style="2" customWidth="1"/>
    <col min="6" max="6" width="22.28515625" style="2" customWidth="1"/>
    <col min="7" max="7" width="3.5703125" style="2" customWidth="1"/>
    <col min="8" max="8" width="24.7109375" style="2" customWidth="1"/>
    <col min="9" max="16384" width="7.85546875" style="2"/>
  </cols>
  <sheetData>
    <row r="1" spans="1:8" x14ac:dyDescent="0.25">
      <c r="A1" s="340" t="s">
        <v>62</v>
      </c>
      <c r="B1" s="340"/>
      <c r="C1" s="340"/>
      <c r="D1" s="340"/>
      <c r="E1" s="340"/>
      <c r="F1" s="340"/>
      <c r="G1" s="340"/>
      <c r="H1" s="340"/>
    </row>
    <row r="2" spans="1:8" x14ac:dyDescent="0.25">
      <c r="A2" s="340" t="s">
        <v>63</v>
      </c>
      <c r="B2" s="340"/>
      <c r="C2" s="340"/>
      <c r="D2" s="340"/>
      <c r="E2" s="340"/>
      <c r="F2" s="340"/>
      <c r="G2" s="340"/>
      <c r="H2" s="340"/>
    </row>
    <row r="3" spans="1:8" x14ac:dyDescent="0.25">
      <c r="A3" s="340" t="s">
        <v>69</v>
      </c>
      <c r="B3" s="340"/>
      <c r="C3" s="340"/>
      <c r="D3" s="340"/>
      <c r="E3" s="340"/>
      <c r="F3" s="340"/>
      <c r="G3" s="340"/>
      <c r="H3" s="340"/>
    </row>
    <row r="4" spans="1:8" x14ac:dyDescent="0.25">
      <c r="A4" s="340" t="s">
        <v>66</v>
      </c>
      <c r="B4" s="340"/>
      <c r="C4" s="340"/>
      <c r="D4" s="340"/>
      <c r="E4" s="340"/>
      <c r="F4" s="340"/>
      <c r="G4" s="340"/>
      <c r="H4" s="340"/>
    </row>
    <row r="6" spans="1:8" x14ac:dyDescent="0.25">
      <c r="A6" s="5" t="s">
        <v>176</v>
      </c>
      <c r="H6" s="6" t="s">
        <v>29</v>
      </c>
    </row>
    <row r="7" spans="1:8" ht="16.5" customHeight="1" x14ac:dyDescent="0.25">
      <c r="A7" s="2" t="s">
        <v>645</v>
      </c>
      <c r="H7" s="6" t="s">
        <v>30</v>
      </c>
    </row>
    <row r="8" spans="1:8" x14ac:dyDescent="0.25">
      <c r="A8" s="2" t="s">
        <v>2</v>
      </c>
      <c r="H8" s="6" t="s">
        <v>67</v>
      </c>
    </row>
    <row r="9" spans="1:8" s="18" customFormat="1" x14ac:dyDescent="0.25">
      <c r="A9" s="7"/>
      <c r="B9" s="7"/>
      <c r="C9" s="7"/>
      <c r="D9" s="7"/>
      <c r="E9" s="7"/>
      <c r="F9" s="7"/>
      <c r="G9" s="7"/>
      <c r="H9" s="7"/>
    </row>
    <row r="10" spans="1:8" s="18" customFormat="1" ht="13.5" thickBot="1" x14ac:dyDescent="0.3">
      <c r="A10" s="2"/>
      <c r="B10" s="2"/>
      <c r="C10" s="2"/>
      <c r="D10" s="99" t="s">
        <v>177</v>
      </c>
      <c r="E10" s="100"/>
      <c r="F10" s="99" t="s">
        <v>178</v>
      </c>
      <c r="G10" s="100"/>
      <c r="H10" s="99" t="s">
        <v>179</v>
      </c>
    </row>
    <row r="11" spans="1:8" s="18" customFormat="1" x14ac:dyDescent="0.25">
      <c r="A11" s="2"/>
      <c r="B11" s="2"/>
      <c r="C11" s="2"/>
      <c r="D11" s="9" t="s">
        <v>182</v>
      </c>
      <c r="E11" s="9"/>
      <c r="H11" s="9" t="s">
        <v>182</v>
      </c>
    </row>
    <row r="12" spans="1:8" s="18" customFormat="1" x14ac:dyDescent="0.25">
      <c r="A12" s="2"/>
      <c r="B12" s="2"/>
      <c r="C12" s="2"/>
      <c r="D12" s="90" t="s">
        <v>183</v>
      </c>
      <c r="E12" s="90"/>
      <c r="H12" s="90" t="s">
        <v>183</v>
      </c>
    </row>
    <row r="13" spans="1:8" s="18" customFormat="1" x14ac:dyDescent="0.25">
      <c r="A13" s="2"/>
      <c r="B13" s="2"/>
      <c r="C13" s="9" t="s">
        <v>32</v>
      </c>
      <c r="D13" s="9" t="s">
        <v>181</v>
      </c>
      <c r="E13" s="9"/>
      <c r="F13" s="9" t="s">
        <v>181</v>
      </c>
      <c r="G13" s="9"/>
      <c r="H13" s="9" t="s">
        <v>181</v>
      </c>
    </row>
    <row r="14" spans="1:8" s="18" customFormat="1" x14ac:dyDescent="0.25">
      <c r="A14" s="9" t="s">
        <v>6</v>
      </c>
      <c r="B14" s="9"/>
      <c r="C14" s="9" t="s">
        <v>34</v>
      </c>
      <c r="D14" s="9" t="s">
        <v>3</v>
      </c>
      <c r="E14" s="9"/>
      <c r="F14" s="9" t="s">
        <v>3</v>
      </c>
      <c r="G14" s="9"/>
      <c r="H14" s="9" t="s">
        <v>3</v>
      </c>
    </row>
    <row r="15" spans="1:8" s="18" customFormat="1" x14ac:dyDescent="0.25">
      <c r="A15" s="10" t="s">
        <v>10</v>
      </c>
      <c r="B15" s="10" t="s">
        <v>35</v>
      </c>
      <c r="C15" s="10" t="s">
        <v>12</v>
      </c>
      <c r="D15" s="10" t="s">
        <v>14</v>
      </c>
      <c r="E15" s="10"/>
      <c r="F15" s="10" t="s">
        <v>14</v>
      </c>
      <c r="G15" s="10"/>
      <c r="H15" s="10" t="s">
        <v>14</v>
      </c>
    </row>
    <row r="16" spans="1:8" s="18" customFormat="1" x14ac:dyDescent="0.25">
      <c r="A16" s="2"/>
      <c r="B16" s="2"/>
      <c r="C16" s="9"/>
      <c r="D16" s="89" t="s">
        <v>85</v>
      </c>
      <c r="E16" s="89"/>
      <c r="F16" s="89" t="s">
        <v>86</v>
      </c>
      <c r="G16" s="89"/>
      <c r="H16" s="89" t="s">
        <v>136</v>
      </c>
    </row>
    <row r="17" spans="1:8" s="18" customFormat="1" x14ac:dyDescent="0.25">
      <c r="A17" s="2"/>
      <c r="B17" s="2"/>
      <c r="C17" s="2"/>
      <c r="D17" s="9" t="s">
        <v>36</v>
      </c>
      <c r="E17" s="9"/>
      <c r="F17" s="9" t="s">
        <v>36</v>
      </c>
      <c r="G17" s="9"/>
      <c r="H17" s="9" t="s">
        <v>36</v>
      </c>
    </row>
    <row r="19" spans="1:8" x14ac:dyDescent="0.25">
      <c r="A19" s="9">
        <f>IF(ISBLANK($B19),"",COUNTA($B$19:B19))</f>
        <v>1</v>
      </c>
      <c r="B19" s="5" t="s">
        <v>37</v>
      </c>
      <c r="C19" s="9" t="s">
        <v>38</v>
      </c>
      <c r="D19" s="20">
        <v>775008140.86461902</v>
      </c>
      <c r="E19" s="20"/>
      <c r="F19" s="20">
        <f>+D19</f>
        <v>775008140.86461902</v>
      </c>
      <c r="G19" s="20"/>
      <c r="H19" s="20">
        <f>+D19</f>
        <v>775008140.86461902</v>
      </c>
    </row>
    <row r="20" spans="1:8" x14ac:dyDescent="0.25">
      <c r="A20" s="9" t="str">
        <f>IF(ISBLANK($B20),"",COUNTA($B$19:B20))</f>
        <v/>
      </c>
      <c r="D20" s="20"/>
      <c r="E20" s="20"/>
      <c r="F20" s="20"/>
      <c r="G20" s="20"/>
    </row>
    <row r="21" spans="1:8" x14ac:dyDescent="0.25">
      <c r="A21" s="9">
        <f>IF(ISBLANK($B21),"",COUNTA($B$19:B21))</f>
        <v>2</v>
      </c>
      <c r="B21" s="5" t="s">
        <v>39</v>
      </c>
      <c r="C21" s="9" t="s">
        <v>40</v>
      </c>
      <c r="D21" s="20">
        <v>0</v>
      </c>
      <c r="E21" s="20"/>
      <c r="F21" s="20">
        <v>0</v>
      </c>
      <c r="G21" s="20"/>
      <c r="H21" s="20">
        <f>+D21</f>
        <v>0</v>
      </c>
    </row>
    <row r="22" spans="1:8" x14ac:dyDescent="0.25">
      <c r="A22" s="9" t="str">
        <f>IF(ISBLANK($B22),"",COUNTA($B$19:B22))</f>
        <v/>
      </c>
      <c r="D22" s="20"/>
      <c r="E22" s="20"/>
      <c r="F22" s="20"/>
      <c r="G22" s="20"/>
    </row>
    <row r="23" spans="1:8" x14ac:dyDescent="0.25">
      <c r="A23" s="9">
        <f>IF(ISBLANK($B23),"",COUNTA($B$19:B23))</f>
        <v>3</v>
      </c>
      <c r="B23" s="5" t="s">
        <v>41</v>
      </c>
      <c r="C23" s="9" t="s">
        <v>42</v>
      </c>
      <c r="D23" s="20">
        <v>0</v>
      </c>
      <c r="E23" s="20"/>
      <c r="F23" s="20">
        <v>0</v>
      </c>
      <c r="G23" s="20"/>
      <c r="H23" s="20">
        <f>+D23</f>
        <v>0</v>
      </c>
    </row>
    <row r="24" spans="1:8" x14ac:dyDescent="0.25">
      <c r="A24" s="9" t="str">
        <f>IF(ISBLANK($B24),"",COUNTA($B$19:B24))</f>
        <v/>
      </c>
      <c r="D24" s="20"/>
      <c r="E24" s="20"/>
      <c r="F24" s="20"/>
      <c r="G24" s="20"/>
    </row>
    <row r="25" spans="1:8" x14ac:dyDescent="0.25">
      <c r="A25" s="9">
        <f>IF(ISBLANK($B25),"",COUNTA($B$19:B25))</f>
        <v>4</v>
      </c>
      <c r="B25" s="5" t="s">
        <v>43</v>
      </c>
      <c r="C25" s="9" t="s">
        <v>44</v>
      </c>
      <c r="D25" s="21">
        <v>-194991110.37219495</v>
      </c>
      <c r="E25" s="91"/>
      <c r="F25" s="21">
        <v>-194991110</v>
      </c>
      <c r="G25" s="91"/>
      <c r="H25" s="91">
        <f>+D25</f>
        <v>-194991110.37219495</v>
      </c>
    </row>
    <row r="26" spans="1:8" x14ac:dyDescent="0.25">
      <c r="A26" s="9" t="str">
        <f>IF(ISBLANK($B26),"",COUNTA($B$19:B26))</f>
        <v/>
      </c>
      <c r="D26" s="20"/>
      <c r="E26" s="20"/>
      <c r="F26" s="20"/>
      <c r="G26" s="20"/>
    </row>
    <row r="27" spans="1:8" x14ac:dyDescent="0.25">
      <c r="A27" s="9">
        <f>IF(ISBLANK($B27),"",COUNTA($B$19:B27))</f>
        <v>5</v>
      </c>
      <c r="B27" s="5" t="s">
        <v>45</v>
      </c>
      <c r="D27" s="20">
        <f>SUM(D19:D25)</f>
        <v>580017030.49242401</v>
      </c>
      <c r="E27" s="20"/>
      <c r="F27" s="20">
        <f>SUM(F19:F25)-1</f>
        <v>580017029.86461902</v>
      </c>
      <c r="G27" s="20"/>
      <c r="H27" s="20">
        <f>SUM(H19:H25)</f>
        <v>580017030.49242401</v>
      </c>
    </row>
    <row r="28" spans="1:8" x14ac:dyDescent="0.25">
      <c r="A28" s="9" t="str">
        <f>IF(ISBLANK($B28),"",COUNTA($B$19:B28))</f>
        <v/>
      </c>
      <c r="D28" s="20"/>
      <c r="E28" s="20"/>
    </row>
    <row r="29" spans="1:8" x14ac:dyDescent="0.25">
      <c r="A29" s="9">
        <f>IF(ISBLANK($B29),"",COUNTA($B$19:B29))</f>
        <v>6</v>
      </c>
      <c r="B29" s="5" t="s">
        <v>46</v>
      </c>
      <c r="C29" s="9" t="s">
        <v>47</v>
      </c>
      <c r="D29" s="20">
        <f>+'Sch B-5.2.A (CWC)'!K56</f>
        <v>0</v>
      </c>
      <c r="E29" s="20"/>
      <c r="F29" s="20">
        <f>+'Sch B-5.2.A (CWC)'!O56</f>
        <v>-9402090</v>
      </c>
      <c r="G29" s="20"/>
      <c r="H29" s="20">
        <f>+'Sch B-5.2.A (CWC)'!S56</f>
        <v>0</v>
      </c>
    </row>
    <row r="30" spans="1:8" x14ac:dyDescent="0.25">
      <c r="A30" s="9" t="str">
        <f>IF(ISBLANK($B30),"",COUNTA($B$19:B30))</f>
        <v/>
      </c>
      <c r="D30" s="20"/>
      <c r="E30" s="20"/>
    </row>
    <row r="31" spans="1:8" x14ac:dyDescent="0.25">
      <c r="A31" s="9">
        <f>IF(ISBLANK($B31),"",COUNTA($B$19:B31))</f>
        <v>7</v>
      </c>
      <c r="B31" s="5" t="s">
        <v>48</v>
      </c>
      <c r="C31" s="9" t="s">
        <v>47</v>
      </c>
      <c r="D31" s="20">
        <v>37749890.488828242</v>
      </c>
      <c r="E31" s="20"/>
      <c r="F31" s="20">
        <f>+D31</f>
        <v>37749890.488828242</v>
      </c>
      <c r="G31" s="20"/>
      <c r="H31" s="20">
        <f>+D31</f>
        <v>37749890.488828242</v>
      </c>
    </row>
    <row r="32" spans="1:8" x14ac:dyDescent="0.25">
      <c r="A32" s="9" t="str">
        <f>IF(ISBLANK($B32),"",COUNTA($B$19:B32))</f>
        <v/>
      </c>
      <c r="B32" s="5"/>
      <c r="C32" s="5"/>
      <c r="D32" s="20"/>
      <c r="E32" s="20"/>
    </row>
    <row r="33" spans="1:8" x14ac:dyDescent="0.25">
      <c r="A33" s="9" t="s">
        <v>49</v>
      </c>
      <c r="B33" s="5" t="s">
        <v>14</v>
      </c>
      <c r="C33" s="9" t="s">
        <v>50</v>
      </c>
      <c r="D33" s="20">
        <v>-99011326.859644532</v>
      </c>
      <c r="E33" s="20"/>
      <c r="F33" s="20">
        <f>+D33</f>
        <v>-99011326.859644532</v>
      </c>
      <c r="G33" s="20"/>
      <c r="H33" s="20">
        <f>+D33</f>
        <v>-99011326.859644532</v>
      </c>
    </row>
    <row r="34" spans="1:8" x14ac:dyDescent="0.25">
      <c r="A34" s="9" t="s">
        <v>51</v>
      </c>
      <c r="B34" s="5" t="s">
        <v>52</v>
      </c>
      <c r="C34" s="9" t="s">
        <v>53</v>
      </c>
      <c r="D34" s="20">
        <v>3490855.384615385</v>
      </c>
      <c r="E34" s="20"/>
      <c r="F34" s="20">
        <f>+D34</f>
        <v>3490855.384615385</v>
      </c>
      <c r="G34" s="20"/>
      <c r="H34" s="20">
        <f>+D34</f>
        <v>3490855.384615385</v>
      </c>
    </row>
    <row r="35" spans="1:8" x14ac:dyDescent="0.25">
      <c r="A35" s="9" t="s">
        <v>54</v>
      </c>
      <c r="B35" s="5" t="s">
        <v>55</v>
      </c>
      <c r="C35" s="9"/>
      <c r="D35" s="20">
        <v>-3490855.384615385</v>
      </c>
      <c r="E35" s="20"/>
      <c r="F35" s="20">
        <f>+D35</f>
        <v>-3490855.384615385</v>
      </c>
      <c r="G35" s="20"/>
      <c r="H35" s="20">
        <f>+IF(H29&lt;&gt;0,0,-H34)</f>
        <v>-3490855.384615385</v>
      </c>
    </row>
    <row r="36" spans="1:8" x14ac:dyDescent="0.25">
      <c r="A36" s="9" t="s">
        <v>56</v>
      </c>
      <c r="B36" s="2" t="s">
        <v>57</v>
      </c>
      <c r="C36" s="9" t="s">
        <v>58</v>
      </c>
      <c r="D36" s="21">
        <v>71717.641587942839</v>
      </c>
      <c r="E36" s="91"/>
      <c r="F36" s="21">
        <f>+D36</f>
        <v>71717.641587942839</v>
      </c>
      <c r="G36" s="91"/>
      <c r="H36" s="91">
        <f>+D36</f>
        <v>71717.641587942839</v>
      </c>
    </row>
    <row r="37" spans="1:8" x14ac:dyDescent="0.25">
      <c r="A37" s="9">
        <f>A31+1</f>
        <v>8</v>
      </c>
      <c r="B37" s="5" t="s">
        <v>59</v>
      </c>
      <c r="C37" s="9" t="s">
        <v>60</v>
      </c>
      <c r="D37" s="20">
        <f>SUM(D33:D36)</f>
        <v>-98939609.218056589</v>
      </c>
      <c r="E37" s="20"/>
      <c r="F37" s="20">
        <f>SUM(F33:F36)</f>
        <v>-98939609.218056589</v>
      </c>
      <c r="G37" s="20"/>
      <c r="H37" s="20">
        <f>SUM(H33:H36)</f>
        <v>-98939609.218056589</v>
      </c>
    </row>
    <row r="38" spans="1:8" x14ac:dyDescent="0.25">
      <c r="D38" s="20"/>
      <c r="E38" s="20"/>
    </row>
    <row r="39" spans="1:8" x14ac:dyDescent="0.25">
      <c r="A39" s="9">
        <f>A37+1</f>
        <v>9</v>
      </c>
      <c r="B39" s="5" t="s">
        <v>233</v>
      </c>
      <c r="D39" s="20">
        <v>0</v>
      </c>
      <c r="E39" s="20"/>
      <c r="F39" s="20">
        <v>-1969434</v>
      </c>
      <c r="G39" s="20"/>
      <c r="H39" s="20">
        <v>0</v>
      </c>
    </row>
    <row r="40" spans="1:8" x14ac:dyDescent="0.25">
      <c r="D40" s="20"/>
      <c r="E40" s="20"/>
      <c r="G40" s="20"/>
    </row>
    <row r="41" spans="1:8" ht="13.5" thickBot="1" x14ac:dyDescent="0.3">
      <c r="A41" s="9">
        <f>A39+1</f>
        <v>10</v>
      </c>
      <c r="B41" s="5" t="s">
        <v>61</v>
      </c>
      <c r="D41" s="22">
        <f>D27+D29+D31+D37+D39</f>
        <v>518827311.76319563</v>
      </c>
      <c r="E41" s="20"/>
      <c r="F41" s="22">
        <f>F27+F29+F31+F37+F39</f>
        <v>507455787.13539064</v>
      </c>
      <c r="G41" s="20"/>
      <c r="H41" s="22">
        <f>H27+H29+H31+H37+H39</f>
        <v>518827311.76319563</v>
      </c>
    </row>
    <row r="42" spans="1:8" ht="13.5" thickTop="1" x14ac:dyDescent="0.25">
      <c r="D42" s="12"/>
      <c r="E42" s="20"/>
      <c r="G42" s="20"/>
    </row>
    <row r="44" spans="1:8" x14ac:dyDescent="0.25">
      <c r="D44" s="12"/>
      <c r="E44" s="12"/>
    </row>
    <row r="46" spans="1:8" x14ac:dyDescent="0.25">
      <c r="A46" s="5"/>
      <c r="B46" s="5"/>
    </row>
    <row r="47" spans="1:8" x14ac:dyDescent="0.25">
      <c r="B47" s="5"/>
    </row>
    <row r="48" spans="1:8" x14ac:dyDescent="0.25">
      <c r="B48" s="5"/>
    </row>
    <row r="49" spans="2:2" x14ac:dyDescent="0.25">
      <c r="B49" s="5"/>
    </row>
  </sheetData>
  <mergeCells count="4">
    <mergeCell ref="A3:H3"/>
    <mergeCell ref="A4:H4"/>
    <mergeCell ref="A1:H1"/>
    <mergeCell ref="A2:H2"/>
  </mergeCells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31C2-6745-4D78-AA2F-228D6A8A5EAB}">
  <dimension ref="A1:U57"/>
  <sheetViews>
    <sheetView workbookViewId="0">
      <selection activeCell="V25" sqref="V25"/>
    </sheetView>
  </sheetViews>
  <sheetFormatPr defaultColWidth="7.85546875" defaultRowHeight="12.75" x14ac:dyDescent="0.25"/>
  <cols>
    <col min="1" max="1" width="4.5703125" style="2" customWidth="1"/>
    <col min="2" max="2" width="2.140625" style="2" customWidth="1"/>
    <col min="3" max="3" width="45.5703125" style="2" customWidth="1"/>
    <col min="4" max="4" width="16.85546875" style="2" bestFit="1" customWidth="1"/>
    <col min="5" max="6" width="15.5703125" style="2" bestFit="1" customWidth="1"/>
    <col min="7" max="7" width="15.85546875" style="2" bestFit="1" customWidth="1"/>
    <col min="8" max="8" width="9.85546875" style="2" bestFit="1" customWidth="1"/>
    <col min="9" max="9" width="11" style="2" bestFit="1" customWidth="1"/>
    <col min="10" max="10" width="10.42578125" style="2" customWidth="1"/>
    <col min="11" max="11" width="18.85546875" style="2" bestFit="1" customWidth="1"/>
    <col min="12" max="12" width="2" style="2" customWidth="1"/>
    <col min="13" max="13" width="12.5703125" style="2" bestFit="1" customWidth="1"/>
    <col min="14" max="14" width="12.140625" style="2" bestFit="1" customWidth="1"/>
    <col min="15" max="15" width="17.85546875" style="2" customWidth="1"/>
    <col min="16" max="16" width="2" style="2" customWidth="1"/>
    <col min="17" max="17" width="12.5703125" style="2" bestFit="1" customWidth="1"/>
    <col min="18" max="18" width="11.42578125" style="2" bestFit="1" customWidth="1"/>
    <col min="19" max="19" width="18" style="2" customWidth="1"/>
    <col min="20" max="20" width="7.85546875" style="2"/>
    <col min="21" max="21" width="2" style="2" customWidth="1"/>
    <col min="22" max="16384" width="7.85546875" style="2"/>
  </cols>
  <sheetData>
    <row r="1" spans="1:21" x14ac:dyDescent="0.25">
      <c r="A1" s="340" t="s">
        <v>62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</row>
    <row r="2" spans="1:21" x14ac:dyDescent="0.25">
      <c r="A2" s="340" t="s">
        <v>63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</row>
    <row r="3" spans="1:21" x14ac:dyDescent="0.25">
      <c r="A3" s="340" t="s">
        <v>70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</row>
    <row r="4" spans="1:21" x14ac:dyDescent="0.25">
      <c r="A4" s="340" t="s">
        <v>66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</row>
    <row r="6" spans="1:21" x14ac:dyDescent="0.25">
      <c r="A6" s="5" t="s">
        <v>176</v>
      </c>
      <c r="S6" s="6" t="s">
        <v>71</v>
      </c>
    </row>
    <row r="7" spans="1:21" ht="17.100000000000001" customHeight="1" x14ac:dyDescent="0.25">
      <c r="A7" s="2" t="s">
        <v>645</v>
      </c>
      <c r="S7" s="6" t="s">
        <v>30</v>
      </c>
    </row>
    <row r="8" spans="1:21" x14ac:dyDescent="0.25">
      <c r="A8" s="2" t="s">
        <v>2</v>
      </c>
      <c r="S8" s="6" t="s">
        <v>126</v>
      </c>
    </row>
    <row r="9" spans="1:21" x14ac:dyDescent="0.25">
      <c r="A9" s="5"/>
      <c r="D9" s="7"/>
      <c r="E9" s="7"/>
      <c r="F9" s="7"/>
      <c r="G9" s="7"/>
      <c r="H9" s="7"/>
      <c r="I9" s="7"/>
      <c r="J9" s="7"/>
      <c r="K9" s="7"/>
      <c r="L9" s="7"/>
      <c r="M9" s="23"/>
      <c r="N9" s="23"/>
      <c r="O9" s="23"/>
      <c r="P9" s="7"/>
      <c r="Q9" s="23"/>
      <c r="R9" s="23"/>
      <c r="S9" s="23"/>
    </row>
    <row r="10" spans="1:21" ht="26.1" customHeight="1" thickBot="1" x14ac:dyDescent="0.3">
      <c r="A10" s="24"/>
      <c r="B10" s="24"/>
      <c r="C10" s="24"/>
      <c r="D10" s="359" t="s">
        <v>184</v>
      </c>
      <c r="E10" s="360"/>
      <c r="F10" s="360"/>
      <c r="G10" s="360"/>
      <c r="H10" s="360"/>
      <c r="I10" s="360"/>
      <c r="J10" s="360"/>
      <c r="K10" s="360"/>
      <c r="L10" s="9"/>
      <c r="M10" s="358" t="s">
        <v>185</v>
      </c>
      <c r="N10" s="358"/>
      <c r="O10" s="358"/>
      <c r="P10" s="9"/>
      <c r="Q10" s="357" t="s">
        <v>186</v>
      </c>
      <c r="R10" s="357"/>
      <c r="S10" s="357"/>
    </row>
    <row r="11" spans="1:21" x14ac:dyDescent="0.25">
      <c r="D11" s="340" t="s">
        <v>72</v>
      </c>
      <c r="E11" s="340"/>
      <c r="F11" s="340"/>
      <c r="G11" s="340"/>
      <c r="H11" s="340"/>
      <c r="I11" s="340"/>
      <c r="J11" s="340"/>
      <c r="K11" s="340"/>
      <c r="L11" s="9"/>
      <c r="M11" s="9"/>
      <c r="N11" s="9"/>
      <c r="O11" s="9"/>
      <c r="P11" s="9"/>
      <c r="Q11" s="92"/>
      <c r="R11" s="92"/>
      <c r="S11" s="92"/>
    </row>
    <row r="12" spans="1:21" x14ac:dyDescent="0.2">
      <c r="L12" s="92"/>
      <c r="N12" s="93" t="s">
        <v>130</v>
      </c>
      <c r="O12" s="93"/>
      <c r="P12" s="92"/>
      <c r="R12" s="93" t="s">
        <v>130</v>
      </c>
      <c r="S12" s="93"/>
    </row>
    <row r="13" spans="1:21" x14ac:dyDescent="0.25">
      <c r="A13" s="9" t="s">
        <v>6</v>
      </c>
      <c r="D13" s="9" t="s">
        <v>73</v>
      </c>
      <c r="E13" s="25" t="s">
        <v>5</v>
      </c>
      <c r="F13" s="25" t="s">
        <v>5</v>
      </c>
      <c r="G13" s="9" t="s">
        <v>74</v>
      </c>
      <c r="H13" s="9" t="s">
        <v>8</v>
      </c>
      <c r="I13" s="9" t="s">
        <v>75</v>
      </c>
      <c r="J13" s="9" t="s">
        <v>76</v>
      </c>
      <c r="K13" s="9" t="s">
        <v>77</v>
      </c>
      <c r="L13" s="9"/>
      <c r="N13" s="9" t="s">
        <v>73</v>
      </c>
      <c r="O13" s="9" t="s">
        <v>77</v>
      </c>
      <c r="P13" s="9"/>
      <c r="R13" s="9" t="s">
        <v>73</v>
      </c>
      <c r="S13" s="9" t="s">
        <v>77</v>
      </c>
    </row>
    <row r="14" spans="1:21" ht="25.5" x14ac:dyDescent="0.25">
      <c r="A14" s="19" t="s">
        <v>10</v>
      </c>
      <c r="B14" s="26"/>
      <c r="C14" s="19" t="s">
        <v>78</v>
      </c>
      <c r="D14" s="19" t="s">
        <v>79</v>
      </c>
      <c r="E14" s="27" t="s">
        <v>80</v>
      </c>
      <c r="F14" s="27" t="s">
        <v>81</v>
      </c>
      <c r="G14" s="19" t="s">
        <v>81</v>
      </c>
      <c r="H14" s="19" t="s">
        <v>82</v>
      </c>
      <c r="I14" s="19" t="s">
        <v>83</v>
      </c>
      <c r="J14" s="19" t="s">
        <v>84</v>
      </c>
      <c r="K14" s="19" t="s">
        <v>13</v>
      </c>
      <c r="L14" s="9"/>
      <c r="M14" s="94" t="s">
        <v>187</v>
      </c>
      <c r="N14" s="19" t="s">
        <v>79</v>
      </c>
      <c r="O14" s="19" t="s">
        <v>13</v>
      </c>
      <c r="P14" s="9"/>
      <c r="Q14" s="94" t="s">
        <v>187</v>
      </c>
      <c r="R14" s="19" t="s">
        <v>79</v>
      </c>
      <c r="S14" s="19" t="s">
        <v>13</v>
      </c>
    </row>
    <row r="15" spans="1:21" x14ac:dyDescent="0.25">
      <c r="A15" s="9"/>
      <c r="C15" s="5"/>
      <c r="D15" s="28" t="s">
        <v>85</v>
      </c>
      <c r="E15" s="28" t="s">
        <v>86</v>
      </c>
      <c r="F15" s="28" t="s">
        <v>87</v>
      </c>
      <c r="G15" s="28" t="s">
        <v>88</v>
      </c>
      <c r="H15" s="28" t="s">
        <v>89</v>
      </c>
      <c r="I15" s="28" t="s">
        <v>90</v>
      </c>
      <c r="J15" s="28" t="s">
        <v>91</v>
      </c>
      <c r="K15" s="28" t="s">
        <v>92</v>
      </c>
      <c r="L15" s="28"/>
      <c r="M15" s="28" t="s">
        <v>188</v>
      </c>
      <c r="N15" s="28" t="s">
        <v>189</v>
      </c>
      <c r="O15" s="28" t="s">
        <v>190</v>
      </c>
      <c r="P15" s="28"/>
      <c r="Q15" s="28" t="s">
        <v>191</v>
      </c>
      <c r="R15" s="28" t="s">
        <v>192</v>
      </c>
      <c r="S15" s="28" t="s">
        <v>193</v>
      </c>
      <c r="U15" s="28"/>
    </row>
    <row r="16" spans="1:21" x14ac:dyDescent="0.25">
      <c r="D16" s="9" t="s">
        <v>36</v>
      </c>
      <c r="E16" s="29"/>
      <c r="F16" s="25" t="s">
        <v>36</v>
      </c>
      <c r="G16" s="9" t="s">
        <v>36</v>
      </c>
      <c r="K16" s="9" t="s">
        <v>36</v>
      </c>
      <c r="L16" s="9"/>
      <c r="M16" s="9" t="s">
        <v>36</v>
      </c>
      <c r="N16" s="9" t="s">
        <v>36</v>
      </c>
      <c r="O16" s="9" t="s">
        <v>36</v>
      </c>
      <c r="P16" s="9"/>
      <c r="Q16" s="9" t="s">
        <v>36</v>
      </c>
      <c r="R16" s="9" t="s">
        <v>36</v>
      </c>
      <c r="S16" s="9" t="s">
        <v>36</v>
      </c>
      <c r="U16" s="9"/>
    </row>
    <row r="17" spans="1:21" x14ac:dyDescent="0.25">
      <c r="A17" s="9">
        <v>1</v>
      </c>
      <c r="B17" s="30" t="s">
        <v>93</v>
      </c>
    </row>
    <row r="18" spans="1:21" x14ac:dyDescent="0.25">
      <c r="A18" s="9">
        <f>A17+1</f>
        <v>2</v>
      </c>
      <c r="C18" s="5" t="s">
        <v>94</v>
      </c>
      <c r="D18" s="31">
        <f>+'Sch C-2 (Op Income)'!I21-D19</f>
        <v>26766112.270000003</v>
      </c>
      <c r="E18" s="25" t="s">
        <v>95</v>
      </c>
      <c r="F18" s="32">
        <f>D18</f>
        <v>26766112.270000003</v>
      </c>
      <c r="G18" s="32">
        <f>ROUND(F18/365,0)</f>
        <v>73332</v>
      </c>
      <c r="H18" s="2">
        <v>21.43</v>
      </c>
      <c r="I18" s="33">
        <v>39.24</v>
      </c>
      <c r="J18" s="34">
        <f t="shared" ref="J18:J52" si="0">H18-I18</f>
        <v>-17.810000000000002</v>
      </c>
      <c r="K18" s="32">
        <f>ROUND(J18*G18,0)</f>
        <v>-1306043</v>
      </c>
      <c r="L18" s="32"/>
      <c r="N18" s="12">
        <f>+D18+M18</f>
        <v>26766112.270000003</v>
      </c>
      <c r="O18" s="32">
        <f>+ROUND(ROUND((N18/365),0)*J18,0)</f>
        <v>-1306043</v>
      </c>
      <c r="P18" s="32"/>
      <c r="R18" s="12">
        <f>+F18+Q18</f>
        <v>26766112.270000003</v>
      </c>
      <c r="S18" s="32">
        <f>+ROUND(ROUND((R18/365),0)*J18,0)</f>
        <v>-1306043</v>
      </c>
      <c r="U18" s="32"/>
    </row>
    <row r="19" spans="1:21" x14ac:dyDescent="0.25">
      <c r="A19" s="9">
        <f>A18+1</f>
        <v>3</v>
      </c>
      <c r="C19" s="5" t="s">
        <v>96</v>
      </c>
      <c r="D19" s="12">
        <v>8646909.3900000006</v>
      </c>
      <c r="E19" s="25" t="s">
        <v>95</v>
      </c>
      <c r="F19" s="32">
        <f t="shared" ref="F19:F31" si="1">D19</f>
        <v>8646909.3900000006</v>
      </c>
      <c r="G19" s="32">
        <f t="shared" ref="G19:G52" si="2">ROUND(F19/365,0)</f>
        <v>23690</v>
      </c>
      <c r="H19" s="2">
        <f>H18</f>
        <v>21.43</v>
      </c>
      <c r="I19" s="33">
        <v>0</v>
      </c>
      <c r="J19" s="34">
        <f t="shared" si="0"/>
        <v>21.43</v>
      </c>
      <c r="K19" s="32">
        <f t="shared" ref="K19:K31" si="3">ROUND(J19*G19,0)</f>
        <v>507677</v>
      </c>
      <c r="L19" s="32"/>
      <c r="N19" s="12">
        <f t="shared" ref="N19:N29" si="4">+D19+M19</f>
        <v>8646909.3900000006</v>
      </c>
      <c r="O19" s="32">
        <f t="shared" ref="O19:O31" si="5">+ROUND(ROUND((N19/365),0)*J19,0)</f>
        <v>507677</v>
      </c>
      <c r="P19" s="32"/>
      <c r="R19" s="12">
        <f t="shared" ref="R19:R29" si="6">+F19+Q19</f>
        <v>8646909.3900000006</v>
      </c>
      <c r="S19" s="32">
        <f t="shared" ref="S19:S29" si="7">+ROUND(ROUND((R19/365),0)*J19,0)</f>
        <v>507677</v>
      </c>
      <c r="U19" s="32"/>
    </row>
    <row r="20" spans="1:21" x14ac:dyDescent="0.25">
      <c r="A20" s="9">
        <f t="shared" ref="A20:A36" si="8">A19+1</f>
        <v>4</v>
      </c>
      <c r="C20" s="2" t="s">
        <v>97</v>
      </c>
      <c r="D20" s="12">
        <v>1394938.1812145161</v>
      </c>
      <c r="E20" s="25" t="s">
        <v>95</v>
      </c>
      <c r="F20" s="32">
        <f t="shared" si="1"/>
        <v>1394938.1812145161</v>
      </c>
      <c r="G20" s="32">
        <f t="shared" si="2"/>
        <v>3822</v>
      </c>
      <c r="H20" s="2">
        <f t="shared" ref="H20:H29" si="9">H19</f>
        <v>21.43</v>
      </c>
      <c r="I20" s="35">
        <v>-155.85</v>
      </c>
      <c r="J20" s="34">
        <f t="shared" si="0"/>
        <v>177.28</v>
      </c>
      <c r="K20" s="32">
        <f t="shared" si="3"/>
        <v>677564</v>
      </c>
      <c r="L20" s="32"/>
      <c r="M20" s="20">
        <f>+'Sch Ds1 (FTP Op Inc Adj)'!D26</f>
        <v>-106034.25</v>
      </c>
      <c r="N20" s="12">
        <f t="shared" si="4"/>
        <v>1288903.9312145161</v>
      </c>
      <c r="O20" s="32">
        <f t="shared" si="5"/>
        <v>625976</v>
      </c>
      <c r="P20" s="32"/>
      <c r="R20" s="12">
        <f t="shared" si="6"/>
        <v>1394938.1812145161</v>
      </c>
      <c r="S20" s="32">
        <f t="shared" si="7"/>
        <v>677564</v>
      </c>
      <c r="U20" s="32"/>
    </row>
    <row r="21" spans="1:21" x14ac:dyDescent="0.25">
      <c r="A21" s="9">
        <f t="shared" si="8"/>
        <v>5</v>
      </c>
      <c r="C21" s="5" t="s">
        <v>98</v>
      </c>
      <c r="D21" s="12">
        <v>11529945.47634453</v>
      </c>
      <c r="E21" s="25" t="s">
        <v>95</v>
      </c>
      <c r="F21" s="32">
        <f t="shared" si="1"/>
        <v>11529945.47634453</v>
      </c>
      <c r="G21" s="32">
        <f t="shared" si="2"/>
        <v>31589</v>
      </c>
      <c r="H21" s="2">
        <f t="shared" si="9"/>
        <v>21.43</v>
      </c>
      <c r="I21" s="33">
        <v>4.9000000000000004</v>
      </c>
      <c r="J21" s="34">
        <f t="shared" si="0"/>
        <v>16.53</v>
      </c>
      <c r="K21" s="32">
        <f t="shared" si="3"/>
        <v>522166</v>
      </c>
      <c r="L21" s="32"/>
      <c r="M21" s="20">
        <f>+'Sch Ds1 (FTP Op Inc Adj)'!D20</f>
        <v>-1245234.1680000001</v>
      </c>
      <c r="N21" s="12">
        <f t="shared" si="4"/>
        <v>10284711.30834453</v>
      </c>
      <c r="O21" s="32">
        <f t="shared" si="5"/>
        <v>465766</v>
      </c>
      <c r="P21" s="32"/>
      <c r="R21" s="12">
        <f t="shared" si="6"/>
        <v>11529945.47634453</v>
      </c>
      <c r="S21" s="32">
        <f t="shared" si="7"/>
        <v>522166</v>
      </c>
      <c r="U21" s="32"/>
    </row>
    <row r="22" spans="1:21" x14ac:dyDescent="0.25">
      <c r="A22" s="9">
        <f t="shared" si="8"/>
        <v>6</v>
      </c>
      <c r="C22" s="2" t="s">
        <v>99</v>
      </c>
      <c r="D22" s="12">
        <v>829180.09959444776</v>
      </c>
      <c r="E22" s="25" t="s">
        <v>95</v>
      </c>
      <c r="F22" s="32">
        <f t="shared" si="1"/>
        <v>829180.09959444776</v>
      </c>
      <c r="G22" s="32">
        <f t="shared" si="2"/>
        <v>2272</v>
      </c>
      <c r="H22" s="2">
        <f t="shared" si="9"/>
        <v>21.43</v>
      </c>
      <c r="I22" s="33">
        <v>239.87</v>
      </c>
      <c r="J22" s="34">
        <f t="shared" si="0"/>
        <v>-218.44</v>
      </c>
      <c r="K22" s="32">
        <f t="shared" si="3"/>
        <v>-496296</v>
      </c>
      <c r="L22" s="32"/>
      <c r="M22" s="20">
        <f>+'Sch Ds1 (FTP Op Inc Adj)'!D21</f>
        <v>-580426</v>
      </c>
      <c r="N22" s="12">
        <f t="shared" si="4"/>
        <v>248754.09959444776</v>
      </c>
      <c r="O22" s="32">
        <f t="shared" si="5"/>
        <v>-148976</v>
      </c>
      <c r="P22" s="32"/>
      <c r="R22" s="12">
        <f t="shared" si="6"/>
        <v>829180.09959444776</v>
      </c>
      <c r="S22" s="32">
        <f t="shared" si="7"/>
        <v>-496296</v>
      </c>
      <c r="U22" s="32"/>
    </row>
    <row r="23" spans="1:21" x14ac:dyDescent="0.25">
      <c r="A23" s="9">
        <f t="shared" si="8"/>
        <v>7</v>
      </c>
      <c r="C23" s="5" t="s">
        <v>100</v>
      </c>
      <c r="D23" s="12">
        <v>3422444.458779708</v>
      </c>
      <c r="E23" s="25" t="s">
        <v>95</v>
      </c>
      <c r="F23" s="32">
        <f t="shared" si="1"/>
        <v>3422444.458779708</v>
      </c>
      <c r="G23" s="32">
        <f t="shared" si="2"/>
        <v>9377</v>
      </c>
      <c r="H23" s="2">
        <f t="shared" si="9"/>
        <v>21.43</v>
      </c>
      <c r="I23" s="33">
        <v>13.7</v>
      </c>
      <c r="J23" s="34">
        <f t="shared" si="0"/>
        <v>7.73</v>
      </c>
      <c r="K23" s="32">
        <f t="shared" si="3"/>
        <v>72484</v>
      </c>
      <c r="L23" s="32"/>
      <c r="M23" s="20">
        <f>+'Sch Ds1 (FTP Op Inc Adj)'!D22+'Sch Ds1 (FTP Op Inc Adj)'!D24+'Sch Ds1 (FTP Op Inc Adj)'!D25+'Sch Ds1 (FTP Op Inc Adj)'!D34+'Sch Ds1 (FTP Op Inc Adj)'!D36+'Sch Ds1 (FTP Op Inc Adj)'!D37</f>
        <v>-798438.4198082583</v>
      </c>
      <c r="N23" s="12">
        <f t="shared" si="4"/>
        <v>2624006.0389714497</v>
      </c>
      <c r="O23" s="32">
        <f t="shared" si="5"/>
        <v>55571</v>
      </c>
      <c r="P23" s="32"/>
      <c r="R23" s="12">
        <f t="shared" si="6"/>
        <v>3422444.458779708</v>
      </c>
      <c r="S23" s="32">
        <f t="shared" si="7"/>
        <v>72484</v>
      </c>
      <c r="U23" s="32"/>
    </row>
    <row r="24" spans="1:21" x14ac:dyDescent="0.25">
      <c r="A24" s="9">
        <f t="shared" si="8"/>
        <v>8</v>
      </c>
      <c r="C24" s="2" t="s">
        <v>101</v>
      </c>
      <c r="D24" s="12">
        <v>423725.83016556001</v>
      </c>
      <c r="E24" s="25" t="s">
        <v>95</v>
      </c>
      <c r="F24" s="32">
        <f t="shared" si="1"/>
        <v>423725.83016556001</v>
      </c>
      <c r="G24" s="32">
        <f t="shared" si="2"/>
        <v>1161</v>
      </c>
      <c r="H24" s="2">
        <f t="shared" si="9"/>
        <v>21.43</v>
      </c>
      <c r="I24" s="33">
        <f>H24</f>
        <v>21.43</v>
      </c>
      <c r="J24" s="34">
        <f t="shared" si="0"/>
        <v>0</v>
      </c>
      <c r="K24" s="32">
        <f t="shared" si="3"/>
        <v>0</v>
      </c>
      <c r="L24" s="32"/>
      <c r="N24" s="12">
        <f t="shared" si="4"/>
        <v>423725.83016556001</v>
      </c>
      <c r="O24" s="32">
        <f t="shared" si="5"/>
        <v>0</v>
      </c>
      <c r="P24" s="32"/>
      <c r="R24" s="12">
        <f t="shared" si="6"/>
        <v>423725.83016556001</v>
      </c>
      <c r="S24" s="32">
        <f t="shared" si="7"/>
        <v>0</v>
      </c>
      <c r="U24" s="32"/>
    </row>
    <row r="25" spans="1:21" x14ac:dyDescent="0.25">
      <c r="A25" s="9">
        <f t="shared" si="8"/>
        <v>9</v>
      </c>
      <c r="C25" s="2" t="s">
        <v>102</v>
      </c>
      <c r="D25" s="12">
        <v>62560.42500000001</v>
      </c>
      <c r="E25" s="25" t="s">
        <v>95</v>
      </c>
      <c r="F25" s="32">
        <f>D25</f>
        <v>62560.42500000001</v>
      </c>
      <c r="G25" s="32">
        <f>ROUND(F25/365,0)</f>
        <v>171</v>
      </c>
      <c r="H25" s="2">
        <f t="shared" si="9"/>
        <v>21.43</v>
      </c>
      <c r="I25" s="33">
        <v>43.4</v>
      </c>
      <c r="J25" s="34">
        <f>H25-I25</f>
        <v>-21.97</v>
      </c>
      <c r="K25" s="32">
        <f>ROUND(J25*G25,0)</f>
        <v>-3757</v>
      </c>
      <c r="L25" s="32"/>
      <c r="N25" s="12">
        <f t="shared" si="4"/>
        <v>62560.42500000001</v>
      </c>
      <c r="O25" s="32">
        <f t="shared" si="5"/>
        <v>-3757</v>
      </c>
      <c r="P25" s="32"/>
      <c r="R25" s="12">
        <f t="shared" si="6"/>
        <v>62560.42500000001</v>
      </c>
      <c r="S25" s="32">
        <f t="shared" si="7"/>
        <v>-3757</v>
      </c>
      <c r="U25" s="32"/>
    </row>
    <row r="26" spans="1:21" x14ac:dyDescent="0.25">
      <c r="A26" s="9">
        <f t="shared" si="8"/>
        <v>10</v>
      </c>
      <c r="C26" s="2" t="s">
        <v>103</v>
      </c>
      <c r="D26" s="12">
        <v>545803</v>
      </c>
      <c r="E26" s="25" t="s">
        <v>95</v>
      </c>
      <c r="F26" s="32">
        <f t="shared" si="1"/>
        <v>545803</v>
      </c>
      <c r="G26" s="32">
        <f t="shared" si="2"/>
        <v>1495</v>
      </c>
      <c r="H26" s="2">
        <f t="shared" si="9"/>
        <v>21.43</v>
      </c>
      <c r="I26" s="33">
        <f>H26</f>
        <v>21.43</v>
      </c>
      <c r="J26" s="34">
        <f t="shared" si="0"/>
        <v>0</v>
      </c>
      <c r="K26" s="32">
        <f t="shared" si="3"/>
        <v>0</v>
      </c>
      <c r="L26" s="32"/>
      <c r="N26" s="12">
        <f t="shared" si="4"/>
        <v>545803</v>
      </c>
      <c r="O26" s="32">
        <f t="shared" si="5"/>
        <v>0</v>
      </c>
      <c r="P26" s="32"/>
      <c r="R26" s="12">
        <f t="shared" si="6"/>
        <v>545803</v>
      </c>
      <c r="S26" s="32">
        <f t="shared" si="7"/>
        <v>0</v>
      </c>
      <c r="U26" s="32"/>
    </row>
    <row r="27" spans="1:21" x14ac:dyDescent="0.25">
      <c r="A27" s="9">
        <f t="shared" si="8"/>
        <v>11</v>
      </c>
      <c r="C27" s="2" t="s">
        <v>104</v>
      </c>
      <c r="D27" s="12">
        <v>19722578.664737422</v>
      </c>
      <c r="E27" s="25" t="s">
        <v>95</v>
      </c>
      <c r="F27" s="32">
        <f t="shared" si="1"/>
        <v>19722578.664737422</v>
      </c>
      <c r="G27" s="32">
        <f t="shared" si="2"/>
        <v>54034</v>
      </c>
      <c r="H27" s="2">
        <f t="shared" si="9"/>
        <v>21.43</v>
      </c>
      <c r="I27" s="33">
        <v>39.4</v>
      </c>
      <c r="J27" s="34">
        <f t="shared" si="0"/>
        <v>-17.97</v>
      </c>
      <c r="K27" s="32">
        <f t="shared" si="3"/>
        <v>-970991</v>
      </c>
      <c r="L27" s="32"/>
      <c r="M27" s="20">
        <f>'Sch Ds1 (FTP Op Inc Adj)'!D27+'Sch Ds1 (FTP Op Inc Adj)'!D32+'Sch Ds1 (FTP Op Inc Adj)'!D33+'Sch Ds1 (FTP Op Inc Adj)'!D35+'Sch Ds1 (FTP Op Inc Adj)'!D40+'Sch Ds1 (FTP Op Inc Adj)'!D41</f>
        <v>-2303607.2760000001</v>
      </c>
      <c r="N27" s="12">
        <f t="shared" si="4"/>
        <v>17418971.388737421</v>
      </c>
      <c r="O27" s="32">
        <f t="shared" si="5"/>
        <v>-857582</v>
      </c>
      <c r="P27" s="32"/>
      <c r="R27" s="12">
        <f t="shared" si="6"/>
        <v>19722578.664737422</v>
      </c>
      <c r="S27" s="32">
        <f t="shared" si="7"/>
        <v>-970991</v>
      </c>
      <c r="U27" s="32"/>
    </row>
    <row r="28" spans="1:21" x14ac:dyDescent="0.25">
      <c r="A28" s="9">
        <f t="shared" si="8"/>
        <v>12</v>
      </c>
      <c r="C28" s="2" t="s">
        <v>105</v>
      </c>
      <c r="D28" s="12">
        <v>572490.52</v>
      </c>
      <c r="E28" s="25" t="s">
        <v>95</v>
      </c>
      <c r="F28" s="32">
        <f t="shared" si="1"/>
        <v>572490.52</v>
      </c>
      <c r="G28" s="32">
        <f t="shared" si="2"/>
        <v>1568</v>
      </c>
      <c r="H28" s="2">
        <f t="shared" si="9"/>
        <v>21.43</v>
      </c>
      <c r="I28" s="33">
        <f>H28</f>
        <v>21.43</v>
      </c>
      <c r="J28" s="34">
        <f t="shared" si="0"/>
        <v>0</v>
      </c>
      <c r="K28" s="32">
        <f t="shared" si="3"/>
        <v>0</v>
      </c>
      <c r="L28" s="32"/>
      <c r="N28" s="12">
        <f t="shared" si="4"/>
        <v>572490.52</v>
      </c>
      <c r="O28" s="32">
        <f t="shared" si="5"/>
        <v>0</v>
      </c>
      <c r="P28" s="32"/>
      <c r="R28" s="12">
        <f t="shared" si="6"/>
        <v>572490.52</v>
      </c>
      <c r="S28" s="32">
        <f t="shared" si="7"/>
        <v>0</v>
      </c>
      <c r="U28" s="32"/>
    </row>
    <row r="29" spans="1:21" x14ac:dyDescent="0.25">
      <c r="A29" s="9">
        <f t="shared" si="8"/>
        <v>13</v>
      </c>
      <c r="C29" s="2" t="s">
        <v>106</v>
      </c>
      <c r="D29" s="36">
        <f>+SUM('Sch C-2 (Op Income)'!I21:I29)-SUM(D18:D28)</f>
        <v>14362905.320831716</v>
      </c>
      <c r="E29" s="25" t="s">
        <v>95</v>
      </c>
      <c r="F29" s="32">
        <f t="shared" si="1"/>
        <v>14362905.320831716</v>
      </c>
      <c r="G29" s="32">
        <f t="shared" si="2"/>
        <v>39350</v>
      </c>
      <c r="H29" s="2">
        <f t="shared" si="9"/>
        <v>21.43</v>
      </c>
      <c r="I29" s="33">
        <v>26.08</v>
      </c>
      <c r="J29" s="34">
        <f t="shared" si="0"/>
        <v>-4.6499999999999986</v>
      </c>
      <c r="K29" s="32">
        <f t="shared" si="3"/>
        <v>-182978</v>
      </c>
      <c r="L29" s="32"/>
      <c r="M29" s="20">
        <f>+'Sch Ds1 (FTP Op Inc Adj)'!D23+'Sch Ds1 (FTP Op Inc Adj)'!D28+'Sch Ds1 (FTP Op Inc Adj)'!D38+'Sch Ds1 (FTP Op Inc Adj)'!D39</f>
        <v>-1499020.8</v>
      </c>
      <c r="N29" s="12">
        <f t="shared" si="4"/>
        <v>12863884.520831715</v>
      </c>
      <c r="O29" s="32">
        <f t="shared" si="5"/>
        <v>-163885</v>
      </c>
      <c r="P29" s="32"/>
      <c r="R29" s="12">
        <f t="shared" si="6"/>
        <v>14362905.320831716</v>
      </c>
      <c r="S29" s="32">
        <f t="shared" si="7"/>
        <v>-182978</v>
      </c>
      <c r="U29" s="32"/>
    </row>
    <row r="30" spans="1:21" x14ac:dyDescent="0.25">
      <c r="A30" s="9"/>
      <c r="D30" s="12"/>
      <c r="E30" s="25"/>
      <c r="F30" s="37"/>
      <c r="G30" s="32"/>
      <c r="I30" s="33"/>
      <c r="J30" s="34"/>
    </row>
    <row r="31" spans="1:21" x14ac:dyDescent="0.25">
      <c r="A31" s="9">
        <f>A29+1</f>
        <v>14</v>
      </c>
      <c r="C31" s="2" t="s">
        <v>107</v>
      </c>
      <c r="D31" s="12">
        <f>+'Sch C-2 (Op Income)'!I31</f>
        <v>26483896.030000001</v>
      </c>
      <c r="E31" s="25" t="s">
        <v>95</v>
      </c>
      <c r="F31" s="32">
        <f t="shared" si="1"/>
        <v>26483896.030000001</v>
      </c>
      <c r="G31" s="32">
        <f t="shared" si="2"/>
        <v>72559</v>
      </c>
      <c r="H31" s="2">
        <f>H29</f>
        <v>21.43</v>
      </c>
      <c r="I31" s="33">
        <f>H31</f>
        <v>21.43</v>
      </c>
      <c r="J31" s="34">
        <f t="shared" si="0"/>
        <v>0</v>
      </c>
      <c r="K31" s="32">
        <f t="shared" si="3"/>
        <v>0</v>
      </c>
      <c r="L31" s="32"/>
      <c r="N31" s="12">
        <f>+D31+M31</f>
        <v>26483896.030000001</v>
      </c>
      <c r="O31" s="32">
        <f t="shared" si="5"/>
        <v>0</v>
      </c>
      <c r="P31" s="32"/>
      <c r="R31" s="12">
        <f t="shared" ref="R31" si="10">+F31+Q31</f>
        <v>26483896.030000001</v>
      </c>
      <c r="S31" s="32">
        <f t="shared" ref="S31" si="11">+ROUND(ROUND((R31/365),0)*J31,0)</f>
        <v>0</v>
      </c>
      <c r="U31" s="32"/>
    </row>
    <row r="32" spans="1:21" x14ac:dyDescent="0.25">
      <c r="A32" s="9"/>
      <c r="D32" s="12"/>
      <c r="E32" s="25"/>
      <c r="F32" s="37"/>
      <c r="G32" s="32"/>
      <c r="I32" s="33"/>
      <c r="J32" s="34"/>
    </row>
    <row r="33" spans="1:21" x14ac:dyDescent="0.25">
      <c r="A33" s="9">
        <f>A31+1</f>
        <v>15</v>
      </c>
      <c r="B33" s="30" t="s">
        <v>108</v>
      </c>
      <c r="D33" s="12"/>
      <c r="E33" s="25"/>
      <c r="F33" s="37"/>
      <c r="G33" s="32"/>
      <c r="I33" s="33"/>
      <c r="J33" s="34"/>
    </row>
    <row r="34" spans="1:21" x14ac:dyDescent="0.25">
      <c r="A34" s="9">
        <f t="shared" si="8"/>
        <v>16</v>
      </c>
      <c r="C34" s="2" t="s">
        <v>109</v>
      </c>
      <c r="D34" s="12">
        <f>+'Sch C-2 (Op Income)'!I35</f>
        <v>900432.44286459521</v>
      </c>
      <c r="E34" s="25" t="s">
        <v>95</v>
      </c>
      <c r="F34" s="32">
        <f>D34</f>
        <v>900432.44286459521</v>
      </c>
      <c r="G34" s="32">
        <f t="shared" si="2"/>
        <v>2467</v>
      </c>
      <c r="H34" s="2">
        <f>H31</f>
        <v>21.43</v>
      </c>
      <c r="I34" s="33">
        <v>8.6999999999999993</v>
      </c>
      <c r="J34" s="34">
        <f t="shared" si="0"/>
        <v>12.73</v>
      </c>
      <c r="K34" s="32">
        <f>ROUND(J34*G34,0)</f>
        <v>31405</v>
      </c>
      <c r="L34" s="32"/>
      <c r="M34" s="20">
        <f>+'Sch Ds1 (FTP Op Inc Adj)'!D42+'Sch Ds1 (FTP Op Inc Adj)'!D47</f>
        <v>-305755.87801114295</v>
      </c>
      <c r="N34" s="12">
        <f>+D34+M34</f>
        <v>594676.56485345226</v>
      </c>
      <c r="O34" s="32">
        <f t="shared" ref="O34:O36" si="12">+ROUND(ROUND((N34/365),0)*J34,0)</f>
        <v>20737</v>
      </c>
      <c r="P34" s="32"/>
      <c r="Q34" s="20">
        <f>+'Sch Ds1 (FTP Op Inc Adj)'!G47</f>
        <v>0</v>
      </c>
      <c r="R34" s="12">
        <f t="shared" ref="R34:R36" si="13">+F34+Q34</f>
        <v>900432.44286459521</v>
      </c>
      <c r="S34" s="32">
        <f t="shared" ref="S34:S36" si="14">+ROUND(ROUND((R34/365),0)*J34,0)</f>
        <v>31405</v>
      </c>
      <c r="U34" s="32"/>
    </row>
    <row r="35" spans="1:21" x14ac:dyDescent="0.25">
      <c r="A35" s="9">
        <f t="shared" si="8"/>
        <v>17</v>
      </c>
      <c r="C35" s="2" t="s">
        <v>110</v>
      </c>
      <c r="D35" s="12">
        <f>+'Sch C-2 (Op Income)'!I34</f>
        <v>7451759</v>
      </c>
      <c r="E35" s="25" t="s">
        <v>95</v>
      </c>
      <c r="F35" s="32">
        <f>D35</f>
        <v>7451759</v>
      </c>
      <c r="G35" s="32">
        <f t="shared" si="2"/>
        <v>20416</v>
      </c>
      <c r="H35" s="2">
        <f>H34</f>
        <v>21.43</v>
      </c>
      <c r="I35" s="33">
        <v>297.97000000000003</v>
      </c>
      <c r="J35" s="34">
        <f t="shared" si="0"/>
        <v>-276.54000000000002</v>
      </c>
      <c r="K35" s="32">
        <f>ROUND(J35*G35,0)</f>
        <v>-5645841</v>
      </c>
      <c r="L35" s="32"/>
      <c r="N35" s="12">
        <f t="shared" ref="N35:N36" si="15">+D35+M35</f>
        <v>7451759</v>
      </c>
      <c r="O35" s="32">
        <f t="shared" si="12"/>
        <v>-5645841</v>
      </c>
      <c r="P35" s="32"/>
      <c r="R35" s="12">
        <f t="shared" si="13"/>
        <v>7451759</v>
      </c>
      <c r="S35" s="32">
        <f t="shared" si="14"/>
        <v>-5645841</v>
      </c>
      <c r="U35" s="32"/>
    </row>
    <row r="36" spans="1:21" x14ac:dyDescent="0.25">
      <c r="A36" s="9">
        <f t="shared" si="8"/>
        <v>18</v>
      </c>
      <c r="C36" s="2" t="s">
        <v>111</v>
      </c>
      <c r="D36" s="38">
        <f>+'Sch C-2 (Op Income)'!I36</f>
        <v>225600</v>
      </c>
      <c r="E36" s="25" t="s">
        <v>95</v>
      </c>
      <c r="F36" s="32">
        <f>D36</f>
        <v>225600</v>
      </c>
      <c r="G36" s="32">
        <f t="shared" si="2"/>
        <v>618</v>
      </c>
      <c r="H36" s="2">
        <f>H35</f>
        <v>21.43</v>
      </c>
      <c r="I36" s="33">
        <v>45</v>
      </c>
      <c r="J36" s="34">
        <f t="shared" si="0"/>
        <v>-23.57</v>
      </c>
      <c r="K36" s="32">
        <f>ROUND(J36*G36,0)</f>
        <v>-14566</v>
      </c>
      <c r="L36" s="32"/>
      <c r="N36" s="12">
        <f t="shared" si="15"/>
        <v>225600</v>
      </c>
      <c r="O36" s="32">
        <f t="shared" si="12"/>
        <v>-14566</v>
      </c>
      <c r="P36" s="32"/>
      <c r="R36" s="12">
        <f t="shared" si="13"/>
        <v>225600</v>
      </c>
      <c r="S36" s="32">
        <f t="shared" si="14"/>
        <v>-14566</v>
      </c>
      <c r="U36" s="32"/>
    </row>
    <row r="37" spans="1:21" x14ac:dyDescent="0.25">
      <c r="A37" s="9"/>
      <c r="D37" s="12"/>
      <c r="E37" s="25"/>
      <c r="F37" s="37"/>
      <c r="G37" s="32"/>
      <c r="I37" s="33"/>
      <c r="J37" s="34"/>
    </row>
    <row r="38" spans="1:21" x14ac:dyDescent="0.25">
      <c r="A38" s="9">
        <f>A36+1</f>
        <v>19</v>
      </c>
      <c r="B38" s="30" t="s">
        <v>112</v>
      </c>
      <c r="D38" s="12"/>
      <c r="E38" s="25"/>
      <c r="F38" s="37"/>
      <c r="G38" s="32"/>
      <c r="I38" s="33"/>
      <c r="J38" s="34"/>
    </row>
    <row r="39" spans="1:21" x14ac:dyDescent="0.25">
      <c r="A39" s="9">
        <f>A38+1</f>
        <v>20</v>
      </c>
      <c r="C39" s="2" t="s">
        <v>113</v>
      </c>
      <c r="D39" s="12">
        <f>+'Sch E-1.1 (FTP Income Taxes)'!D43</f>
        <v>1295036.6493891045</v>
      </c>
      <c r="E39" s="25" t="s">
        <v>95</v>
      </c>
      <c r="F39" s="32">
        <f>D39</f>
        <v>1295036.6493891045</v>
      </c>
      <c r="G39" s="32">
        <f t="shared" si="2"/>
        <v>3548</v>
      </c>
      <c r="H39" s="2">
        <f>H36</f>
        <v>21.43</v>
      </c>
      <c r="I39" s="33">
        <v>37.5</v>
      </c>
      <c r="J39" s="34">
        <f t="shared" si="0"/>
        <v>-16.07</v>
      </c>
      <c r="K39" s="32">
        <f>ROUND(J39*G39,0)</f>
        <v>-57016</v>
      </c>
      <c r="L39" s="32"/>
      <c r="N39" s="12">
        <f t="shared" ref="N39:N41" si="16">+D39+M39</f>
        <v>1295036.6493891045</v>
      </c>
      <c r="O39" s="32">
        <f t="shared" ref="O39:O41" si="17">+ROUND(ROUND((N39/365),0)*J39,0)</f>
        <v>-57016</v>
      </c>
      <c r="P39" s="32"/>
      <c r="Q39" s="12">
        <f>+'Sch E-1.1 (FTP Income Taxes)'!H43-'Sch E-1.1 (FTP Income Taxes)'!D43</f>
        <v>20701.209739351645</v>
      </c>
      <c r="R39" s="12">
        <f>+F39+Q39</f>
        <v>1315737.8591284561</v>
      </c>
      <c r="S39" s="32">
        <f>+ROUND(ROUND((R39/365),0)*J39,0)</f>
        <v>-57932</v>
      </c>
      <c r="U39" s="32"/>
    </row>
    <row r="40" spans="1:21" x14ac:dyDescent="0.25">
      <c r="A40" s="9">
        <f>A39+1</f>
        <v>21</v>
      </c>
      <c r="C40" s="2" t="s">
        <v>114</v>
      </c>
      <c r="D40" s="12">
        <f>+'Sch E-1.1 (FTP Income Taxes)'!D44</f>
        <v>149742.9119772194</v>
      </c>
      <c r="E40" s="25" t="s">
        <v>95</v>
      </c>
      <c r="F40" s="32">
        <f>D40</f>
        <v>149742.9119772194</v>
      </c>
      <c r="G40" s="32">
        <f t="shared" si="2"/>
        <v>410</v>
      </c>
      <c r="H40" s="2">
        <f>H39</f>
        <v>21.43</v>
      </c>
      <c r="I40" s="33">
        <f>I39</f>
        <v>37.5</v>
      </c>
      <c r="J40" s="34">
        <f t="shared" si="0"/>
        <v>-16.07</v>
      </c>
      <c r="K40" s="32">
        <f>ROUND(J40*G40,0)</f>
        <v>-6589</v>
      </c>
      <c r="L40" s="32"/>
      <c r="N40" s="12">
        <f t="shared" si="16"/>
        <v>149742.9119772194</v>
      </c>
      <c r="O40" s="32">
        <f t="shared" si="17"/>
        <v>-6589</v>
      </c>
      <c r="P40" s="32"/>
      <c r="Q40" s="12">
        <f>+'Sch E-1.1 (FTP Income Taxes)'!H44-'Sch E-1.1 (FTP Income Taxes)'!D44</f>
        <v>5188.2731176319649</v>
      </c>
      <c r="R40" s="12">
        <f t="shared" ref="R40" si="18">+F40+Q40</f>
        <v>154931.18509485136</v>
      </c>
      <c r="S40" s="32">
        <f t="shared" ref="S40" si="19">+ROUND(ROUND((R40/365),0)*J40,0)</f>
        <v>-6814</v>
      </c>
      <c r="U40" s="32"/>
    </row>
    <row r="41" spans="1:21" x14ac:dyDescent="0.25">
      <c r="A41" s="9">
        <f>A40+1</f>
        <v>22</v>
      </c>
      <c r="C41" s="2" t="s">
        <v>115</v>
      </c>
      <c r="D41" s="12">
        <f>+'Sch C-1 (Op. Income)'!E32-D39-D40</f>
        <v>1757574.4386336762</v>
      </c>
      <c r="E41" s="25" t="s">
        <v>95</v>
      </c>
      <c r="F41" s="32">
        <f>D41</f>
        <v>1757574.4386336762</v>
      </c>
      <c r="G41" s="32">
        <f t="shared" si="2"/>
        <v>4815</v>
      </c>
      <c r="H41" s="2">
        <f>H40</f>
        <v>21.43</v>
      </c>
      <c r="I41" s="33">
        <f>H41</f>
        <v>21.43</v>
      </c>
      <c r="J41" s="34">
        <f t="shared" si="0"/>
        <v>0</v>
      </c>
      <c r="K41" s="32">
        <f>ROUND(J41*G41,0)</f>
        <v>0</v>
      </c>
      <c r="L41" s="32"/>
      <c r="N41" s="12">
        <f t="shared" si="16"/>
        <v>1757574.4386336762</v>
      </c>
      <c r="O41" s="32">
        <f t="shared" si="17"/>
        <v>0</v>
      </c>
      <c r="P41" s="32"/>
      <c r="Q41" s="20">
        <f>+('Sch C-1 (Op. Income)'!Q32-SUM(D39:D40)-SUM(Q39:Q40))-D41</f>
        <v>0.51714301644824445</v>
      </c>
      <c r="R41" s="12">
        <f t="shared" ref="R41" si="20">+F41+Q41</f>
        <v>1757574.9557766926</v>
      </c>
      <c r="S41" s="32">
        <f t="shared" ref="S41" si="21">+ROUND(ROUND((R41/365),0)*J41,0)</f>
        <v>0</v>
      </c>
      <c r="U41" s="32"/>
    </row>
    <row r="42" spans="1:21" x14ac:dyDescent="0.25">
      <c r="D42" s="12"/>
      <c r="E42" s="25"/>
      <c r="F42" s="37"/>
      <c r="G42" s="32"/>
      <c r="I42" s="33"/>
      <c r="J42" s="34"/>
    </row>
    <row r="43" spans="1:21" x14ac:dyDescent="0.25">
      <c r="A43" s="9">
        <f>A41+1</f>
        <v>23</v>
      </c>
      <c r="B43" s="30" t="s">
        <v>116</v>
      </c>
      <c r="D43" s="12"/>
      <c r="E43" s="25"/>
      <c r="F43" s="37"/>
      <c r="G43" s="32"/>
      <c r="I43" s="33"/>
      <c r="J43" s="34"/>
    </row>
    <row r="44" spans="1:21" x14ac:dyDescent="0.25">
      <c r="A44" s="9">
        <f>A43+1</f>
        <v>24</v>
      </c>
      <c r="C44" s="2" t="s">
        <v>117</v>
      </c>
      <c r="D44" s="12">
        <v>923041.19178248371</v>
      </c>
      <c r="E44" s="25" t="s">
        <v>95</v>
      </c>
      <c r="F44" s="32">
        <f>D44</f>
        <v>923041.19178248371</v>
      </c>
      <c r="G44" s="32">
        <f t="shared" si="2"/>
        <v>2529</v>
      </c>
      <c r="H44" s="2">
        <f>H41</f>
        <v>21.43</v>
      </c>
      <c r="I44" s="33">
        <f>H44</f>
        <v>21.43</v>
      </c>
      <c r="J44" s="34">
        <f t="shared" si="0"/>
        <v>0</v>
      </c>
      <c r="K44" s="32">
        <f>ROUND(J44*G44,0)</f>
        <v>0</v>
      </c>
      <c r="L44" s="32"/>
      <c r="N44" s="12">
        <f t="shared" ref="N44:N46" si="22">+D44+M44</f>
        <v>923041.19178248371</v>
      </c>
      <c r="O44" s="95">
        <f t="shared" ref="O44:O46" si="23">+ROUND(ROUND((N44/365),0)*J44,0)</f>
        <v>0</v>
      </c>
      <c r="P44" s="32"/>
      <c r="R44" s="12">
        <f t="shared" ref="R44" si="24">+F44+Q44</f>
        <v>923041.19178248371</v>
      </c>
      <c r="S44" s="95">
        <f t="shared" ref="S44" si="25">+ROUND(ROUND((R44/365),0)*J44,0)</f>
        <v>0</v>
      </c>
      <c r="U44" s="32"/>
    </row>
    <row r="45" spans="1:21" x14ac:dyDescent="0.25">
      <c r="A45" s="9">
        <f>A44+1</f>
        <v>25</v>
      </c>
      <c r="C45" s="2" t="s">
        <v>118</v>
      </c>
      <c r="D45" s="12">
        <f>+'Sch E-1.1 (FTP Income Taxes)'!D73</f>
        <v>12036793.632906139</v>
      </c>
      <c r="E45" s="25" t="s">
        <v>95</v>
      </c>
      <c r="F45" s="32">
        <f>D45</f>
        <v>12036793.632906139</v>
      </c>
      <c r="G45" s="32">
        <f t="shared" si="2"/>
        <v>32978</v>
      </c>
      <c r="H45" s="2">
        <f>H44</f>
        <v>21.43</v>
      </c>
      <c r="I45" s="33">
        <v>83.46</v>
      </c>
      <c r="J45" s="34">
        <f t="shared" si="0"/>
        <v>-62.029999999999994</v>
      </c>
      <c r="K45" s="32">
        <f>ROUND(J45*G45,0)</f>
        <v>-2045625</v>
      </c>
      <c r="L45" s="32"/>
      <c r="N45" s="12">
        <f t="shared" si="22"/>
        <v>12036793.632906139</v>
      </c>
      <c r="O45" s="95">
        <f t="shared" si="23"/>
        <v>-2045625</v>
      </c>
      <c r="P45" s="32"/>
      <c r="Q45" s="12">
        <f>+'Sch E-1.1 (FTP Income Taxes)'!H73-D45</f>
        <v>-103765.46235263906</v>
      </c>
      <c r="R45" s="12">
        <f t="shared" ref="R45:R46" si="26">+F45+Q45</f>
        <v>11933028.1705535</v>
      </c>
      <c r="S45" s="95">
        <f>+ROUND(ROUND((R45/365),0)*J45,0)</f>
        <v>-2027947</v>
      </c>
      <c r="U45" s="32"/>
    </row>
    <row r="46" spans="1:21" x14ac:dyDescent="0.25">
      <c r="A46" s="9">
        <f>A45+1</f>
        <v>26</v>
      </c>
      <c r="C46" s="2" t="s">
        <v>119</v>
      </c>
      <c r="D46" s="39">
        <v>11823743.160673603</v>
      </c>
      <c r="E46" s="25" t="s">
        <v>95</v>
      </c>
      <c r="F46" s="40">
        <f>D46</f>
        <v>11823743.160673603</v>
      </c>
      <c r="G46" s="41">
        <f t="shared" si="2"/>
        <v>32394</v>
      </c>
      <c r="H46" s="2">
        <f>H45</f>
        <v>21.43</v>
      </c>
      <c r="I46" s="33">
        <f>H46</f>
        <v>21.43</v>
      </c>
      <c r="J46" s="34">
        <f t="shared" si="0"/>
        <v>0</v>
      </c>
      <c r="K46" s="41">
        <f>ROUND(J46*G46,0)</f>
        <v>0</v>
      </c>
      <c r="L46" s="95"/>
      <c r="M46" s="23"/>
      <c r="N46" s="97">
        <f t="shared" si="22"/>
        <v>11823743.160673603</v>
      </c>
      <c r="O46" s="98">
        <f t="shared" si="23"/>
        <v>0</v>
      </c>
      <c r="P46" s="95"/>
      <c r="R46" s="97">
        <f t="shared" si="26"/>
        <v>11823743.160673603</v>
      </c>
      <c r="S46" s="98">
        <f t="shared" ref="S46" si="27">+ROUND(ROUND((R46/365),0)*J46,0)</f>
        <v>0</v>
      </c>
      <c r="U46" s="95"/>
    </row>
    <row r="47" spans="1:21" x14ac:dyDescent="0.25">
      <c r="D47" s="12"/>
      <c r="E47" s="25"/>
      <c r="F47" s="37"/>
      <c r="G47" s="32"/>
      <c r="I47" s="33"/>
      <c r="J47" s="34"/>
    </row>
    <row r="48" spans="1:21" x14ac:dyDescent="0.25">
      <c r="A48" s="9">
        <f>A46+1</f>
        <v>27</v>
      </c>
      <c r="C48" s="6" t="s">
        <v>120</v>
      </c>
      <c r="D48" s="31">
        <f>SUM(D18:D41)-D44+SUM(D45+D46)</f>
        <v>149481130.71132976</v>
      </c>
      <c r="E48" s="25" t="s">
        <v>95</v>
      </c>
      <c r="F48" s="32">
        <f>D48</f>
        <v>149481130.71132976</v>
      </c>
      <c r="G48" s="32">
        <f>ROUND(F48/365,0)</f>
        <v>409537</v>
      </c>
      <c r="I48" s="33"/>
      <c r="J48" s="34"/>
      <c r="K48" s="42">
        <f>SUM(K18:K46)</f>
        <v>-8918406</v>
      </c>
      <c r="L48" s="42"/>
      <c r="M48" s="31">
        <f>SUM(M18:M41)-M44+SUM(M45+M46)</f>
        <v>-6838516.7918194011</v>
      </c>
      <c r="N48" s="31">
        <f>SUM(N18:N41)-N44+SUM(N45+N46)</f>
        <v>142642613.91951036</v>
      </c>
      <c r="O48" s="42">
        <f>SUM(O18:O46)</f>
        <v>-8574153</v>
      </c>
      <c r="P48" s="42"/>
      <c r="Q48" s="31">
        <f>SUM(Q18:Q41)-Q44+SUM(Q45+Q46)</f>
        <v>-77875.462352639006</v>
      </c>
      <c r="R48" s="31">
        <f>SUM(R18:R41)-R44+SUM(R45+R46)</f>
        <v>149403255.24897709</v>
      </c>
      <c r="S48" s="42">
        <f>SUM(S18:S46)</f>
        <v>-8901869</v>
      </c>
      <c r="U48" s="42"/>
    </row>
    <row r="49" spans="1:21" x14ac:dyDescent="0.25">
      <c r="D49" s="12"/>
      <c r="E49" s="25"/>
      <c r="F49" s="37"/>
      <c r="G49" s="32"/>
      <c r="I49" s="33"/>
      <c r="J49" s="34"/>
    </row>
    <row r="50" spans="1:21" x14ac:dyDescent="0.25">
      <c r="A50" s="9">
        <f>A48+1</f>
        <v>28</v>
      </c>
      <c r="C50" s="2" t="s">
        <v>121</v>
      </c>
      <c r="D50" s="12">
        <v>6266788.4100000001</v>
      </c>
      <c r="E50" s="25" t="s">
        <v>95</v>
      </c>
      <c r="F50" s="32">
        <f>D50</f>
        <v>6266788.4100000001</v>
      </c>
      <c r="G50" s="32">
        <f t="shared" si="2"/>
        <v>17169</v>
      </c>
      <c r="H50" s="2">
        <f>H46</f>
        <v>21.43</v>
      </c>
      <c r="I50" s="33">
        <v>35.5</v>
      </c>
      <c r="J50" s="34">
        <f t="shared" si="0"/>
        <v>-14.07</v>
      </c>
      <c r="K50" s="32">
        <f>ROUND(J50*G50,0)</f>
        <v>-241568</v>
      </c>
      <c r="L50" s="32"/>
      <c r="N50" s="12">
        <f t="shared" ref="N50:N52" si="28">+D50+M50</f>
        <v>6266788.4100000001</v>
      </c>
      <c r="O50" s="95">
        <f t="shared" ref="O50:O52" si="29">+ROUND(ROUND((N50/365),0)*J50,0)</f>
        <v>-241568</v>
      </c>
      <c r="P50" s="32"/>
      <c r="R50" s="12">
        <f t="shared" ref="R50:R52" si="30">+F50+Q50</f>
        <v>6266788.4100000001</v>
      </c>
      <c r="S50" s="95">
        <f t="shared" ref="S50:S52" si="31">+ROUND(ROUND((R50/365),0)*J50,0)</f>
        <v>-241568</v>
      </c>
      <c r="U50" s="32"/>
    </row>
    <row r="51" spans="1:21" x14ac:dyDescent="0.25">
      <c r="A51" s="9">
        <f>A50+1</f>
        <v>29</v>
      </c>
      <c r="C51" s="2" t="s">
        <v>122</v>
      </c>
      <c r="D51" s="12">
        <v>5411905.6600000001</v>
      </c>
      <c r="E51" s="25" t="s">
        <v>95</v>
      </c>
      <c r="F51" s="32">
        <f>D51</f>
        <v>5411905.6600000001</v>
      </c>
      <c r="G51" s="32">
        <f t="shared" si="2"/>
        <v>14827</v>
      </c>
      <c r="H51" s="2">
        <f>H50</f>
        <v>21.43</v>
      </c>
      <c r="I51" s="33">
        <v>44.9</v>
      </c>
      <c r="J51" s="34">
        <f t="shared" si="0"/>
        <v>-23.47</v>
      </c>
      <c r="K51" s="32">
        <f>ROUND(J51*G51,0)</f>
        <v>-347990</v>
      </c>
      <c r="L51" s="32"/>
      <c r="N51" s="12">
        <f t="shared" si="28"/>
        <v>5411905.6600000001</v>
      </c>
      <c r="O51" s="95">
        <f t="shared" si="29"/>
        <v>-347990</v>
      </c>
      <c r="P51" s="32"/>
      <c r="R51" s="12">
        <f t="shared" si="30"/>
        <v>5411905.6600000001</v>
      </c>
      <c r="S51" s="95">
        <f t="shared" si="31"/>
        <v>-347990</v>
      </c>
      <c r="U51" s="32"/>
    </row>
    <row r="52" spans="1:21" x14ac:dyDescent="0.25">
      <c r="A52" s="9">
        <f>A51+1</f>
        <v>30</v>
      </c>
      <c r="C52" s="2" t="s">
        <v>123</v>
      </c>
      <c r="D52" s="12">
        <v>4660351.2699999996</v>
      </c>
      <c r="E52" s="25" t="s">
        <v>95</v>
      </c>
      <c r="F52" s="32">
        <f>D52</f>
        <v>4660351.2699999996</v>
      </c>
      <c r="G52" s="32">
        <f t="shared" si="2"/>
        <v>12768</v>
      </c>
      <c r="H52" s="2">
        <f>H51</f>
        <v>21.43</v>
      </c>
      <c r="I52" s="33">
        <v>40.1</v>
      </c>
      <c r="J52" s="34">
        <f t="shared" si="0"/>
        <v>-18.670000000000002</v>
      </c>
      <c r="K52" s="32">
        <f>ROUND(J52*G52,0)</f>
        <v>-238379</v>
      </c>
      <c r="L52" s="32"/>
      <c r="N52" s="12">
        <f t="shared" si="28"/>
        <v>4660351.2699999996</v>
      </c>
      <c r="O52" s="95">
        <f t="shared" si="29"/>
        <v>-238379</v>
      </c>
      <c r="P52" s="32"/>
      <c r="R52" s="12">
        <f t="shared" si="30"/>
        <v>4660351.2699999996</v>
      </c>
      <c r="S52" s="95">
        <f t="shared" si="31"/>
        <v>-238379</v>
      </c>
      <c r="U52" s="32"/>
    </row>
    <row r="53" spans="1:21" x14ac:dyDescent="0.25">
      <c r="A53" s="9"/>
      <c r="D53" s="12"/>
      <c r="E53" s="12"/>
      <c r="F53" s="12"/>
      <c r="G53" s="32"/>
      <c r="I53" s="33"/>
      <c r="J53" s="34"/>
      <c r="K53" s="32"/>
      <c r="L53" s="32"/>
      <c r="P53" s="32"/>
      <c r="U53" s="32"/>
    </row>
    <row r="54" spans="1:21" ht="13.5" thickBot="1" x14ac:dyDescent="0.3">
      <c r="A54" s="9">
        <f>A52+1</f>
        <v>31</v>
      </c>
      <c r="C54" s="2" t="s">
        <v>124</v>
      </c>
      <c r="D54" s="12"/>
      <c r="E54" s="12"/>
      <c r="F54" s="12"/>
      <c r="G54" s="32"/>
      <c r="I54" s="33"/>
      <c r="J54" s="34"/>
      <c r="K54" s="43">
        <f>SUM(K48:K52)</f>
        <v>-9746343</v>
      </c>
      <c r="L54" s="95"/>
      <c r="O54" s="43">
        <f>SUM(O48:O52)</f>
        <v>-9402090</v>
      </c>
      <c r="P54" s="95"/>
      <c r="S54" s="43">
        <f>SUM(S48:S52)</f>
        <v>-9729806</v>
      </c>
      <c r="U54" s="95"/>
    </row>
    <row r="55" spans="1:21" ht="13.5" thickTop="1" x14ac:dyDescent="0.25"/>
    <row r="56" spans="1:21" ht="13.5" thickBot="1" x14ac:dyDescent="0.3">
      <c r="A56" s="9">
        <f>A54+1</f>
        <v>32</v>
      </c>
      <c r="C56" s="2" t="s">
        <v>125</v>
      </c>
      <c r="D56" s="12"/>
      <c r="E56" s="12"/>
      <c r="F56" s="12"/>
      <c r="G56" s="32"/>
      <c r="I56" s="33"/>
      <c r="J56" s="34"/>
      <c r="K56" s="43">
        <v>0</v>
      </c>
      <c r="L56" s="96"/>
      <c r="O56" s="43">
        <f>+O54</f>
        <v>-9402090</v>
      </c>
      <c r="P56" s="96"/>
      <c r="S56" s="43">
        <v>0</v>
      </c>
      <c r="U56" s="96"/>
    </row>
    <row r="57" spans="1:21" ht="13.5" thickTop="1" x14ac:dyDescent="0.25"/>
  </sheetData>
  <mergeCells count="8">
    <mergeCell ref="D11:K11"/>
    <mergeCell ref="Q10:S10"/>
    <mergeCell ref="M10:O10"/>
    <mergeCell ref="A1:S1"/>
    <mergeCell ref="A2:S2"/>
    <mergeCell ref="A3:S3"/>
    <mergeCell ref="A4:S4"/>
    <mergeCell ref="D10:K10"/>
  </mergeCells>
  <pageMargins left="0.7" right="0.7" top="0.75" bottom="0.75" header="0.3" footer="0.3"/>
  <ignoredErrors>
    <ignoredError sqref="E18:E52 D15:K15 M15 Q15 O15 S15" numberStoredAsText="1"/>
    <ignoredError sqref="D1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805E-FCD4-4108-8A9D-993C2EE52189}">
  <dimension ref="A1:F39"/>
  <sheetViews>
    <sheetView workbookViewId="0">
      <selection activeCell="I19" sqref="I19"/>
    </sheetView>
  </sheetViews>
  <sheetFormatPr defaultColWidth="7.85546875" defaultRowHeight="12.75" x14ac:dyDescent="0.25"/>
  <cols>
    <col min="1" max="1" width="4.5703125" style="2" customWidth="1"/>
    <col min="2" max="2" width="2.140625" style="2" customWidth="1"/>
    <col min="3" max="3" width="51.140625" style="2" customWidth="1"/>
    <col min="4" max="4" width="18.5703125" style="2" bestFit="1" customWidth="1"/>
    <col min="5" max="6" width="18.5703125" style="2" customWidth="1"/>
    <col min="7" max="16384" width="7.85546875" style="2"/>
  </cols>
  <sheetData>
    <row r="1" spans="1:6" x14ac:dyDescent="0.25">
      <c r="A1" s="340" t="s">
        <v>62</v>
      </c>
      <c r="B1" s="340"/>
      <c r="C1" s="340"/>
      <c r="D1" s="340"/>
      <c r="E1" s="340"/>
      <c r="F1" s="340"/>
    </row>
    <row r="2" spans="1:6" x14ac:dyDescent="0.25">
      <c r="A2" s="340" t="s">
        <v>63</v>
      </c>
      <c r="B2" s="340"/>
      <c r="C2" s="340"/>
      <c r="D2" s="340"/>
      <c r="E2" s="340"/>
      <c r="F2" s="340"/>
    </row>
    <row r="3" spans="1:6" x14ac:dyDescent="0.25">
      <c r="A3" s="340" t="s">
        <v>584</v>
      </c>
      <c r="B3" s="340"/>
      <c r="C3" s="340"/>
      <c r="D3" s="340"/>
      <c r="E3" s="340"/>
      <c r="F3" s="340"/>
    </row>
    <row r="4" spans="1:6" x14ac:dyDescent="0.25">
      <c r="A4" s="340" t="s">
        <v>66</v>
      </c>
      <c r="B4" s="340"/>
      <c r="C4" s="340"/>
      <c r="D4" s="340"/>
      <c r="E4" s="340"/>
      <c r="F4" s="340"/>
    </row>
    <row r="6" spans="1:6" x14ac:dyDescent="0.25">
      <c r="A6" s="5" t="s">
        <v>239</v>
      </c>
      <c r="F6" s="6" t="s">
        <v>585</v>
      </c>
    </row>
    <row r="7" spans="1:6" x14ac:dyDescent="0.25">
      <c r="A7" s="5" t="s">
        <v>286</v>
      </c>
      <c r="F7" s="6" t="s">
        <v>128</v>
      </c>
    </row>
    <row r="8" spans="1:6" x14ac:dyDescent="0.25">
      <c r="A8" s="5" t="s">
        <v>586</v>
      </c>
      <c r="F8" s="6" t="s">
        <v>126</v>
      </c>
    </row>
    <row r="9" spans="1:6" x14ac:dyDescent="0.25">
      <c r="A9" s="5"/>
    </row>
    <row r="10" spans="1:6" x14ac:dyDescent="0.25">
      <c r="A10" s="5"/>
    </row>
    <row r="11" spans="1:6" ht="30.6" customHeight="1" thickBot="1" x14ac:dyDescent="0.3">
      <c r="A11" s="24"/>
      <c r="B11" s="24"/>
      <c r="C11" s="24"/>
      <c r="D11" s="357" t="s">
        <v>184</v>
      </c>
      <c r="E11" s="358"/>
      <c r="F11" s="358"/>
    </row>
    <row r="12" spans="1:6" x14ac:dyDescent="0.25">
      <c r="D12" s="340" t="s">
        <v>72</v>
      </c>
      <c r="E12" s="340"/>
      <c r="F12" s="340"/>
    </row>
    <row r="13" spans="1:6" x14ac:dyDescent="0.25">
      <c r="D13" s="44" t="s">
        <v>130</v>
      </c>
      <c r="E13" s="9"/>
      <c r="F13" s="9"/>
    </row>
    <row r="14" spans="1:6" x14ac:dyDescent="0.25">
      <c r="D14" s="44" t="s">
        <v>33</v>
      </c>
      <c r="E14" s="9"/>
      <c r="F14" s="9"/>
    </row>
    <row r="15" spans="1:6" x14ac:dyDescent="0.25">
      <c r="A15" s="9" t="s">
        <v>6</v>
      </c>
      <c r="D15" s="44" t="s">
        <v>153</v>
      </c>
      <c r="E15" s="25" t="s">
        <v>587</v>
      </c>
      <c r="F15" s="25" t="s">
        <v>5</v>
      </c>
    </row>
    <row r="16" spans="1:6" x14ac:dyDescent="0.25">
      <c r="A16" s="19" t="s">
        <v>10</v>
      </c>
      <c r="B16" s="26"/>
      <c r="C16" s="19" t="s">
        <v>78</v>
      </c>
      <c r="D16" s="10" t="s">
        <v>588</v>
      </c>
      <c r="E16" s="27" t="s">
        <v>80</v>
      </c>
      <c r="F16" s="27" t="s">
        <v>81</v>
      </c>
    </row>
    <row r="17" spans="1:6" x14ac:dyDescent="0.25">
      <c r="A17" s="9"/>
      <c r="C17" s="5"/>
      <c r="D17" s="28" t="s">
        <v>85</v>
      </c>
      <c r="E17" s="28" t="s">
        <v>86</v>
      </c>
      <c r="F17" s="28" t="s">
        <v>87</v>
      </c>
    </row>
    <row r="18" spans="1:6" x14ac:dyDescent="0.25">
      <c r="D18" s="9" t="s">
        <v>36</v>
      </c>
      <c r="E18" s="29"/>
      <c r="F18" s="25" t="s">
        <v>36</v>
      </c>
    </row>
    <row r="19" spans="1:6" x14ac:dyDescent="0.25">
      <c r="A19" s="9">
        <v>1</v>
      </c>
      <c r="B19" s="2" t="s">
        <v>589</v>
      </c>
    </row>
    <row r="20" spans="1:6" x14ac:dyDescent="0.25">
      <c r="A20" s="9"/>
      <c r="B20" s="302"/>
    </row>
    <row r="21" spans="1:6" x14ac:dyDescent="0.25">
      <c r="A21" s="9">
        <f>+A19+1</f>
        <v>2</v>
      </c>
      <c r="B21" s="2" t="s">
        <v>590</v>
      </c>
    </row>
    <row r="22" spans="1:6" x14ac:dyDescent="0.25">
      <c r="A22" s="9"/>
      <c r="B22" s="302"/>
    </row>
    <row r="23" spans="1:6" x14ac:dyDescent="0.25">
      <c r="A23" s="9">
        <f>+A21+1</f>
        <v>3</v>
      </c>
      <c r="C23" s="5" t="s">
        <v>591</v>
      </c>
      <c r="D23" s="12">
        <v>0</v>
      </c>
      <c r="E23" s="303">
        <v>0.125</v>
      </c>
      <c r="F23" s="32">
        <f>+D23*E23</f>
        <v>0</v>
      </c>
    </row>
    <row r="24" spans="1:6" x14ac:dyDescent="0.25">
      <c r="A24" s="9"/>
      <c r="C24" s="5"/>
      <c r="D24" s="12"/>
      <c r="E24" s="303"/>
      <c r="F24" s="32"/>
    </row>
    <row r="25" spans="1:6" x14ac:dyDescent="0.25">
      <c r="A25" s="9">
        <f>+A23+1</f>
        <v>4</v>
      </c>
      <c r="C25" s="5" t="s">
        <v>592</v>
      </c>
      <c r="D25" s="12">
        <v>409263.17323596525</v>
      </c>
      <c r="E25" s="303">
        <f>+E23</f>
        <v>0.125</v>
      </c>
      <c r="F25" s="32">
        <f>+D25*E25</f>
        <v>51157.896654495657</v>
      </c>
    </row>
    <row r="26" spans="1:6" x14ac:dyDescent="0.25">
      <c r="A26" s="9"/>
      <c r="C26" s="5"/>
      <c r="D26" s="12"/>
      <c r="E26" s="303"/>
      <c r="F26" s="32"/>
    </row>
    <row r="27" spans="1:6" x14ac:dyDescent="0.25">
      <c r="A27" s="9">
        <f>+A25+1</f>
        <v>5</v>
      </c>
      <c r="C27" s="5" t="s">
        <v>593</v>
      </c>
      <c r="D27" s="12">
        <v>4382.02897109269</v>
      </c>
      <c r="E27" s="303">
        <f>+E25</f>
        <v>0.125</v>
      </c>
      <c r="F27" s="32">
        <f>+D27*E27</f>
        <v>547.75362138658625</v>
      </c>
    </row>
    <row r="28" spans="1:6" x14ac:dyDescent="0.25">
      <c r="A28" s="9"/>
      <c r="C28" s="5"/>
      <c r="D28" s="12"/>
      <c r="E28" s="303"/>
      <c r="F28" s="32"/>
    </row>
    <row r="29" spans="1:6" x14ac:dyDescent="0.25">
      <c r="A29" s="9">
        <f>+A27+1</f>
        <v>6</v>
      </c>
      <c r="C29" s="2" t="s">
        <v>594</v>
      </c>
      <c r="D29" s="12">
        <v>19073469.955365136</v>
      </c>
      <c r="E29" s="303">
        <f>+E23</f>
        <v>0.125</v>
      </c>
      <c r="F29" s="32">
        <f>+D29*E29</f>
        <v>2384183.744420642</v>
      </c>
    </row>
    <row r="30" spans="1:6" x14ac:dyDescent="0.25">
      <c r="A30" s="9"/>
      <c r="D30" s="12"/>
      <c r="E30" s="303"/>
      <c r="F30" s="32"/>
    </row>
    <row r="31" spans="1:6" x14ac:dyDescent="0.25">
      <c r="A31" s="9">
        <f>A29+1</f>
        <v>7</v>
      </c>
      <c r="C31" s="5" t="s">
        <v>595</v>
      </c>
      <c r="D31" s="12">
        <v>3795463.9582891474</v>
      </c>
      <c r="E31" s="303">
        <f>+E29</f>
        <v>0.125</v>
      </c>
      <c r="F31" s="32">
        <f>+D31*E31</f>
        <v>474432.99478614342</v>
      </c>
    </row>
    <row r="32" spans="1:6" x14ac:dyDescent="0.25">
      <c r="A32" s="9"/>
      <c r="C32" s="5"/>
      <c r="D32" s="12"/>
      <c r="E32" s="303"/>
      <c r="F32" s="32"/>
    </row>
    <row r="33" spans="1:6" x14ac:dyDescent="0.25">
      <c r="A33" s="9">
        <f>A31+1</f>
        <v>8</v>
      </c>
      <c r="C33" s="5" t="s">
        <v>596</v>
      </c>
      <c r="D33" s="12">
        <v>413829.61824189668</v>
      </c>
      <c r="E33" s="303">
        <f>+E31</f>
        <v>0.125</v>
      </c>
      <c r="F33" s="32">
        <f>+D33*E33</f>
        <v>51728.702280237085</v>
      </c>
    </row>
    <row r="34" spans="1:6" x14ac:dyDescent="0.25">
      <c r="A34" s="9"/>
      <c r="C34" s="5"/>
      <c r="D34" s="12"/>
      <c r="E34" s="303"/>
      <c r="F34" s="32"/>
    </row>
    <row r="35" spans="1:6" x14ac:dyDescent="0.25">
      <c r="A35" s="9">
        <f>A33+1</f>
        <v>9</v>
      </c>
      <c r="C35" s="5" t="s">
        <v>597</v>
      </c>
      <c r="D35" s="12">
        <v>12352.846316763704</v>
      </c>
      <c r="E35" s="303">
        <f>+E33</f>
        <v>0.125</v>
      </c>
      <c r="F35" s="32">
        <f>+D35*E35</f>
        <v>1544.105789595463</v>
      </c>
    </row>
    <row r="36" spans="1:6" x14ac:dyDescent="0.25">
      <c r="A36" s="9"/>
      <c r="C36" s="5"/>
      <c r="D36" s="12"/>
      <c r="E36" s="303"/>
      <c r="F36" s="32"/>
    </row>
    <row r="37" spans="1:6" x14ac:dyDescent="0.25">
      <c r="A37" s="9">
        <f>A35+1</f>
        <v>10</v>
      </c>
      <c r="C37" s="2" t="s">
        <v>598</v>
      </c>
      <c r="D37" s="39">
        <v>29157810.39624789</v>
      </c>
      <c r="E37" s="303">
        <f>+E35</f>
        <v>0.125</v>
      </c>
      <c r="F37" s="41">
        <f>+D37*E37</f>
        <v>3644726.2995309862</v>
      </c>
    </row>
    <row r="38" spans="1:6" x14ac:dyDescent="0.25">
      <c r="A38" s="9"/>
      <c r="D38" s="12"/>
      <c r="E38" s="303"/>
      <c r="F38" s="32"/>
    </row>
    <row r="39" spans="1:6" x14ac:dyDescent="0.25">
      <c r="A39" s="9">
        <f>A37+1</f>
        <v>11</v>
      </c>
      <c r="B39" s="2" t="s">
        <v>599</v>
      </c>
      <c r="D39" s="12">
        <f>SUM(D23:D37)</f>
        <v>52866571.976667888</v>
      </c>
      <c r="E39" s="303"/>
      <c r="F39" s="12">
        <f>SUM(F23:F37)</f>
        <v>6608321.4970834861</v>
      </c>
    </row>
  </sheetData>
  <mergeCells count="6">
    <mergeCell ref="A1:F1"/>
    <mergeCell ref="A2:F2"/>
    <mergeCell ref="A3:F3"/>
    <mergeCell ref="A4:F4"/>
    <mergeCell ref="D12:F12"/>
    <mergeCell ref="D11:F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DF293-55D6-4337-8C4D-AB0D203CB9E7}">
  <dimension ref="A1:U80"/>
  <sheetViews>
    <sheetView workbookViewId="0">
      <selection activeCell="I20" sqref="I20"/>
    </sheetView>
  </sheetViews>
  <sheetFormatPr defaultColWidth="9.5703125" defaultRowHeight="10.5" x14ac:dyDescent="0.25"/>
  <cols>
    <col min="1" max="1" width="3.85546875" style="45" customWidth="1"/>
    <col min="2" max="2" width="1.42578125" style="45" customWidth="1"/>
    <col min="3" max="3" width="42.28515625" style="45" customWidth="1"/>
    <col min="4" max="4" width="1.42578125" style="45" customWidth="1"/>
    <col min="5" max="5" width="16.85546875" style="45" bestFit="1" customWidth="1"/>
    <col min="6" max="6" width="1.42578125" style="45" customWidth="1"/>
    <col min="7" max="7" width="12.85546875" style="45" customWidth="1"/>
    <col min="8" max="8" width="1.42578125" style="45" customWidth="1"/>
    <col min="9" max="9" width="17.7109375" style="45" customWidth="1"/>
    <col min="10" max="10" width="3.5703125" style="45" customWidth="1"/>
    <col min="11" max="11" width="15.85546875" style="45" bestFit="1" customWidth="1"/>
    <col min="12" max="12" width="1.42578125" style="45" customWidth="1"/>
    <col min="13" max="13" width="12.85546875" style="45" customWidth="1"/>
    <col min="14" max="14" width="1.42578125" style="45" customWidth="1"/>
    <col min="15" max="15" width="17.7109375" style="45" customWidth="1"/>
    <col min="16" max="16" width="3.5703125" style="45" customWidth="1"/>
    <col min="17" max="17" width="15.85546875" style="45" bestFit="1" customWidth="1"/>
    <col min="18" max="18" width="1.42578125" style="45" customWidth="1"/>
    <col min="19" max="19" width="12.85546875" style="45" customWidth="1"/>
    <col min="20" max="20" width="1.42578125" style="45" customWidth="1"/>
    <col min="21" max="21" width="17.7109375" style="45" customWidth="1"/>
    <col min="22" max="16384" width="9.5703125" style="45"/>
  </cols>
  <sheetData>
    <row r="1" spans="1:21" ht="12.75" x14ac:dyDescent="0.25">
      <c r="A1" s="363" t="s">
        <v>62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</row>
    <row r="2" spans="1:21" ht="12.75" x14ac:dyDescent="0.25">
      <c r="A2" s="363" t="s">
        <v>63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</row>
    <row r="3" spans="1:21" ht="12.75" x14ac:dyDescent="0.25">
      <c r="A3" s="363" t="s">
        <v>194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</row>
    <row r="4" spans="1:21" ht="12.75" x14ac:dyDescent="0.25">
      <c r="A4" s="364" t="s">
        <v>64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</row>
    <row r="5" spans="1:21" ht="12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ht="12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ht="12.75" x14ac:dyDescent="0.25">
      <c r="A7" s="5" t="s">
        <v>176</v>
      </c>
      <c r="B7" s="2"/>
      <c r="C7" s="2"/>
      <c r="D7" s="47"/>
      <c r="E7" s="47"/>
      <c r="F7" s="47"/>
      <c r="G7" s="49"/>
      <c r="H7" s="47"/>
      <c r="J7" s="47"/>
      <c r="K7" s="47"/>
      <c r="L7" s="47"/>
      <c r="M7" s="49"/>
      <c r="N7" s="47"/>
      <c r="P7" s="47"/>
      <c r="Q7" s="47"/>
      <c r="R7" s="47"/>
      <c r="S7" s="49"/>
      <c r="T7" s="47"/>
      <c r="U7" s="50" t="s">
        <v>127</v>
      </c>
    </row>
    <row r="8" spans="1:21" ht="15.6" customHeight="1" x14ac:dyDescent="0.25">
      <c r="A8" s="2" t="s">
        <v>645</v>
      </c>
      <c r="B8" s="2"/>
      <c r="C8" s="2"/>
      <c r="D8" s="47"/>
      <c r="E8" s="47"/>
      <c r="F8" s="47"/>
      <c r="G8" s="49"/>
      <c r="H8" s="47"/>
      <c r="J8" s="47"/>
      <c r="K8" s="47"/>
      <c r="L8" s="47"/>
      <c r="M8" s="49"/>
      <c r="N8" s="47"/>
      <c r="P8" s="47"/>
      <c r="Q8" s="47"/>
      <c r="R8" s="47"/>
      <c r="S8" s="49"/>
      <c r="T8" s="47"/>
      <c r="U8" s="50" t="s">
        <v>128</v>
      </c>
    </row>
    <row r="9" spans="1:21" ht="12.75" x14ac:dyDescent="0.25">
      <c r="A9" s="2" t="s">
        <v>2</v>
      </c>
      <c r="B9" s="2"/>
      <c r="C9" s="2"/>
      <c r="D9" s="47"/>
      <c r="E9" s="47"/>
      <c r="F9" s="47"/>
      <c r="G9" s="49"/>
      <c r="H9" s="47"/>
      <c r="J9" s="47"/>
      <c r="K9" s="47"/>
      <c r="L9" s="47"/>
      <c r="M9" s="49"/>
      <c r="N9" s="47"/>
      <c r="P9" s="47"/>
      <c r="Q9" s="47"/>
      <c r="R9" s="47"/>
      <c r="S9" s="49"/>
      <c r="T9" s="47"/>
      <c r="U9" s="50" t="s">
        <v>65</v>
      </c>
    </row>
    <row r="10" spans="1:21" ht="12.75" x14ac:dyDescent="0.25">
      <c r="A10" s="69"/>
      <c r="B10" s="70"/>
      <c r="C10" s="70"/>
      <c r="D10" s="70"/>
      <c r="E10" s="70"/>
      <c r="F10" s="70"/>
      <c r="G10" s="71"/>
      <c r="H10" s="70"/>
      <c r="I10" s="72"/>
      <c r="J10" s="70"/>
      <c r="K10" s="70"/>
      <c r="L10" s="70"/>
      <c r="M10" s="71"/>
      <c r="N10" s="70"/>
      <c r="O10" s="72"/>
      <c r="P10" s="70"/>
      <c r="Q10" s="51"/>
      <c r="R10" s="70"/>
      <c r="S10" s="71"/>
      <c r="T10" s="70"/>
      <c r="U10" s="72"/>
    </row>
    <row r="11" spans="1:21" ht="15" customHeight="1" thickBot="1" x14ac:dyDescent="0.3">
      <c r="A11" s="48"/>
      <c r="B11" s="47"/>
      <c r="C11" s="47"/>
      <c r="D11" s="47"/>
      <c r="E11" s="362" t="s">
        <v>177</v>
      </c>
      <c r="F11" s="362"/>
      <c r="G11" s="362"/>
      <c r="H11" s="362"/>
      <c r="I11" s="362"/>
      <c r="J11" s="47"/>
      <c r="K11" s="362" t="s">
        <v>178</v>
      </c>
      <c r="L11" s="362"/>
      <c r="M11" s="362"/>
      <c r="N11" s="362"/>
      <c r="O11" s="362"/>
      <c r="P11" s="47"/>
      <c r="Q11" s="362" t="s">
        <v>179</v>
      </c>
      <c r="R11" s="362"/>
      <c r="S11" s="362"/>
      <c r="T11" s="362"/>
      <c r="U11" s="362"/>
    </row>
    <row r="12" spans="1:21" ht="12.75" x14ac:dyDescent="0.25">
      <c r="A12" s="48"/>
      <c r="B12" s="47"/>
      <c r="C12" s="47"/>
      <c r="D12" s="47"/>
      <c r="E12" s="44" t="s">
        <v>130</v>
      </c>
      <c r="F12" s="47"/>
      <c r="G12" s="49"/>
      <c r="H12" s="47"/>
      <c r="I12" s="50"/>
      <c r="J12" s="47"/>
      <c r="K12" s="44" t="s">
        <v>130</v>
      </c>
      <c r="L12" s="47"/>
      <c r="M12" s="49"/>
      <c r="N12" s="47"/>
      <c r="O12" s="50"/>
      <c r="P12" s="47"/>
      <c r="Q12" s="44" t="s">
        <v>130</v>
      </c>
      <c r="R12" s="47"/>
      <c r="S12" s="49"/>
      <c r="T12" s="47"/>
      <c r="U12" s="50"/>
    </row>
    <row r="13" spans="1:21" s="52" customFormat="1" ht="12.75" x14ac:dyDescent="0.25">
      <c r="A13" s="44"/>
      <c r="B13" s="44"/>
      <c r="C13" s="44"/>
      <c r="D13" s="44"/>
      <c r="E13" s="44" t="s">
        <v>33</v>
      </c>
      <c r="F13" s="44"/>
      <c r="G13" s="44"/>
      <c r="H13" s="44"/>
      <c r="I13" s="44" t="s">
        <v>33</v>
      </c>
      <c r="J13" s="44"/>
      <c r="K13" s="44" t="s">
        <v>33</v>
      </c>
      <c r="L13" s="44"/>
      <c r="M13" s="44"/>
      <c r="N13" s="44"/>
      <c r="O13" s="44" t="s">
        <v>33</v>
      </c>
      <c r="P13" s="44"/>
      <c r="Q13" s="44" t="s">
        <v>33</v>
      </c>
      <c r="R13" s="44"/>
      <c r="S13" s="44"/>
      <c r="T13" s="44"/>
      <c r="U13" s="44" t="s">
        <v>33</v>
      </c>
    </row>
    <row r="14" spans="1:21" s="52" customFormat="1" ht="12.75" x14ac:dyDescent="0.25">
      <c r="A14" s="44" t="s">
        <v>6</v>
      </c>
      <c r="B14" s="44"/>
      <c r="C14" s="44"/>
      <c r="D14" s="44"/>
      <c r="E14" s="44" t="s">
        <v>131</v>
      </c>
      <c r="F14" s="44"/>
      <c r="G14" s="44" t="s">
        <v>132</v>
      </c>
      <c r="H14" s="44"/>
      <c r="I14" s="44" t="s">
        <v>131</v>
      </c>
      <c r="J14" s="44"/>
      <c r="K14" s="44" t="s">
        <v>131</v>
      </c>
      <c r="L14" s="44"/>
      <c r="M14" s="44" t="s">
        <v>132</v>
      </c>
      <c r="N14" s="44"/>
      <c r="O14" s="44" t="s">
        <v>131</v>
      </c>
      <c r="P14" s="44"/>
      <c r="Q14" s="44" t="s">
        <v>131</v>
      </c>
      <c r="R14" s="44"/>
      <c r="S14" s="44" t="s">
        <v>132</v>
      </c>
      <c r="T14" s="44"/>
      <c r="U14" s="44" t="s">
        <v>131</v>
      </c>
    </row>
    <row r="15" spans="1:21" s="52" customFormat="1" ht="12.75" x14ac:dyDescent="0.25">
      <c r="A15" s="53" t="s">
        <v>10</v>
      </c>
      <c r="B15" s="53"/>
      <c r="C15" s="53" t="s">
        <v>11</v>
      </c>
      <c r="D15" s="53"/>
      <c r="E15" s="53" t="s">
        <v>133</v>
      </c>
      <c r="F15" s="53"/>
      <c r="G15" s="53" t="s">
        <v>134</v>
      </c>
      <c r="H15" s="53"/>
      <c r="I15" s="53" t="s">
        <v>135</v>
      </c>
      <c r="J15" s="53"/>
      <c r="K15" s="53" t="s">
        <v>133</v>
      </c>
      <c r="L15" s="53"/>
      <c r="M15" s="53" t="s">
        <v>134</v>
      </c>
      <c r="N15" s="53"/>
      <c r="O15" s="53" t="s">
        <v>135</v>
      </c>
      <c r="P15" s="53"/>
      <c r="Q15" s="53" t="s">
        <v>133</v>
      </c>
      <c r="R15" s="53"/>
      <c r="S15" s="53" t="s">
        <v>134</v>
      </c>
      <c r="T15" s="53"/>
      <c r="U15" s="53" t="s">
        <v>135</v>
      </c>
    </row>
    <row r="16" spans="1:21" s="52" customFormat="1" ht="12.75" x14ac:dyDescent="0.25">
      <c r="A16" s="44"/>
      <c r="B16" s="44"/>
      <c r="C16" s="44"/>
      <c r="D16" s="44"/>
      <c r="E16" s="54" t="s">
        <v>85</v>
      </c>
      <c r="F16" s="44"/>
      <c r="G16" s="54" t="s">
        <v>86</v>
      </c>
      <c r="H16" s="44"/>
      <c r="I16" s="54" t="s">
        <v>155</v>
      </c>
      <c r="J16" s="44"/>
      <c r="K16" s="54" t="s">
        <v>156</v>
      </c>
      <c r="L16" s="44"/>
      <c r="M16" s="54" t="s">
        <v>89</v>
      </c>
      <c r="N16" s="44"/>
      <c r="O16" s="54" t="s">
        <v>234</v>
      </c>
      <c r="P16" s="44"/>
      <c r="Q16" s="54" t="s">
        <v>235</v>
      </c>
      <c r="R16" s="44"/>
      <c r="S16" s="54" t="s">
        <v>92</v>
      </c>
      <c r="T16" s="44"/>
      <c r="U16" s="54" t="s">
        <v>236</v>
      </c>
    </row>
    <row r="17" spans="1:21" ht="12.75" x14ac:dyDescent="0.25">
      <c r="A17" s="47"/>
      <c r="B17" s="47"/>
      <c r="C17" s="47"/>
      <c r="D17" s="47"/>
      <c r="E17" s="44" t="s">
        <v>36</v>
      </c>
      <c r="F17" s="47"/>
      <c r="G17" s="44" t="s">
        <v>36</v>
      </c>
      <c r="H17" s="47"/>
      <c r="I17" s="44" t="s">
        <v>36</v>
      </c>
      <c r="J17" s="47"/>
      <c r="K17" s="44" t="s">
        <v>36</v>
      </c>
      <c r="L17" s="47"/>
      <c r="M17" s="44" t="s">
        <v>36</v>
      </c>
      <c r="N17" s="47"/>
      <c r="O17" s="44" t="s">
        <v>36</v>
      </c>
      <c r="P17" s="47"/>
      <c r="Q17" s="44" t="s">
        <v>36</v>
      </c>
      <c r="R17" s="47"/>
      <c r="S17" s="44" t="s">
        <v>36</v>
      </c>
      <c r="T17" s="47"/>
      <c r="U17" s="44" t="s">
        <v>36</v>
      </c>
    </row>
    <row r="18" spans="1:21" ht="12.7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</row>
    <row r="19" spans="1:21" ht="12.75" x14ac:dyDescent="0.25">
      <c r="A19" s="44" t="s">
        <v>137</v>
      </c>
      <c r="B19" s="47"/>
      <c r="C19" s="48" t="s">
        <v>138</v>
      </c>
      <c r="D19" s="48"/>
      <c r="E19" s="55">
        <f>+'Sch C-2 (Op Income)'!I18</f>
        <v>150357677.62666669</v>
      </c>
      <c r="F19" s="55"/>
      <c r="G19" s="55">
        <f>+'Sch A (Rev. Req.)'!E33</f>
        <v>23773019.485332005</v>
      </c>
      <c r="H19" s="55"/>
      <c r="I19" s="55">
        <f>G19+E19</f>
        <v>174130697.11199871</v>
      </c>
      <c r="J19" s="48"/>
      <c r="K19" s="56">
        <f>+'Sch C-2 (Op Income)'!M18</f>
        <v>150357677.62666669</v>
      </c>
      <c r="L19" s="55"/>
      <c r="M19" s="55">
        <f>+'Sch A (Rev. Req.)'!G33</f>
        <v>11189342.156247385</v>
      </c>
      <c r="N19" s="55"/>
      <c r="O19" s="55">
        <f>M19+K19</f>
        <v>161547019.78291407</v>
      </c>
      <c r="P19" s="48"/>
      <c r="Q19" s="56">
        <f>+'Sch C-2 (Op Income)'!Q18</f>
        <v>150357677.62666669</v>
      </c>
      <c r="R19" s="55"/>
      <c r="S19" s="55">
        <f>+'Sch A (Rev. Req.)'!I33</f>
        <v>23668683.089556005</v>
      </c>
      <c r="T19" s="55"/>
      <c r="U19" s="55">
        <f>S19+Q19</f>
        <v>174026360.7162227</v>
      </c>
    </row>
    <row r="20" spans="1:21" ht="12.75" x14ac:dyDescent="0.25">
      <c r="A20" s="47"/>
      <c r="B20" s="47"/>
      <c r="C20" s="47"/>
      <c r="D20" s="47"/>
      <c r="E20" s="55"/>
      <c r="F20" s="55"/>
      <c r="G20" s="55"/>
      <c r="H20" s="55"/>
      <c r="I20" s="55"/>
      <c r="J20" s="47"/>
      <c r="K20" s="47"/>
      <c r="L20" s="55"/>
      <c r="M20" s="55"/>
      <c r="N20" s="55"/>
      <c r="O20" s="55"/>
      <c r="P20" s="47"/>
      <c r="Q20" s="47"/>
      <c r="R20" s="55"/>
      <c r="S20" s="55"/>
      <c r="T20" s="55"/>
      <c r="U20" s="55"/>
    </row>
    <row r="21" spans="1:21" ht="12.75" x14ac:dyDescent="0.25">
      <c r="A21" s="44">
        <f>A19+1</f>
        <v>2</v>
      </c>
      <c r="B21" s="47"/>
      <c r="C21" s="48" t="s">
        <v>93</v>
      </c>
      <c r="D21" s="48"/>
      <c r="E21" s="55"/>
      <c r="F21" s="55"/>
      <c r="G21" s="55"/>
      <c r="H21" s="55"/>
      <c r="I21" s="55"/>
      <c r="J21" s="48"/>
      <c r="K21" s="48"/>
      <c r="L21" s="55"/>
      <c r="M21" s="55"/>
      <c r="N21" s="55"/>
      <c r="O21" s="55"/>
      <c r="P21" s="48"/>
      <c r="Q21" s="48"/>
      <c r="R21" s="55"/>
      <c r="S21" s="55"/>
      <c r="T21" s="55"/>
      <c r="U21" s="55"/>
    </row>
    <row r="22" spans="1:21" ht="12.75" x14ac:dyDescent="0.25">
      <c r="A22" s="44">
        <f>A21+1</f>
        <v>3</v>
      </c>
      <c r="B22" s="47"/>
      <c r="C22" s="48" t="s">
        <v>139</v>
      </c>
      <c r="D22" s="48"/>
      <c r="E22" s="55">
        <f>+'Sch C-2 (Op Income)'!I21</f>
        <v>35413021.660000004</v>
      </c>
      <c r="F22" s="55"/>
      <c r="G22" s="55">
        <v>0</v>
      </c>
      <c r="H22" s="55"/>
      <c r="I22" s="55">
        <f>G22+E22</f>
        <v>35413021.660000004</v>
      </c>
      <c r="J22" s="48"/>
      <c r="K22" s="56">
        <f>+'Sch C-2 (Op Income)'!M21</f>
        <v>35413021.660000004</v>
      </c>
      <c r="L22" s="55"/>
      <c r="M22" s="55">
        <v>0</v>
      </c>
      <c r="N22" s="55"/>
      <c r="O22" s="55">
        <f t="shared" ref="O22:O27" si="0">M22+K22</f>
        <v>35413021.660000004</v>
      </c>
      <c r="P22" s="48"/>
      <c r="Q22" s="56">
        <f>+'Sch C-2 (Op Income)'!Q21</f>
        <v>35413021.660000004</v>
      </c>
      <c r="R22" s="55"/>
      <c r="S22" s="55">
        <v>0</v>
      </c>
      <c r="T22" s="55"/>
      <c r="U22" s="55">
        <f t="shared" ref="U22:U25" si="1">S22+Q22</f>
        <v>35413021.660000004</v>
      </c>
    </row>
    <row r="23" spans="1:21" ht="12.75" x14ac:dyDescent="0.25">
      <c r="A23" s="44">
        <f>A22+1</f>
        <v>4</v>
      </c>
      <c r="B23" s="47"/>
      <c r="C23" s="48" t="s">
        <v>140</v>
      </c>
      <c r="D23" s="48"/>
      <c r="E23" s="55">
        <f>+SUM('Sch C-2 (Op Income)'!I22:I29)</f>
        <v>52866571.976667888</v>
      </c>
      <c r="F23" s="55"/>
      <c r="G23" s="55">
        <f>G19*('Sch H-1 (Conversion Factor)'!G21+'Sch H-1 (Conversion Factor)'!G23)</f>
        <v>130085.96262373673</v>
      </c>
      <c r="H23" s="55"/>
      <c r="I23" s="55">
        <f>G23+E23</f>
        <v>52996657.939291626</v>
      </c>
      <c r="J23" s="48"/>
      <c r="K23" s="56">
        <f>+'Sch C-2 (Op Income)'!M22</f>
        <v>46198488.395789281</v>
      </c>
      <c r="L23" s="55"/>
      <c r="M23" s="55">
        <f>M19*('Sch H-1 (Conversion Factor)'!G21+'Sch H-1 (Conversion Factor)'!G23)</f>
        <v>61228.08027898569</v>
      </c>
      <c r="N23" s="55"/>
      <c r="O23" s="55">
        <f t="shared" si="0"/>
        <v>46259716.476068266</v>
      </c>
      <c r="P23" s="48"/>
      <c r="Q23" s="56">
        <f>+'Sch C-2 (Op Income)'!Q22</f>
        <v>52866571.976667888</v>
      </c>
      <c r="R23" s="55"/>
      <c r="S23" s="55">
        <f>S19*('Sch H-1 (Conversion Factor)'!G21+'Sch H-1 (Conversion Factor)'!G23)</f>
        <v>129515.03386605046</v>
      </c>
      <c r="T23" s="55"/>
      <c r="U23" s="55">
        <f t="shared" si="1"/>
        <v>52996087.010533936</v>
      </c>
    </row>
    <row r="24" spans="1:21" ht="12.75" x14ac:dyDescent="0.25">
      <c r="A24" s="44">
        <f>A23+1</f>
        <v>5</v>
      </c>
      <c r="B24" s="47"/>
      <c r="C24" s="48" t="s">
        <v>141</v>
      </c>
      <c r="D24" s="48"/>
      <c r="E24" s="55">
        <f>+'Sch C-2 (Op Income)'!I31</f>
        <v>26483896.030000001</v>
      </c>
      <c r="F24" s="55"/>
      <c r="G24" s="55">
        <v>0</v>
      </c>
      <c r="H24" s="55"/>
      <c r="I24" s="55">
        <f>G24+E24</f>
        <v>26483896.030000001</v>
      </c>
      <c r="J24" s="48"/>
      <c r="K24" s="56">
        <f>+'Sch C-2 (Op Income)'!M31</f>
        <v>26483896.030000001</v>
      </c>
      <c r="L24" s="55"/>
      <c r="M24" s="55">
        <v>0</v>
      </c>
      <c r="N24" s="55"/>
      <c r="O24" s="55">
        <f t="shared" si="0"/>
        <v>26483896.030000001</v>
      </c>
      <c r="P24" s="48"/>
      <c r="Q24" s="56">
        <f>+'Sch C-2 (Op Income)'!Q31</f>
        <v>26483896.030000001</v>
      </c>
      <c r="R24" s="55"/>
      <c r="S24" s="55">
        <v>0</v>
      </c>
      <c r="T24" s="55"/>
      <c r="U24" s="55">
        <f t="shared" si="1"/>
        <v>26483896.030000001</v>
      </c>
    </row>
    <row r="25" spans="1:21" ht="12.75" x14ac:dyDescent="0.25">
      <c r="A25" s="44">
        <f>A24+1</f>
        <v>6</v>
      </c>
      <c r="B25" s="47"/>
      <c r="C25" s="48" t="s">
        <v>142</v>
      </c>
      <c r="D25" s="48"/>
      <c r="E25" s="57">
        <f>+SUM('Sch C-2 (Op Income)'!I34:I36)</f>
        <v>8577791.442864595</v>
      </c>
      <c r="F25" s="55"/>
      <c r="G25" s="57">
        <v>0</v>
      </c>
      <c r="H25" s="55"/>
      <c r="I25" s="57">
        <f>G25+E25</f>
        <v>8577791.442864595</v>
      </c>
      <c r="J25" s="48"/>
      <c r="K25" s="120">
        <f>+SUM('Sch C-2 (Op Income)'!M34:M36)</f>
        <v>8407358.2319238</v>
      </c>
      <c r="L25" s="55"/>
      <c r="M25" s="57">
        <v>0</v>
      </c>
      <c r="N25" s="55"/>
      <c r="O25" s="85">
        <f t="shared" si="0"/>
        <v>8407358.2319238</v>
      </c>
      <c r="P25" s="48"/>
      <c r="Q25" s="120">
        <f>+SUM('Sch C-2 (Op Income)'!Q34:Q36)</f>
        <v>8577791.442864595</v>
      </c>
      <c r="R25" s="55"/>
      <c r="S25" s="57">
        <v>0</v>
      </c>
      <c r="T25" s="55"/>
      <c r="U25" s="85">
        <f t="shared" si="1"/>
        <v>8577791.442864595</v>
      </c>
    </row>
    <row r="26" spans="1:21" ht="12.75" x14ac:dyDescent="0.25">
      <c r="A26" s="44"/>
      <c r="B26" s="47"/>
      <c r="C26" s="48"/>
      <c r="D26" s="48"/>
      <c r="E26" s="55"/>
      <c r="F26" s="55"/>
      <c r="G26" s="55"/>
      <c r="H26" s="55"/>
      <c r="I26" s="55"/>
      <c r="J26" s="48"/>
      <c r="K26" s="48"/>
      <c r="L26" s="55"/>
      <c r="M26" s="55"/>
      <c r="N26" s="55"/>
      <c r="O26" s="55"/>
      <c r="P26" s="48"/>
      <c r="Q26" s="48"/>
      <c r="R26" s="55"/>
      <c r="S26" s="55"/>
      <c r="T26" s="55"/>
      <c r="U26" s="55"/>
    </row>
    <row r="27" spans="1:21" ht="12.75" x14ac:dyDescent="0.25">
      <c r="A27" s="44">
        <f>A25+1</f>
        <v>7</v>
      </c>
      <c r="B27" s="47"/>
      <c r="C27" s="48" t="s">
        <v>143</v>
      </c>
      <c r="D27" s="48"/>
      <c r="E27" s="55">
        <f>+E19-SUM(E22:E25)</f>
        <v>27016396.517134205</v>
      </c>
      <c r="F27" s="55"/>
      <c r="G27" s="55">
        <f>+G19-SUM(G22:G25)</f>
        <v>23642933.522708267</v>
      </c>
      <c r="H27" s="55"/>
      <c r="I27" s="55">
        <f>+I19-SUM(I22:I25)</f>
        <v>50659330.039842486</v>
      </c>
      <c r="J27" s="48"/>
      <c r="K27" s="55">
        <f>+K19-SUM(K22:K25)</f>
        <v>33854913.308953598</v>
      </c>
      <c r="L27" s="55"/>
      <c r="M27" s="55">
        <f>+M19-SUM(M22:M25)</f>
        <v>11128114.0759684</v>
      </c>
      <c r="N27" s="55"/>
      <c r="O27" s="55">
        <f t="shared" si="0"/>
        <v>44983027.384921998</v>
      </c>
      <c r="P27" s="48"/>
      <c r="Q27" s="55">
        <f>+Q19-SUM(Q22:Q25)</f>
        <v>27016396.517134205</v>
      </c>
      <c r="R27" s="55"/>
      <c r="S27" s="55">
        <f>+S19-SUM(S22:S25)</f>
        <v>23539168.055689953</v>
      </c>
      <c r="T27" s="55"/>
      <c r="U27" s="55">
        <f>+U19-SUM(U22:U25)</f>
        <v>50555564.572824165</v>
      </c>
    </row>
    <row r="28" spans="1:21" ht="12.75" x14ac:dyDescent="0.25">
      <c r="A28" s="44"/>
      <c r="B28" s="47"/>
      <c r="C28" s="48"/>
      <c r="D28" s="48"/>
      <c r="E28" s="55"/>
      <c r="F28" s="55"/>
      <c r="G28" s="55"/>
      <c r="H28" s="55"/>
      <c r="I28" s="55"/>
      <c r="J28" s="48"/>
      <c r="K28" s="48"/>
      <c r="L28" s="55"/>
      <c r="M28" s="55"/>
      <c r="N28" s="55"/>
      <c r="O28" s="55"/>
      <c r="P28" s="48"/>
      <c r="Q28" s="48"/>
      <c r="R28" s="55"/>
      <c r="S28" s="55"/>
      <c r="T28" s="55"/>
      <c r="U28" s="55"/>
    </row>
    <row r="29" spans="1:21" ht="12.75" x14ac:dyDescent="0.25">
      <c r="A29" s="44"/>
      <c r="B29" s="47"/>
      <c r="C29" s="48"/>
      <c r="D29" s="48"/>
      <c r="E29" s="58"/>
      <c r="F29" s="55"/>
      <c r="G29" s="55"/>
      <c r="H29" s="55"/>
      <c r="I29" s="59"/>
      <c r="J29" s="48"/>
      <c r="K29" s="48"/>
      <c r="L29" s="55"/>
      <c r="M29" s="55"/>
      <c r="N29" s="55"/>
      <c r="O29" s="59"/>
      <c r="P29" s="48"/>
      <c r="Q29" s="48"/>
      <c r="R29" s="55"/>
      <c r="S29" s="55"/>
      <c r="T29" s="55"/>
      <c r="U29" s="59"/>
    </row>
    <row r="30" spans="1:21" ht="12.75" x14ac:dyDescent="0.25">
      <c r="A30" s="44">
        <f>A27+1</f>
        <v>8</v>
      </c>
      <c r="B30" s="47"/>
      <c r="C30" s="48" t="s">
        <v>144</v>
      </c>
      <c r="D30" s="48"/>
      <c r="E30" s="55">
        <f>+'Sch C-2 (Op Income)'!I41</f>
        <v>2487264</v>
      </c>
      <c r="F30" s="55"/>
      <c r="G30" s="55">
        <f>I30-E30</f>
        <v>4716761.5333954496</v>
      </c>
      <c r="H30" s="55"/>
      <c r="I30" s="55">
        <f>+'Sch E-1.1 (FTP Income Taxes)'!F63</f>
        <v>7204025.5333954496</v>
      </c>
      <c r="J30" s="48"/>
      <c r="K30" s="361">
        <f>+'Sch C-2 (Op Income)'!M41+'Sch C-2 (Op Income)'!M42</f>
        <v>4908564</v>
      </c>
      <c r="L30" s="55"/>
      <c r="M30" s="361">
        <f>+O30-K32</f>
        <v>7685027.030470781</v>
      </c>
      <c r="N30" s="55"/>
      <c r="O30" s="361">
        <f>-((O36*O38)-O27)</f>
        <v>7685027.030470781</v>
      </c>
      <c r="P30" s="48"/>
      <c r="Q30" s="56">
        <f>+'Sch C-2 (Op Income)'!Q41</f>
        <v>2507966</v>
      </c>
      <c r="R30" s="55"/>
      <c r="S30" s="55">
        <f>U30-Q30</f>
        <v>4696059.5324646458</v>
      </c>
      <c r="T30" s="55"/>
      <c r="U30" s="55">
        <f>+('Sch E-1.1 (FTP Income Taxes)'!J63)</f>
        <v>7204025.5324646458</v>
      </c>
    </row>
    <row r="31" spans="1:21" ht="12.75" x14ac:dyDescent="0.25">
      <c r="A31" s="44">
        <f>A30+1</f>
        <v>9</v>
      </c>
      <c r="B31" s="47"/>
      <c r="C31" s="48" t="s">
        <v>145</v>
      </c>
      <c r="D31" s="48"/>
      <c r="E31" s="57">
        <f>+'Sch C-2 (Op Income)'!I42</f>
        <v>715090</v>
      </c>
      <c r="F31" s="55"/>
      <c r="G31" s="60">
        <f>I31-E31</f>
        <v>1182146.5381490425</v>
      </c>
      <c r="H31" s="55"/>
      <c r="I31" s="60">
        <f>'Sch E-1.1 (FTP Income Taxes)'!F65</f>
        <v>1897236.5381490425</v>
      </c>
      <c r="J31" s="48"/>
      <c r="K31" s="361"/>
      <c r="L31" s="55"/>
      <c r="M31" s="361"/>
      <c r="N31" s="55"/>
      <c r="O31" s="361"/>
      <c r="P31" s="48"/>
      <c r="Q31" s="120">
        <f>+'Sch C-2 (Op Income)'!Q42</f>
        <v>720278</v>
      </c>
      <c r="R31" s="55"/>
      <c r="S31" s="85">
        <f>U31-Q31</f>
        <v>1176958.5379157588</v>
      </c>
      <c r="T31" s="55"/>
      <c r="U31" s="60">
        <f>+('Sch E-1.1 (FTP Income Taxes)'!J65)</f>
        <v>1897236.5379157588</v>
      </c>
    </row>
    <row r="32" spans="1:21" ht="12.75" x14ac:dyDescent="0.25">
      <c r="A32" s="44">
        <f>A31+1</f>
        <v>10</v>
      </c>
      <c r="B32" s="47"/>
      <c r="C32" s="48" t="s">
        <v>146</v>
      </c>
      <c r="D32" s="48"/>
      <c r="E32" s="55">
        <f>+E30+E31</f>
        <v>3202354</v>
      </c>
      <c r="F32" s="55"/>
      <c r="G32" s="55">
        <f>+G30+G31</f>
        <v>5898908.0715444926</v>
      </c>
      <c r="H32" s="55"/>
      <c r="I32" s="55">
        <f>+I30+I31</f>
        <v>9101262.0715444926</v>
      </c>
      <c r="J32" s="48"/>
      <c r="K32" s="361"/>
      <c r="L32" s="55"/>
      <c r="M32" s="361"/>
      <c r="N32" s="55"/>
      <c r="O32" s="361"/>
      <c r="P32" s="48"/>
      <c r="Q32" s="55">
        <f>+Q30+Q31</f>
        <v>3228244</v>
      </c>
      <c r="R32" s="55"/>
      <c r="S32" s="55">
        <f>+S30+S31</f>
        <v>5873018.0703804046</v>
      </c>
      <c r="T32" s="55"/>
      <c r="U32" s="55">
        <f>+U30+U31</f>
        <v>9101262.0703804046</v>
      </c>
    </row>
    <row r="33" spans="1:21" ht="12.75" x14ac:dyDescent="0.25">
      <c r="A33" s="47"/>
      <c r="B33" s="47"/>
      <c r="C33" s="47"/>
      <c r="D33" s="47"/>
      <c r="E33" s="55"/>
      <c r="F33" s="55"/>
      <c r="G33" s="55"/>
      <c r="H33" s="55"/>
      <c r="I33" s="55"/>
      <c r="J33" s="47"/>
      <c r="K33" s="47"/>
      <c r="L33" s="55"/>
      <c r="M33" s="55"/>
      <c r="N33" s="55"/>
      <c r="O33" s="55"/>
      <c r="P33" s="47"/>
      <c r="Q33" s="47"/>
      <c r="R33" s="55"/>
      <c r="S33" s="55"/>
      <c r="T33" s="55"/>
      <c r="U33" s="55"/>
    </row>
    <row r="34" spans="1:21" ht="12.75" customHeight="1" thickBot="1" x14ac:dyDescent="0.3">
      <c r="A34" s="44">
        <f>A32+1</f>
        <v>11</v>
      </c>
      <c r="B34" s="47"/>
      <c r="C34" s="48" t="s">
        <v>147</v>
      </c>
      <c r="D34" s="48"/>
      <c r="E34" s="61">
        <f>+E27-E32</f>
        <v>23814042.517134205</v>
      </c>
      <c r="F34" s="55"/>
      <c r="G34" s="61">
        <f>+G27-G32</f>
        <v>17744025.451163776</v>
      </c>
      <c r="H34" s="55"/>
      <c r="I34" s="61">
        <f>+I27-I32</f>
        <v>41558067.968297996</v>
      </c>
      <c r="J34" s="48"/>
      <c r="K34" s="61">
        <f>+K27-K30</f>
        <v>28946349.308953598</v>
      </c>
      <c r="L34" s="55"/>
      <c r="M34" s="61">
        <f>+M27-M32</f>
        <v>11128114.0759684</v>
      </c>
      <c r="N34" s="55"/>
      <c r="O34" s="61">
        <f>+O36*O38</f>
        <v>37298000.354451217</v>
      </c>
      <c r="P34" s="48"/>
      <c r="Q34" s="61">
        <f>+Q27-Q32</f>
        <v>23788152.517134205</v>
      </c>
      <c r="R34" s="55"/>
      <c r="S34" s="61">
        <f>+S27-S32</f>
        <v>17666149.985309549</v>
      </c>
      <c r="T34" s="55"/>
      <c r="U34" s="61">
        <f>+U27-U32</f>
        <v>41454302.502443761</v>
      </c>
    </row>
    <row r="35" spans="1:21" ht="13.5" thickTop="1" x14ac:dyDescent="0.25">
      <c r="A35" s="47"/>
      <c r="B35" s="47"/>
      <c r="C35" s="47"/>
      <c r="D35" s="47"/>
      <c r="E35" s="55"/>
      <c r="F35" s="55"/>
      <c r="G35" s="55"/>
      <c r="H35" s="55"/>
      <c r="I35" s="55"/>
      <c r="J35" s="47"/>
      <c r="K35" s="47"/>
      <c r="L35" s="55"/>
      <c r="M35" s="55"/>
      <c r="N35" s="55"/>
      <c r="O35" s="55"/>
      <c r="P35" s="47"/>
      <c r="Q35" s="47"/>
      <c r="R35" s="55"/>
      <c r="S35" s="55"/>
      <c r="T35" s="55"/>
      <c r="U35" s="55"/>
    </row>
    <row r="36" spans="1:21" ht="13.5" thickBot="1" x14ac:dyDescent="0.3">
      <c r="A36" s="44">
        <f>A34+1</f>
        <v>12</v>
      </c>
      <c r="B36" s="47"/>
      <c r="C36" s="48" t="s">
        <v>14</v>
      </c>
      <c r="D36" s="48"/>
      <c r="E36" s="61">
        <f>+'Sch B-1 (FTP RB)'!D41</f>
        <v>518827311.76319563</v>
      </c>
      <c r="F36" s="55"/>
      <c r="G36" s="55"/>
      <c r="H36" s="55"/>
      <c r="I36" s="61">
        <f>E36</f>
        <v>518827311.76319563</v>
      </c>
      <c r="J36" s="48"/>
      <c r="K36" s="61">
        <f>+'Sch B-1 (FTP RB)'!F41</f>
        <v>507455787.13539064</v>
      </c>
      <c r="L36" s="55"/>
      <c r="M36" s="55"/>
      <c r="N36" s="55"/>
      <c r="O36" s="61">
        <f>+K36</f>
        <v>507455787.13539064</v>
      </c>
      <c r="P36" s="48"/>
      <c r="Q36" s="48"/>
      <c r="R36" s="55"/>
      <c r="S36" s="55"/>
      <c r="T36" s="55"/>
      <c r="U36" s="61">
        <f>+'Sch B-1 (FTP RB)'!H41</f>
        <v>518827311.76319563</v>
      </c>
    </row>
    <row r="37" spans="1:21" ht="13.5" thickTop="1" x14ac:dyDescent="0.25">
      <c r="A37" s="47"/>
      <c r="B37" s="47"/>
      <c r="C37" s="47"/>
      <c r="D37" s="47"/>
      <c r="E37" s="62"/>
      <c r="F37" s="62"/>
      <c r="G37" s="62"/>
      <c r="H37" s="62"/>
      <c r="I37" s="62"/>
      <c r="J37" s="47"/>
      <c r="K37" s="62"/>
      <c r="L37" s="62"/>
      <c r="M37" s="62"/>
      <c r="N37" s="62"/>
      <c r="O37" s="62"/>
      <c r="P37" s="47"/>
      <c r="Q37" s="47"/>
      <c r="R37" s="62"/>
      <c r="S37" s="62"/>
      <c r="T37" s="62"/>
      <c r="U37" s="62"/>
    </row>
    <row r="38" spans="1:21" ht="13.5" thickBot="1" x14ac:dyDescent="0.3">
      <c r="A38" s="44">
        <f>A36+1</f>
        <v>13</v>
      </c>
      <c r="B38" s="47"/>
      <c r="C38" s="48" t="s">
        <v>148</v>
      </c>
      <c r="D38" s="48"/>
      <c r="E38" s="64">
        <f>ROUND(E34/E36,4)</f>
        <v>4.5900000000000003E-2</v>
      </c>
      <c r="F38" s="47"/>
      <c r="G38" s="63"/>
      <c r="H38" s="47"/>
      <c r="I38" s="64">
        <f>+'J-1.1,J-1.2 (FTP 13MO AVG WACC)'!M27</f>
        <v>8.0100000000000005E-2</v>
      </c>
      <c r="J38" s="48"/>
      <c r="K38" s="64">
        <f>ROUND(K34/K36,4)</f>
        <v>5.7000000000000002E-2</v>
      </c>
      <c r="L38" s="47"/>
      <c r="M38" s="63"/>
      <c r="N38" s="47"/>
      <c r="O38" s="64">
        <f>+'J-1.1,J-1.2 (FTP 13MO AVG WACC)'!R27</f>
        <v>7.350000000000001E-2</v>
      </c>
      <c r="P38" s="48"/>
      <c r="Q38" s="48"/>
      <c r="R38" s="47"/>
      <c r="S38" s="63"/>
      <c r="T38" s="47"/>
      <c r="U38" s="64">
        <f>+'J-1.1,J-1.2 (FTP 13MO AVG WACC)'!W27</f>
        <v>7.9899999999999999E-2</v>
      </c>
    </row>
    <row r="39" spans="1:21" ht="13.5" thickTop="1" x14ac:dyDescent="0.25">
      <c r="A39" s="47"/>
      <c r="B39" s="47"/>
      <c r="C39" s="47"/>
      <c r="D39" s="47"/>
      <c r="E39" s="62"/>
      <c r="F39" s="47"/>
      <c r="G39" s="63"/>
      <c r="H39" s="47"/>
      <c r="I39" s="62"/>
      <c r="J39" s="47"/>
      <c r="K39" s="47"/>
      <c r="L39" s="47"/>
      <c r="M39" s="63"/>
      <c r="N39" s="47"/>
      <c r="O39" s="62"/>
      <c r="P39" s="47"/>
      <c r="Q39" s="47"/>
      <c r="R39" s="47"/>
      <c r="S39" s="63"/>
      <c r="T39" s="47"/>
      <c r="U39" s="62"/>
    </row>
    <row r="40" spans="1:21" ht="11.25" x14ac:dyDescent="0.25">
      <c r="A40" s="49"/>
      <c r="B40" s="49"/>
      <c r="C40" s="65"/>
      <c r="D40" s="65"/>
      <c r="E40" s="67"/>
      <c r="F40" s="49"/>
      <c r="G40" s="66"/>
      <c r="H40" s="49"/>
      <c r="I40" s="67"/>
      <c r="J40" s="65"/>
      <c r="K40" s="65"/>
      <c r="L40" s="49"/>
      <c r="M40" s="66"/>
      <c r="N40" s="49"/>
      <c r="O40" s="67"/>
      <c r="P40" s="65"/>
      <c r="Q40" s="65"/>
      <c r="R40" s="49"/>
      <c r="S40" s="66"/>
      <c r="T40" s="49"/>
      <c r="U40" s="67"/>
    </row>
    <row r="41" spans="1:21" ht="11.25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ht="11.25" x14ac:dyDescent="0.25">
      <c r="A42" s="49"/>
      <c r="B42" s="49"/>
      <c r="C42" s="49"/>
      <c r="D42" s="49"/>
      <c r="E42" s="49"/>
      <c r="F42" s="49"/>
      <c r="G42" s="68"/>
      <c r="H42" s="49"/>
      <c r="I42" s="49"/>
      <c r="J42" s="49"/>
      <c r="K42" s="49"/>
      <c r="L42" s="49"/>
      <c r="M42" s="68"/>
      <c r="N42" s="49"/>
      <c r="O42" s="49"/>
      <c r="P42" s="49"/>
      <c r="Q42" s="49"/>
      <c r="R42" s="49"/>
      <c r="S42" s="68"/>
      <c r="T42" s="49"/>
      <c r="U42" s="49"/>
    </row>
    <row r="43" spans="1:21" ht="11.25" x14ac:dyDescent="0.25">
      <c r="A43" s="49"/>
      <c r="B43" s="49"/>
      <c r="C43" s="49"/>
      <c r="D43" s="49"/>
      <c r="E43" s="49"/>
      <c r="F43" s="49"/>
      <c r="G43" s="67"/>
      <c r="H43" s="49"/>
      <c r="J43" s="49"/>
      <c r="K43" s="49"/>
      <c r="L43" s="49"/>
      <c r="M43" s="67"/>
      <c r="N43" s="49"/>
      <c r="P43" s="49"/>
      <c r="Q43" s="49"/>
      <c r="R43" s="49"/>
      <c r="S43" s="67"/>
      <c r="T43" s="49"/>
    </row>
    <row r="44" spans="1:21" ht="11.25" x14ac:dyDescent="0.25">
      <c r="A44" s="49"/>
      <c r="B44" s="49"/>
      <c r="C44" s="49"/>
      <c r="D44" s="49"/>
      <c r="E44" s="49"/>
      <c r="F44" s="49"/>
      <c r="G44" s="67"/>
      <c r="H44" s="49"/>
      <c r="J44" s="49"/>
      <c r="K44" s="49"/>
      <c r="L44" s="49"/>
      <c r="M44" s="67"/>
      <c r="N44" s="49"/>
      <c r="P44" s="49"/>
      <c r="Q44" s="49"/>
      <c r="R44" s="49"/>
      <c r="S44" s="67"/>
      <c r="T44" s="49"/>
    </row>
    <row r="45" spans="1:21" ht="11.25" x14ac:dyDescent="0.25">
      <c r="A45" s="49"/>
      <c r="B45" s="49"/>
      <c r="C45" s="49"/>
      <c r="D45" s="49"/>
      <c r="E45" s="49"/>
      <c r="F45" s="49"/>
      <c r="G45" s="67"/>
      <c r="H45" s="49"/>
      <c r="J45" s="49"/>
      <c r="K45" s="49"/>
      <c r="L45" s="49"/>
      <c r="M45" s="67"/>
      <c r="N45" s="49"/>
      <c r="P45" s="49"/>
      <c r="Q45" s="49"/>
      <c r="R45" s="49"/>
      <c r="S45" s="67"/>
      <c r="T45" s="49"/>
    </row>
    <row r="46" spans="1:21" ht="11.25" x14ac:dyDescent="0.25">
      <c r="A46" s="49"/>
      <c r="B46" s="49"/>
      <c r="C46" s="49"/>
      <c r="D46" s="49"/>
      <c r="E46" s="49"/>
      <c r="F46" s="49"/>
      <c r="G46" s="67"/>
      <c r="H46" s="49"/>
      <c r="J46" s="49"/>
      <c r="K46" s="49"/>
      <c r="L46" s="49"/>
      <c r="M46" s="67"/>
      <c r="N46" s="49"/>
      <c r="P46" s="49"/>
      <c r="Q46" s="49"/>
      <c r="R46" s="49"/>
      <c r="S46" s="67"/>
      <c r="T46" s="49"/>
    </row>
    <row r="47" spans="1:21" ht="11.25" x14ac:dyDescent="0.25">
      <c r="A47" s="49"/>
      <c r="B47" s="49"/>
      <c r="C47" s="49"/>
      <c r="D47" s="49"/>
      <c r="E47" s="49"/>
      <c r="F47" s="49"/>
      <c r="G47" s="49"/>
      <c r="H47" s="49"/>
      <c r="J47" s="49"/>
      <c r="K47" s="49"/>
      <c r="L47" s="49"/>
      <c r="M47" s="49"/>
      <c r="N47" s="49"/>
      <c r="P47" s="49"/>
      <c r="Q47" s="49"/>
      <c r="R47" s="49"/>
      <c r="S47" s="49"/>
      <c r="T47" s="49"/>
    </row>
    <row r="48" spans="1:21" ht="11.25" x14ac:dyDescent="0.25">
      <c r="A48" s="49"/>
      <c r="B48" s="49"/>
      <c r="C48" s="49"/>
      <c r="D48" s="49"/>
      <c r="E48" s="49"/>
      <c r="F48" s="49"/>
      <c r="G48" s="49"/>
      <c r="H48" s="49"/>
      <c r="J48" s="49"/>
      <c r="K48" s="49"/>
      <c r="L48" s="49"/>
      <c r="M48" s="49"/>
      <c r="N48" s="49"/>
      <c r="P48" s="49"/>
      <c r="Q48" s="49"/>
      <c r="R48" s="49"/>
      <c r="S48" s="49"/>
      <c r="T48" s="49"/>
    </row>
    <row r="49" spans="1:21" ht="11.25" x14ac:dyDescent="0.25">
      <c r="A49" s="49"/>
      <c r="B49" s="49"/>
      <c r="C49" s="49"/>
      <c r="D49" s="49"/>
      <c r="E49" s="49"/>
      <c r="F49" s="49"/>
      <c r="G49" s="49"/>
      <c r="H49" s="49"/>
      <c r="J49" s="49"/>
      <c r="K49" s="49"/>
      <c r="L49" s="49"/>
      <c r="M49" s="49"/>
      <c r="N49" s="49"/>
      <c r="P49" s="49"/>
      <c r="Q49" s="49"/>
      <c r="R49" s="49"/>
      <c r="S49" s="49"/>
      <c r="T49" s="49"/>
    </row>
    <row r="50" spans="1:21" ht="11.25" x14ac:dyDescent="0.25">
      <c r="A50" s="49"/>
      <c r="B50" s="49"/>
      <c r="C50" s="49"/>
      <c r="D50" s="49"/>
      <c r="E50" s="49"/>
      <c r="F50" s="49"/>
      <c r="G50" s="49"/>
      <c r="H50" s="49"/>
      <c r="J50" s="49"/>
      <c r="K50" s="49"/>
      <c r="L50" s="49"/>
      <c r="M50" s="49"/>
      <c r="N50" s="49"/>
      <c r="P50" s="49"/>
      <c r="Q50" s="49"/>
      <c r="R50" s="49"/>
      <c r="S50" s="49"/>
      <c r="T50" s="49"/>
    </row>
    <row r="51" spans="1:21" ht="11.25" x14ac:dyDescent="0.25">
      <c r="A51" s="49"/>
      <c r="B51" s="49"/>
      <c r="C51" s="49"/>
      <c r="D51" s="49"/>
      <c r="E51" s="49"/>
      <c r="F51" s="49"/>
      <c r="G51" s="49"/>
      <c r="H51" s="49"/>
      <c r="J51" s="49"/>
      <c r="K51" s="49"/>
      <c r="L51" s="49"/>
      <c r="M51" s="49"/>
      <c r="N51" s="49"/>
      <c r="P51" s="49"/>
      <c r="Q51" s="49"/>
      <c r="R51" s="49"/>
      <c r="S51" s="49"/>
      <c r="T51" s="49"/>
    </row>
    <row r="52" spans="1:21" ht="11.25" x14ac:dyDescent="0.25">
      <c r="A52" s="49"/>
      <c r="B52" s="49"/>
      <c r="C52" s="49"/>
      <c r="D52" s="49"/>
      <c r="E52" s="49"/>
      <c r="F52" s="49"/>
      <c r="G52" s="49"/>
      <c r="H52" s="49"/>
      <c r="J52" s="49"/>
      <c r="K52" s="49"/>
      <c r="L52" s="49"/>
      <c r="M52" s="49"/>
      <c r="N52" s="49"/>
      <c r="P52" s="49"/>
      <c r="Q52" s="49"/>
      <c r="R52" s="49"/>
      <c r="S52" s="49"/>
      <c r="T52" s="49"/>
    </row>
    <row r="53" spans="1:21" ht="11.25" x14ac:dyDescent="0.25">
      <c r="A53" s="49"/>
      <c r="B53" s="49"/>
      <c r="C53" s="49"/>
      <c r="D53" s="49"/>
      <c r="E53" s="49"/>
      <c r="F53" s="49"/>
      <c r="G53" s="49"/>
      <c r="H53" s="49"/>
      <c r="J53" s="49"/>
      <c r="K53" s="49"/>
      <c r="L53" s="49"/>
      <c r="M53" s="49"/>
      <c r="N53" s="49"/>
      <c r="P53" s="49"/>
      <c r="Q53" s="49"/>
      <c r="R53" s="49"/>
      <c r="S53" s="49"/>
      <c r="T53" s="49"/>
    </row>
    <row r="54" spans="1:21" ht="11.25" x14ac:dyDescent="0.25">
      <c r="A54" s="49"/>
      <c r="B54" s="49"/>
      <c r="C54" s="49"/>
      <c r="D54" s="49"/>
      <c r="E54" s="49"/>
      <c r="F54" s="49"/>
      <c r="G54" s="49"/>
      <c r="H54" s="49"/>
      <c r="J54" s="49"/>
      <c r="K54" s="49"/>
      <c r="L54" s="49"/>
      <c r="M54" s="49"/>
      <c r="N54" s="49"/>
      <c r="P54" s="49"/>
      <c r="Q54" s="49"/>
      <c r="R54" s="49"/>
      <c r="S54" s="49"/>
      <c r="T54" s="49"/>
    </row>
    <row r="55" spans="1:21" ht="11.25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ht="11.25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ht="11.25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  <row r="58" spans="1:21" ht="11.25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spans="1:21" ht="11.25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</row>
    <row r="60" spans="1:21" ht="11.25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spans="1:21" ht="11.25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spans="1:21" ht="11.25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</row>
    <row r="63" spans="1:21" ht="11.25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</row>
    <row r="64" spans="1:21" ht="11.25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</row>
    <row r="65" spans="1:21" ht="11.25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  <row r="66" spans="1:21" ht="11.25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spans="1:21" ht="11.25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</row>
    <row r="68" spans="1:21" ht="11.25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</row>
    <row r="69" spans="1:21" ht="11.25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</row>
    <row r="70" spans="1:21" ht="11.25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</row>
    <row r="71" spans="1:21" ht="11.25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  <row r="72" spans="1:21" ht="11.25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</row>
    <row r="73" spans="1:21" ht="11.25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</row>
    <row r="74" spans="1:21" ht="11.25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</row>
    <row r="75" spans="1:21" ht="11.25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</row>
    <row r="76" spans="1:21" ht="11.25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</row>
    <row r="77" spans="1:21" ht="11.25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</row>
    <row r="78" spans="1:21" ht="11.25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</row>
    <row r="79" spans="1:21" ht="11.25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</row>
    <row r="80" spans="1:21" ht="11.25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</row>
  </sheetData>
  <mergeCells count="10">
    <mergeCell ref="O30:O32"/>
    <mergeCell ref="M30:M32"/>
    <mergeCell ref="K30:K32"/>
    <mergeCell ref="K11:O11"/>
    <mergeCell ref="A1:U1"/>
    <mergeCell ref="A2:U2"/>
    <mergeCell ref="A3:U3"/>
    <mergeCell ref="A4:U4"/>
    <mergeCell ref="Q11:U11"/>
    <mergeCell ref="E11:I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37BD-8CB3-46C8-A3F2-538C7E6049DA}">
  <dimension ref="A1:T50"/>
  <sheetViews>
    <sheetView workbookViewId="0">
      <selection activeCell="M19" sqref="M19"/>
    </sheetView>
  </sheetViews>
  <sheetFormatPr defaultRowHeight="15" x14ac:dyDescent="0.25"/>
  <cols>
    <col min="1" max="1" width="6" customWidth="1"/>
    <col min="2" max="2" width="1.42578125" customWidth="1"/>
    <col min="3" max="3" width="50.7109375" bestFit="1" customWidth="1"/>
    <col min="4" max="4" width="1.42578125" customWidth="1"/>
    <col min="5" max="5" width="13.7109375" customWidth="1"/>
    <col min="6" max="6" width="1.42578125" customWidth="1"/>
    <col min="7" max="7" width="18.28515625" bestFit="1" customWidth="1"/>
    <col min="8" max="8" width="1.42578125" customWidth="1"/>
    <col min="9" max="9" width="14.85546875" bestFit="1" customWidth="1"/>
    <col min="10" max="10" width="3.5703125" customWidth="1"/>
    <col min="11" max="11" width="13.85546875" bestFit="1" customWidth="1"/>
    <col min="12" max="12" width="1.42578125" customWidth="1"/>
    <col min="13" max="13" width="13.140625" bestFit="1" customWidth="1"/>
    <col min="14" max="14" width="3.5703125" customWidth="1"/>
    <col min="15" max="15" width="13.85546875" bestFit="1" customWidth="1"/>
    <col min="16" max="16" width="1.42578125" customWidth="1"/>
    <col min="17" max="17" width="13.140625" customWidth="1"/>
    <col min="19" max="20" width="11.140625" bestFit="1" customWidth="1"/>
  </cols>
  <sheetData>
    <row r="1" spans="1:17" x14ac:dyDescent="0.25">
      <c r="A1" s="364" t="s">
        <v>62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</row>
    <row r="2" spans="1:17" x14ac:dyDescent="0.25">
      <c r="A2" s="364" t="s">
        <v>63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</row>
    <row r="3" spans="1:17" x14ac:dyDescent="0.25">
      <c r="A3" s="364" t="s">
        <v>195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</row>
    <row r="4" spans="1:17" x14ac:dyDescent="0.25">
      <c r="A4" s="364" t="s">
        <v>64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</row>
    <row r="5" spans="1:17" x14ac:dyDescent="0.25">
      <c r="A5" s="47"/>
      <c r="B5" s="47"/>
      <c r="C5" s="73"/>
      <c r="D5" s="73"/>
      <c r="E5" s="47"/>
      <c r="F5" s="47"/>
      <c r="G5" s="47"/>
      <c r="H5" s="47"/>
      <c r="I5" s="47"/>
      <c r="J5" s="73"/>
      <c r="K5" s="47"/>
      <c r="L5" s="47"/>
      <c r="M5" s="47"/>
      <c r="N5" s="73"/>
      <c r="O5" s="47"/>
      <c r="P5" s="47"/>
      <c r="Q5" s="47"/>
    </row>
    <row r="6" spans="1:17" x14ac:dyDescent="0.25">
      <c r="A6" s="5" t="s">
        <v>176</v>
      </c>
      <c r="B6" s="2"/>
      <c r="C6" s="2"/>
      <c r="D6" s="47"/>
      <c r="E6" s="47"/>
      <c r="F6" s="47"/>
      <c r="G6" s="74"/>
      <c r="H6" s="47"/>
      <c r="I6" s="327"/>
      <c r="J6" s="47"/>
      <c r="K6" s="74"/>
      <c r="L6" s="47"/>
      <c r="M6" s="47"/>
      <c r="N6" s="47"/>
      <c r="O6" s="74"/>
      <c r="P6" s="47"/>
      <c r="Q6" s="75" t="s">
        <v>149</v>
      </c>
    </row>
    <row r="7" spans="1:17" x14ac:dyDescent="0.25">
      <c r="A7" s="2" t="s">
        <v>645</v>
      </c>
      <c r="B7" s="2"/>
      <c r="C7" s="2"/>
      <c r="D7" s="47"/>
      <c r="E7" s="47"/>
      <c r="F7" s="47"/>
      <c r="G7" s="74"/>
      <c r="H7" s="47"/>
      <c r="I7" s="327"/>
      <c r="J7" s="47"/>
      <c r="K7" s="74"/>
      <c r="L7" s="47"/>
      <c r="M7" s="47"/>
      <c r="N7" s="47"/>
      <c r="O7" s="74"/>
      <c r="P7" s="47"/>
      <c r="Q7" s="75" t="s">
        <v>128</v>
      </c>
    </row>
    <row r="8" spans="1:17" x14ac:dyDescent="0.25">
      <c r="A8" s="2" t="s">
        <v>2</v>
      </c>
      <c r="B8" s="2"/>
      <c r="C8" s="2"/>
      <c r="D8" s="47"/>
      <c r="E8" s="47"/>
      <c r="F8" s="47"/>
      <c r="G8" s="74"/>
      <c r="H8" s="47"/>
      <c r="I8" s="327"/>
      <c r="J8" s="47"/>
      <c r="K8" s="74"/>
      <c r="L8" s="47"/>
      <c r="M8" s="47"/>
      <c r="N8" s="47"/>
      <c r="O8" s="74"/>
      <c r="P8" s="47"/>
      <c r="Q8" s="50" t="s">
        <v>65</v>
      </c>
    </row>
    <row r="9" spans="1:17" x14ac:dyDescent="0.25">
      <c r="A9" s="69"/>
      <c r="B9" s="70"/>
      <c r="C9" s="70"/>
      <c r="D9" s="70"/>
      <c r="E9" s="70"/>
      <c r="F9" s="70"/>
      <c r="G9" s="76"/>
      <c r="H9" s="70"/>
      <c r="I9" s="72"/>
      <c r="J9" s="70"/>
      <c r="K9" s="76"/>
      <c r="L9" s="70"/>
      <c r="M9" s="72"/>
      <c r="N9" s="70"/>
      <c r="O9" s="76"/>
      <c r="P9" s="70"/>
      <c r="Q9" s="72"/>
    </row>
    <row r="10" spans="1:17" ht="15.75" thickBot="1" x14ac:dyDescent="0.3">
      <c r="A10" s="48"/>
      <c r="B10" s="47"/>
      <c r="C10" s="47"/>
      <c r="D10" s="47"/>
      <c r="E10" s="362" t="s">
        <v>177</v>
      </c>
      <c r="F10" s="362"/>
      <c r="G10" s="362"/>
      <c r="H10" s="362"/>
      <c r="I10" s="362"/>
      <c r="J10" s="47"/>
      <c r="K10" s="362" t="s">
        <v>178</v>
      </c>
      <c r="L10" s="362"/>
      <c r="M10" s="362"/>
      <c r="N10" s="47"/>
      <c r="O10" s="362" t="s">
        <v>179</v>
      </c>
      <c r="P10" s="362"/>
      <c r="Q10" s="362"/>
    </row>
    <row r="11" spans="1:17" x14ac:dyDescent="0.25">
      <c r="A11" s="48"/>
      <c r="B11" s="47"/>
      <c r="C11" s="47"/>
      <c r="D11" s="47"/>
      <c r="E11" s="44" t="s">
        <v>129</v>
      </c>
      <c r="F11" s="47"/>
      <c r="G11" s="47"/>
      <c r="H11" s="47"/>
      <c r="I11" s="44" t="s">
        <v>130</v>
      </c>
      <c r="J11" s="47"/>
      <c r="K11" s="47"/>
      <c r="L11" s="47"/>
      <c r="M11" s="44" t="s">
        <v>130</v>
      </c>
      <c r="N11" s="47"/>
      <c r="O11" s="47"/>
      <c r="P11" s="47"/>
      <c r="Q11" s="44" t="s">
        <v>130</v>
      </c>
    </row>
    <row r="12" spans="1:17" x14ac:dyDescent="0.25">
      <c r="A12" s="47"/>
      <c r="B12" s="47"/>
      <c r="C12" s="47"/>
      <c r="D12" s="47"/>
      <c r="E12" s="44" t="s">
        <v>150</v>
      </c>
      <c r="F12" s="47"/>
      <c r="G12" s="44" t="s">
        <v>196</v>
      </c>
      <c r="H12" s="47"/>
      <c r="I12" s="44" t="s">
        <v>33</v>
      </c>
      <c r="J12" s="47"/>
      <c r="K12" s="44"/>
      <c r="L12" s="47"/>
      <c r="M12" s="44" t="s">
        <v>33</v>
      </c>
      <c r="N12" s="47"/>
      <c r="O12" s="44"/>
      <c r="P12" s="47"/>
      <c r="Q12" s="44" t="s">
        <v>33</v>
      </c>
    </row>
    <row r="13" spans="1:17" x14ac:dyDescent="0.25">
      <c r="A13" s="46" t="s">
        <v>6</v>
      </c>
      <c r="B13" s="47"/>
      <c r="C13" s="44"/>
      <c r="D13" s="44"/>
      <c r="E13" s="46" t="s">
        <v>151</v>
      </c>
      <c r="F13" s="47"/>
      <c r="G13" s="44" t="s">
        <v>152</v>
      </c>
      <c r="H13" s="47"/>
      <c r="I13" s="46" t="s">
        <v>151</v>
      </c>
      <c r="J13" s="44"/>
      <c r="K13" s="44"/>
      <c r="L13" s="47"/>
      <c r="M13" s="46" t="s">
        <v>151</v>
      </c>
      <c r="N13" s="44"/>
      <c r="O13" s="44" t="s">
        <v>223</v>
      </c>
      <c r="P13" s="47"/>
      <c r="Q13" s="46" t="s">
        <v>151</v>
      </c>
    </row>
    <row r="14" spans="1:17" x14ac:dyDescent="0.25">
      <c r="A14" s="77" t="s">
        <v>10</v>
      </c>
      <c r="B14" s="78"/>
      <c r="C14" s="53" t="s">
        <v>11</v>
      </c>
      <c r="D14" s="77"/>
      <c r="E14" s="53" t="s">
        <v>153</v>
      </c>
      <c r="F14" s="78"/>
      <c r="G14" s="79" t="s">
        <v>154</v>
      </c>
      <c r="H14" s="51"/>
      <c r="I14" s="53" t="s">
        <v>153</v>
      </c>
      <c r="J14" s="77"/>
      <c r="K14" s="79" t="s">
        <v>154</v>
      </c>
      <c r="L14" s="51"/>
      <c r="M14" s="53" t="s">
        <v>153</v>
      </c>
      <c r="N14" s="77"/>
      <c r="O14" s="79" t="s">
        <v>154</v>
      </c>
      <c r="P14" s="51"/>
      <c r="Q14" s="53" t="s">
        <v>153</v>
      </c>
    </row>
    <row r="15" spans="1:17" x14ac:dyDescent="0.25">
      <c r="A15" s="46"/>
      <c r="B15" s="47"/>
      <c r="C15" s="46"/>
      <c r="D15" s="46"/>
      <c r="E15" s="54" t="s">
        <v>85</v>
      </c>
      <c r="F15" s="47"/>
      <c r="G15" s="54" t="s">
        <v>86</v>
      </c>
      <c r="H15" s="47"/>
      <c r="I15" s="54" t="s">
        <v>155</v>
      </c>
      <c r="J15" s="46"/>
      <c r="K15" s="54" t="s">
        <v>156</v>
      </c>
      <c r="L15" s="47"/>
      <c r="M15" s="54" t="s">
        <v>157</v>
      </c>
      <c r="N15" s="46"/>
      <c r="O15" s="54" t="s">
        <v>90</v>
      </c>
      <c r="P15" s="47"/>
      <c r="Q15" s="54" t="s">
        <v>237</v>
      </c>
    </row>
    <row r="16" spans="1:17" x14ac:dyDescent="0.25">
      <c r="A16" s="47"/>
      <c r="B16" s="47"/>
      <c r="C16" s="80"/>
      <c r="D16" s="80"/>
      <c r="E16" s="44" t="s">
        <v>36</v>
      </c>
      <c r="F16" s="47"/>
      <c r="G16" s="44" t="s">
        <v>36</v>
      </c>
      <c r="H16" s="47"/>
      <c r="I16" s="44" t="s">
        <v>36</v>
      </c>
      <c r="J16" s="80"/>
      <c r="K16" s="44" t="s">
        <v>36</v>
      </c>
      <c r="L16" s="47"/>
      <c r="M16" s="44" t="s">
        <v>36</v>
      </c>
      <c r="N16" s="80"/>
      <c r="O16" s="44" t="s">
        <v>36</v>
      </c>
      <c r="P16" s="47"/>
      <c r="Q16" s="44" t="s">
        <v>36</v>
      </c>
    </row>
    <row r="17" spans="1:20" x14ac:dyDescent="0.25">
      <c r="A17" s="47"/>
      <c r="B17" s="47"/>
      <c r="C17" s="80"/>
      <c r="D17" s="80"/>
      <c r="E17" s="44"/>
      <c r="F17" s="47"/>
      <c r="G17" s="81"/>
      <c r="H17" s="47"/>
      <c r="I17" s="44"/>
      <c r="J17" s="80"/>
      <c r="K17" s="81"/>
      <c r="L17" s="47"/>
      <c r="M17" s="44"/>
      <c r="N17" s="80"/>
      <c r="O17" s="81"/>
      <c r="P17" s="47"/>
      <c r="Q17" s="44"/>
    </row>
    <row r="18" spans="1:20" x14ac:dyDescent="0.25">
      <c r="A18" s="46">
        <v>1</v>
      </c>
      <c r="B18" s="47"/>
      <c r="C18" s="48" t="s">
        <v>158</v>
      </c>
      <c r="D18" s="48"/>
      <c r="E18" s="82">
        <v>150820685.62666669</v>
      </c>
      <c r="F18" s="55"/>
      <c r="G18" s="55">
        <v>-463008</v>
      </c>
      <c r="H18" s="55"/>
      <c r="I18" s="55">
        <f>E18+G18</f>
        <v>150357677.62666669</v>
      </c>
      <c r="J18" s="48"/>
      <c r="K18" s="55">
        <v>0</v>
      </c>
      <c r="L18" s="55"/>
      <c r="M18" s="55">
        <f>I18+K18</f>
        <v>150357677.62666669</v>
      </c>
      <c r="N18" s="48"/>
      <c r="O18" s="55">
        <v>0</v>
      </c>
      <c r="P18" s="55"/>
      <c r="Q18" s="55">
        <f>M18+O18</f>
        <v>150357677.62666669</v>
      </c>
    </row>
    <row r="19" spans="1:20" x14ac:dyDescent="0.25">
      <c r="A19" s="44"/>
      <c r="B19" s="47"/>
      <c r="C19" s="83"/>
      <c r="D19" s="83"/>
      <c r="E19" s="82"/>
      <c r="F19" s="55"/>
      <c r="G19" s="55"/>
      <c r="H19" s="55"/>
      <c r="I19" s="55"/>
      <c r="J19" s="83"/>
      <c r="K19" s="55"/>
      <c r="L19" s="55"/>
      <c r="M19" s="55"/>
      <c r="N19" s="83"/>
      <c r="O19" s="55"/>
      <c r="P19" s="55"/>
      <c r="Q19" s="55"/>
    </row>
    <row r="20" spans="1:20" x14ac:dyDescent="0.25">
      <c r="A20" s="46">
        <f>A18+1</f>
        <v>2</v>
      </c>
      <c r="B20" s="47"/>
      <c r="C20" s="48" t="s">
        <v>93</v>
      </c>
      <c r="D20" s="48"/>
      <c r="E20" s="55"/>
      <c r="F20" s="55"/>
      <c r="G20" s="55"/>
      <c r="H20" s="55"/>
      <c r="I20" s="55"/>
      <c r="J20" s="48"/>
      <c r="K20" s="55"/>
      <c r="L20" s="55"/>
      <c r="M20" s="55"/>
      <c r="N20" s="48"/>
      <c r="O20" s="55"/>
      <c r="P20" s="55"/>
      <c r="Q20" s="55"/>
    </row>
    <row r="21" spans="1:20" x14ac:dyDescent="0.25">
      <c r="A21" s="46">
        <f t="shared" ref="A21:A26" si="0">+A20+1</f>
        <v>3</v>
      </c>
      <c r="B21" s="47"/>
      <c r="C21" s="48" t="s">
        <v>159</v>
      </c>
      <c r="D21" s="48"/>
      <c r="E21" s="82">
        <v>35413021.660000004</v>
      </c>
      <c r="F21" s="55"/>
      <c r="G21" s="55">
        <v>0</v>
      </c>
      <c r="H21" s="55"/>
      <c r="I21" s="55">
        <f t="shared" ref="I21:I31" si="1">E21+G21</f>
        <v>35413021.660000004</v>
      </c>
      <c r="J21" s="48"/>
      <c r="K21" s="55">
        <v>0</v>
      </c>
      <c r="L21" s="55"/>
      <c r="M21" s="55">
        <f>I21+K21</f>
        <v>35413021.660000004</v>
      </c>
      <c r="N21" s="48"/>
      <c r="O21" s="55">
        <v>0</v>
      </c>
      <c r="P21" s="55"/>
      <c r="Q21" s="55">
        <f>M21+O21</f>
        <v>35413021.660000004</v>
      </c>
    </row>
    <row r="22" spans="1:20" x14ac:dyDescent="0.25">
      <c r="A22" s="46">
        <f t="shared" si="0"/>
        <v>4</v>
      </c>
      <c r="B22" s="47"/>
      <c r="C22" s="48" t="s">
        <v>160</v>
      </c>
      <c r="D22" s="48"/>
      <c r="E22" s="55">
        <v>0</v>
      </c>
      <c r="F22" s="55"/>
      <c r="G22" s="55">
        <v>0</v>
      </c>
      <c r="H22" s="55"/>
      <c r="I22" s="55">
        <f>E22+G22</f>
        <v>0</v>
      </c>
      <c r="J22" s="48"/>
      <c r="K22" s="361">
        <f>+'Sch Ds1 (FTP Op Inc Adj)'!D45</f>
        <v>-6668083.5808786061</v>
      </c>
      <c r="L22" s="55"/>
      <c r="M22" s="361">
        <f>+SUM(I22:I29)+K22</f>
        <v>46198488.395789281</v>
      </c>
      <c r="N22" s="48"/>
      <c r="O22" s="361">
        <f>+'Sch Ds1 (FTP Op Inc Adj)'!F45</f>
        <v>6668083.5808786061</v>
      </c>
      <c r="P22" s="55"/>
      <c r="Q22" s="361">
        <f>+SUM(M22)+O22</f>
        <v>52866571.976667888</v>
      </c>
      <c r="S22" s="189"/>
      <c r="T22" s="189"/>
    </row>
    <row r="23" spans="1:20" x14ac:dyDescent="0.25">
      <c r="A23" s="46">
        <f t="shared" si="0"/>
        <v>5</v>
      </c>
      <c r="B23" s="47"/>
      <c r="C23" s="48" t="s">
        <v>161</v>
      </c>
      <c r="D23" s="48"/>
      <c r="E23" s="82">
        <v>409337.99999999994</v>
      </c>
      <c r="F23" s="55"/>
      <c r="G23" s="55">
        <v>-74.82676403469857</v>
      </c>
      <c r="H23" s="55"/>
      <c r="I23" s="55">
        <f t="shared" si="1"/>
        <v>409263.17323596525</v>
      </c>
      <c r="J23" s="48"/>
      <c r="K23" s="361"/>
      <c r="L23" s="55"/>
      <c r="M23" s="361"/>
      <c r="N23" s="48"/>
      <c r="O23" s="361"/>
      <c r="P23" s="55"/>
      <c r="Q23" s="361"/>
    </row>
    <row r="24" spans="1:20" x14ac:dyDescent="0.25">
      <c r="A24" s="46">
        <f t="shared" si="0"/>
        <v>6</v>
      </c>
      <c r="B24" s="47"/>
      <c r="C24" s="48" t="s">
        <v>162</v>
      </c>
      <c r="D24" s="48"/>
      <c r="E24" s="82">
        <v>4382.76</v>
      </c>
      <c r="F24" s="55"/>
      <c r="G24" s="55">
        <v>-0.73102890731023995</v>
      </c>
      <c r="H24" s="55"/>
      <c r="I24" s="55">
        <f t="shared" si="1"/>
        <v>4382.02897109269</v>
      </c>
      <c r="J24" s="48"/>
      <c r="K24" s="361"/>
      <c r="L24" s="55"/>
      <c r="M24" s="361"/>
      <c r="N24" s="48"/>
      <c r="O24" s="361"/>
      <c r="P24" s="55"/>
      <c r="Q24" s="361"/>
    </row>
    <row r="25" spans="1:20" x14ac:dyDescent="0.25">
      <c r="A25" s="46">
        <f t="shared" si="0"/>
        <v>7</v>
      </c>
      <c r="B25" s="47"/>
      <c r="C25" s="84" t="s">
        <v>163</v>
      </c>
      <c r="D25" s="84"/>
      <c r="E25" s="55">
        <v>19074263.23</v>
      </c>
      <c r="F25" s="55"/>
      <c r="G25" s="55">
        <v>-793.27463486313843</v>
      </c>
      <c r="H25" s="55"/>
      <c r="I25" s="55">
        <f t="shared" si="1"/>
        <v>19073469.955365136</v>
      </c>
      <c r="J25" s="84"/>
      <c r="K25" s="361"/>
      <c r="L25" s="55"/>
      <c r="M25" s="361"/>
      <c r="N25" s="84"/>
      <c r="O25" s="361"/>
      <c r="P25" s="55"/>
      <c r="Q25" s="361"/>
    </row>
    <row r="26" spans="1:20" x14ac:dyDescent="0.25">
      <c r="A26" s="46">
        <f t="shared" si="0"/>
        <v>8</v>
      </c>
      <c r="B26" s="47"/>
      <c r="C26" s="84" t="s">
        <v>164</v>
      </c>
      <c r="D26" s="84"/>
      <c r="E26" s="55">
        <v>4301567.46</v>
      </c>
      <c r="F26" s="55"/>
      <c r="G26" s="55">
        <v>-506103.50171085238</v>
      </c>
      <c r="H26" s="55"/>
      <c r="I26" s="55">
        <f t="shared" si="1"/>
        <v>3795463.9582891474</v>
      </c>
      <c r="J26" s="84"/>
      <c r="K26" s="361"/>
      <c r="L26" s="55"/>
      <c r="M26" s="361"/>
      <c r="N26" s="84"/>
      <c r="O26" s="361"/>
      <c r="P26" s="55"/>
      <c r="Q26" s="361"/>
    </row>
    <row r="27" spans="1:20" x14ac:dyDescent="0.25">
      <c r="A27" s="46">
        <f t="shared" ref="A27:A42" si="2">A26+1</f>
        <v>9</v>
      </c>
      <c r="B27" s="47"/>
      <c r="C27" s="48" t="s">
        <v>165</v>
      </c>
      <c r="D27" s="48"/>
      <c r="E27" s="82">
        <v>400859.27</v>
      </c>
      <c r="F27" s="55"/>
      <c r="G27" s="55">
        <v>12970.348241896643</v>
      </c>
      <c r="H27" s="55"/>
      <c r="I27" s="55">
        <f t="shared" si="1"/>
        <v>413829.61824189668</v>
      </c>
      <c r="J27" s="48"/>
      <c r="K27" s="361"/>
      <c r="L27" s="55"/>
      <c r="M27" s="361"/>
      <c r="N27" s="48"/>
      <c r="O27" s="361"/>
      <c r="P27" s="55"/>
      <c r="Q27" s="361"/>
    </row>
    <row r="28" spans="1:20" x14ac:dyDescent="0.25">
      <c r="A28" s="46">
        <f t="shared" si="2"/>
        <v>10</v>
      </c>
      <c r="B28" s="47"/>
      <c r="C28" s="84" t="s">
        <v>166</v>
      </c>
      <c r="D28" s="84"/>
      <c r="E28" s="82">
        <v>12354.850000000002</v>
      </c>
      <c r="F28" s="55"/>
      <c r="G28" s="55">
        <v>-2.0036832362992145</v>
      </c>
      <c r="H28" s="55"/>
      <c r="I28" s="55">
        <f t="shared" si="1"/>
        <v>12352.846316763704</v>
      </c>
      <c r="J28" s="84"/>
      <c r="K28" s="361"/>
      <c r="L28" s="55"/>
      <c r="M28" s="361"/>
      <c r="N28" s="84"/>
      <c r="O28" s="361"/>
      <c r="P28" s="55"/>
      <c r="Q28" s="361"/>
    </row>
    <row r="29" spans="1:20" x14ac:dyDescent="0.25">
      <c r="A29" s="46">
        <f t="shared" si="2"/>
        <v>11</v>
      </c>
      <c r="B29" s="47"/>
      <c r="C29" s="84" t="s">
        <v>167</v>
      </c>
      <c r="D29" s="84"/>
      <c r="E29" s="82">
        <v>28888095.470000003</v>
      </c>
      <c r="F29" s="55"/>
      <c r="G29" s="55">
        <v>269714.9262478883</v>
      </c>
      <c r="H29" s="55"/>
      <c r="I29" s="55">
        <f t="shared" si="1"/>
        <v>29157810.39624789</v>
      </c>
      <c r="J29" s="84"/>
      <c r="K29" s="361"/>
      <c r="L29" s="55"/>
      <c r="M29" s="361"/>
      <c r="N29" s="84"/>
      <c r="O29" s="361"/>
      <c r="P29" s="55"/>
      <c r="Q29" s="361"/>
    </row>
    <row r="30" spans="1:20" x14ac:dyDescent="0.25">
      <c r="A30" s="46"/>
      <c r="B30" s="47"/>
      <c r="C30" s="84"/>
      <c r="D30" s="84"/>
      <c r="E30" s="82"/>
      <c r="F30" s="55"/>
      <c r="G30" s="55"/>
      <c r="H30" s="55"/>
      <c r="I30" s="55"/>
      <c r="J30" s="84"/>
      <c r="K30" s="55"/>
      <c r="L30" s="55"/>
      <c r="M30" s="55"/>
      <c r="N30" s="84"/>
      <c r="O30" s="55"/>
      <c r="P30" s="55"/>
      <c r="Q30" s="55"/>
    </row>
    <row r="31" spans="1:20" x14ac:dyDescent="0.25">
      <c r="A31" s="46">
        <f>A29+1</f>
        <v>12</v>
      </c>
      <c r="B31" s="47"/>
      <c r="C31" s="84" t="s">
        <v>168</v>
      </c>
      <c r="D31" s="84"/>
      <c r="E31" s="82">
        <v>24472166.030000001</v>
      </c>
      <c r="F31" s="55"/>
      <c r="G31" s="55">
        <v>2011730</v>
      </c>
      <c r="H31" s="55"/>
      <c r="I31" s="55">
        <f t="shared" si="1"/>
        <v>26483896.030000001</v>
      </c>
      <c r="J31" s="84"/>
      <c r="K31" s="55">
        <v>0</v>
      </c>
      <c r="L31" s="55"/>
      <c r="M31" s="55">
        <f>I31+K31</f>
        <v>26483896.030000001</v>
      </c>
      <c r="N31" s="84"/>
      <c r="O31" s="55">
        <v>0</v>
      </c>
      <c r="P31" s="55"/>
      <c r="Q31" s="55">
        <f>M31+O31</f>
        <v>26483896.030000001</v>
      </c>
    </row>
    <row r="32" spans="1:20" x14ac:dyDescent="0.25">
      <c r="A32" s="46"/>
      <c r="B32" s="47"/>
      <c r="C32" s="84"/>
      <c r="D32" s="84"/>
      <c r="E32" s="82"/>
      <c r="F32" s="55"/>
      <c r="G32" s="55"/>
      <c r="H32" s="55"/>
      <c r="I32" s="55"/>
      <c r="J32" s="84"/>
      <c r="K32" s="55"/>
      <c r="L32" s="55"/>
      <c r="M32" s="55"/>
      <c r="N32" s="84"/>
      <c r="O32" s="55"/>
      <c r="P32" s="55"/>
      <c r="Q32" s="55"/>
    </row>
    <row r="33" spans="1:19" x14ac:dyDescent="0.25">
      <c r="A33" s="46">
        <f>A31+1</f>
        <v>13</v>
      </c>
      <c r="B33" s="47"/>
      <c r="C33" s="84" t="s">
        <v>111</v>
      </c>
      <c r="D33" s="84"/>
      <c r="E33" s="55"/>
      <c r="F33" s="55"/>
      <c r="G33" s="55"/>
      <c r="H33" s="55"/>
      <c r="I33" s="55"/>
      <c r="J33" s="84"/>
      <c r="K33" s="55"/>
      <c r="L33" s="55"/>
      <c r="M33" s="55"/>
      <c r="N33" s="84"/>
      <c r="O33" s="55"/>
      <c r="P33" s="55"/>
      <c r="Q33" s="55"/>
    </row>
    <row r="34" spans="1:19" x14ac:dyDescent="0.25">
      <c r="A34" s="46">
        <f t="shared" si="2"/>
        <v>14</v>
      </c>
      <c r="B34" s="47"/>
      <c r="C34" s="84" t="s">
        <v>169</v>
      </c>
      <c r="D34" s="84"/>
      <c r="E34" s="55">
        <v>9372000</v>
      </c>
      <c r="F34" s="55"/>
      <c r="G34" s="55">
        <v>-1920241</v>
      </c>
      <c r="H34" s="55"/>
      <c r="I34" s="55">
        <f>E34+G34</f>
        <v>7451759</v>
      </c>
      <c r="J34" s="84"/>
      <c r="K34" s="55">
        <v>0</v>
      </c>
      <c r="L34" s="55"/>
      <c r="M34" s="55">
        <f>I34+K34</f>
        <v>7451759</v>
      </c>
      <c r="N34" s="84"/>
      <c r="O34" s="55">
        <v>0</v>
      </c>
      <c r="P34" s="55"/>
      <c r="Q34" s="55">
        <f>M34+O34</f>
        <v>7451759</v>
      </c>
    </row>
    <row r="35" spans="1:19" x14ac:dyDescent="0.25">
      <c r="A35" s="46">
        <f t="shared" si="2"/>
        <v>15</v>
      </c>
      <c r="B35" s="47"/>
      <c r="C35" s="84" t="s">
        <v>170</v>
      </c>
      <c r="D35" s="84"/>
      <c r="E35" s="55">
        <v>900432.44286459521</v>
      </c>
      <c r="F35" s="55"/>
      <c r="G35" s="55">
        <v>0</v>
      </c>
      <c r="H35" s="55"/>
      <c r="I35" s="55">
        <f>E35+G35</f>
        <v>900432.44286459521</v>
      </c>
      <c r="J35" s="84"/>
      <c r="K35" s="55">
        <f>+'Sch Ds1 (FTP Op Inc Adj)'!D47</f>
        <v>-170433.2109407956</v>
      </c>
      <c r="L35" s="55"/>
      <c r="M35" s="55">
        <f t="shared" ref="M35:M36" si="3">I35+K35</f>
        <v>729999.23192379961</v>
      </c>
      <c r="N35" s="84"/>
      <c r="O35" s="55">
        <f>+'Sch Ds1 (FTP Op Inc Adj)'!F47</f>
        <v>170433.2109407956</v>
      </c>
      <c r="P35" s="55"/>
      <c r="Q35" s="55">
        <f t="shared" ref="Q35:Q36" si="4">M35+O35</f>
        <v>900432.44286459521</v>
      </c>
    </row>
    <row r="36" spans="1:19" x14ac:dyDescent="0.25">
      <c r="A36" s="46">
        <f t="shared" si="2"/>
        <v>16</v>
      </c>
      <c r="B36" s="47"/>
      <c r="C36" s="48" t="s">
        <v>171</v>
      </c>
      <c r="D36" s="48"/>
      <c r="E36" s="85">
        <v>225600</v>
      </c>
      <c r="F36" s="55"/>
      <c r="G36" s="85">
        <v>0</v>
      </c>
      <c r="H36" s="55"/>
      <c r="I36" s="85">
        <f>E36+G36</f>
        <v>225600</v>
      </c>
      <c r="J36" s="48"/>
      <c r="K36" s="85"/>
      <c r="L36" s="55"/>
      <c r="M36" s="85">
        <f t="shared" si="3"/>
        <v>225600</v>
      </c>
      <c r="N36" s="48"/>
      <c r="O36" s="85">
        <f>+G36</f>
        <v>0</v>
      </c>
      <c r="P36" s="55"/>
      <c r="Q36" s="57">
        <f t="shared" si="4"/>
        <v>225600</v>
      </c>
    </row>
    <row r="37" spans="1:19" x14ac:dyDescent="0.25">
      <c r="A37" s="46"/>
      <c r="B37" s="47"/>
      <c r="C37" s="48"/>
      <c r="D37" s="48"/>
      <c r="E37" s="55"/>
      <c r="F37" s="55"/>
      <c r="G37" s="55"/>
      <c r="H37" s="55"/>
      <c r="I37" s="55"/>
      <c r="J37" s="48"/>
      <c r="K37" s="55"/>
      <c r="L37" s="55"/>
      <c r="M37" s="55"/>
      <c r="N37" s="48"/>
      <c r="O37" s="55"/>
      <c r="P37" s="55"/>
      <c r="Q37" s="55"/>
    </row>
    <row r="38" spans="1:19" x14ac:dyDescent="0.25">
      <c r="A38" s="46">
        <f>+A36+1</f>
        <v>17</v>
      </c>
      <c r="B38" s="47"/>
      <c r="C38" s="48" t="s">
        <v>143</v>
      </c>
      <c r="D38" s="48"/>
      <c r="E38" s="55">
        <f>+E18-SUM(E21:E36)</f>
        <v>27346604.453802079</v>
      </c>
      <c r="F38" s="55"/>
      <c r="G38" s="55">
        <f>+G18-SUM(G21:G36)</f>
        <v>-330207.93666789122</v>
      </c>
      <c r="H38" s="55"/>
      <c r="I38" s="55">
        <f>+I18-SUM(I21:I36)</f>
        <v>27016396.517134205</v>
      </c>
      <c r="J38" s="48"/>
      <c r="K38" s="55">
        <f>+K18-SUM(K21:K36)</f>
        <v>6838516.791819402</v>
      </c>
      <c r="L38" s="55"/>
      <c r="M38" s="55">
        <f>+M18-SUM(M21:M36)</f>
        <v>33854913.308953598</v>
      </c>
      <c r="N38" s="48"/>
      <c r="O38" s="55">
        <f>+O18-SUM(O21:O36)</f>
        <v>-6838516.791819402</v>
      </c>
      <c r="P38" s="55"/>
      <c r="Q38" s="55">
        <f>+Q18-SUM(Q21:Q36)</f>
        <v>27016396.517134205</v>
      </c>
    </row>
    <row r="39" spans="1:19" x14ac:dyDescent="0.25">
      <c r="A39" s="46"/>
      <c r="B39" s="47"/>
      <c r="C39" s="48"/>
      <c r="D39" s="48"/>
      <c r="E39" s="55"/>
      <c r="F39" s="55"/>
      <c r="G39" s="55"/>
      <c r="H39" s="55"/>
      <c r="I39" s="55"/>
      <c r="J39" s="48"/>
      <c r="K39" s="55"/>
      <c r="L39" s="55"/>
      <c r="M39" s="55"/>
      <c r="N39" s="48"/>
      <c r="O39" s="55"/>
      <c r="P39" s="55"/>
      <c r="Q39" s="55"/>
    </row>
    <row r="40" spans="1:19" x14ac:dyDescent="0.25">
      <c r="A40" s="46">
        <f>+A38+1</f>
        <v>18</v>
      </c>
      <c r="B40" s="47"/>
      <c r="C40" s="84" t="s">
        <v>112</v>
      </c>
      <c r="D40" s="48"/>
      <c r="E40" s="58"/>
      <c r="F40" s="55"/>
      <c r="G40" s="58"/>
      <c r="H40" s="55"/>
      <c r="I40" s="86"/>
      <c r="J40" s="48"/>
      <c r="K40" s="58"/>
      <c r="L40" s="55"/>
      <c r="M40" s="86"/>
      <c r="N40" s="48"/>
      <c r="O40" s="58"/>
      <c r="P40" s="55"/>
      <c r="Q40" s="86"/>
    </row>
    <row r="41" spans="1:19" x14ac:dyDescent="0.25">
      <c r="A41" s="46">
        <f t="shared" si="2"/>
        <v>19</v>
      </c>
      <c r="B41" s="47"/>
      <c r="C41" s="84" t="s">
        <v>172</v>
      </c>
      <c r="D41" s="84"/>
      <c r="E41" s="82">
        <v>2030216.7561159101</v>
      </c>
      <c r="F41" s="55"/>
      <c r="G41" s="55">
        <f>+I41-E41</f>
        <v>457047.24388408987</v>
      </c>
      <c r="H41" s="55"/>
      <c r="I41" s="55">
        <f>+ROUND('Sch E-1.1 (FTP Income Taxes)'!D63,0)</f>
        <v>2487264</v>
      </c>
      <c r="J41" s="84"/>
      <c r="K41" s="55">
        <f>+ROUND('Sch Ds1 (FTP Op Inc Adj)'!D50,0)</f>
        <v>341926</v>
      </c>
      <c r="L41" s="55"/>
      <c r="M41" s="55">
        <f>I41+K41</f>
        <v>2829190</v>
      </c>
      <c r="N41" s="84"/>
      <c r="O41" s="55">
        <f>+Q41-M41</f>
        <v>-321224</v>
      </c>
      <c r="P41" s="55"/>
      <c r="Q41" s="55">
        <f>+ROUND('Sch E-1.1 (FTP Income Taxes)'!H63,0)</f>
        <v>2507966</v>
      </c>
      <c r="S41" s="189"/>
    </row>
    <row r="42" spans="1:19" x14ac:dyDescent="0.25">
      <c r="A42" s="46">
        <f t="shared" si="2"/>
        <v>20</v>
      </c>
      <c r="B42" s="47"/>
      <c r="C42" s="84" t="s">
        <v>173</v>
      </c>
      <c r="D42" s="84"/>
      <c r="E42" s="60">
        <v>685489.87908510014</v>
      </c>
      <c r="F42" s="55"/>
      <c r="G42" s="85">
        <f>+I42-E42</f>
        <v>29600.120914899861</v>
      </c>
      <c r="H42" s="55"/>
      <c r="I42" s="85">
        <f>+ROUND('Sch E-1.1 (FTP Income Taxes)'!D65,0)</f>
        <v>715090</v>
      </c>
      <c r="J42" s="84"/>
      <c r="K42" s="85">
        <f>ROUND(+'Sch Ds1 (FTP Op Inc Adj)'!D51,0)</f>
        <v>1364284</v>
      </c>
      <c r="L42" s="55"/>
      <c r="M42" s="85">
        <f>I42+K42</f>
        <v>2079374</v>
      </c>
      <c r="N42" s="84"/>
      <c r="O42" s="85">
        <f>+Q42-M42</f>
        <v>-1359096</v>
      </c>
      <c r="P42" s="55"/>
      <c r="Q42" s="85">
        <f>+ROUND('Sch E-1.1 (FTP Income Taxes)'!H65,0)</f>
        <v>720278</v>
      </c>
      <c r="S42" s="189"/>
    </row>
    <row r="43" spans="1:19" x14ac:dyDescent="0.25">
      <c r="A43" s="46"/>
      <c r="B43" s="47"/>
      <c r="C43" s="73"/>
      <c r="D43" s="73"/>
      <c r="E43" s="55"/>
      <c r="F43" s="55"/>
      <c r="G43" s="55"/>
      <c r="H43" s="55"/>
      <c r="I43" s="55"/>
      <c r="J43" s="73"/>
      <c r="K43" s="55"/>
      <c r="L43" s="55"/>
      <c r="M43" s="55"/>
      <c r="N43" s="73"/>
      <c r="O43" s="55"/>
      <c r="P43" s="55"/>
      <c r="Q43" s="55"/>
    </row>
    <row r="44" spans="1:19" x14ac:dyDescent="0.25">
      <c r="A44" s="46">
        <f>A42+1</f>
        <v>21</v>
      </c>
      <c r="B44" s="47"/>
      <c r="C44" s="48" t="s">
        <v>174</v>
      </c>
      <c r="D44" s="48"/>
      <c r="E44" s="55">
        <f>SUM(E21:E42)-E38</f>
        <v>126189787.80806562</v>
      </c>
      <c r="F44" s="55"/>
      <c r="G44" s="55">
        <f>SUM(G21:G42)-G38</f>
        <v>353847.30146688095</v>
      </c>
      <c r="H44" s="55"/>
      <c r="I44" s="55">
        <f>SUM(I21:I42)-I38</f>
        <v>126543635.10953249</v>
      </c>
      <c r="J44" s="48"/>
      <c r="K44" s="55">
        <f>SUM(K21:K42)-K38</f>
        <v>-5132306.791819402</v>
      </c>
      <c r="L44" s="55"/>
      <c r="M44" s="55">
        <f>SUM(M21:M42)-M38</f>
        <v>121411328.3177131</v>
      </c>
      <c r="N44" s="48"/>
      <c r="O44" s="55">
        <f>SUM(O21:O42)-O38</f>
        <v>5158196.791819402</v>
      </c>
      <c r="P44" s="55"/>
      <c r="Q44" s="55">
        <f>SUM(Q21:Q42)-Q38</f>
        <v>126569525.10953249</v>
      </c>
    </row>
    <row r="45" spans="1:19" x14ac:dyDescent="0.25">
      <c r="A45" s="46"/>
      <c r="B45" s="47"/>
      <c r="C45" s="47"/>
      <c r="D45" s="47"/>
      <c r="E45" s="82"/>
      <c r="F45" s="55"/>
      <c r="G45" s="82"/>
      <c r="H45" s="55"/>
      <c r="I45" s="82"/>
      <c r="J45" s="47"/>
      <c r="K45" s="82"/>
      <c r="L45" s="55"/>
      <c r="M45" s="82"/>
      <c r="N45" s="47"/>
      <c r="O45" s="82"/>
      <c r="P45" s="55"/>
      <c r="Q45" s="82"/>
    </row>
    <row r="46" spans="1:19" ht="15.75" thickBot="1" x14ac:dyDescent="0.3">
      <c r="A46" s="46">
        <f>A44+1</f>
        <v>22</v>
      </c>
      <c r="B46" s="47"/>
      <c r="C46" s="48" t="s">
        <v>175</v>
      </c>
      <c r="D46" s="48"/>
      <c r="E46" s="61">
        <f>E18-E44</f>
        <v>24630897.818601072</v>
      </c>
      <c r="F46" s="55"/>
      <c r="G46" s="61">
        <f>G18-G44</f>
        <v>-816855.30146688095</v>
      </c>
      <c r="H46" s="55"/>
      <c r="I46" s="61">
        <f>I18-I44</f>
        <v>23814042.517134205</v>
      </c>
      <c r="J46" s="48"/>
      <c r="K46" s="61">
        <f>K18-K44</f>
        <v>5132306.791819402</v>
      </c>
      <c r="L46" s="55"/>
      <c r="M46" s="61">
        <f>M18-M44</f>
        <v>28946349.308953598</v>
      </c>
      <c r="N46" s="48"/>
      <c r="O46" s="61">
        <f>O18-O44</f>
        <v>-5158196.791819402</v>
      </c>
      <c r="P46" s="55"/>
      <c r="Q46" s="61">
        <f>Q18-Q44</f>
        <v>23788152.517134205</v>
      </c>
    </row>
    <row r="47" spans="1:19" ht="15.75" thickTop="1" x14ac:dyDescent="0.25">
      <c r="A47" s="50"/>
      <c r="B47" s="47"/>
      <c r="C47" s="47"/>
      <c r="D47" s="47"/>
      <c r="E47" s="62"/>
      <c r="F47" s="47"/>
      <c r="G47" s="87"/>
      <c r="H47" s="62"/>
      <c r="I47" s="55"/>
      <c r="J47" s="47"/>
      <c r="K47" s="87"/>
      <c r="L47" s="62"/>
      <c r="M47" s="63"/>
      <c r="N47" s="47"/>
      <c r="O47" s="87"/>
      <c r="P47" s="62"/>
      <c r="Q47" s="63"/>
    </row>
    <row r="48" spans="1:19" x14ac:dyDescent="0.25">
      <c r="H48" s="88"/>
      <c r="L48" s="88"/>
      <c r="P48" s="88"/>
    </row>
    <row r="49" spans="8:16" x14ac:dyDescent="0.25">
      <c r="H49" s="88"/>
      <c r="L49" s="88"/>
      <c r="P49" s="88"/>
    </row>
    <row r="50" spans="8:16" x14ac:dyDescent="0.25">
      <c r="H50" s="88"/>
      <c r="L50" s="88"/>
      <c r="P50" s="88"/>
    </row>
  </sheetData>
  <mergeCells count="11">
    <mergeCell ref="A1:Q1"/>
    <mergeCell ref="Q22:Q29"/>
    <mergeCell ref="A2:Q2"/>
    <mergeCell ref="A3:Q3"/>
    <mergeCell ref="A4:Q4"/>
    <mergeCell ref="K22:K29"/>
    <mergeCell ref="M22:M29"/>
    <mergeCell ref="O22:O29"/>
    <mergeCell ref="K10:M10"/>
    <mergeCell ref="O10:Q10"/>
    <mergeCell ref="E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TLS Testimony Table</vt:lpstr>
      <vt:lpstr>Sch A (Rev. Req.)</vt:lpstr>
      <vt:lpstr>Sch A-1s1 (Co v OAG Recon)</vt:lpstr>
      <vt:lpstr>Sch A-1s2 (Co v OAG Recon)</vt:lpstr>
      <vt:lpstr>Sch B-1 (FTP RB)</vt:lpstr>
      <vt:lpstr>Sch B-5.2.A (CWC)</vt:lpstr>
      <vt:lpstr>Sch B-5.2.B (CWC)</vt:lpstr>
      <vt:lpstr>Sch C-1 (Op. Income)</vt:lpstr>
      <vt:lpstr>Sch C-2 (Op Income)</vt:lpstr>
      <vt:lpstr>Sch Ds1 (FTP Op Inc Adj)</vt:lpstr>
      <vt:lpstr>Sch Ds2</vt:lpstr>
      <vt:lpstr>Sch Ds3</vt:lpstr>
      <vt:lpstr>Sch E-1.1 (FTP Income Taxes)</vt:lpstr>
      <vt:lpstr>Sch H-1 (Conversion Factor)</vt:lpstr>
      <vt:lpstr>J-1.1,J-1.2 (FTP 13MO AVG WACC)</vt:lpstr>
    </vt:vector>
  </TitlesOfParts>
  <Company>NiSource,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Shaeffer \ Tamaleh \ L</dc:creator>
  <cp:lastModifiedBy>Ryan \ John \ Robert</cp:lastModifiedBy>
  <cp:lastPrinted>2024-08-28T14:48:07Z</cp:lastPrinted>
  <dcterms:created xsi:type="dcterms:W3CDTF">2024-08-22T13:56:24Z</dcterms:created>
  <dcterms:modified xsi:type="dcterms:W3CDTF">2024-09-20T21:21:53Z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